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5.xml" ContentType="application/vnd.openxmlformats-officedocument.drawing+xml"/>
  <Override PartName="/xl/drawings/drawing54.xml" ContentType="application/vnd.openxmlformats-officedocument.drawing+xml"/>
  <Override PartName="/xl/drawings/drawing53.xml" ContentType="application/vnd.openxmlformats-officedocument.drawing+xml"/>
  <Override PartName="/xl/drawings/drawing52.xml" ContentType="application/vnd.openxmlformats-officedocument.drawing+xml"/>
  <Override PartName="/xl/drawings/drawing51.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62.xml" ContentType="application/vnd.openxmlformats-officedocument.drawing+xml"/>
  <Override PartName="/xl/drawings/drawing61.xml" ContentType="application/vnd.openxmlformats-officedocument.drawing+xml"/>
  <Override PartName="/xl/drawings/drawing60.xml" ContentType="application/vnd.openxmlformats-officedocument.drawing+xml"/>
  <Override PartName="/xl/drawings/drawing59.xml" ContentType="application/vnd.openxmlformats-officedocument.drawing+xml"/>
  <Override PartName="/xl/drawings/drawing50.xml" ContentType="application/vnd.openxmlformats-officedocument.drawing+xml"/>
  <Override PartName="/xl/drawings/drawing49.xml" ContentType="application/vnd.openxmlformats-officedocument.drawing+xml"/>
  <Override PartName="/xl/drawings/drawing48.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7.xml" ContentType="application/vnd.openxmlformats-officedocument.drawing+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83.xml" ContentType="application/vnd.openxmlformats-officedocument.drawing+xml"/>
  <Override PartName="/xl/drawings/drawing82.xml" ContentType="application/vnd.openxmlformats-officedocument.drawing+xml"/>
  <Override PartName="/xl/drawings/drawing81.xml" ContentType="application/vnd.openxmlformats-officedocument.drawing+xml"/>
  <Override PartName="/xl/drawings/drawing80.xml" ContentType="application/vnd.openxmlformats-officedocument.drawing+xml"/>
  <Override PartName="/xl/drawings/drawing84.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6.xml" ContentType="application/vnd.openxmlformats-officedocument.drawing+xml"/>
  <Override PartName="/xl/drawings/drawing75.xml" ContentType="application/vnd.openxmlformats-officedocument.drawing+xml"/>
  <Override PartName="/xl/drawings/drawing74.xml" ContentType="application/vnd.openxmlformats-officedocument.drawing+xml"/>
  <Override PartName="/xl/drawings/drawing73.xml" ContentType="application/vnd.openxmlformats-officedocument.drawing+xml"/>
  <Override PartName="/xl/drawings/drawing36.xml" ContentType="application/vnd.openxmlformats-officedocument.drawing+xml"/>
  <Override PartName="/xl/worksheets/sheet1.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drawings/drawing27.xml" ContentType="application/vnd.openxmlformats-officedocument.drawing+xml"/>
  <Override PartName="/xl/worksheets/sheet89.xml" ContentType="application/vnd.openxmlformats-officedocument.spreadsheetml.worksheet+xml"/>
  <Override PartName="/xl/drawings/drawing28.xml" ContentType="application/vnd.openxmlformats-officedocument.drawing+xml"/>
  <Override PartName="/xl/worksheets/sheet79.xml" ContentType="application/vnd.openxmlformats-officedocument.spreadsheetml.worksheet+xml"/>
  <Override PartName="/xl/worksheets/sheet78.xml" ContentType="application/vnd.openxmlformats-officedocument.spreadsheetml.worksheet+xml"/>
  <Override PartName="/xl/drawings/drawing8.xml" ContentType="application/vnd.openxmlformats-officedocument.drawing+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93.xml" ContentType="application/vnd.openxmlformats-officedocument.spreadsheetml.worksheet+xml"/>
  <Override PartName="/xl/drawings/drawing16.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4.xml" ContentType="application/vnd.openxmlformats-officedocument.drawing+xml"/>
  <Override PartName="/xl/drawings/drawing4.xml" ContentType="application/vnd.openxmlformats-officedocument.drawing+xml"/>
  <Override PartName="/xl/drawings/drawing12.xml" ContentType="application/vnd.openxmlformats-officedocument.drawing+xml"/>
  <Override PartName="/xl/drawings/drawing5.xml" ContentType="application/vnd.openxmlformats-officedocument.drawing+xml"/>
  <Override PartName="/xl/drawings/drawing2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6.xml" ContentType="application/vnd.openxmlformats-officedocument.drawing+xml"/>
  <Override PartName="/xl/drawings/drawing22.xml" ContentType="application/vnd.openxmlformats-officedocument.drawing+xml"/>
  <Override PartName="/xl/drawings/drawing3.xml" ContentType="application/vnd.openxmlformats-officedocument.drawing+xml"/>
  <Override PartName="/xl/drawings/drawing2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4.xml" ContentType="application/vnd.openxmlformats-officedocument.drawing+xml"/>
  <Override PartName="/xl/drawings/drawing2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5.xml" ContentType="application/vnd.openxmlformats-officedocument.drawing+xml"/>
  <Override PartName="/xl/drawings/drawing20.xml" ContentType="application/vnd.openxmlformats-officedocument.drawing+xml"/>
  <Override PartName="/xl/drawings/drawing1.xml" ContentType="application/vnd.openxmlformats-officedocument.drawing+xml"/>
  <Override PartName="/xl/drawings/drawing13.xml" ContentType="application/vnd.openxmlformats-officedocument.drawing+xml"/>
  <Override PartName="/xl/worksheets/sheet65.xml" ContentType="application/vnd.openxmlformats-officedocument.spreadsheetml.worksheet+xml"/>
  <Override PartName="/xl/drawings/drawing29.xml" ContentType="application/vnd.openxmlformats-officedocument.drawing+xml"/>
  <Override PartName="/xl/worksheets/sheet63.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6.xml" ContentType="application/vnd.openxmlformats-officedocument.spreadsheetml.worksheet+xml"/>
  <Override PartName="/xl/drawings/drawing33.xml" ContentType="application/vnd.openxmlformats-officedocument.drawing+xml"/>
  <Override PartName="/xl/worksheets/sheet27.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64.xml" ContentType="application/vnd.openxmlformats-officedocument.spreadsheetml.worksheet+xml"/>
  <Override PartName="/xl/worksheets/sheet28.xml" ContentType="application/vnd.openxmlformats-officedocument.spreadsheetml.worksheet+xml"/>
  <Override PartName="/xl/worksheets/sheet19.xml" ContentType="application/vnd.openxmlformats-officedocument.spreadsheetml.worksheet+xml"/>
  <Override PartName="/xl/drawings/drawing34.xml" ContentType="application/vnd.openxmlformats-officedocument.drawing+xml"/>
  <Override PartName="/xl/worksheets/sheet18.xml" ContentType="application/vnd.openxmlformats-officedocument.spreadsheetml.worksheet+xml"/>
  <Override PartName="/xl/worksheets/sheet9.xml" ContentType="application/vnd.openxmlformats-officedocument.spreadsheetml.worksheet+xml"/>
  <Override PartName="/xl/drawings/drawing35.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33.xml" ContentType="application/vnd.openxmlformats-officedocument.spreadsheetml.worksheet+xml"/>
  <Override PartName="/xl/worksheets/sheet29.xml" ContentType="application/vnd.openxmlformats-officedocument.spreadsheetml.worksheet+xml"/>
  <Override PartName="/xl/drawings/drawing32.xml" ContentType="application/vnd.openxmlformats-officedocument.drawing+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34.xml" ContentType="application/vnd.openxmlformats-officedocument.spreadsheetml.worksheet+xml"/>
  <Override PartName="/xl/worksheets/sheet49.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drawings/drawing30.xml" ContentType="application/vnd.openxmlformats-officedocument.drawing+xml"/>
  <Override PartName="/xl/worksheets/sheet59.xml" ContentType="application/vnd.openxmlformats-officedocument.spreadsheetml.worksheet+xml"/>
  <Override PartName="/xl/worksheets/sheet58.xml" ContentType="application/vnd.openxmlformats-officedocument.spreadsheetml.worksheet+xml"/>
  <Override PartName="/xl/worksheets/sheet48.xml" ContentType="application/vnd.openxmlformats-officedocument.spreadsheetml.worksheet+xml"/>
  <Override PartName="/xl/worksheets/sheet50.xml" ContentType="application/vnd.openxmlformats-officedocument.spreadsheetml.worksheet+xml"/>
  <Override PartName="/xl/worksheets/sheet35.xml" ContentType="application/vnd.openxmlformats-officedocument.spreadsheetml.worksheet+xml"/>
  <Override PartName="/xl/worksheets/sheet47.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6.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5.xml" ContentType="application/vnd.openxmlformats-officedocument.spreadsheetml.worksheet+xml"/>
  <Override PartName="/xl/drawings/drawing31.xml" ContentType="application/vnd.openxmlformats-officedocument.drawing+xml"/>
  <Override PartName="/xl/comments4.xml" ContentType="application/vnd.openxmlformats-officedocument.spreadsheetml.comments+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fileSharing readOnlyRecommended="1"/>
  <workbookPr autoCompressPictures="0" defaultThemeVersion="124226"/>
  <bookViews>
    <workbookView xWindow="-1875" yWindow="2940" windowWidth="15480" windowHeight="4545" tabRatio="933" activeTab="2"/>
  </bookViews>
  <sheets>
    <sheet name="CE Segment Definitions" sheetId="3" r:id="rId1"/>
    <sheet name="Portfl--formatted for outline " sheetId="4" r:id="rId2"/>
    <sheet name="1) Portfolio View" sheetId="5" r:id="rId3"/>
    <sheet name="2) Sector View Electric" sheetId="6" r:id="rId4"/>
    <sheet name="3) Sector View Gas" sheetId="7" r:id="rId5"/>
    <sheet name="4) Detail_REM Sch 201 Elec " sheetId="8" r:id="rId6"/>
    <sheet name="5) Detail_REM Sch 214 Elec" sheetId="9" r:id="rId7"/>
    <sheet name="5a) Detail_214HomePrint Elec" sheetId="10" r:id="rId8"/>
    <sheet name="5b) Detail_214WaterHeat Elec" sheetId="11" r:id="rId9"/>
    <sheet name="5c) Detail_214Wx Elec" sheetId="12" r:id="rId10"/>
    <sheet name="5d) Detail_214SpcHeat Elec" sheetId="13" r:id="rId11"/>
    <sheet name="5e) Detail_214RefRepl Elec" sheetId="14" r:id="rId12"/>
    <sheet name="5f) Detail_214HmAppplc Elec" sheetId="15" r:id="rId13"/>
    <sheet name="5g) Detail_214ShwrHead  Elec" sheetId="16" r:id="rId14"/>
    <sheet name="5h) Detail_214Lighting Elec" sheetId="17" r:id="rId15"/>
    <sheet name="5i) Detail_214MHDS Elec" sheetId="18" r:id="rId16"/>
    <sheet name="5j) Detail_214ARRAWx Elec" sheetId="19" r:id="rId17"/>
    <sheet name="5k) Detail_REM Sch214 HER Elec" sheetId="20" r:id="rId18"/>
    <sheet name="6) Detail_REM Sch 215 Elec" sheetId="21" r:id="rId19"/>
    <sheet name="6a) Detail_215NCMfgHome Elec" sheetId="22" r:id="rId20"/>
    <sheet name="7) Detail_REM Sch 216 Elec" sheetId="23" r:id="rId21"/>
    <sheet name="8) Detail_REM Sch 217 Elec" sheetId="24" r:id="rId22"/>
    <sheet name="9) Detail_REM Sch 218 Elec" sheetId="25" r:id="rId23"/>
    <sheet name="10) Detail_REM Sch 249 Elec" sheetId="26" r:id="rId24"/>
    <sheet name="11) Detail_REM Sch 201 Gas" sheetId="27" r:id="rId25"/>
    <sheet name="12) Detail_REM Sch 214 Gas" sheetId="28" r:id="rId26"/>
    <sheet name="12a) Detail_214HmPrint Gas" sheetId="29" r:id="rId27"/>
    <sheet name="12b) Detail_214WtrHeat Gas" sheetId="30" r:id="rId28"/>
    <sheet name="12c) Detail_214Wx Gas" sheetId="31" r:id="rId29"/>
    <sheet name="12d) Detail_214SpHeat Gas" sheetId="32" r:id="rId30"/>
    <sheet name="12e) Detail_214ShwrHead Gas" sheetId="33" r:id="rId31"/>
    <sheet name="12f) Detail_214HmApplSvgs Gas" sheetId="34" r:id="rId32"/>
    <sheet name="12g) Detail_214MHDS Gas" sheetId="35" r:id="rId33"/>
    <sheet name="12h) Detail_214WebTstat Gas" sheetId="36" r:id="rId34"/>
    <sheet name="12i) Detail_REM 214_HER Gas" sheetId="37" r:id="rId35"/>
    <sheet name="13) Detail_REM Sch 215 Gas" sheetId="38" r:id="rId36"/>
    <sheet name="13a) Detail_215MfgHomes Gas" sheetId="39" r:id="rId37"/>
    <sheet name="14) Detail_REM Sch 217 Gas" sheetId="40" r:id="rId38"/>
    <sheet name="15) Detail_REM Sch 218 Gas" sheetId="41" r:id="rId39"/>
    <sheet name="16) Detail_REM Sch 249 Gas" sheetId="42" r:id="rId40"/>
    <sheet name="17) Detail_BEM Sch 250 Elec" sheetId="43" r:id="rId41"/>
    <sheet name="18) Detail_BEM Sch 251 Elec" sheetId="44" r:id="rId42"/>
    <sheet name="19) Detail_BEM Sch 253 Elec" sheetId="45" r:id="rId43"/>
    <sheet name="20) Detail_BEM Sch 255 Elec" sheetId="46" r:id="rId44"/>
    <sheet name="21) Detail_BEM Sch 257 Elec" sheetId="47" r:id="rId45"/>
    <sheet name="22) Detail_BEM Sch 258 Elec" sheetId="48" r:id="rId46"/>
    <sheet name="23) Detail_BEM Sch 261 Elec" sheetId="49" r:id="rId47"/>
    <sheet name="24) Detail_BEM Sch 262 Elec" sheetId="50" r:id="rId48"/>
    <sheet name="25) Detail_BEM Sch 250 Gas" sheetId="51" r:id="rId49"/>
    <sheet name="26) Detail_BEM Sch 253 Gas" sheetId="52" r:id="rId50"/>
    <sheet name="27) Detail_BEM Sch 251 Gas" sheetId="53" r:id="rId51"/>
    <sheet name="28) Detail_BEM Sch 261 Gas" sheetId="54" r:id="rId52"/>
    <sheet name="29) Detail_BEM Sch 262 Gas" sheetId="55" r:id="rId53"/>
    <sheet name="30) Detail_NEEA elec" sheetId="56" r:id="rId54"/>
    <sheet name="31) Detail_T&amp;D elec" sheetId="57" r:id="rId55"/>
    <sheet name="32) Detail_PS_Cust Engage Elec" sheetId="58" r:id="rId56"/>
    <sheet name="32a) Detail_PSCE_EAs Elec" sheetId="59" r:id="rId57"/>
    <sheet name="32b) Detail_PSCE_Events Elec" sheetId="60" r:id="rId58"/>
    <sheet name="32c) Detail_PSCE_Broch Elec" sheetId="61" r:id="rId59"/>
    <sheet name="32d) Detail_PSCE_Edu Elec" sheetId="62" r:id="rId60"/>
    <sheet name="33) Detail_PS_Web Exp Elec" sheetId="63" r:id="rId61"/>
    <sheet name="33a) Detail_PSWE_On Exp Elec" sheetId="64" r:id="rId62"/>
    <sheet name="33b) Detail_PSWE_Mkt Int Elec" sheetId="65" r:id="rId63"/>
    <sheet name="34) Detail_PS_EE Comm Elec" sheetId="66" r:id="rId64"/>
    <sheet name="35) Detail_PS_ Trade Ally Elec" sheetId="67" r:id="rId65"/>
    <sheet name="36) Detail_PS_Mktg Resch Elec" sheetId="68" r:id="rId66"/>
    <sheet name="37) Detail_PS Cust Engage Gas" sheetId="69" r:id="rId67"/>
    <sheet name="37a) Detail_PSCE_EAs Gas" sheetId="70" r:id="rId68"/>
    <sheet name="37b) Detail_PSCE_Events Gas" sheetId="71" r:id="rId69"/>
    <sheet name="37c) Detail_PSCE_Broch Gas" sheetId="72" r:id="rId70"/>
    <sheet name="37d) Detail_PSCE_Edu Gas" sheetId="73" r:id="rId71"/>
    <sheet name="38) Detail_PS_Web Exp Gas" sheetId="74" r:id="rId72"/>
    <sheet name="38a) Detail_PSWE_On_Exp Gas" sheetId="75" r:id="rId73"/>
    <sheet name="38b) Detail_PSWE_Mkt Int Gas" sheetId="76" r:id="rId74"/>
    <sheet name="39) Detail_PS_EE Comm Gas" sheetId="77" r:id="rId75"/>
    <sheet name="40) Detail_PS_Trade Ally gas" sheetId="78" r:id="rId76"/>
    <sheet name="41) Detail_PS_Mktg Rsch gas" sheetId="79" r:id="rId77"/>
    <sheet name="42) Detail_R&amp;C_Supp Crv Elec" sheetId="80" r:id="rId78"/>
    <sheet name="43) Detail_R&amp;C_Strat Pln Elec" sheetId="81" r:id="rId79"/>
    <sheet name="44) Detail_R&amp;C_Eval Elec" sheetId="82" r:id="rId80"/>
    <sheet name="44a) Detail_R&amp;C_V-Team_Elec" sheetId="83" r:id="rId81"/>
    <sheet name="45) Detail_R&amp;C_Support Elec" sheetId="84" r:id="rId82"/>
    <sheet name="46) Detail_R&amp;C_Supp Crv gas" sheetId="85" r:id="rId83"/>
    <sheet name="47) Detail_R&amp;C_Strat Pln Gas" sheetId="86" r:id="rId84"/>
    <sheet name="48) Detail_R&amp;C_Eval Gas" sheetId="87" r:id="rId85"/>
    <sheet name="48a) Detail_R&amp;C_V-Team_Gas" sheetId="88" r:id="rId86"/>
    <sheet name="49) Detail_R&amp;C_Support Gas" sheetId="89" r:id="rId87"/>
    <sheet name="50) Details_Oth Elec_Net Mtr" sheetId="90" r:id="rId88"/>
    <sheet name="51) Details_Oth Elec_Renew Ed" sheetId="91" r:id="rId89"/>
    <sheet name="52) Details_Oth Elec_CI Load Cr" sheetId="92" r:id="rId90"/>
    <sheet name="53) Details_Oth Elec_Res DR" sheetId="93" r:id="rId91"/>
    <sheet name="54) BEM In-house savings" sheetId="94" r:id="rId92"/>
    <sheet name="55) BEM Contracted savings" sheetId="95" r:id="rId93"/>
  </sheets>
  <externalReferences>
    <externalReference r:id="rId94"/>
    <externalReference r:id="rId95"/>
    <externalReference r:id="rId96"/>
    <externalReference r:id="rId97"/>
    <externalReference r:id="rId98"/>
    <externalReference r:id="rId99"/>
  </externalReferences>
  <definedNames>
    <definedName name="luOrderNum">[1]luOrder!$A$1:$F$55</definedName>
    <definedName name="Z_074EB09C_6289_46D7_9513_012B68BCA7BF_.wvu.Rows" localSheetId="2" hidden="1">'1) Portfolio View'!$85:$86</definedName>
    <definedName name="Z_074EB09C_6289_46D7_9513_012B68BCA7BF_.wvu.Rows" localSheetId="3" hidden="1">'2) Sector View Electric'!$34:$34</definedName>
    <definedName name="Z_074EB09C_6289_46D7_9513_012B68BCA7BF_.wvu.Rows" localSheetId="21" hidden="1">'8) Detail_REM Sch 217 Elec'!$109:$109</definedName>
    <definedName name="Z_074EB09C_6289_46D7_9513_012B68BCA7BF_.wvu.Rows" localSheetId="1" hidden="1">'Portfl--formatted for outline '!$103:$103,'Portfl--formatted for outline '!$105:$105</definedName>
    <definedName name="Z_AF9F1D33_B8C2_423F_86A1_47612B8F532C_.wvu.Rows" localSheetId="3" hidden="1">'2) Sector View Electric'!$34:$34</definedName>
  </definedNames>
  <calcPr calcId="125725"/>
  <customWorkbookViews>
    <customWorkbookView name="Andy Hemstreet - Personal View" guid="{074EB09C-6289-46D7-9513-012B68BCA7BF}" mergeInterval="0" changesSavedWin="1" personalView="1" maximized="1" xWindow="1" yWindow="1" windowWidth="1280" windowHeight="731" tabRatio="933" activeSheetId="2"/>
    <customWorkbookView name="JoEllen Vasquez - Personal View" guid="{AF9F1D33-B8C2-423F-86A1-47612B8F532C}" mergeInterval="0" personalView="1" maximized="1" xWindow="1" yWindow="1" windowWidth="936" windowHeight="534" tabRatio="907" activeSheetId="21"/>
  </customWorkbookViews>
</workbook>
</file>

<file path=xl/calcChain.xml><?xml version="1.0" encoding="utf-8"?>
<calcChain xmlns="http://schemas.openxmlformats.org/spreadsheetml/2006/main">
  <c r="J54" i="5"/>
  <c r="J53"/>
  <c r="J52"/>
  <c r="J51"/>
  <c r="J50"/>
  <c r="H54"/>
  <c r="H53"/>
  <c r="H52"/>
  <c r="H51"/>
  <c r="H50"/>
  <c r="K83"/>
  <c r="D20" i="43"/>
  <c r="D21" s="1"/>
  <c r="G67" i="57"/>
  <c r="Q13" i="39"/>
  <c r="C69" i="56"/>
  <c r="C96"/>
  <c r="C73"/>
  <c r="C95"/>
  <c r="E93" s="1"/>
  <c r="D44" i="48"/>
  <c r="K100" i="4"/>
  <c r="G16"/>
  <c r="H16"/>
  <c r="K16"/>
  <c r="D43" i="49"/>
  <c r="M9" i="57"/>
  <c r="M8"/>
  <c r="L8"/>
  <c r="K9"/>
  <c r="J8"/>
  <c r="I8"/>
  <c r="H8"/>
  <c r="G8"/>
  <c r="F8"/>
  <c r="E8"/>
  <c r="C8"/>
  <c r="E35" i="79"/>
  <c r="E34" i="68"/>
  <c r="E34" i="82"/>
  <c r="E34" i="81"/>
  <c r="L95" i="8"/>
  <c r="E35" i="86"/>
  <c r="S26" i="6"/>
  <c r="J70" i="4"/>
  <c r="H73"/>
  <c r="K51" i="5"/>
  <c r="K70" i="4" s="1"/>
  <c r="L63" i="25"/>
  <c r="H110" i="24"/>
  <c r="O13"/>
  <c r="R13" s="1"/>
  <c r="O14"/>
  <c r="R14" s="1"/>
  <c r="O15"/>
  <c r="R15" s="1"/>
  <c r="O16"/>
  <c r="R16" s="1"/>
  <c r="O17"/>
  <c r="R17" s="1"/>
  <c r="O18"/>
  <c r="R18" s="1"/>
  <c r="O19"/>
  <c r="R19" s="1"/>
  <c r="O20"/>
  <c r="R20" s="1"/>
  <c r="O21"/>
  <c r="R21" s="1"/>
  <c r="O22"/>
  <c r="R22" s="1"/>
  <c r="O23"/>
  <c r="R23" s="1"/>
  <c r="O24"/>
  <c r="R24" s="1"/>
  <c r="O25"/>
  <c r="R25" s="1"/>
  <c r="O26"/>
  <c r="R26" s="1"/>
  <c r="O27"/>
  <c r="R27" s="1"/>
  <c r="O28"/>
  <c r="R28" s="1"/>
  <c r="O29"/>
  <c r="R29" s="1"/>
  <c r="O30"/>
  <c r="R30" s="1"/>
  <c r="O31"/>
  <c r="R31" s="1"/>
  <c r="O32"/>
  <c r="R32" s="1"/>
  <c r="O33"/>
  <c r="R33" s="1"/>
  <c r="O34"/>
  <c r="R34" s="1"/>
  <c r="O35"/>
  <c r="R35" s="1"/>
  <c r="O36"/>
  <c r="R36" s="1"/>
  <c r="O37"/>
  <c r="R37" s="1"/>
  <c r="O38"/>
  <c r="R38" s="1"/>
  <c r="O39"/>
  <c r="R39" s="1"/>
  <c r="O40"/>
  <c r="R40" s="1"/>
  <c r="O41"/>
  <c r="R41" s="1"/>
  <c r="O42"/>
  <c r="R42" s="1"/>
  <c r="O43"/>
  <c r="R43" s="1"/>
  <c r="O44"/>
  <c r="R44" s="1"/>
  <c r="O45"/>
  <c r="R45" s="1"/>
  <c r="O46"/>
  <c r="R46" s="1"/>
  <c r="O47"/>
  <c r="R47" s="1"/>
  <c r="O48"/>
  <c r="R48" s="1"/>
  <c r="O49"/>
  <c r="R49" s="1"/>
  <c r="O50"/>
  <c r="R50" s="1"/>
  <c r="O51"/>
  <c r="R51" s="1"/>
  <c r="O52"/>
  <c r="R52" s="1"/>
  <c r="O53"/>
  <c r="R53" s="1"/>
  <c r="O54"/>
  <c r="R54" s="1"/>
  <c r="O55"/>
  <c r="R55" s="1"/>
  <c r="O56"/>
  <c r="R56" s="1"/>
  <c r="O57"/>
  <c r="R57" s="1"/>
  <c r="O58"/>
  <c r="R58" s="1"/>
  <c r="Q108"/>
  <c r="D13"/>
  <c r="D24" s="1"/>
  <c r="E13"/>
  <c r="F13" s="1"/>
  <c r="D18"/>
  <c r="E18"/>
  <c r="D25"/>
  <c r="D28"/>
  <c r="E28"/>
  <c r="D33"/>
  <c r="E33"/>
  <c r="D38"/>
  <c r="E38"/>
  <c r="D43"/>
  <c r="E43"/>
  <c r="D48"/>
  <c r="E48"/>
  <c r="T63"/>
  <c r="U63"/>
  <c r="V63"/>
  <c r="T64"/>
  <c r="U64"/>
  <c r="V64" s="1"/>
  <c r="T65"/>
  <c r="U65"/>
  <c r="V65" s="1"/>
  <c r="T66"/>
  <c r="U66"/>
  <c r="T67"/>
  <c r="U67"/>
  <c r="V67" s="1"/>
  <c r="T68"/>
  <c r="U68"/>
  <c r="T69"/>
  <c r="U69"/>
  <c r="T70"/>
  <c r="U70"/>
  <c r="T71"/>
  <c r="U71"/>
  <c r="V71" s="1"/>
  <c r="T72"/>
  <c r="U72"/>
  <c r="T73"/>
  <c r="U73"/>
  <c r="T74"/>
  <c r="U74"/>
  <c r="T75"/>
  <c r="U75"/>
  <c r="T76"/>
  <c r="U76"/>
  <c r="T77"/>
  <c r="U77"/>
  <c r="T78"/>
  <c r="U78"/>
  <c r="T79"/>
  <c r="U79"/>
  <c r="V79"/>
  <c r="T80"/>
  <c r="U80"/>
  <c r="V80" s="1"/>
  <c r="T81"/>
  <c r="U81"/>
  <c r="V81" s="1"/>
  <c r="T82"/>
  <c r="U82"/>
  <c r="T83"/>
  <c r="U83"/>
  <c r="V83" s="1"/>
  <c r="T84"/>
  <c r="U84"/>
  <c r="T85"/>
  <c r="U85"/>
  <c r="T86"/>
  <c r="U86"/>
  <c r="T87"/>
  <c r="U87"/>
  <c r="V87" s="1"/>
  <c r="T88"/>
  <c r="U88"/>
  <c r="T89"/>
  <c r="U89"/>
  <c r="T90"/>
  <c r="U90"/>
  <c r="T91"/>
  <c r="U91"/>
  <c r="T92"/>
  <c r="U92"/>
  <c r="T93"/>
  <c r="U93"/>
  <c r="T94"/>
  <c r="U94"/>
  <c r="T95"/>
  <c r="U95"/>
  <c r="V95"/>
  <c r="T96"/>
  <c r="U96"/>
  <c r="V96" s="1"/>
  <c r="T97"/>
  <c r="U97"/>
  <c r="V97" s="1"/>
  <c r="T98"/>
  <c r="U98"/>
  <c r="T99"/>
  <c r="U99"/>
  <c r="V99" s="1"/>
  <c r="T100"/>
  <c r="U100"/>
  <c r="T101"/>
  <c r="U101"/>
  <c r="T102"/>
  <c r="U102"/>
  <c r="T103"/>
  <c r="U103"/>
  <c r="V103" s="1"/>
  <c r="T104"/>
  <c r="U104"/>
  <c r="T105"/>
  <c r="U105"/>
  <c r="T106"/>
  <c r="U106"/>
  <c r="T107"/>
  <c r="U107"/>
  <c r="T108"/>
  <c r="U108"/>
  <c r="R108"/>
  <c r="H109"/>
  <c r="G109"/>
  <c r="I57"/>
  <c r="L57"/>
  <c r="P57"/>
  <c r="Q57"/>
  <c r="R15" i="21"/>
  <c r="R16"/>
  <c r="R17"/>
  <c r="R18"/>
  <c r="R19"/>
  <c r="R20"/>
  <c r="R21"/>
  <c r="R22"/>
  <c r="R23"/>
  <c r="R24"/>
  <c r="R25"/>
  <c r="R26"/>
  <c r="R27"/>
  <c r="R28"/>
  <c r="R29"/>
  <c r="R30"/>
  <c r="R31"/>
  <c r="R32"/>
  <c r="R33"/>
  <c r="R34"/>
  <c r="R35"/>
  <c r="R36"/>
  <c r="R37"/>
  <c r="R38"/>
  <c r="R39"/>
  <c r="R40"/>
  <c r="R41"/>
  <c r="R42"/>
  <c r="R43"/>
  <c r="R44"/>
  <c r="R45"/>
  <c r="R46"/>
  <c r="R47"/>
  <c r="R48"/>
  <c r="R49"/>
  <c r="R50"/>
  <c r="R51"/>
  <c r="R52"/>
  <c r="R53"/>
  <c r="R14"/>
  <c r="R13"/>
  <c r="E24"/>
  <c r="N102" i="8"/>
  <c r="O7"/>
  <c r="P15" i="6"/>
  <c r="H8" i="5" s="1"/>
  <c r="P11" i="6"/>
  <c r="H9" i="5" s="1"/>
  <c r="P9" i="6"/>
  <c r="H10" i="5" s="1"/>
  <c r="P8" i="6"/>
  <c r="H11" i="5" s="1"/>
  <c r="P13" i="6"/>
  <c r="H12" i="5" s="1"/>
  <c r="P14" i="6"/>
  <c r="H13" i="5" s="1"/>
  <c r="P10" i="6"/>
  <c r="H14" i="5" s="1"/>
  <c r="P17" i="6"/>
  <c r="H15" i="5" s="1"/>
  <c r="P16" i="6"/>
  <c r="H17" i="5" s="1"/>
  <c r="P18" i="6"/>
  <c r="H18" i="5" s="1"/>
  <c r="E38" i="21"/>
  <c r="L7"/>
  <c r="U64"/>
  <c r="U76"/>
  <c r="U77"/>
  <c r="U80"/>
  <c r="U81"/>
  <c r="U105"/>
  <c r="E53"/>
  <c r="O7"/>
  <c r="Q7"/>
  <c r="P19" i="6"/>
  <c r="H19" i="5" s="1"/>
  <c r="P20" i="6"/>
  <c r="P21"/>
  <c r="H20" i="5" s="1"/>
  <c r="G7" i="24"/>
  <c r="H7"/>
  <c r="J7"/>
  <c r="I22" i="6" s="1"/>
  <c r="K7" i="24"/>
  <c r="L7"/>
  <c r="M7"/>
  <c r="N7"/>
  <c r="P7"/>
  <c r="U63" i="25"/>
  <c r="U64"/>
  <c r="U65"/>
  <c r="U66"/>
  <c r="U67"/>
  <c r="U68"/>
  <c r="U69"/>
  <c r="U70"/>
  <c r="U71"/>
  <c r="U72"/>
  <c r="U73"/>
  <c r="U74"/>
  <c r="U75"/>
  <c r="U76"/>
  <c r="U77"/>
  <c r="U78"/>
  <c r="U79"/>
  <c r="U80"/>
  <c r="U81"/>
  <c r="U82"/>
  <c r="U83"/>
  <c r="U105"/>
  <c r="E53"/>
  <c r="O7"/>
  <c r="Q7"/>
  <c r="P23" i="6"/>
  <c r="H22" i="5" s="1"/>
  <c r="P24" i="6"/>
  <c r="H23" i="5" s="1"/>
  <c r="P31" i="6"/>
  <c r="H28" i="5" s="1"/>
  <c r="P33" i="6"/>
  <c r="H30" i="5" s="1"/>
  <c r="P37" i="6"/>
  <c r="H33" i="5" s="1"/>
  <c r="P49" i="6"/>
  <c r="H44" i="5" s="1"/>
  <c r="P50" i="6"/>
  <c r="H45" i="5" s="1"/>
  <c r="P51" i="6"/>
  <c r="H46" i="5" s="1"/>
  <c r="P52" i="6"/>
  <c r="H47" i="5" s="1"/>
  <c r="P55" i="6"/>
  <c r="H55" i="5" s="1"/>
  <c r="P56" i="6"/>
  <c r="H56" i="5" s="1"/>
  <c r="P57" i="6"/>
  <c r="H57" i="5" s="1"/>
  <c r="P64" i="6"/>
  <c r="H62" i="5" s="1"/>
  <c r="P68" i="6"/>
  <c r="H66" i="5" s="1"/>
  <c r="P74" i="6"/>
  <c r="H72" i="5" s="1"/>
  <c r="P75" i="6"/>
  <c r="H73" i="5" s="1"/>
  <c r="P76" i="6"/>
  <c r="H74" i="5" s="1"/>
  <c r="P77" i="6"/>
  <c r="H75" i="5" s="1"/>
  <c r="Q7" i="7"/>
  <c r="I6" i="5" s="1"/>
  <c r="Q13" i="7"/>
  <c r="I9" i="5" s="1"/>
  <c r="Q15" i="7"/>
  <c r="Q15" i="33"/>
  <c r="Q18"/>
  <c r="Q19"/>
  <c r="Q55"/>
  <c r="R7"/>
  <c r="Q14" i="7"/>
  <c r="Q10"/>
  <c r="Q16"/>
  <c r="I16" i="5" s="1"/>
  <c r="I16" i="4" s="1"/>
  <c r="Q17" i="7"/>
  <c r="I18" i="5" s="1"/>
  <c r="Q19" i="7"/>
  <c r="Q20"/>
  <c r="Q13" i="41"/>
  <c r="Q14"/>
  <c r="Q15"/>
  <c r="Q16"/>
  <c r="Q17"/>
  <c r="Q18"/>
  <c r="Q19"/>
  <c r="Q20"/>
  <c r="Q21"/>
  <c r="Q22"/>
  <c r="Q55"/>
  <c r="R7"/>
  <c r="Q21" i="7"/>
  <c r="Q29"/>
  <c r="I27" i="5" s="1"/>
  <c r="Q30" i="7"/>
  <c r="Q31"/>
  <c r="I29" i="5" s="1"/>
  <c r="I29" i="4" s="1"/>
  <c r="Q33" i="7"/>
  <c r="P13"/>
  <c r="J9" i="5" s="1"/>
  <c r="P15" i="7"/>
  <c r="J12" i="5" s="1"/>
  <c r="J13" i="4" s="1"/>
  <c r="P14" i="7"/>
  <c r="P10"/>
  <c r="P16"/>
  <c r="P17"/>
  <c r="P19"/>
  <c r="P20"/>
  <c r="E28" i="41"/>
  <c r="J7"/>
  <c r="E38"/>
  <c r="L7"/>
  <c r="E43"/>
  <c r="M7"/>
  <c r="E48"/>
  <c r="N7"/>
  <c r="U63"/>
  <c r="U64"/>
  <c r="U65"/>
  <c r="U66"/>
  <c r="U67"/>
  <c r="U68"/>
  <c r="U69"/>
  <c r="U70"/>
  <c r="U71"/>
  <c r="U72"/>
  <c r="U105"/>
  <c r="E53"/>
  <c r="O7"/>
  <c r="Q7"/>
  <c r="P21" i="7"/>
  <c r="J22" i="5" s="1"/>
  <c r="P29" i="7"/>
  <c r="J27" i="5" s="1"/>
  <c r="P30" i="7"/>
  <c r="P32"/>
  <c r="J32" i="5" s="1"/>
  <c r="P33" i="7"/>
  <c r="J33" i="5" s="1"/>
  <c r="P40" i="7"/>
  <c r="J44" i="5" s="1"/>
  <c r="P41" i="7"/>
  <c r="J45" i="5" s="1"/>
  <c r="P42" i="7"/>
  <c r="P43"/>
  <c r="J47" i="5" s="1"/>
  <c r="P46" i="7"/>
  <c r="P48"/>
  <c r="J57" i="5" s="1"/>
  <c r="P55" i="7"/>
  <c r="J62" i="5" s="1"/>
  <c r="P58" i="7"/>
  <c r="J65" i="5" s="1"/>
  <c r="P59" i="7"/>
  <c r="Q13" i="8"/>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R7"/>
  <c r="Q7" i="6"/>
  <c r="G6" i="5" s="1"/>
  <c r="Q15" i="6"/>
  <c r="G8" i="5" s="1"/>
  <c r="Q11" i="6"/>
  <c r="Q9"/>
  <c r="Q8"/>
  <c r="Q13"/>
  <c r="Q14"/>
  <c r="Q10"/>
  <c r="G14" i="5" s="1"/>
  <c r="Q17" i="6"/>
  <c r="G15" i="5" s="1"/>
  <c r="Q16" i="6"/>
  <c r="Q18"/>
  <c r="Q14" i="21"/>
  <c r="Q26"/>
  <c r="Q27"/>
  <c r="Q30"/>
  <c r="Q31"/>
  <c r="Q54"/>
  <c r="R7"/>
  <c r="Q19" i="6"/>
  <c r="Q20"/>
  <c r="Q21"/>
  <c r="Q13" i="24"/>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8"/>
  <c r="Q13" i="25"/>
  <c r="Q14"/>
  <c r="Q15"/>
  <c r="Q16"/>
  <c r="Q17"/>
  <c r="Q18"/>
  <c r="Q19"/>
  <c r="Q20"/>
  <c r="Q21"/>
  <c r="Q22"/>
  <c r="Q23"/>
  <c r="Q24"/>
  <c r="Q25"/>
  <c r="Q26"/>
  <c r="Q27"/>
  <c r="Q28"/>
  <c r="Q29"/>
  <c r="Q30"/>
  <c r="Q31"/>
  <c r="Q32"/>
  <c r="Q33"/>
  <c r="Q55"/>
  <c r="R7"/>
  <c r="Q23" i="6"/>
  <c r="Q24"/>
  <c r="G23" i="5" s="1"/>
  <c r="G23" i="4" s="1"/>
  <c r="Q31" i="6"/>
  <c r="Q32"/>
  <c r="Q33"/>
  <c r="Q35"/>
  <c r="Q37"/>
  <c r="Q43"/>
  <c r="G37" i="5" s="1"/>
  <c r="Q44" i="6"/>
  <c r="G50"/>
  <c r="H50"/>
  <c r="I50"/>
  <c r="J50"/>
  <c r="K50"/>
  <c r="L50"/>
  <c r="M50"/>
  <c r="N50"/>
  <c r="O50"/>
  <c r="F50"/>
  <c r="G11" i="89"/>
  <c r="E34" i="84"/>
  <c r="E25" i="73"/>
  <c r="E24"/>
  <c r="E25" i="60"/>
  <c r="E26"/>
  <c r="E26" i="71"/>
  <c r="E25"/>
  <c r="M63" i="13"/>
  <c r="O63"/>
  <c r="E55"/>
  <c r="Q8" i="7"/>
  <c r="Q9"/>
  <c r="Q22"/>
  <c r="Q32"/>
  <c r="P8"/>
  <c r="P9"/>
  <c r="P22"/>
  <c r="E14" i="71"/>
  <c r="G7"/>
  <c r="E24"/>
  <c r="I7"/>
  <c r="E29"/>
  <c r="J7"/>
  <c r="Q7"/>
  <c r="E13" i="73"/>
  <c r="G7"/>
  <c r="E23"/>
  <c r="I7"/>
  <c r="E43"/>
  <c r="M7"/>
  <c r="Q7"/>
  <c r="P45" i="7"/>
  <c r="L11" i="78"/>
  <c r="N11"/>
  <c r="E11" i="89"/>
  <c r="N11"/>
  <c r="O7" i="7"/>
  <c r="O8"/>
  <c r="O9"/>
  <c r="O10"/>
  <c r="O11"/>
  <c r="O13"/>
  <c r="O14"/>
  <c r="O15"/>
  <c r="O16"/>
  <c r="O17"/>
  <c r="O18"/>
  <c r="O19"/>
  <c r="O20"/>
  <c r="O21"/>
  <c r="O22"/>
  <c r="O34"/>
  <c r="O40"/>
  <c r="O41"/>
  <c r="O42"/>
  <c r="O43"/>
  <c r="O60"/>
  <c r="O62" s="1"/>
  <c r="N8"/>
  <c r="N9"/>
  <c r="N10"/>
  <c r="N13"/>
  <c r="N14"/>
  <c r="N15"/>
  <c r="N16"/>
  <c r="N17"/>
  <c r="N19"/>
  <c r="N20"/>
  <c r="N21"/>
  <c r="N22"/>
  <c r="N29"/>
  <c r="N30"/>
  <c r="N32"/>
  <c r="N33"/>
  <c r="N40"/>
  <c r="N41"/>
  <c r="N42"/>
  <c r="N43"/>
  <c r="N45"/>
  <c r="N46"/>
  <c r="N47"/>
  <c r="N48"/>
  <c r="N49"/>
  <c r="N55"/>
  <c r="N56"/>
  <c r="N57"/>
  <c r="N58"/>
  <c r="N59"/>
  <c r="M8"/>
  <c r="M9"/>
  <c r="M10"/>
  <c r="M13"/>
  <c r="M14"/>
  <c r="M15"/>
  <c r="M16"/>
  <c r="M17"/>
  <c r="M18"/>
  <c r="M19"/>
  <c r="M20"/>
  <c r="M21"/>
  <c r="M22"/>
  <c r="M29"/>
  <c r="M30"/>
  <c r="M31"/>
  <c r="M32"/>
  <c r="M33"/>
  <c r="M40"/>
  <c r="M41"/>
  <c r="M42"/>
  <c r="M43"/>
  <c r="M45"/>
  <c r="M46"/>
  <c r="M47"/>
  <c r="M48"/>
  <c r="M49"/>
  <c r="M55"/>
  <c r="M56"/>
  <c r="M57"/>
  <c r="M58"/>
  <c r="M59"/>
  <c r="L7"/>
  <c r="L8"/>
  <c r="L9"/>
  <c r="L10"/>
  <c r="L13"/>
  <c r="L14"/>
  <c r="L15"/>
  <c r="L16"/>
  <c r="L17"/>
  <c r="L18"/>
  <c r="L19"/>
  <c r="L20"/>
  <c r="L21"/>
  <c r="L22"/>
  <c r="L29"/>
  <c r="L30"/>
  <c r="L31"/>
  <c r="L32"/>
  <c r="L33"/>
  <c r="L40"/>
  <c r="L41"/>
  <c r="L42"/>
  <c r="L43"/>
  <c r="L45"/>
  <c r="L46"/>
  <c r="L48"/>
  <c r="L49"/>
  <c r="L55"/>
  <c r="L56"/>
  <c r="L57"/>
  <c r="L58"/>
  <c r="L59"/>
  <c r="K7"/>
  <c r="K8"/>
  <c r="K9"/>
  <c r="K10"/>
  <c r="K13"/>
  <c r="K14"/>
  <c r="K15"/>
  <c r="K16"/>
  <c r="K17"/>
  <c r="K18"/>
  <c r="K19"/>
  <c r="K20"/>
  <c r="K21"/>
  <c r="K22"/>
  <c r="K29"/>
  <c r="K30"/>
  <c r="K31"/>
  <c r="K32"/>
  <c r="K33"/>
  <c r="K40"/>
  <c r="K41"/>
  <c r="K42"/>
  <c r="K43"/>
  <c r="K45"/>
  <c r="K46"/>
  <c r="K47"/>
  <c r="K48"/>
  <c r="K55"/>
  <c r="K58"/>
  <c r="K59"/>
  <c r="J7"/>
  <c r="J8"/>
  <c r="J9"/>
  <c r="J10"/>
  <c r="J13"/>
  <c r="J14"/>
  <c r="J15"/>
  <c r="J16"/>
  <c r="J17"/>
  <c r="J19"/>
  <c r="J20"/>
  <c r="J21"/>
  <c r="J22"/>
  <c r="J29"/>
  <c r="J30"/>
  <c r="J31"/>
  <c r="J32"/>
  <c r="J33"/>
  <c r="J40"/>
  <c r="J41"/>
  <c r="J42"/>
  <c r="J43"/>
  <c r="J45"/>
  <c r="J46"/>
  <c r="J47"/>
  <c r="J48"/>
  <c r="J49"/>
  <c r="J55"/>
  <c r="J56"/>
  <c r="J57"/>
  <c r="J58"/>
  <c r="J59"/>
  <c r="I7"/>
  <c r="I8"/>
  <c r="I9"/>
  <c r="I10"/>
  <c r="I13"/>
  <c r="I14"/>
  <c r="I15"/>
  <c r="I16"/>
  <c r="I17"/>
  <c r="I19"/>
  <c r="I20"/>
  <c r="I21"/>
  <c r="I22"/>
  <c r="I29"/>
  <c r="I30"/>
  <c r="I31"/>
  <c r="I32"/>
  <c r="I33"/>
  <c r="I40"/>
  <c r="I41"/>
  <c r="I42"/>
  <c r="I43"/>
  <c r="I45"/>
  <c r="I46"/>
  <c r="I47"/>
  <c r="I48"/>
  <c r="I49"/>
  <c r="I55"/>
  <c r="I56"/>
  <c r="I57"/>
  <c r="I58"/>
  <c r="I59"/>
  <c r="H7"/>
  <c r="H8"/>
  <c r="H9"/>
  <c r="H10"/>
  <c r="H13"/>
  <c r="H14"/>
  <c r="H15"/>
  <c r="H16"/>
  <c r="H17"/>
  <c r="H19"/>
  <c r="H20"/>
  <c r="H21"/>
  <c r="H22"/>
  <c r="H29"/>
  <c r="H30"/>
  <c r="H31"/>
  <c r="H32"/>
  <c r="H33"/>
  <c r="H40"/>
  <c r="H41"/>
  <c r="H42"/>
  <c r="H43"/>
  <c r="H45"/>
  <c r="H46"/>
  <c r="H47"/>
  <c r="H48"/>
  <c r="H55"/>
  <c r="H58"/>
  <c r="H59"/>
  <c r="G7"/>
  <c r="G8"/>
  <c r="G9"/>
  <c r="G10"/>
  <c r="G13"/>
  <c r="G14"/>
  <c r="G15"/>
  <c r="G16"/>
  <c r="G17"/>
  <c r="G19"/>
  <c r="G20"/>
  <c r="G21"/>
  <c r="G22"/>
  <c r="G29"/>
  <c r="G30"/>
  <c r="G31"/>
  <c r="G32"/>
  <c r="G33"/>
  <c r="G40"/>
  <c r="G41"/>
  <c r="G42"/>
  <c r="G43"/>
  <c r="G45"/>
  <c r="G46"/>
  <c r="G47"/>
  <c r="G48"/>
  <c r="G49"/>
  <c r="G55"/>
  <c r="G56"/>
  <c r="G57"/>
  <c r="G58"/>
  <c r="G59"/>
  <c r="F7"/>
  <c r="F8"/>
  <c r="F9"/>
  <c r="F10"/>
  <c r="F13"/>
  <c r="F14"/>
  <c r="F15"/>
  <c r="F16"/>
  <c r="F17"/>
  <c r="F19"/>
  <c r="F20"/>
  <c r="F21"/>
  <c r="F22"/>
  <c r="F29"/>
  <c r="F30"/>
  <c r="F31"/>
  <c r="F32"/>
  <c r="F33"/>
  <c r="F40"/>
  <c r="F41"/>
  <c r="F42"/>
  <c r="F43"/>
  <c r="F45"/>
  <c r="F46"/>
  <c r="F47"/>
  <c r="F48"/>
  <c r="F55"/>
  <c r="F58"/>
  <c r="F59"/>
  <c r="O36"/>
  <c r="Q12" i="6"/>
  <c r="Q34"/>
  <c r="Q36"/>
  <c r="P12"/>
  <c r="P34"/>
  <c r="E14" i="60"/>
  <c r="G7"/>
  <c r="E24"/>
  <c r="I7"/>
  <c r="E29"/>
  <c r="J7"/>
  <c r="E39"/>
  <c r="L7"/>
  <c r="E45"/>
  <c r="M7"/>
  <c r="Q7"/>
  <c r="Q8"/>
  <c r="E13" i="62"/>
  <c r="G7"/>
  <c r="E24"/>
  <c r="E25"/>
  <c r="E23"/>
  <c r="I7"/>
  <c r="E43"/>
  <c r="M7"/>
  <c r="Q7"/>
  <c r="P54" i="6"/>
  <c r="L11" i="67"/>
  <c r="N11"/>
  <c r="E11" i="84"/>
  <c r="G11"/>
  <c r="I11"/>
  <c r="J11"/>
  <c r="N11"/>
  <c r="E12" i="92"/>
  <c r="G12"/>
  <c r="H12"/>
  <c r="I12"/>
  <c r="J12"/>
  <c r="K12"/>
  <c r="L12"/>
  <c r="N12"/>
  <c r="E12" i="93"/>
  <c r="G12"/>
  <c r="N12"/>
  <c r="P78" i="6"/>
  <c r="P80" s="1"/>
  <c r="O7"/>
  <c r="O8"/>
  <c r="O9"/>
  <c r="O10"/>
  <c r="O11"/>
  <c r="O12"/>
  <c r="O13"/>
  <c r="O14"/>
  <c r="O15"/>
  <c r="O16"/>
  <c r="O17"/>
  <c r="O18"/>
  <c r="O19"/>
  <c r="O20"/>
  <c r="O21"/>
  <c r="O22"/>
  <c r="O23"/>
  <c r="O24"/>
  <c r="O49"/>
  <c r="O51"/>
  <c r="O52"/>
  <c r="O38"/>
  <c r="O40" s="1"/>
  <c r="O45"/>
  <c r="O69"/>
  <c r="O71" s="1"/>
  <c r="O78"/>
  <c r="O80" s="1"/>
  <c r="N8"/>
  <c r="N9"/>
  <c r="N10"/>
  <c r="N11"/>
  <c r="N12"/>
  <c r="N13"/>
  <c r="N14"/>
  <c r="N15"/>
  <c r="N16"/>
  <c r="N17"/>
  <c r="N18"/>
  <c r="N19"/>
  <c r="N20"/>
  <c r="N21"/>
  <c r="N23"/>
  <c r="N24"/>
  <c r="N31"/>
  <c r="N33"/>
  <c r="N34"/>
  <c r="N35"/>
  <c r="N36"/>
  <c r="N37"/>
  <c r="N49"/>
  <c r="N51"/>
  <c r="N52"/>
  <c r="N54"/>
  <c r="N55"/>
  <c r="N56"/>
  <c r="N57"/>
  <c r="N58"/>
  <c r="N64"/>
  <c r="N65"/>
  <c r="N66"/>
  <c r="N67"/>
  <c r="N68"/>
  <c r="N74"/>
  <c r="N75"/>
  <c r="N76"/>
  <c r="N77"/>
  <c r="M8"/>
  <c r="M9"/>
  <c r="M10"/>
  <c r="M11"/>
  <c r="M12"/>
  <c r="M13"/>
  <c r="M14"/>
  <c r="M15"/>
  <c r="M16"/>
  <c r="M17"/>
  <c r="M18"/>
  <c r="M19"/>
  <c r="M20"/>
  <c r="M21"/>
  <c r="M22"/>
  <c r="M23"/>
  <c r="M24"/>
  <c r="M30"/>
  <c r="M31"/>
  <c r="M32"/>
  <c r="M33"/>
  <c r="M34"/>
  <c r="M35"/>
  <c r="M37"/>
  <c r="M43"/>
  <c r="M45" s="1"/>
  <c r="M49"/>
  <c r="M51"/>
  <c r="M52"/>
  <c r="M54"/>
  <c r="M55"/>
  <c r="M56"/>
  <c r="M57"/>
  <c r="M58"/>
  <c r="M64"/>
  <c r="M65"/>
  <c r="M66"/>
  <c r="M67"/>
  <c r="M68"/>
  <c r="M74"/>
  <c r="M75"/>
  <c r="M76"/>
  <c r="M77"/>
  <c r="L7"/>
  <c r="L8"/>
  <c r="L9"/>
  <c r="L10"/>
  <c r="L11"/>
  <c r="L12"/>
  <c r="L13"/>
  <c r="L14"/>
  <c r="L15"/>
  <c r="L16"/>
  <c r="L17"/>
  <c r="L18"/>
  <c r="L19"/>
  <c r="L20"/>
  <c r="L21"/>
  <c r="L22"/>
  <c r="L23"/>
  <c r="L24"/>
  <c r="L30"/>
  <c r="L31"/>
  <c r="L32"/>
  <c r="L33"/>
  <c r="L34"/>
  <c r="L35"/>
  <c r="L37"/>
  <c r="L43"/>
  <c r="L45" s="1"/>
  <c r="L49"/>
  <c r="L51"/>
  <c r="L52"/>
  <c r="L54"/>
  <c r="L55"/>
  <c r="L56"/>
  <c r="L57"/>
  <c r="L58"/>
  <c r="L64"/>
  <c r="L65"/>
  <c r="L66"/>
  <c r="L67"/>
  <c r="L68"/>
  <c r="L74"/>
  <c r="L75"/>
  <c r="L76"/>
  <c r="L77"/>
  <c r="K7"/>
  <c r="K8"/>
  <c r="K9"/>
  <c r="K10"/>
  <c r="K11"/>
  <c r="K12"/>
  <c r="K13"/>
  <c r="K14"/>
  <c r="K15"/>
  <c r="K16"/>
  <c r="K17"/>
  <c r="K18"/>
  <c r="K19"/>
  <c r="K20"/>
  <c r="K21"/>
  <c r="K22"/>
  <c r="K23"/>
  <c r="K24"/>
  <c r="K30"/>
  <c r="K31"/>
  <c r="K32"/>
  <c r="K33"/>
  <c r="K34"/>
  <c r="K36"/>
  <c r="K37"/>
  <c r="K49"/>
  <c r="L8" i="60"/>
  <c r="K51" i="6"/>
  <c r="K52"/>
  <c r="K54"/>
  <c r="K55"/>
  <c r="K56"/>
  <c r="K57"/>
  <c r="K64"/>
  <c r="K68"/>
  <c r="K74"/>
  <c r="K75"/>
  <c r="K76"/>
  <c r="K77"/>
  <c r="J7"/>
  <c r="J8"/>
  <c r="J9"/>
  <c r="J10"/>
  <c r="J11"/>
  <c r="J12"/>
  <c r="J13"/>
  <c r="J14"/>
  <c r="J15"/>
  <c r="J16"/>
  <c r="J17"/>
  <c r="J18"/>
  <c r="J19"/>
  <c r="J20"/>
  <c r="J21"/>
  <c r="J22"/>
  <c r="J23"/>
  <c r="J24"/>
  <c r="J30"/>
  <c r="J31"/>
  <c r="J32"/>
  <c r="J33"/>
  <c r="J34"/>
  <c r="J35"/>
  <c r="J36"/>
  <c r="J37"/>
  <c r="J43"/>
  <c r="J45" s="1"/>
  <c r="J49"/>
  <c r="J51"/>
  <c r="J52"/>
  <c r="J54"/>
  <c r="J55"/>
  <c r="J56"/>
  <c r="J57"/>
  <c r="J58"/>
  <c r="J64"/>
  <c r="J65"/>
  <c r="J66"/>
  <c r="J67"/>
  <c r="J68"/>
  <c r="J74"/>
  <c r="J75"/>
  <c r="J76"/>
  <c r="J77"/>
  <c r="I7"/>
  <c r="I8"/>
  <c r="I9"/>
  <c r="I10"/>
  <c r="I11"/>
  <c r="I12"/>
  <c r="I13"/>
  <c r="I14"/>
  <c r="I15"/>
  <c r="I16"/>
  <c r="I17"/>
  <c r="I18"/>
  <c r="I19"/>
  <c r="I20"/>
  <c r="I21"/>
  <c r="I23"/>
  <c r="I24"/>
  <c r="I31"/>
  <c r="I32"/>
  <c r="I33"/>
  <c r="I34"/>
  <c r="I35"/>
  <c r="I36"/>
  <c r="I37"/>
  <c r="I43"/>
  <c r="I45" s="1"/>
  <c r="I49"/>
  <c r="J8" i="60"/>
  <c r="I51" i="6"/>
  <c r="I52"/>
  <c r="I54"/>
  <c r="I55"/>
  <c r="I56"/>
  <c r="I57"/>
  <c r="I58"/>
  <c r="I64"/>
  <c r="I65"/>
  <c r="I66"/>
  <c r="I67"/>
  <c r="I68"/>
  <c r="I74"/>
  <c r="I75"/>
  <c r="I76"/>
  <c r="I77"/>
  <c r="H7"/>
  <c r="H8"/>
  <c r="H9"/>
  <c r="H10"/>
  <c r="H11"/>
  <c r="H12"/>
  <c r="H13"/>
  <c r="H14"/>
  <c r="H15"/>
  <c r="H16"/>
  <c r="H17"/>
  <c r="H18"/>
  <c r="H19"/>
  <c r="H20"/>
  <c r="H21"/>
  <c r="H23"/>
  <c r="H24"/>
  <c r="H31"/>
  <c r="H32"/>
  <c r="H33"/>
  <c r="H34"/>
  <c r="H35"/>
  <c r="H36"/>
  <c r="H37"/>
  <c r="H43"/>
  <c r="H45" s="1"/>
  <c r="H49"/>
  <c r="I8" i="60"/>
  <c r="H51" i="6"/>
  <c r="H52"/>
  <c r="H54"/>
  <c r="H55"/>
  <c r="H56"/>
  <c r="H57"/>
  <c r="H64"/>
  <c r="H67"/>
  <c r="H68"/>
  <c r="H74"/>
  <c r="H75"/>
  <c r="H76"/>
  <c r="H77"/>
  <c r="G7"/>
  <c r="G8"/>
  <c r="G9"/>
  <c r="G10"/>
  <c r="G11"/>
  <c r="G12"/>
  <c r="G13"/>
  <c r="G14"/>
  <c r="G15"/>
  <c r="G16"/>
  <c r="G17"/>
  <c r="G18"/>
  <c r="G19"/>
  <c r="G20"/>
  <c r="G21"/>
  <c r="G22"/>
  <c r="G23"/>
  <c r="G24"/>
  <c r="G30"/>
  <c r="G31"/>
  <c r="G32"/>
  <c r="G33"/>
  <c r="G34"/>
  <c r="G35"/>
  <c r="G36"/>
  <c r="G37"/>
  <c r="G43"/>
  <c r="G45" s="1"/>
  <c r="G49"/>
  <c r="G51"/>
  <c r="G52"/>
  <c r="G54"/>
  <c r="G55"/>
  <c r="G56"/>
  <c r="G57"/>
  <c r="G58"/>
  <c r="G64"/>
  <c r="G65"/>
  <c r="G66"/>
  <c r="G67"/>
  <c r="G68"/>
  <c r="G74"/>
  <c r="G75"/>
  <c r="G76"/>
  <c r="G77"/>
  <c r="F7"/>
  <c r="F8"/>
  <c r="F9"/>
  <c r="F10"/>
  <c r="F11"/>
  <c r="F12"/>
  <c r="F13"/>
  <c r="F14"/>
  <c r="F15"/>
  <c r="F16"/>
  <c r="F17"/>
  <c r="F18"/>
  <c r="F19"/>
  <c r="F20"/>
  <c r="F21"/>
  <c r="F22"/>
  <c r="F23"/>
  <c r="F24"/>
  <c r="F31"/>
  <c r="F32"/>
  <c r="F33"/>
  <c r="F34"/>
  <c r="F35"/>
  <c r="F36"/>
  <c r="F37"/>
  <c r="F43"/>
  <c r="F45" s="1"/>
  <c r="F49"/>
  <c r="F51"/>
  <c r="F52"/>
  <c r="F54"/>
  <c r="F55"/>
  <c r="F56"/>
  <c r="F57"/>
  <c r="F64"/>
  <c r="F67"/>
  <c r="F68"/>
  <c r="F74"/>
  <c r="F75"/>
  <c r="F76"/>
  <c r="F77"/>
  <c r="E34" i="88"/>
  <c r="G11" i="83"/>
  <c r="I11"/>
  <c r="J11"/>
  <c r="K67" i="6" s="1"/>
  <c r="K11" i="83"/>
  <c r="L11"/>
  <c r="E11"/>
  <c r="N11"/>
  <c r="P67" i="6" s="1"/>
  <c r="H65" i="5" s="1"/>
  <c r="E57" i="13"/>
  <c r="Q13" i="18"/>
  <c r="E55" i="16"/>
  <c r="E57"/>
  <c r="M8" i="55"/>
  <c r="M8" i="52"/>
  <c r="M8" i="53"/>
  <c r="M8" i="51"/>
  <c r="M8" i="50"/>
  <c r="M8" i="48"/>
  <c r="M8" i="46"/>
  <c r="M8" i="45"/>
  <c r="M8" i="44"/>
  <c r="D40" i="50"/>
  <c r="G52" i="44"/>
  <c r="G76" i="43"/>
  <c r="M8" s="1"/>
  <c r="E68"/>
  <c r="E69"/>
  <c r="E70"/>
  <c r="E71"/>
  <c r="E72"/>
  <c r="E73"/>
  <c r="E74"/>
  <c r="E75"/>
  <c r="E67"/>
  <c r="E76"/>
  <c r="D76"/>
  <c r="D36" i="45"/>
  <c r="L22" i="41"/>
  <c r="L21"/>
  <c r="L20"/>
  <c r="L19"/>
  <c r="L18"/>
  <c r="L17"/>
  <c r="L16"/>
  <c r="L15"/>
  <c r="L14"/>
  <c r="L13"/>
  <c r="I22"/>
  <c r="I21"/>
  <c r="I20"/>
  <c r="I19"/>
  <c r="I18"/>
  <c r="I17"/>
  <c r="I16"/>
  <c r="I15"/>
  <c r="I14"/>
  <c r="I13"/>
  <c r="U104"/>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R77"/>
  <c r="Q77"/>
  <c r="U76"/>
  <c r="T76"/>
  <c r="R76"/>
  <c r="Q76"/>
  <c r="U75"/>
  <c r="T75"/>
  <c r="R75"/>
  <c r="Q75"/>
  <c r="U74"/>
  <c r="T74"/>
  <c r="R74"/>
  <c r="Q74"/>
  <c r="U73"/>
  <c r="T73"/>
  <c r="R73"/>
  <c r="Q73"/>
  <c r="T72"/>
  <c r="T71"/>
  <c r="T70"/>
  <c r="T69"/>
  <c r="T68"/>
  <c r="T67"/>
  <c r="T66"/>
  <c r="T65"/>
  <c r="T64"/>
  <c r="T63"/>
  <c r="U104" i="40"/>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U81"/>
  <c r="T81"/>
  <c r="U80"/>
  <c r="T80"/>
  <c r="U79"/>
  <c r="T79"/>
  <c r="U78"/>
  <c r="T78"/>
  <c r="U77"/>
  <c r="T77"/>
  <c r="U76"/>
  <c r="T76"/>
  <c r="U75"/>
  <c r="T75"/>
  <c r="U74"/>
  <c r="T74"/>
  <c r="U73"/>
  <c r="T73"/>
  <c r="U72"/>
  <c r="T72"/>
  <c r="U71"/>
  <c r="T71"/>
  <c r="U70"/>
  <c r="T70"/>
  <c r="U69"/>
  <c r="T69"/>
  <c r="U68"/>
  <c r="T68"/>
  <c r="U67"/>
  <c r="T67"/>
  <c r="U66"/>
  <c r="T66"/>
  <c r="U65"/>
  <c r="T65"/>
  <c r="U64"/>
  <c r="T64"/>
  <c r="U63"/>
  <c r="T63"/>
  <c r="U104" i="38"/>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R77"/>
  <c r="Q77"/>
  <c r="U76"/>
  <c r="T76"/>
  <c r="R76"/>
  <c r="Q76"/>
  <c r="U75"/>
  <c r="T75"/>
  <c r="R75"/>
  <c r="Q75"/>
  <c r="U74"/>
  <c r="T74"/>
  <c r="R74"/>
  <c r="Q74"/>
  <c r="U73"/>
  <c r="T73"/>
  <c r="U72"/>
  <c r="T72"/>
  <c r="R72"/>
  <c r="Q72"/>
  <c r="U71"/>
  <c r="T71"/>
  <c r="R71"/>
  <c r="Q71"/>
  <c r="U70"/>
  <c r="T70"/>
  <c r="U69"/>
  <c r="T69"/>
  <c r="R69"/>
  <c r="Q69"/>
  <c r="U68"/>
  <c r="T68"/>
  <c r="R68"/>
  <c r="Q68"/>
  <c r="U67"/>
  <c r="T67"/>
  <c r="R67"/>
  <c r="Q67"/>
  <c r="U66"/>
  <c r="T66"/>
  <c r="R66"/>
  <c r="Q66"/>
  <c r="U65"/>
  <c r="T65"/>
  <c r="R65"/>
  <c r="Q65"/>
  <c r="U64"/>
  <c r="T64"/>
  <c r="R64"/>
  <c r="Q64"/>
  <c r="U63"/>
  <c r="T63"/>
  <c r="E18" i="36"/>
  <c r="H7"/>
  <c r="E13"/>
  <c r="E24"/>
  <c r="E25"/>
  <c r="E23"/>
  <c r="I7"/>
  <c r="E28"/>
  <c r="J7"/>
  <c r="E33"/>
  <c r="K7"/>
  <c r="E38"/>
  <c r="L7"/>
  <c r="E43"/>
  <c r="M7"/>
  <c r="E48"/>
  <c r="N7"/>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E53"/>
  <c r="O7"/>
  <c r="P7"/>
  <c r="G7"/>
  <c r="Q7"/>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R7"/>
  <c r="O14"/>
  <c r="R14"/>
  <c r="O15"/>
  <c r="R15"/>
  <c r="O16"/>
  <c r="R16"/>
  <c r="O17"/>
  <c r="R17"/>
  <c r="O18"/>
  <c r="R18"/>
  <c r="O19"/>
  <c r="R19"/>
  <c r="O20"/>
  <c r="R20"/>
  <c r="O21"/>
  <c r="R21"/>
  <c r="O22"/>
  <c r="R22"/>
  <c r="O23"/>
  <c r="R23"/>
  <c r="O24"/>
  <c r="R24"/>
  <c r="O25"/>
  <c r="R25"/>
  <c r="O26"/>
  <c r="R26"/>
  <c r="O27"/>
  <c r="R27"/>
  <c r="O28"/>
  <c r="R28"/>
  <c r="O29"/>
  <c r="R29"/>
  <c r="O30"/>
  <c r="R30"/>
  <c r="O31"/>
  <c r="R31"/>
  <c r="O32"/>
  <c r="R32"/>
  <c r="O33"/>
  <c r="R33"/>
  <c r="O34"/>
  <c r="R34"/>
  <c r="O35"/>
  <c r="R35"/>
  <c r="O36"/>
  <c r="R36"/>
  <c r="O37"/>
  <c r="R37"/>
  <c r="O38"/>
  <c r="R38"/>
  <c r="O39"/>
  <c r="R39"/>
  <c r="O40"/>
  <c r="R40"/>
  <c r="O41"/>
  <c r="R41"/>
  <c r="O42"/>
  <c r="R42"/>
  <c r="O43"/>
  <c r="R43"/>
  <c r="O44"/>
  <c r="R44"/>
  <c r="O45"/>
  <c r="R45"/>
  <c r="O46"/>
  <c r="R46"/>
  <c r="O47"/>
  <c r="R47"/>
  <c r="O48"/>
  <c r="R48"/>
  <c r="O49"/>
  <c r="R49"/>
  <c r="O50"/>
  <c r="R50"/>
  <c r="O51"/>
  <c r="R51"/>
  <c r="O52"/>
  <c r="R52"/>
  <c r="O53"/>
  <c r="R53"/>
  <c r="O54"/>
  <c r="R5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T104"/>
  <c r="R104"/>
  <c r="Q104"/>
  <c r="T103"/>
  <c r="R103"/>
  <c r="Q103"/>
  <c r="T102"/>
  <c r="R102"/>
  <c r="Q102"/>
  <c r="T101"/>
  <c r="R101"/>
  <c r="Q101"/>
  <c r="T100"/>
  <c r="R100"/>
  <c r="Q100"/>
  <c r="T99"/>
  <c r="R99"/>
  <c r="Q99"/>
  <c r="T98"/>
  <c r="R98"/>
  <c r="Q98"/>
  <c r="T97"/>
  <c r="R97"/>
  <c r="Q97"/>
  <c r="T96"/>
  <c r="R96"/>
  <c r="Q96"/>
  <c r="T95"/>
  <c r="R95"/>
  <c r="Q95"/>
  <c r="T94"/>
  <c r="R94"/>
  <c r="Q94"/>
  <c r="T93"/>
  <c r="R93"/>
  <c r="Q93"/>
  <c r="T92"/>
  <c r="R92"/>
  <c r="Q92"/>
  <c r="T91"/>
  <c r="R91"/>
  <c r="Q91"/>
  <c r="T90"/>
  <c r="R90"/>
  <c r="Q90"/>
  <c r="T89"/>
  <c r="R89"/>
  <c r="Q89"/>
  <c r="T88"/>
  <c r="R88"/>
  <c r="Q88"/>
  <c r="T87"/>
  <c r="R87"/>
  <c r="Q87"/>
  <c r="T86"/>
  <c r="R86"/>
  <c r="Q86"/>
  <c r="T85"/>
  <c r="R85"/>
  <c r="Q85"/>
  <c r="T84"/>
  <c r="R84"/>
  <c r="Q84"/>
  <c r="T83"/>
  <c r="R83"/>
  <c r="Q83"/>
  <c r="T82"/>
  <c r="R82"/>
  <c r="Q82"/>
  <c r="T81"/>
  <c r="R81"/>
  <c r="Q81"/>
  <c r="T80"/>
  <c r="R80"/>
  <c r="Q80"/>
  <c r="T79"/>
  <c r="R79"/>
  <c r="Q79"/>
  <c r="T78"/>
  <c r="R78"/>
  <c r="Q78"/>
  <c r="T77"/>
  <c r="R77"/>
  <c r="Q77"/>
  <c r="T76"/>
  <c r="R76"/>
  <c r="Q76"/>
  <c r="T75"/>
  <c r="R75"/>
  <c r="Q75"/>
  <c r="T74"/>
  <c r="R74"/>
  <c r="Q74"/>
  <c r="T73"/>
  <c r="R73"/>
  <c r="Q73"/>
  <c r="T72"/>
  <c r="R72"/>
  <c r="Q72"/>
  <c r="T71"/>
  <c r="R71"/>
  <c r="Q71"/>
  <c r="T70"/>
  <c r="R70"/>
  <c r="Q70"/>
  <c r="T69"/>
  <c r="R69"/>
  <c r="Q69"/>
  <c r="T68"/>
  <c r="R68"/>
  <c r="Q68"/>
  <c r="T67"/>
  <c r="R67"/>
  <c r="Q67"/>
  <c r="T66"/>
  <c r="R66"/>
  <c r="Q66"/>
  <c r="T65"/>
  <c r="R65"/>
  <c r="Q65"/>
  <c r="T64"/>
  <c r="R64"/>
  <c r="Q64"/>
  <c r="T63"/>
  <c r="L105"/>
  <c r="T105"/>
  <c r="D53"/>
  <c r="B55"/>
  <c r="P54"/>
  <c r="I54"/>
  <c r="P53"/>
  <c r="V103"/>
  <c r="I53"/>
  <c r="P52"/>
  <c r="V102"/>
  <c r="I52"/>
  <c r="F52"/>
  <c r="P51"/>
  <c r="V101"/>
  <c r="I51"/>
  <c r="F51"/>
  <c r="P50"/>
  <c r="V100"/>
  <c r="I50"/>
  <c r="F50"/>
  <c r="P49"/>
  <c r="V99"/>
  <c r="I49"/>
  <c r="F49"/>
  <c r="P48"/>
  <c r="V98"/>
  <c r="I48"/>
  <c r="D48"/>
  <c r="F48"/>
  <c r="P47"/>
  <c r="I47"/>
  <c r="F47"/>
  <c r="P46"/>
  <c r="V96"/>
  <c r="I46"/>
  <c r="F46"/>
  <c r="P45"/>
  <c r="I45"/>
  <c r="F45"/>
  <c r="P44"/>
  <c r="V94"/>
  <c r="I44"/>
  <c r="F44"/>
  <c r="P43"/>
  <c r="I43"/>
  <c r="D43"/>
  <c r="F43"/>
  <c r="P42"/>
  <c r="V92"/>
  <c r="I42"/>
  <c r="F42"/>
  <c r="P41"/>
  <c r="I41"/>
  <c r="F41"/>
  <c r="P40"/>
  <c r="V90"/>
  <c r="I40"/>
  <c r="F40"/>
  <c r="P39"/>
  <c r="I39"/>
  <c r="F39"/>
  <c r="P38"/>
  <c r="V88"/>
  <c r="I38"/>
  <c r="D38"/>
  <c r="F38"/>
  <c r="P37"/>
  <c r="I37"/>
  <c r="F37"/>
  <c r="P36"/>
  <c r="V86"/>
  <c r="I36"/>
  <c r="F36"/>
  <c r="P35"/>
  <c r="I35"/>
  <c r="F35"/>
  <c r="P34"/>
  <c r="V84"/>
  <c r="I34"/>
  <c r="F34"/>
  <c r="P33"/>
  <c r="I33"/>
  <c r="D33"/>
  <c r="P32"/>
  <c r="V82"/>
  <c r="I32"/>
  <c r="F32"/>
  <c r="P31"/>
  <c r="V81"/>
  <c r="I31"/>
  <c r="F31"/>
  <c r="P30"/>
  <c r="V80"/>
  <c r="I30"/>
  <c r="F30"/>
  <c r="P29"/>
  <c r="V79"/>
  <c r="I29"/>
  <c r="F29"/>
  <c r="P28"/>
  <c r="V78"/>
  <c r="I28"/>
  <c r="D28"/>
  <c r="F28"/>
  <c r="P27"/>
  <c r="V77"/>
  <c r="I27"/>
  <c r="P26"/>
  <c r="V76"/>
  <c r="I26"/>
  <c r="P25"/>
  <c r="V75"/>
  <c r="I25"/>
  <c r="P24"/>
  <c r="V74"/>
  <c r="I24"/>
  <c r="P23"/>
  <c r="V73"/>
  <c r="I23"/>
  <c r="P22"/>
  <c r="V72"/>
  <c r="I22"/>
  <c r="F22"/>
  <c r="P21"/>
  <c r="I21"/>
  <c r="F21"/>
  <c r="P20"/>
  <c r="V70"/>
  <c r="I20"/>
  <c r="F20"/>
  <c r="P19"/>
  <c r="I19"/>
  <c r="F19"/>
  <c r="P18"/>
  <c r="V68"/>
  <c r="I18"/>
  <c r="D18"/>
  <c r="D25"/>
  <c r="P17"/>
  <c r="I17"/>
  <c r="F17"/>
  <c r="P16"/>
  <c r="V66"/>
  <c r="I16"/>
  <c r="F16"/>
  <c r="P15"/>
  <c r="I15"/>
  <c r="F15"/>
  <c r="P14"/>
  <c r="V64"/>
  <c r="L14"/>
  <c r="I14"/>
  <c r="F14"/>
  <c r="P13"/>
  <c r="P55"/>
  <c r="R5"/>
  <c r="O13"/>
  <c r="G105"/>
  <c r="L13"/>
  <c r="I13"/>
  <c r="D13"/>
  <c r="P5"/>
  <c r="P8"/>
  <c r="N5"/>
  <c r="M5"/>
  <c r="L5"/>
  <c r="K5"/>
  <c r="K8"/>
  <c r="J5"/>
  <c r="J8"/>
  <c r="H5"/>
  <c r="G5"/>
  <c r="V4"/>
  <c r="S4"/>
  <c r="U4"/>
  <c r="T4"/>
  <c r="H1"/>
  <c r="G1"/>
  <c r="N18" i="33"/>
  <c r="N17"/>
  <c r="N16"/>
  <c r="N15"/>
  <c r="N14"/>
  <c r="N13"/>
  <c r="U69"/>
  <c r="T69"/>
  <c r="U68"/>
  <c r="T68"/>
  <c r="U67"/>
  <c r="T67"/>
  <c r="U66"/>
  <c r="T66"/>
  <c r="U65"/>
  <c r="T65"/>
  <c r="U64"/>
  <c r="T64"/>
  <c r="U63"/>
  <c r="T63"/>
  <c r="O16" i="32"/>
  <c r="R16"/>
  <c r="R66"/>
  <c r="D13"/>
  <c r="E13"/>
  <c r="F13"/>
  <c r="D18"/>
  <c r="E18"/>
  <c r="F18"/>
  <c r="D23"/>
  <c r="E24"/>
  <c r="E25"/>
  <c r="E23"/>
  <c r="F23"/>
  <c r="D28"/>
  <c r="E28"/>
  <c r="F28"/>
  <c r="D33"/>
  <c r="E33"/>
  <c r="F33"/>
  <c r="D38"/>
  <c r="E38"/>
  <c r="F38"/>
  <c r="D43"/>
  <c r="E43"/>
  <c r="F43"/>
  <c r="D48"/>
  <c r="E48"/>
  <c r="F48"/>
  <c r="O13"/>
  <c r="V63"/>
  <c r="O14"/>
  <c r="V64"/>
  <c r="O15"/>
  <c r="V65"/>
  <c r="V66"/>
  <c r="O18"/>
  <c r="V68"/>
  <c r="O19"/>
  <c r="V69"/>
  <c r="O20"/>
  <c r="V70"/>
  <c r="O21"/>
  <c r="V71"/>
  <c r="O22"/>
  <c r="V72"/>
  <c r="O23"/>
  <c r="V73"/>
  <c r="O24"/>
  <c r="V74"/>
  <c r="O25"/>
  <c r="V75"/>
  <c r="O26"/>
  <c r="V76"/>
  <c r="O27"/>
  <c r="V77"/>
  <c r="O28"/>
  <c r="V78"/>
  <c r="O29"/>
  <c r="V79"/>
  <c r="O30"/>
  <c r="V80"/>
  <c r="O31"/>
  <c r="V81"/>
  <c r="O32"/>
  <c r="V82"/>
  <c r="O33"/>
  <c r="V83"/>
  <c r="O34"/>
  <c r="V84"/>
  <c r="O35"/>
  <c r="V85"/>
  <c r="O36"/>
  <c r="V86"/>
  <c r="O37"/>
  <c r="V87"/>
  <c r="O38"/>
  <c r="V88"/>
  <c r="O39"/>
  <c r="V89"/>
  <c r="O40"/>
  <c r="V90"/>
  <c r="O41"/>
  <c r="V91"/>
  <c r="O42"/>
  <c r="V92"/>
  <c r="O43"/>
  <c r="V93"/>
  <c r="O44"/>
  <c r="V94"/>
  <c r="O45"/>
  <c r="V95"/>
  <c r="O46"/>
  <c r="V96"/>
  <c r="O47"/>
  <c r="V97"/>
  <c r="O48"/>
  <c r="V98"/>
  <c r="O49"/>
  <c r="V99"/>
  <c r="O50"/>
  <c r="V100"/>
  <c r="O51"/>
  <c r="V101"/>
  <c r="O52"/>
  <c r="V102"/>
  <c r="O53"/>
  <c r="V103"/>
  <c r="O54"/>
  <c r="V104"/>
  <c r="V105"/>
  <c r="F53"/>
  <c r="F55"/>
  <c r="F57"/>
  <c r="P66"/>
  <c r="N66"/>
  <c r="Q66"/>
  <c r="O66"/>
  <c r="M66"/>
  <c r="R15"/>
  <c r="R65"/>
  <c r="P65"/>
  <c r="N65"/>
  <c r="Q65"/>
  <c r="O65"/>
  <c r="M65"/>
  <c r="R14"/>
  <c r="R64"/>
  <c r="P64"/>
  <c r="N64"/>
  <c r="Q64"/>
  <c r="O64"/>
  <c r="M64"/>
  <c r="R13"/>
  <c r="R63"/>
  <c r="P63"/>
  <c r="N63"/>
  <c r="Q63"/>
  <c r="O63"/>
  <c r="M63"/>
  <c r="O13" i="15"/>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U104"/>
  <c r="T104"/>
  <c r="R104"/>
  <c r="Q104"/>
  <c r="U103"/>
  <c r="T103"/>
  <c r="R103"/>
  <c r="Q103"/>
  <c r="U102"/>
  <c r="T102"/>
  <c r="R102"/>
  <c r="Q102"/>
  <c r="U101"/>
  <c r="T101"/>
  <c r="R101"/>
  <c r="Q101"/>
  <c r="U100"/>
  <c r="T100"/>
  <c r="R100"/>
  <c r="Q100"/>
  <c r="U99"/>
  <c r="T99"/>
  <c r="R99"/>
  <c r="Q99"/>
  <c r="U98"/>
  <c r="T98"/>
  <c r="U97"/>
  <c r="T97"/>
  <c r="U96"/>
  <c r="T96"/>
  <c r="U95"/>
  <c r="T95"/>
  <c r="U94"/>
  <c r="T94"/>
  <c r="U93"/>
  <c r="T93"/>
  <c r="U92"/>
  <c r="T92"/>
  <c r="U91"/>
  <c r="T91"/>
  <c r="U90"/>
  <c r="T90"/>
  <c r="U89"/>
  <c r="T89"/>
  <c r="U88"/>
  <c r="T88"/>
  <c r="U87"/>
  <c r="T87"/>
  <c r="U86"/>
  <c r="T86"/>
  <c r="U85"/>
  <c r="T85"/>
  <c r="U84"/>
  <c r="T84"/>
  <c r="U83"/>
  <c r="T83"/>
  <c r="U82"/>
  <c r="T82"/>
  <c r="U81"/>
  <c r="T81"/>
  <c r="U80"/>
  <c r="T80"/>
  <c r="U79"/>
  <c r="T79"/>
  <c r="U78"/>
  <c r="T78"/>
  <c r="U77"/>
  <c r="T77"/>
  <c r="U76"/>
  <c r="T76"/>
  <c r="U75"/>
  <c r="T75"/>
  <c r="U74"/>
  <c r="T74"/>
  <c r="U73"/>
  <c r="T73"/>
  <c r="U72"/>
  <c r="T72"/>
  <c r="U71"/>
  <c r="T71"/>
  <c r="U70"/>
  <c r="T70"/>
  <c r="U69"/>
  <c r="T69"/>
  <c r="U68"/>
  <c r="T68"/>
  <c r="U67"/>
  <c r="T67"/>
  <c r="U66"/>
  <c r="T66"/>
  <c r="U65"/>
  <c r="T65"/>
  <c r="U64"/>
  <c r="T64"/>
  <c r="U63"/>
  <c r="T63"/>
  <c r="U72" i="31"/>
  <c r="T72"/>
  <c r="U71"/>
  <c r="T71"/>
  <c r="U70"/>
  <c r="T70"/>
  <c r="U69"/>
  <c r="T69"/>
  <c r="U68"/>
  <c r="T68"/>
  <c r="U67"/>
  <c r="T67"/>
  <c r="U66"/>
  <c r="T66"/>
  <c r="U65"/>
  <c r="T65"/>
  <c r="U64"/>
  <c r="T64"/>
  <c r="U63"/>
  <c r="T63"/>
  <c r="L13" i="25"/>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O33"/>
  <c r="R33"/>
  <c r="R83"/>
  <c r="Q83"/>
  <c r="O32"/>
  <c r="R32"/>
  <c r="R82"/>
  <c r="Q82"/>
  <c r="O31"/>
  <c r="R31"/>
  <c r="R81"/>
  <c r="Q81"/>
  <c r="O30"/>
  <c r="R30"/>
  <c r="R80"/>
  <c r="Q80"/>
  <c r="O29"/>
  <c r="R29"/>
  <c r="R79"/>
  <c r="Q79"/>
  <c r="O28"/>
  <c r="R28"/>
  <c r="R78"/>
  <c r="Q78"/>
  <c r="O27"/>
  <c r="R27"/>
  <c r="R77"/>
  <c r="Q77"/>
  <c r="O26"/>
  <c r="R26"/>
  <c r="R76"/>
  <c r="Q76"/>
  <c r="O25"/>
  <c r="R25"/>
  <c r="R75"/>
  <c r="Q75"/>
  <c r="O24"/>
  <c r="R24"/>
  <c r="R74"/>
  <c r="Q74"/>
  <c r="O23"/>
  <c r="R23"/>
  <c r="R73"/>
  <c r="Q73"/>
  <c r="O22"/>
  <c r="R22"/>
  <c r="R72"/>
  <c r="Q72"/>
  <c r="O21"/>
  <c r="R21"/>
  <c r="R71"/>
  <c r="Q71"/>
  <c r="O20"/>
  <c r="R20"/>
  <c r="R70"/>
  <c r="Q70"/>
  <c r="O19"/>
  <c r="R19"/>
  <c r="R69"/>
  <c r="Q69"/>
  <c r="O18"/>
  <c r="R18"/>
  <c r="R68"/>
  <c r="Q68"/>
  <c r="O17"/>
  <c r="R17"/>
  <c r="R67"/>
  <c r="Q67"/>
  <c r="O16"/>
  <c r="R16"/>
  <c r="R66"/>
  <c r="Q66"/>
  <c r="O15"/>
  <c r="R15"/>
  <c r="R65"/>
  <c r="Q65"/>
  <c r="O14"/>
  <c r="R14"/>
  <c r="R64"/>
  <c r="Q64"/>
  <c r="D13"/>
  <c r="E13"/>
  <c r="F13"/>
  <c r="D18"/>
  <c r="E18"/>
  <c r="F18"/>
  <c r="D24"/>
  <c r="D25"/>
  <c r="D23"/>
  <c r="E24"/>
  <c r="E25"/>
  <c r="E23"/>
  <c r="F23"/>
  <c r="D28"/>
  <c r="E28"/>
  <c r="F28"/>
  <c r="D33"/>
  <c r="E33"/>
  <c r="F33"/>
  <c r="D38"/>
  <c r="E38"/>
  <c r="F38"/>
  <c r="D43"/>
  <c r="E43"/>
  <c r="F43"/>
  <c r="D48"/>
  <c r="E48"/>
  <c r="F48"/>
  <c r="O13"/>
  <c r="V63"/>
  <c r="V64"/>
  <c r="V65"/>
  <c r="V66"/>
  <c r="V67"/>
  <c r="V68"/>
  <c r="V69"/>
  <c r="V70"/>
  <c r="V71"/>
  <c r="V72"/>
  <c r="V73"/>
  <c r="V74"/>
  <c r="V75"/>
  <c r="V76"/>
  <c r="V77"/>
  <c r="V78"/>
  <c r="V79"/>
  <c r="V80"/>
  <c r="V81"/>
  <c r="V82"/>
  <c r="V83"/>
  <c r="O34"/>
  <c r="V84"/>
  <c r="O35"/>
  <c r="V85"/>
  <c r="O36"/>
  <c r="V86"/>
  <c r="O37"/>
  <c r="V87"/>
  <c r="O38"/>
  <c r="V88"/>
  <c r="O39"/>
  <c r="V89"/>
  <c r="O40"/>
  <c r="V90"/>
  <c r="O41"/>
  <c r="V91"/>
  <c r="O42"/>
  <c r="V92"/>
  <c r="O43"/>
  <c r="V93"/>
  <c r="O44"/>
  <c r="V94"/>
  <c r="O45"/>
  <c r="V95"/>
  <c r="O46"/>
  <c r="V96"/>
  <c r="O47"/>
  <c r="V97"/>
  <c r="O48"/>
  <c r="V98"/>
  <c r="O49"/>
  <c r="V99"/>
  <c r="O50"/>
  <c r="V100"/>
  <c r="O51"/>
  <c r="V101"/>
  <c r="O52"/>
  <c r="V102"/>
  <c r="O53"/>
  <c r="V103"/>
  <c r="O54"/>
  <c r="V104"/>
  <c r="V105"/>
  <c r="F53"/>
  <c r="F55"/>
  <c r="F57"/>
  <c r="I64"/>
  <c r="P64"/>
  <c r="O64"/>
  <c r="N64"/>
  <c r="M64"/>
  <c r="R13"/>
  <c r="R63"/>
  <c r="Q63"/>
  <c r="I63"/>
  <c r="P63"/>
  <c r="O63"/>
  <c r="N63"/>
  <c r="M63"/>
  <c r="P58" i="24"/>
  <c r="L58"/>
  <c r="I58"/>
  <c r="P56"/>
  <c r="L56"/>
  <c r="I56"/>
  <c r="P55"/>
  <c r="R5" s="1"/>
  <c r="L55"/>
  <c r="I55"/>
  <c r="P54"/>
  <c r="L54"/>
  <c r="I54"/>
  <c r="P53"/>
  <c r="L53"/>
  <c r="I53"/>
  <c r="P52"/>
  <c r="L52"/>
  <c r="I52"/>
  <c r="P51"/>
  <c r="L51"/>
  <c r="I51"/>
  <c r="P50"/>
  <c r="L50"/>
  <c r="I50"/>
  <c r="P49"/>
  <c r="L49"/>
  <c r="I49"/>
  <c r="P48"/>
  <c r="L48"/>
  <c r="I48"/>
  <c r="P47"/>
  <c r="L47"/>
  <c r="I47"/>
  <c r="P46"/>
  <c r="L46"/>
  <c r="I46"/>
  <c r="P45"/>
  <c r="L45"/>
  <c r="I45"/>
  <c r="P44"/>
  <c r="L44"/>
  <c r="I44"/>
  <c r="P43"/>
  <c r="L43"/>
  <c r="I43"/>
  <c r="P42"/>
  <c r="L42"/>
  <c r="I42"/>
  <c r="P41"/>
  <c r="L41"/>
  <c r="I41"/>
  <c r="P40"/>
  <c r="L40"/>
  <c r="I40"/>
  <c r="P39"/>
  <c r="L39"/>
  <c r="I39"/>
  <c r="P38"/>
  <c r="L38"/>
  <c r="I38"/>
  <c r="P37"/>
  <c r="L37"/>
  <c r="I37"/>
  <c r="P36"/>
  <c r="L36"/>
  <c r="I36"/>
  <c r="P35"/>
  <c r="L35"/>
  <c r="I35"/>
  <c r="P34"/>
  <c r="L34"/>
  <c r="I34"/>
  <c r="P33"/>
  <c r="L33"/>
  <c r="I33"/>
  <c r="P32"/>
  <c r="L32"/>
  <c r="I32"/>
  <c r="P31"/>
  <c r="L31"/>
  <c r="I31"/>
  <c r="P30"/>
  <c r="L30"/>
  <c r="I30"/>
  <c r="P29"/>
  <c r="L29"/>
  <c r="I29"/>
  <c r="P28"/>
  <c r="L28"/>
  <c r="I28"/>
  <c r="P27"/>
  <c r="L27"/>
  <c r="I27"/>
  <c r="P26"/>
  <c r="L26"/>
  <c r="I26"/>
  <c r="P25"/>
  <c r="L25"/>
  <c r="I25"/>
  <c r="P24"/>
  <c r="L24"/>
  <c r="I24"/>
  <c r="P23"/>
  <c r="L23"/>
  <c r="I23"/>
  <c r="P22"/>
  <c r="L22"/>
  <c r="I22"/>
  <c r="P21"/>
  <c r="L21"/>
  <c r="I21"/>
  <c r="P20"/>
  <c r="L20"/>
  <c r="I20"/>
  <c r="P19"/>
  <c r="L19"/>
  <c r="I19"/>
  <c r="P18"/>
  <c r="L18"/>
  <c r="I18"/>
  <c r="P17"/>
  <c r="L17"/>
  <c r="I17"/>
  <c r="P16"/>
  <c r="L16"/>
  <c r="I16"/>
  <c r="P15"/>
  <c r="L15"/>
  <c r="I15"/>
  <c r="P14"/>
  <c r="L14"/>
  <c r="I14"/>
  <c r="P13"/>
  <c r="L13"/>
  <c r="I13"/>
  <c r="O31" i="23"/>
  <c r="R31"/>
  <c r="R81"/>
  <c r="Q81"/>
  <c r="O13"/>
  <c r="R13"/>
  <c r="O14"/>
  <c r="R14"/>
  <c r="O15"/>
  <c r="R15"/>
  <c r="O16"/>
  <c r="R16"/>
  <c r="O17"/>
  <c r="R17"/>
  <c r="O18"/>
  <c r="R18"/>
  <c r="O19"/>
  <c r="R19"/>
  <c r="O20"/>
  <c r="R20"/>
  <c r="O21"/>
  <c r="R21"/>
  <c r="O22"/>
  <c r="R22"/>
  <c r="O23"/>
  <c r="R23"/>
  <c r="O24"/>
  <c r="R24"/>
  <c r="O25"/>
  <c r="R25"/>
  <c r="O26"/>
  <c r="R26"/>
  <c r="O27"/>
  <c r="R27"/>
  <c r="O28"/>
  <c r="R28"/>
  <c r="O29"/>
  <c r="R29"/>
  <c r="O30"/>
  <c r="R30"/>
  <c r="O32"/>
  <c r="R32"/>
  <c r="O33"/>
  <c r="R33"/>
  <c r="O34"/>
  <c r="R34"/>
  <c r="O35"/>
  <c r="R35"/>
  <c r="O36"/>
  <c r="R36"/>
  <c r="O37"/>
  <c r="R37"/>
  <c r="O38"/>
  <c r="R38"/>
  <c r="O39"/>
  <c r="R39"/>
  <c r="O40"/>
  <c r="R40"/>
  <c r="O41"/>
  <c r="R41"/>
  <c r="O42"/>
  <c r="R42"/>
  <c r="O43"/>
  <c r="R43"/>
  <c r="O44"/>
  <c r="R44"/>
  <c r="O45"/>
  <c r="R45"/>
  <c r="O46"/>
  <c r="R46"/>
  <c r="O47"/>
  <c r="R47"/>
  <c r="O48"/>
  <c r="R48"/>
  <c r="O49"/>
  <c r="R49"/>
  <c r="O50"/>
  <c r="R50"/>
  <c r="O51"/>
  <c r="R51"/>
  <c r="O52"/>
  <c r="R52"/>
  <c r="O53"/>
  <c r="R53"/>
  <c r="O54"/>
  <c r="R54"/>
  <c r="R55"/>
  <c r="I81"/>
  <c r="D13"/>
  <c r="E13"/>
  <c r="F13"/>
  <c r="D18"/>
  <c r="E18"/>
  <c r="F18"/>
  <c r="D24"/>
  <c r="D23"/>
  <c r="E24"/>
  <c r="E25"/>
  <c r="E23"/>
  <c r="F23"/>
  <c r="D28"/>
  <c r="E28"/>
  <c r="F28"/>
  <c r="D33"/>
  <c r="E33"/>
  <c r="F33"/>
  <c r="D38"/>
  <c r="E38"/>
  <c r="F38"/>
  <c r="D43"/>
  <c r="E43"/>
  <c r="F43"/>
  <c r="D48"/>
  <c r="E48"/>
  <c r="F48"/>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F53"/>
  <c r="F55"/>
  <c r="F57"/>
  <c r="P81"/>
  <c r="O81"/>
  <c r="R80"/>
  <c r="Q80"/>
  <c r="I80"/>
  <c r="P80"/>
  <c r="O80"/>
  <c r="R79"/>
  <c r="Q79"/>
  <c r="I79"/>
  <c r="P79"/>
  <c r="O79"/>
  <c r="R78"/>
  <c r="Q78"/>
  <c r="I78"/>
  <c r="P78"/>
  <c r="O78"/>
  <c r="R77"/>
  <c r="Q77"/>
  <c r="I77"/>
  <c r="P77"/>
  <c r="O77"/>
  <c r="R76"/>
  <c r="Q76"/>
  <c r="I76"/>
  <c r="P76"/>
  <c r="O76"/>
  <c r="R75"/>
  <c r="Q75"/>
  <c r="I75"/>
  <c r="P75"/>
  <c r="O75"/>
  <c r="R74"/>
  <c r="Q74"/>
  <c r="I74"/>
  <c r="P74"/>
  <c r="O74"/>
  <c r="R73"/>
  <c r="Q73"/>
  <c r="I73"/>
  <c r="P73"/>
  <c r="O73"/>
  <c r="R72"/>
  <c r="Q72"/>
  <c r="I72"/>
  <c r="P72"/>
  <c r="O72"/>
  <c r="R71"/>
  <c r="Q71"/>
  <c r="I71"/>
  <c r="P71"/>
  <c r="O71"/>
  <c r="R70"/>
  <c r="Q70"/>
  <c r="I70"/>
  <c r="P70"/>
  <c r="O70"/>
  <c r="R69"/>
  <c r="Q69"/>
  <c r="I69"/>
  <c r="P69"/>
  <c r="O69"/>
  <c r="R68"/>
  <c r="Q68"/>
  <c r="I68"/>
  <c r="P68"/>
  <c r="O68"/>
  <c r="R67"/>
  <c r="Q67"/>
  <c r="I67"/>
  <c r="P67"/>
  <c r="O67"/>
  <c r="R66"/>
  <c r="Q66"/>
  <c r="I66"/>
  <c r="P66"/>
  <c r="O66"/>
  <c r="R65"/>
  <c r="Q65"/>
  <c r="I65"/>
  <c r="P65"/>
  <c r="O65"/>
  <c r="R64"/>
  <c r="Q64"/>
  <c r="I64"/>
  <c r="P64"/>
  <c r="O64"/>
  <c r="R63"/>
  <c r="Q63"/>
  <c r="I63"/>
  <c r="P63"/>
  <c r="O63"/>
  <c r="D13" i="21"/>
  <c r="E13"/>
  <c r="F13"/>
  <c r="D18"/>
  <c r="E18"/>
  <c r="F18"/>
  <c r="D24"/>
  <c r="D23"/>
  <c r="E25"/>
  <c r="E23"/>
  <c r="F23"/>
  <c r="D28"/>
  <c r="E28"/>
  <c r="F28"/>
  <c r="D33"/>
  <c r="E33"/>
  <c r="F33"/>
  <c r="D38"/>
  <c r="F38"/>
  <c r="D43"/>
  <c r="E43"/>
  <c r="F43"/>
  <c r="D48"/>
  <c r="E48"/>
  <c r="F48"/>
  <c r="O13"/>
  <c r="V63"/>
  <c r="O14"/>
  <c r="V64"/>
  <c r="O15"/>
  <c r="V65"/>
  <c r="O16"/>
  <c r="V66"/>
  <c r="O17"/>
  <c r="V67"/>
  <c r="O18"/>
  <c r="V68"/>
  <c r="O19"/>
  <c r="V69"/>
  <c r="O20"/>
  <c r="V70"/>
  <c r="O21"/>
  <c r="V71"/>
  <c r="O22"/>
  <c r="V72"/>
  <c r="O23"/>
  <c r="V73"/>
  <c r="O24"/>
  <c r="V74"/>
  <c r="O25"/>
  <c r="V75"/>
  <c r="O26"/>
  <c r="V76"/>
  <c r="O27"/>
  <c r="V77"/>
  <c r="O28"/>
  <c r="V78"/>
  <c r="O29"/>
  <c r="V79"/>
  <c r="O30"/>
  <c r="V80"/>
  <c r="O31"/>
  <c r="V81"/>
  <c r="O32"/>
  <c r="V82"/>
  <c r="O33"/>
  <c r="V83"/>
  <c r="O34"/>
  <c r="V84"/>
  <c r="O35"/>
  <c r="V85"/>
  <c r="O36"/>
  <c r="V86"/>
  <c r="O37"/>
  <c r="V87"/>
  <c r="O38"/>
  <c r="V88"/>
  <c r="O39"/>
  <c r="V89"/>
  <c r="O40"/>
  <c r="V90"/>
  <c r="O41"/>
  <c r="V91"/>
  <c r="O42"/>
  <c r="V92"/>
  <c r="O43"/>
  <c r="V93"/>
  <c r="O44"/>
  <c r="V94"/>
  <c r="O45"/>
  <c r="V95"/>
  <c r="O46"/>
  <c r="V96"/>
  <c r="O47"/>
  <c r="V97"/>
  <c r="O48"/>
  <c r="V98"/>
  <c r="O49"/>
  <c r="V99"/>
  <c r="O50"/>
  <c r="V100"/>
  <c r="O51"/>
  <c r="V101"/>
  <c r="O52"/>
  <c r="V102"/>
  <c r="O53"/>
  <c r="V103"/>
  <c r="V104"/>
  <c r="V105"/>
  <c r="F53"/>
  <c r="F55"/>
  <c r="F57"/>
  <c r="O64"/>
  <c r="H105"/>
  <c r="R104"/>
  <c r="Q104"/>
  <c r="R103"/>
  <c r="Q103"/>
  <c r="R102"/>
  <c r="Q102"/>
  <c r="R101"/>
  <c r="Q101"/>
  <c r="R100"/>
  <c r="Q100"/>
  <c r="R99"/>
  <c r="Q99"/>
  <c r="R98"/>
  <c r="Q98"/>
  <c r="R97"/>
  <c r="Q97"/>
  <c r="R96"/>
  <c r="Q96"/>
  <c r="R95"/>
  <c r="Q95"/>
  <c r="R94"/>
  <c r="Q94"/>
  <c r="R93"/>
  <c r="Q93"/>
  <c r="R92"/>
  <c r="Q92"/>
  <c r="R91"/>
  <c r="Q91"/>
  <c r="R90"/>
  <c r="Q90"/>
  <c r="R89"/>
  <c r="Q89"/>
  <c r="R88"/>
  <c r="Q88"/>
  <c r="R87"/>
  <c r="Q87"/>
  <c r="R86"/>
  <c r="Q86"/>
  <c r="R85"/>
  <c r="Q85"/>
  <c r="R84"/>
  <c r="Q84"/>
  <c r="R83"/>
  <c r="Q83"/>
  <c r="R82"/>
  <c r="Q82"/>
  <c r="R81"/>
  <c r="Q81"/>
  <c r="R80"/>
  <c r="Q80"/>
  <c r="R79"/>
  <c r="Q79"/>
  <c r="R78"/>
  <c r="Q78"/>
  <c r="R77"/>
  <c r="Q77"/>
  <c r="R76"/>
  <c r="Q76"/>
  <c r="R75"/>
  <c r="Q75"/>
  <c r="R74"/>
  <c r="Q74"/>
  <c r="R73"/>
  <c r="Q73"/>
  <c r="R72"/>
  <c r="Q72"/>
  <c r="R71"/>
  <c r="Q71"/>
  <c r="R70"/>
  <c r="Q70"/>
  <c r="R69"/>
  <c r="Q69"/>
  <c r="R68"/>
  <c r="Q68"/>
  <c r="R67"/>
  <c r="Q67"/>
  <c r="R66"/>
  <c r="Q66"/>
  <c r="R65"/>
  <c r="Q65"/>
  <c r="R64"/>
  <c r="Q64"/>
  <c r="R63"/>
  <c r="Q63"/>
  <c r="U104"/>
  <c r="U103"/>
  <c r="U102"/>
  <c r="U101"/>
  <c r="U100"/>
  <c r="U99"/>
  <c r="U98"/>
  <c r="U97"/>
  <c r="U96"/>
  <c r="U95"/>
  <c r="U94"/>
  <c r="U93"/>
  <c r="U92"/>
  <c r="U91"/>
  <c r="U90"/>
  <c r="U89"/>
  <c r="U88"/>
  <c r="U87"/>
  <c r="U86"/>
  <c r="U85"/>
  <c r="U84"/>
  <c r="U83"/>
  <c r="U82"/>
  <c r="U79"/>
  <c r="U78"/>
  <c r="U75"/>
  <c r="U74"/>
  <c r="U73"/>
  <c r="U72"/>
  <c r="U71"/>
  <c r="U70"/>
  <c r="U69"/>
  <c r="U68"/>
  <c r="U67"/>
  <c r="U66"/>
  <c r="U65"/>
  <c r="U63"/>
  <c r="T105"/>
  <c r="R105"/>
  <c r="Q105"/>
  <c r="R54"/>
  <c r="J105"/>
  <c r="I105"/>
  <c r="G105"/>
  <c r="Q29"/>
  <c r="Q28"/>
  <c r="Q25"/>
  <c r="Q24"/>
  <c r="Q23"/>
  <c r="Q22"/>
  <c r="Q21"/>
  <c r="Q20"/>
  <c r="Q19"/>
  <c r="Q18"/>
  <c r="Q17"/>
  <c r="Q16"/>
  <c r="Q15"/>
  <c r="Q13"/>
  <c r="I31"/>
  <c r="I30"/>
  <c r="I29"/>
  <c r="I28"/>
  <c r="I27"/>
  <c r="I26"/>
  <c r="I25"/>
  <c r="I24"/>
  <c r="I23"/>
  <c r="I22"/>
  <c r="I21"/>
  <c r="I20"/>
  <c r="I19"/>
  <c r="I18"/>
  <c r="I17"/>
  <c r="I16"/>
  <c r="I15"/>
  <c r="I14"/>
  <c r="I13"/>
  <c r="Q26" i="17"/>
  <c r="Q13"/>
  <c r="Q14"/>
  <c r="Q15"/>
  <c r="Q16"/>
  <c r="Q17"/>
  <c r="Q18"/>
  <c r="Q19"/>
  <c r="Q20"/>
  <c r="Q21"/>
  <c r="Q22"/>
  <c r="Q23"/>
  <c r="Q24"/>
  <c r="Q25"/>
  <c r="Q27"/>
  <c r="Q28"/>
  <c r="Q29"/>
  <c r="Q30"/>
  <c r="Q31"/>
  <c r="Q32"/>
  <c r="Q33"/>
  <c r="Q34"/>
  <c r="Q35"/>
  <c r="Q36"/>
  <c r="Q37"/>
  <c r="Q38"/>
  <c r="Q39"/>
  <c r="Q40"/>
  <c r="Q41"/>
  <c r="Q42"/>
  <c r="Q43"/>
  <c r="Q44"/>
  <c r="Q45"/>
  <c r="Q46"/>
  <c r="Q47"/>
  <c r="Q48"/>
  <c r="Q49"/>
  <c r="Q50"/>
  <c r="Q51"/>
  <c r="Q52"/>
  <c r="Q53"/>
  <c r="Q54"/>
  <c r="Q55"/>
  <c r="I76"/>
  <c r="D13"/>
  <c r="E13"/>
  <c r="F13"/>
  <c r="D18"/>
  <c r="E18"/>
  <c r="F18"/>
  <c r="D24"/>
  <c r="D25"/>
  <c r="D23"/>
  <c r="E24"/>
  <c r="E25"/>
  <c r="E23"/>
  <c r="F23"/>
  <c r="D28"/>
  <c r="E28"/>
  <c r="F28"/>
  <c r="D33"/>
  <c r="E33"/>
  <c r="F33"/>
  <c r="D38"/>
  <c r="E38"/>
  <c r="F38"/>
  <c r="D43"/>
  <c r="E43"/>
  <c r="F43"/>
  <c r="D48"/>
  <c r="E48"/>
  <c r="F48"/>
  <c r="T63"/>
  <c r="U63"/>
  <c r="V63"/>
  <c r="T64"/>
  <c r="U64"/>
  <c r="V64"/>
  <c r="T65"/>
  <c r="U65"/>
  <c r="V65"/>
  <c r="T66"/>
  <c r="U66"/>
  <c r="V66"/>
  <c r="T67"/>
  <c r="U67"/>
  <c r="V67"/>
  <c r="T68"/>
  <c r="U68"/>
  <c r="V68"/>
  <c r="T69"/>
  <c r="U69"/>
  <c r="V69"/>
  <c r="T70"/>
  <c r="U70"/>
  <c r="V70"/>
  <c r="T71"/>
  <c r="U71"/>
  <c r="V71"/>
  <c r="T72"/>
  <c r="U72"/>
  <c r="V72"/>
  <c r="T73"/>
  <c r="U73"/>
  <c r="V73"/>
  <c r="T74"/>
  <c r="U74"/>
  <c r="V74"/>
  <c r="T75"/>
  <c r="U75"/>
  <c r="V75"/>
  <c r="T76"/>
  <c r="U76"/>
  <c r="V76"/>
  <c r="T77"/>
  <c r="U77"/>
  <c r="V77"/>
  <c r="T78"/>
  <c r="U78"/>
  <c r="V78"/>
  <c r="T79"/>
  <c r="U79"/>
  <c r="V79"/>
  <c r="T80"/>
  <c r="U80"/>
  <c r="V80"/>
  <c r="T81"/>
  <c r="U81"/>
  <c r="V81"/>
  <c r="T82"/>
  <c r="U82"/>
  <c r="V82"/>
  <c r="T83"/>
  <c r="U83"/>
  <c r="V83"/>
  <c r="T84"/>
  <c r="U84"/>
  <c r="V84"/>
  <c r="T85"/>
  <c r="U85"/>
  <c r="V85"/>
  <c r="T86"/>
  <c r="U86"/>
  <c r="V86"/>
  <c r="T87"/>
  <c r="U87"/>
  <c r="V87"/>
  <c r="T88"/>
  <c r="U88"/>
  <c r="V88"/>
  <c r="T89"/>
  <c r="U89"/>
  <c r="V89"/>
  <c r="T90"/>
  <c r="U90"/>
  <c r="V90"/>
  <c r="T91"/>
  <c r="U91"/>
  <c r="V91"/>
  <c r="T92"/>
  <c r="U92"/>
  <c r="V92"/>
  <c r="T93"/>
  <c r="U93"/>
  <c r="V93"/>
  <c r="T94"/>
  <c r="U94"/>
  <c r="V94"/>
  <c r="T95"/>
  <c r="U95"/>
  <c r="V95"/>
  <c r="T96"/>
  <c r="U96"/>
  <c r="V96"/>
  <c r="T97"/>
  <c r="U97"/>
  <c r="V97"/>
  <c r="T98"/>
  <c r="U98"/>
  <c r="V98"/>
  <c r="T99"/>
  <c r="U99"/>
  <c r="V99"/>
  <c r="T100"/>
  <c r="U100"/>
  <c r="V100"/>
  <c r="T101"/>
  <c r="U101"/>
  <c r="V101"/>
  <c r="T102"/>
  <c r="U102"/>
  <c r="V102"/>
  <c r="T103"/>
  <c r="U103"/>
  <c r="V103"/>
  <c r="T104"/>
  <c r="U104"/>
  <c r="V104"/>
  <c r="V105"/>
  <c r="F53"/>
  <c r="F55"/>
  <c r="F57"/>
  <c r="O26"/>
  <c r="P76"/>
  <c r="O76"/>
  <c r="I75"/>
  <c r="O25"/>
  <c r="P75"/>
  <c r="O75"/>
  <c r="O24"/>
  <c r="P74"/>
  <c r="O74"/>
  <c r="O23"/>
  <c r="P73"/>
  <c r="O73"/>
  <c r="I72"/>
  <c r="O22"/>
  <c r="P72"/>
  <c r="O72"/>
  <c r="I71"/>
  <c r="O21"/>
  <c r="P71"/>
  <c r="O71"/>
  <c r="O20"/>
  <c r="P70"/>
  <c r="O70"/>
  <c r="O19"/>
  <c r="P69"/>
  <c r="O69"/>
  <c r="O18"/>
  <c r="P68"/>
  <c r="O68"/>
  <c r="I67"/>
  <c r="O17"/>
  <c r="P67"/>
  <c r="O67"/>
  <c r="O16"/>
  <c r="P66"/>
  <c r="O66"/>
  <c r="O15"/>
  <c r="P65"/>
  <c r="O65"/>
  <c r="O14"/>
  <c r="P64"/>
  <c r="O64"/>
  <c r="O13"/>
  <c r="P63"/>
  <c r="O63"/>
  <c r="P26"/>
  <c r="R26"/>
  <c r="R76"/>
  <c r="Q76"/>
  <c r="P25"/>
  <c r="R25"/>
  <c r="R75"/>
  <c r="Q75"/>
  <c r="R24"/>
  <c r="R74"/>
  <c r="Q74"/>
  <c r="P23"/>
  <c r="R23"/>
  <c r="R73"/>
  <c r="Q73"/>
  <c r="P22"/>
  <c r="R22"/>
  <c r="R72"/>
  <c r="Q72"/>
  <c r="P21"/>
  <c r="R21"/>
  <c r="R71"/>
  <c r="Q71"/>
  <c r="P20"/>
  <c r="R20"/>
  <c r="R70"/>
  <c r="Q70"/>
  <c r="P19"/>
  <c r="R19"/>
  <c r="R69"/>
  <c r="Q69"/>
  <c r="P18"/>
  <c r="R18"/>
  <c r="R68"/>
  <c r="Q68"/>
  <c r="P17"/>
  <c r="R17"/>
  <c r="R67"/>
  <c r="Q67"/>
  <c r="P16"/>
  <c r="R16"/>
  <c r="R66"/>
  <c r="Q66"/>
  <c r="P15"/>
  <c r="R15"/>
  <c r="R65"/>
  <c r="Q65"/>
  <c r="P14"/>
  <c r="R14"/>
  <c r="R64"/>
  <c r="Q64"/>
  <c r="P13"/>
  <c r="R13"/>
  <c r="R63"/>
  <c r="Q63"/>
  <c r="L105" i="18"/>
  <c r="R104"/>
  <c r="Q104"/>
  <c r="R103"/>
  <c r="Q103"/>
  <c r="R102"/>
  <c r="Q102"/>
  <c r="R101"/>
  <c r="Q101"/>
  <c r="R100"/>
  <c r="Q100"/>
  <c r="R99"/>
  <c r="Q99"/>
  <c r="R98"/>
  <c r="Q98"/>
  <c r="R97"/>
  <c r="Q97"/>
  <c r="R96"/>
  <c r="Q96"/>
  <c r="R95"/>
  <c r="Q95"/>
  <c r="R94"/>
  <c r="Q94"/>
  <c r="R93"/>
  <c r="Q93"/>
  <c r="R92"/>
  <c r="Q92"/>
  <c r="R91"/>
  <c r="Q91"/>
  <c r="R90"/>
  <c r="Q90"/>
  <c r="R89"/>
  <c r="Q89"/>
  <c r="R88"/>
  <c r="Q88"/>
  <c r="R87"/>
  <c r="Q87"/>
  <c r="R86"/>
  <c r="Q86"/>
  <c r="R85"/>
  <c r="Q85"/>
  <c r="R84"/>
  <c r="Q84"/>
  <c r="R83"/>
  <c r="Q83"/>
  <c r="R82"/>
  <c r="Q82"/>
  <c r="R81"/>
  <c r="Q81"/>
  <c r="R80"/>
  <c r="Q80"/>
  <c r="R79"/>
  <c r="Q79"/>
  <c r="R78"/>
  <c r="Q78"/>
  <c r="R77"/>
  <c r="Q77"/>
  <c r="R76"/>
  <c r="Q76"/>
  <c r="R75"/>
  <c r="Q75"/>
  <c r="R74"/>
  <c r="Q74"/>
  <c r="R73"/>
  <c r="Q73"/>
  <c r="O22"/>
  <c r="R22"/>
  <c r="R72"/>
  <c r="N72" s="1"/>
  <c r="Q72"/>
  <c r="D13"/>
  <c r="E13"/>
  <c r="F13"/>
  <c r="D18"/>
  <c r="E18"/>
  <c r="F18"/>
  <c r="D24"/>
  <c r="D25"/>
  <c r="D23"/>
  <c r="E24"/>
  <c r="E25"/>
  <c r="E23"/>
  <c r="F23"/>
  <c r="D28"/>
  <c r="E28"/>
  <c r="F28"/>
  <c r="D33"/>
  <c r="E33"/>
  <c r="F33"/>
  <c r="D38"/>
  <c r="E38"/>
  <c r="F38"/>
  <c r="D43"/>
  <c r="E43"/>
  <c r="F43"/>
  <c r="D48"/>
  <c r="E48"/>
  <c r="F48"/>
  <c r="O13"/>
  <c r="V63"/>
  <c r="O14"/>
  <c r="V64"/>
  <c r="O15"/>
  <c r="V65"/>
  <c r="O16"/>
  <c r="V66"/>
  <c r="O17"/>
  <c r="V67"/>
  <c r="O18"/>
  <c r="V68"/>
  <c r="O19"/>
  <c r="V69"/>
  <c r="O20"/>
  <c r="V70"/>
  <c r="O21"/>
  <c r="V71"/>
  <c r="V72"/>
  <c r="O23"/>
  <c r="V73"/>
  <c r="O24"/>
  <c r="V74"/>
  <c r="O25"/>
  <c r="V75"/>
  <c r="O26"/>
  <c r="V76"/>
  <c r="O27"/>
  <c r="V77"/>
  <c r="O28"/>
  <c r="V78"/>
  <c r="O29"/>
  <c r="V79"/>
  <c r="O30"/>
  <c r="V80"/>
  <c r="O31"/>
  <c r="V81"/>
  <c r="O32"/>
  <c r="V82"/>
  <c r="O33"/>
  <c r="V83"/>
  <c r="O34"/>
  <c r="V84"/>
  <c r="O35"/>
  <c r="V85"/>
  <c r="O36"/>
  <c r="V86"/>
  <c r="O37"/>
  <c r="V87"/>
  <c r="O38"/>
  <c r="V88"/>
  <c r="O39"/>
  <c r="V89"/>
  <c r="O40"/>
  <c r="V90"/>
  <c r="O41"/>
  <c r="V91"/>
  <c r="O42"/>
  <c r="V92"/>
  <c r="O43"/>
  <c r="V93"/>
  <c r="O44"/>
  <c r="V94"/>
  <c r="O45"/>
  <c r="V95"/>
  <c r="O46"/>
  <c r="V96"/>
  <c r="O47"/>
  <c r="V97"/>
  <c r="O48"/>
  <c r="V98"/>
  <c r="O49"/>
  <c r="V99"/>
  <c r="O50"/>
  <c r="V100"/>
  <c r="O51"/>
  <c r="V101"/>
  <c r="O52"/>
  <c r="V102"/>
  <c r="O53"/>
  <c r="V103"/>
  <c r="O54"/>
  <c r="V104"/>
  <c r="V105"/>
  <c r="F53"/>
  <c r="F55"/>
  <c r="F57"/>
  <c r="P104"/>
  <c r="N104"/>
  <c r="O104"/>
  <c r="M104"/>
  <c r="P103"/>
  <c r="N103"/>
  <c r="O103"/>
  <c r="M103"/>
  <c r="P102"/>
  <c r="N102"/>
  <c r="O102"/>
  <c r="M102"/>
  <c r="P101"/>
  <c r="N101"/>
  <c r="O101"/>
  <c r="M101"/>
  <c r="P100"/>
  <c r="N100"/>
  <c r="O100"/>
  <c r="M100"/>
  <c r="P99"/>
  <c r="N99"/>
  <c r="O99"/>
  <c r="M99"/>
  <c r="R48"/>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R5"/>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R7"/>
  <c r="R8"/>
  <c r="I98"/>
  <c r="P98"/>
  <c r="N98"/>
  <c r="O98"/>
  <c r="M98"/>
  <c r="R47"/>
  <c r="I97"/>
  <c r="P97"/>
  <c r="N97"/>
  <c r="O97"/>
  <c r="M97"/>
  <c r="R46"/>
  <c r="I96"/>
  <c r="P96"/>
  <c r="N96"/>
  <c r="O96"/>
  <c r="M96"/>
  <c r="R45"/>
  <c r="I95"/>
  <c r="P95"/>
  <c r="N95"/>
  <c r="O95"/>
  <c r="M95"/>
  <c r="R44"/>
  <c r="I94"/>
  <c r="P94"/>
  <c r="N94"/>
  <c r="O94"/>
  <c r="M94"/>
  <c r="R43"/>
  <c r="I93"/>
  <c r="P93"/>
  <c r="N93"/>
  <c r="O93"/>
  <c r="M93"/>
  <c r="R42"/>
  <c r="I92"/>
  <c r="P92"/>
  <c r="N92"/>
  <c r="O92"/>
  <c r="M92"/>
  <c r="R41"/>
  <c r="I91"/>
  <c r="P91"/>
  <c r="N91"/>
  <c r="O91"/>
  <c r="M91"/>
  <c r="R40"/>
  <c r="I90"/>
  <c r="P90"/>
  <c r="N90"/>
  <c r="O90"/>
  <c r="M90"/>
  <c r="R39"/>
  <c r="I89"/>
  <c r="P89"/>
  <c r="N89"/>
  <c r="O89"/>
  <c r="M89"/>
  <c r="R38"/>
  <c r="I88"/>
  <c r="P88"/>
  <c r="N88"/>
  <c r="O88"/>
  <c r="M88"/>
  <c r="R37"/>
  <c r="I87"/>
  <c r="P87"/>
  <c r="N87"/>
  <c r="O87"/>
  <c r="M87"/>
  <c r="R36"/>
  <c r="I86"/>
  <c r="P86"/>
  <c r="N86"/>
  <c r="O86"/>
  <c r="M86"/>
  <c r="R35"/>
  <c r="I85"/>
  <c r="P85"/>
  <c r="N85"/>
  <c r="O85"/>
  <c r="M85"/>
  <c r="R34"/>
  <c r="I84"/>
  <c r="P84"/>
  <c r="N84"/>
  <c r="O84"/>
  <c r="M84"/>
  <c r="R33"/>
  <c r="I83"/>
  <c r="P83"/>
  <c r="N83"/>
  <c r="O83"/>
  <c r="M83"/>
  <c r="R32"/>
  <c r="I82"/>
  <c r="P82"/>
  <c r="N82"/>
  <c r="O82"/>
  <c r="M82"/>
  <c r="R31"/>
  <c r="I81"/>
  <c r="P81"/>
  <c r="N81"/>
  <c r="O81"/>
  <c r="M81"/>
  <c r="R30"/>
  <c r="I80"/>
  <c r="P80"/>
  <c r="N80"/>
  <c r="O80"/>
  <c r="M80"/>
  <c r="P79"/>
  <c r="N79"/>
  <c r="O79"/>
  <c r="M79"/>
  <c r="P78"/>
  <c r="N78"/>
  <c r="M78"/>
  <c r="P77"/>
  <c r="N77"/>
  <c r="M77"/>
  <c r="P76"/>
  <c r="N76"/>
  <c r="M76"/>
  <c r="P75"/>
  <c r="N75"/>
  <c r="M75"/>
  <c r="P74"/>
  <c r="N74"/>
  <c r="M74"/>
  <c r="P73"/>
  <c r="N73"/>
  <c r="M73"/>
  <c r="P72"/>
  <c r="O72"/>
  <c r="M72"/>
  <c r="P71"/>
  <c r="N71"/>
  <c r="O71"/>
  <c r="M71"/>
  <c r="P70"/>
  <c r="N70"/>
  <c r="O70"/>
  <c r="M70"/>
  <c r="P69"/>
  <c r="N69"/>
  <c r="O69"/>
  <c r="M69"/>
  <c r="P68"/>
  <c r="N68"/>
  <c r="O68"/>
  <c r="M68"/>
  <c r="P67"/>
  <c r="N67"/>
  <c r="O67"/>
  <c r="M67"/>
  <c r="P66"/>
  <c r="N66"/>
  <c r="O66"/>
  <c r="M66"/>
  <c r="P65"/>
  <c r="N65"/>
  <c r="O65"/>
  <c r="M65"/>
  <c r="P64"/>
  <c r="N64"/>
  <c r="O64"/>
  <c r="M64"/>
  <c r="P63"/>
  <c r="N63"/>
  <c r="O63"/>
  <c r="M63"/>
  <c r="U104"/>
  <c r="U103"/>
  <c r="U102"/>
  <c r="U101"/>
  <c r="U100"/>
  <c r="U99"/>
  <c r="U98"/>
  <c r="U97"/>
  <c r="U96"/>
  <c r="U95"/>
  <c r="U94"/>
  <c r="U93"/>
  <c r="U92"/>
  <c r="U91"/>
  <c r="U90"/>
  <c r="U89"/>
  <c r="U88"/>
  <c r="U87"/>
  <c r="U86"/>
  <c r="U85"/>
  <c r="U84"/>
  <c r="U83"/>
  <c r="U82"/>
  <c r="U81"/>
  <c r="U80"/>
  <c r="U79"/>
  <c r="U78"/>
  <c r="U77"/>
  <c r="U76"/>
  <c r="U75"/>
  <c r="U74"/>
  <c r="U73"/>
  <c r="U72"/>
  <c r="U71"/>
  <c r="U70"/>
  <c r="U69"/>
  <c r="U68"/>
  <c r="U67"/>
  <c r="U66"/>
  <c r="U65"/>
  <c r="U64"/>
  <c r="U63"/>
  <c r="E19" i="19"/>
  <c r="H8"/>
  <c r="E29"/>
  <c r="J8"/>
  <c r="E34"/>
  <c r="K8"/>
  <c r="E39"/>
  <c r="L8"/>
  <c r="E44"/>
  <c r="M8"/>
  <c r="E49"/>
  <c r="N8"/>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E54"/>
  <c r="O8"/>
  <c r="P8"/>
  <c r="E14"/>
  <c r="G8"/>
  <c r="Q8"/>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R8"/>
  <c r="L106"/>
  <c r="I106"/>
  <c r="T105"/>
  <c r="R105"/>
  <c r="Q105"/>
  <c r="T104"/>
  <c r="R104"/>
  <c r="Q104"/>
  <c r="T103"/>
  <c r="R103"/>
  <c r="Q103"/>
  <c r="T102"/>
  <c r="R102"/>
  <c r="Q102"/>
  <c r="T101"/>
  <c r="R101"/>
  <c r="Q101"/>
  <c r="T100"/>
  <c r="R100"/>
  <c r="Q100"/>
  <c r="T99"/>
  <c r="R99"/>
  <c r="Q99"/>
  <c r="T98"/>
  <c r="R98"/>
  <c r="Q98"/>
  <c r="T97"/>
  <c r="R97"/>
  <c r="Q97"/>
  <c r="T96"/>
  <c r="R96"/>
  <c r="Q96"/>
  <c r="T95"/>
  <c r="R95"/>
  <c r="Q95"/>
  <c r="T94"/>
  <c r="R94"/>
  <c r="Q94"/>
  <c r="T93"/>
  <c r="R93"/>
  <c r="Q93"/>
  <c r="T92"/>
  <c r="R92"/>
  <c r="Q92"/>
  <c r="T91"/>
  <c r="R91"/>
  <c r="Q91"/>
  <c r="T90"/>
  <c r="R90"/>
  <c r="Q90"/>
  <c r="T89"/>
  <c r="R89"/>
  <c r="Q89"/>
  <c r="T88"/>
  <c r="R88"/>
  <c r="Q88"/>
  <c r="T87"/>
  <c r="R87"/>
  <c r="Q87"/>
  <c r="T86"/>
  <c r="R86"/>
  <c r="Q86"/>
  <c r="T85"/>
  <c r="R85"/>
  <c r="Q85"/>
  <c r="T84"/>
  <c r="R84"/>
  <c r="Q84"/>
  <c r="T83"/>
  <c r="R83"/>
  <c r="Q83"/>
  <c r="T82"/>
  <c r="R82"/>
  <c r="Q82"/>
  <c r="T81"/>
  <c r="R81"/>
  <c r="Q81"/>
  <c r="T80"/>
  <c r="R80"/>
  <c r="Q80"/>
  <c r="T79"/>
  <c r="R79"/>
  <c r="Q79"/>
  <c r="T78"/>
  <c r="R78"/>
  <c r="Q78"/>
  <c r="T77"/>
  <c r="R77"/>
  <c r="Q77"/>
  <c r="T76"/>
  <c r="R76"/>
  <c r="Q76"/>
  <c r="T75"/>
  <c r="R75"/>
  <c r="Q75"/>
  <c r="T74"/>
  <c r="R74"/>
  <c r="Q74"/>
  <c r="T73"/>
  <c r="R73"/>
  <c r="Q73"/>
  <c r="T72"/>
  <c r="R72"/>
  <c r="Q72"/>
  <c r="T71"/>
  <c r="T70"/>
  <c r="T69"/>
  <c r="T68"/>
  <c r="T67"/>
  <c r="T66"/>
  <c r="T65"/>
  <c r="T64"/>
  <c r="T106"/>
  <c r="D54"/>
  <c r="B56"/>
  <c r="P55"/>
  <c r="O55"/>
  <c r="V105"/>
  <c r="L55"/>
  <c r="I55"/>
  <c r="P54"/>
  <c r="O54"/>
  <c r="V104"/>
  <c r="L54"/>
  <c r="I54"/>
  <c r="O53"/>
  <c r="R53"/>
  <c r="P53"/>
  <c r="V103"/>
  <c r="L53"/>
  <c r="I53"/>
  <c r="F53"/>
  <c r="P52"/>
  <c r="O52"/>
  <c r="V102"/>
  <c r="L52"/>
  <c r="I52"/>
  <c r="F52"/>
  <c r="O51"/>
  <c r="R51"/>
  <c r="P51"/>
  <c r="V101"/>
  <c r="L51"/>
  <c r="I51"/>
  <c r="F51"/>
  <c r="P50"/>
  <c r="O50"/>
  <c r="V100"/>
  <c r="L50"/>
  <c r="I50"/>
  <c r="F50"/>
  <c r="O49"/>
  <c r="R49"/>
  <c r="P49"/>
  <c r="V99"/>
  <c r="L49"/>
  <c r="I49"/>
  <c r="D49"/>
  <c r="F49"/>
  <c r="P48"/>
  <c r="O48"/>
  <c r="V98"/>
  <c r="L48"/>
  <c r="I48"/>
  <c r="F48"/>
  <c r="O47"/>
  <c r="R47"/>
  <c r="P47"/>
  <c r="V97"/>
  <c r="L47"/>
  <c r="I47"/>
  <c r="F47"/>
  <c r="P46"/>
  <c r="O46"/>
  <c r="V96"/>
  <c r="L46"/>
  <c r="I46"/>
  <c r="F46"/>
  <c r="O45"/>
  <c r="R45"/>
  <c r="P45"/>
  <c r="V95"/>
  <c r="L45"/>
  <c r="I45"/>
  <c r="F45"/>
  <c r="P44"/>
  <c r="O44"/>
  <c r="V94"/>
  <c r="L44"/>
  <c r="I44"/>
  <c r="D44"/>
  <c r="F44"/>
  <c r="O43"/>
  <c r="R43"/>
  <c r="P43"/>
  <c r="V93"/>
  <c r="L43"/>
  <c r="I43"/>
  <c r="F43"/>
  <c r="P42"/>
  <c r="O42"/>
  <c r="V92"/>
  <c r="L42"/>
  <c r="I42"/>
  <c r="F42"/>
  <c r="O41"/>
  <c r="R41"/>
  <c r="P41"/>
  <c r="V91"/>
  <c r="L41"/>
  <c r="I41"/>
  <c r="F41"/>
  <c r="P40"/>
  <c r="O40"/>
  <c r="V90"/>
  <c r="L40"/>
  <c r="I40"/>
  <c r="F40"/>
  <c r="O39"/>
  <c r="R39"/>
  <c r="P39"/>
  <c r="V89"/>
  <c r="L39"/>
  <c r="I39"/>
  <c r="D39"/>
  <c r="F39"/>
  <c r="P38"/>
  <c r="O38"/>
  <c r="V88"/>
  <c r="L38"/>
  <c r="I38"/>
  <c r="F38"/>
  <c r="O37"/>
  <c r="R37"/>
  <c r="P37"/>
  <c r="V87"/>
  <c r="L37"/>
  <c r="I37"/>
  <c r="F37"/>
  <c r="P36"/>
  <c r="O36"/>
  <c r="V86"/>
  <c r="L36"/>
  <c r="I36"/>
  <c r="F36"/>
  <c r="O35"/>
  <c r="R35"/>
  <c r="P35"/>
  <c r="V85"/>
  <c r="L35"/>
  <c r="I35"/>
  <c r="F35"/>
  <c r="P34"/>
  <c r="O34"/>
  <c r="V84"/>
  <c r="L34"/>
  <c r="I34"/>
  <c r="D34"/>
  <c r="F34"/>
  <c r="O33"/>
  <c r="R33"/>
  <c r="P33"/>
  <c r="V83"/>
  <c r="L33"/>
  <c r="I33"/>
  <c r="F33"/>
  <c r="P32"/>
  <c r="O32"/>
  <c r="V82"/>
  <c r="L32"/>
  <c r="I32"/>
  <c r="F32"/>
  <c r="O31"/>
  <c r="R31"/>
  <c r="P31"/>
  <c r="V81"/>
  <c r="L31"/>
  <c r="I31"/>
  <c r="F31"/>
  <c r="P30"/>
  <c r="O30"/>
  <c r="V80"/>
  <c r="L30"/>
  <c r="I30"/>
  <c r="F30"/>
  <c r="O29"/>
  <c r="R29"/>
  <c r="P29"/>
  <c r="V79"/>
  <c r="L29"/>
  <c r="I29"/>
  <c r="D29"/>
  <c r="F29"/>
  <c r="P28"/>
  <c r="O28"/>
  <c r="V78"/>
  <c r="L28"/>
  <c r="I28"/>
  <c r="P27"/>
  <c r="O27"/>
  <c r="V77"/>
  <c r="L27"/>
  <c r="I27"/>
  <c r="P26"/>
  <c r="O26"/>
  <c r="V76"/>
  <c r="L26"/>
  <c r="I26"/>
  <c r="O25"/>
  <c r="R25"/>
  <c r="P25"/>
  <c r="V75"/>
  <c r="L25"/>
  <c r="I25"/>
  <c r="P24"/>
  <c r="O24"/>
  <c r="V74"/>
  <c r="L24"/>
  <c r="I24"/>
  <c r="P23"/>
  <c r="O23"/>
  <c r="V73"/>
  <c r="L23"/>
  <c r="I23"/>
  <c r="F23"/>
  <c r="O22"/>
  <c r="R22"/>
  <c r="P22"/>
  <c r="V72"/>
  <c r="L22"/>
  <c r="I22"/>
  <c r="F22"/>
  <c r="P21"/>
  <c r="O21"/>
  <c r="V71"/>
  <c r="L21"/>
  <c r="I21"/>
  <c r="F21"/>
  <c r="O20"/>
  <c r="R20"/>
  <c r="R70"/>
  <c r="P20"/>
  <c r="V70"/>
  <c r="L20"/>
  <c r="I20"/>
  <c r="F20"/>
  <c r="P19"/>
  <c r="O19"/>
  <c r="V69"/>
  <c r="L19"/>
  <c r="I19"/>
  <c r="E26"/>
  <c r="D19"/>
  <c r="D26"/>
  <c r="O18"/>
  <c r="R18"/>
  <c r="R68"/>
  <c r="P18"/>
  <c r="V68"/>
  <c r="L18"/>
  <c r="I18"/>
  <c r="F18"/>
  <c r="P17"/>
  <c r="O17"/>
  <c r="V67"/>
  <c r="L17"/>
  <c r="I17"/>
  <c r="F17"/>
  <c r="O16"/>
  <c r="R16"/>
  <c r="R66"/>
  <c r="P16"/>
  <c r="V66"/>
  <c r="L16"/>
  <c r="I16"/>
  <c r="F16"/>
  <c r="P15"/>
  <c r="O15"/>
  <c r="V65"/>
  <c r="L15"/>
  <c r="I15"/>
  <c r="F15"/>
  <c r="O14"/>
  <c r="R14"/>
  <c r="R64"/>
  <c r="P14"/>
  <c r="P56"/>
  <c r="R6"/>
  <c r="G106"/>
  <c r="L14"/>
  <c r="I14"/>
  <c r="E56"/>
  <c r="E58"/>
  <c r="D14"/>
  <c r="D25"/>
  <c r="C9"/>
  <c r="C8"/>
  <c r="P6"/>
  <c r="P9"/>
  <c r="N6"/>
  <c r="N9"/>
  <c r="M6"/>
  <c r="M9"/>
  <c r="L6"/>
  <c r="L9"/>
  <c r="K6"/>
  <c r="K9"/>
  <c r="J6"/>
  <c r="H6"/>
  <c r="H9"/>
  <c r="G6"/>
  <c r="G9"/>
  <c r="U5"/>
  <c r="T5"/>
  <c r="S5"/>
  <c r="R5"/>
  <c r="V5" s="1"/>
  <c r="C5"/>
  <c r="H2" s="1"/>
  <c r="C3"/>
  <c r="G2"/>
  <c r="O19" i="13"/>
  <c r="R19"/>
  <c r="R69"/>
  <c r="Q69"/>
  <c r="O18"/>
  <c r="R18"/>
  <c r="R68"/>
  <c r="Q68"/>
  <c r="O17"/>
  <c r="R17"/>
  <c r="R67"/>
  <c r="Q67"/>
  <c r="O16"/>
  <c r="R16"/>
  <c r="R66"/>
  <c r="Q66"/>
  <c r="O15"/>
  <c r="R15"/>
  <c r="R65"/>
  <c r="Q65"/>
  <c r="O14"/>
  <c r="R14"/>
  <c r="R64"/>
  <c r="Q64"/>
  <c r="O13"/>
  <c r="R13"/>
  <c r="R63"/>
  <c r="Q63"/>
  <c r="D13"/>
  <c r="E13"/>
  <c r="F13"/>
  <c r="D18"/>
  <c r="E18"/>
  <c r="F18"/>
  <c r="D24"/>
  <c r="D25"/>
  <c r="D23"/>
  <c r="E24"/>
  <c r="E25"/>
  <c r="E23"/>
  <c r="F23"/>
  <c r="D28"/>
  <c r="E28"/>
  <c r="F28"/>
  <c r="D33"/>
  <c r="E33"/>
  <c r="F33"/>
  <c r="D38"/>
  <c r="E38"/>
  <c r="F38"/>
  <c r="D43"/>
  <c r="E43"/>
  <c r="F43"/>
  <c r="D48"/>
  <c r="E48"/>
  <c r="F48"/>
  <c r="V63"/>
  <c r="V64"/>
  <c r="V65"/>
  <c r="V66"/>
  <c r="V67"/>
  <c r="V68"/>
  <c r="V69"/>
  <c r="O21"/>
  <c r="V71"/>
  <c r="O22"/>
  <c r="V72"/>
  <c r="O23"/>
  <c r="V73"/>
  <c r="O24"/>
  <c r="V74"/>
  <c r="O25"/>
  <c r="V75"/>
  <c r="O26"/>
  <c r="V76"/>
  <c r="O27"/>
  <c r="V77"/>
  <c r="O28"/>
  <c r="V78"/>
  <c r="O29"/>
  <c r="V79"/>
  <c r="O30"/>
  <c r="V80"/>
  <c r="O31"/>
  <c r="V81"/>
  <c r="O32"/>
  <c r="V82"/>
  <c r="O33"/>
  <c r="V83"/>
  <c r="O34"/>
  <c r="V84"/>
  <c r="O35"/>
  <c r="V85"/>
  <c r="O36"/>
  <c r="V86"/>
  <c r="O37"/>
  <c r="V87"/>
  <c r="O38"/>
  <c r="V88"/>
  <c r="O39"/>
  <c r="V89"/>
  <c r="O40"/>
  <c r="V90"/>
  <c r="O41"/>
  <c r="V91"/>
  <c r="O42"/>
  <c r="V92"/>
  <c r="O43"/>
  <c r="V93"/>
  <c r="O44"/>
  <c r="V94"/>
  <c r="O45"/>
  <c r="V95"/>
  <c r="O46"/>
  <c r="V96"/>
  <c r="O47"/>
  <c r="V97"/>
  <c r="O48"/>
  <c r="V98"/>
  <c r="O49"/>
  <c r="V99"/>
  <c r="O50"/>
  <c r="V100"/>
  <c r="O51"/>
  <c r="V101"/>
  <c r="O52"/>
  <c r="V102"/>
  <c r="O53"/>
  <c r="V103"/>
  <c r="O54"/>
  <c r="V104"/>
  <c r="V105"/>
  <c r="F53"/>
  <c r="F55"/>
  <c r="F57"/>
  <c r="P69"/>
  <c r="N69"/>
  <c r="O69"/>
  <c r="M69"/>
  <c r="P68"/>
  <c r="N68"/>
  <c r="O68"/>
  <c r="M68"/>
  <c r="P67"/>
  <c r="N67"/>
  <c r="O67"/>
  <c r="M67"/>
  <c r="P66"/>
  <c r="N66"/>
  <c r="O66"/>
  <c r="M66"/>
  <c r="P65"/>
  <c r="N65"/>
  <c r="O65"/>
  <c r="M65"/>
  <c r="P64"/>
  <c r="N64"/>
  <c r="O64"/>
  <c r="M64"/>
  <c r="P63"/>
  <c r="N63"/>
  <c r="U95" i="12"/>
  <c r="U94"/>
  <c r="U93"/>
  <c r="U92"/>
  <c r="U91"/>
  <c r="U90"/>
  <c r="U89"/>
  <c r="U88"/>
  <c r="U87"/>
  <c r="U86"/>
  <c r="U85"/>
  <c r="U84"/>
  <c r="U83"/>
  <c r="U82"/>
  <c r="U81"/>
  <c r="U80"/>
  <c r="U79"/>
  <c r="U78"/>
  <c r="U77"/>
  <c r="U76"/>
  <c r="U75"/>
  <c r="U74"/>
  <c r="U73"/>
  <c r="U72"/>
  <c r="U71"/>
  <c r="U70"/>
  <c r="U69"/>
  <c r="U68"/>
  <c r="U67"/>
  <c r="U66"/>
  <c r="U65"/>
  <c r="U64"/>
  <c r="U63"/>
  <c r="D13"/>
  <c r="E13"/>
  <c r="F13"/>
  <c r="D18"/>
  <c r="E18"/>
  <c r="F18"/>
  <c r="D23"/>
  <c r="E24"/>
  <c r="E25"/>
  <c r="E23"/>
  <c r="F23"/>
  <c r="D28"/>
  <c r="E28"/>
  <c r="F28"/>
  <c r="D33"/>
  <c r="E33"/>
  <c r="F33"/>
  <c r="D38"/>
  <c r="E38"/>
  <c r="F38"/>
  <c r="D43"/>
  <c r="E43"/>
  <c r="F43"/>
  <c r="D48"/>
  <c r="E48"/>
  <c r="F48"/>
  <c r="O29"/>
  <c r="V79"/>
  <c r="O30"/>
  <c r="V80"/>
  <c r="O31"/>
  <c r="V81"/>
  <c r="O32"/>
  <c r="V82"/>
  <c r="O33"/>
  <c r="V83"/>
  <c r="O34"/>
  <c r="V84"/>
  <c r="O35"/>
  <c r="V85"/>
  <c r="O36"/>
  <c r="V86"/>
  <c r="O37"/>
  <c r="V87"/>
  <c r="O38"/>
  <c r="V88"/>
  <c r="O39"/>
  <c r="V89"/>
  <c r="O40"/>
  <c r="V90"/>
  <c r="O41"/>
  <c r="V91"/>
  <c r="O42"/>
  <c r="V92"/>
  <c r="O43"/>
  <c r="V93"/>
  <c r="O44"/>
  <c r="V94"/>
  <c r="O45"/>
  <c r="V95"/>
  <c r="O46"/>
  <c r="V96"/>
  <c r="O47"/>
  <c r="V97"/>
  <c r="O48"/>
  <c r="V98"/>
  <c r="O49"/>
  <c r="V99"/>
  <c r="O50"/>
  <c r="V100"/>
  <c r="O51"/>
  <c r="V101"/>
  <c r="O52"/>
  <c r="V102"/>
  <c r="O53"/>
  <c r="V103"/>
  <c r="O54"/>
  <c r="V104"/>
  <c r="V105"/>
  <c r="F53"/>
  <c r="F55"/>
  <c r="F57"/>
  <c r="P95"/>
  <c r="O95"/>
  <c r="P94"/>
  <c r="O94"/>
  <c r="P93"/>
  <c r="O93"/>
  <c r="P92"/>
  <c r="O92"/>
  <c r="P91"/>
  <c r="O91"/>
  <c r="P90"/>
  <c r="O90"/>
  <c r="P89"/>
  <c r="O89"/>
  <c r="P88"/>
  <c r="O88"/>
  <c r="P87"/>
  <c r="O87"/>
  <c r="P86"/>
  <c r="O86"/>
  <c r="P85"/>
  <c r="O85"/>
  <c r="P84"/>
  <c r="O84"/>
  <c r="P83"/>
  <c r="O83"/>
  <c r="P82"/>
  <c r="O82"/>
  <c r="P81"/>
  <c r="O81"/>
  <c r="P80"/>
  <c r="O80"/>
  <c r="P79"/>
  <c r="O79"/>
  <c r="O28"/>
  <c r="P78"/>
  <c r="O78"/>
  <c r="O27"/>
  <c r="P77"/>
  <c r="O77"/>
  <c r="O26"/>
  <c r="P76"/>
  <c r="O76"/>
  <c r="O25"/>
  <c r="P75"/>
  <c r="O75"/>
  <c r="O24"/>
  <c r="P74"/>
  <c r="O74"/>
  <c r="O23"/>
  <c r="P73"/>
  <c r="O73"/>
  <c r="O22"/>
  <c r="P72"/>
  <c r="O72"/>
  <c r="O21"/>
  <c r="P71"/>
  <c r="O71"/>
  <c r="O20"/>
  <c r="P70"/>
  <c r="O70"/>
  <c r="O19"/>
  <c r="P69"/>
  <c r="O69"/>
  <c r="O18"/>
  <c r="P68"/>
  <c r="O68"/>
  <c r="O17"/>
  <c r="P67"/>
  <c r="O67"/>
  <c r="O16"/>
  <c r="P66"/>
  <c r="O66"/>
  <c r="O15"/>
  <c r="P65"/>
  <c r="O65"/>
  <c r="O14"/>
  <c r="P64"/>
  <c r="O64"/>
  <c r="O13"/>
  <c r="P63"/>
  <c r="O63"/>
  <c r="N21" i="16"/>
  <c r="Q21"/>
  <c r="N20"/>
  <c r="Q20"/>
  <c r="N19"/>
  <c r="Q19"/>
  <c r="N18"/>
  <c r="Q18"/>
  <c r="N17"/>
  <c r="Q17"/>
  <c r="N16"/>
  <c r="Q16"/>
  <c r="N15"/>
  <c r="Q15"/>
  <c r="N14"/>
  <c r="Q14"/>
  <c r="N13"/>
  <c r="Q13"/>
  <c r="P13"/>
  <c r="P14"/>
  <c r="P15"/>
  <c r="P16"/>
  <c r="P17"/>
  <c r="P18"/>
  <c r="P19"/>
  <c r="P20"/>
  <c r="P21"/>
  <c r="O14"/>
  <c r="O15"/>
  <c r="O16"/>
  <c r="O17"/>
  <c r="O18"/>
  <c r="O19"/>
  <c r="O20"/>
  <c r="O21"/>
  <c r="O13"/>
  <c r="N15" i="10"/>
  <c r="O15"/>
  <c r="R15"/>
  <c r="Q65"/>
  <c r="Q64"/>
  <c r="N13"/>
  <c r="O13"/>
  <c r="R13"/>
  <c r="Q63"/>
  <c r="N8" i="36"/>
  <c r="M8"/>
  <c r="F33"/>
  <c r="H8"/>
  <c r="G8"/>
  <c r="D58"/>
  <c r="O5"/>
  <c r="R8"/>
  <c r="F25"/>
  <c r="E58"/>
  <c r="V7"/>
  <c r="L8"/>
  <c r="F18"/>
  <c r="D24"/>
  <c r="V63"/>
  <c r="V65"/>
  <c r="V67"/>
  <c r="V69"/>
  <c r="V71"/>
  <c r="V83"/>
  <c r="V85"/>
  <c r="V87"/>
  <c r="V89"/>
  <c r="V91"/>
  <c r="V93"/>
  <c r="V95"/>
  <c r="V97"/>
  <c r="V104"/>
  <c r="F13"/>
  <c r="R13"/>
  <c r="P59" i="24"/>
  <c r="Q105" i="18"/>
  <c r="R105"/>
  <c r="P105"/>
  <c r="N105"/>
  <c r="D24" i="19"/>
  <c r="E59"/>
  <c r="F26"/>
  <c r="D59"/>
  <c r="O6"/>
  <c r="T8"/>
  <c r="J9"/>
  <c r="R15"/>
  <c r="R17"/>
  <c r="F19"/>
  <c r="R19"/>
  <c r="R21"/>
  <c r="R23"/>
  <c r="R24"/>
  <c r="E25"/>
  <c r="F25"/>
  <c r="R26"/>
  <c r="R27"/>
  <c r="R28"/>
  <c r="R30"/>
  <c r="R32"/>
  <c r="R34"/>
  <c r="R36"/>
  <c r="R38"/>
  <c r="R40"/>
  <c r="R42"/>
  <c r="R44"/>
  <c r="R46"/>
  <c r="R48"/>
  <c r="R50"/>
  <c r="R52"/>
  <c r="R54"/>
  <c r="R55"/>
  <c r="D56"/>
  <c r="D58"/>
  <c r="Q64"/>
  <c r="V64"/>
  <c r="Q66"/>
  <c r="Q68"/>
  <c r="Q70"/>
  <c r="F14"/>
  <c r="R56"/>
  <c r="R9"/>
  <c r="E13" i="10"/>
  <c r="E24"/>
  <c r="L65"/>
  <c r="F12" i="93"/>
  <c r="E35"/>
  <c r="F12" i="92"/>
  <c r="E35"/>
  <c r="E12" i="91"/>
  <c r="F12"/>
  <c r="G12"/>
  <c r="B38"/>
  <c r="C38"/>
  <c r="E35"/>
  <c r="E12" i="90"/>
  <c r="F12"/>
  <c r="G12"/>
  <c r="B40"/>
  <c r="C40"/>
  <c r="E37"/>
  <c r="E34" i="89"/>
  <c r="G11" i="88"/>
  <c r="G11" i="87"/>
  <c r="H57" i="7" s="1"/>
  <c r="E34" i="87"/>
  <c r="G12" i="86"/>
  <c r="H56" i="7" s="1"/>
  <c r="G11" i="85"/>
  <c r="E34"/>
  <c r="E34" i="83"/>
  <c r="G11" i="82"/>
  <c r="H66" i="6" s="1"/>
  <c r="G11" i="81"/>
  <c r="H65" i="6" s="1"/>
  <c r="G11" i="80"/>
  <c r="E35"/>
  <c r="G12" i="79"/>
  <c r="H49" i="7" s="1"/>
  <c r="G12" i="77"/>
  <c r="E35"/>
  <c r="G11" i="76"/>
  <c r="E34"/>
  <c r="E17" i="70"/>
  <c r="E14"/>
  <c r="E26"/>
  <c r="G11" i="68"/>
  <c r="H58" i="6" s="1"/>
  <c r="G11" i="66"/>
  <c r="E34"/>
  <c r="E34" i="65"/>
  <c r="G11"/>
  <c r="E24" i="59"/>
  <c r="E14"/>
  <c r="E30"/>
  <c r="D18" i="57"/>
  <c r="D39"/>
  <c r="C18"/>
  <c r="C39"/>
  <c r="D39" i="55"/>
  <c r="D36" i="54"/>
  <c r="C36"/>
  <c r="D36" i="53"/>
  <c r="D17" i="52"/>
  <c r="D36"/>
  <c r="D39" i="51"/>
  <c r="D36" i="49"/>
  <c r="C36"/>
  <c r="C36" i="46"/>
  <c r="D36"/>
  <c r="D36" i="44"/>
  <c r="D25" i="43"/>
  <c r="D44"/>
  <c r="E18" i="37"/>
  <c r="E25"/>
  <c r="E13"/>
  <c r="E24"/>
  <c r="E18" i="42"/>
  <c r="E25"/>
  <c r="E13"/>
  <c r="E24"/>
  <c r="E18" i="35"/>
  <c r="E25" s="1"/>
  <c r="F25" s="1"/>
  <c r="E13"/>
  <c r="E24" s="1"/>
  <c r="E18" i="30"/>
  <c r="E25"/>
  <c r="E13"/>
  <c r="E24"/>
  <c r="T104" i="18"/>
  <c r="T103"/>
  <c r="T102"/>
  <c r="T101"/>
  <c r="T100"/>
  <c r="T99"/>
  <c r="T98"/>
  <c r="T97"/>
  <c r="T96"/>
  <c r="T95"/>
  <c r="T94"/>
  <c r="T93"/>
  <c r="T92"/>
  <c r="T91"/>
  <c r="T90"/>
  <c r="T89"/>
  <c r="T88"/>
  <c r="T87"/>
  <c r="T86"/>
  <c r="T85"/>
  <c r="T84"/>
  <c r="T83"/>
  <c r="T82"/>
  <c r="T81"/>
  <c r="T80"/>
  <c r="U105"/>
  <c r="E53"/>
  <c r="T79"/>
  <c r="B55"/>
  <c r="R54"/>
  <c r="L54"/>
  <c r="I54"/>
  <c r="L53"/>
  <c r="I53"/>
  <c r="L52"/>
  <c r="I52"/>
  <c r="F52"/>
  <c r="L51"/>
  <c r="I51"/>
  <c r="F51"/>
  <c r="L50"/>
  <c r="I50"/>
  <c r="F50"/>
  <c r="R49"/>
  <c r="L49"/>
  <c r="I49"/>
  <c r="F49"/>
  <c r="L48"/>
  <c r="I48"/>
  <c r="N7"/>
  <c r="L47"/>
  <c r="I47"/>
  <c r="F47"/>
  <c r="L46"/>
  <c r="I46"/>
  <c r="F46"/>
  <c r="L45"/>
  <c r="I45"/>
  <c r="F45"/>
  <c r="L44"/>
  <c r="I44"/>
  <c r="F44"/>
  <c r="L43"/>
  <c r="I43"/>
  <c r="M5"/>
  <c r="L42"/>
  <c r="I42"/>
  <c r="F42"/>
  <c r="L41"/>
  <c r="I41"/>
  <c r="F41"/>
  <c r="L40"/>
  <c r="I40"/>
  <c r="F40"/>
  <c r="L39"/>
  <c r="I39"/>
  <c r="F39"/>
  <c r="L38"/>
  <c r="I38"/>
  <c r="L37"/>
  <c r="I37"/>
  <c r="F37"/>
  <c r="L36"/>
  <c r="I36"/>
  <c r="F36"/>
  <c r="L35"/>
  <c r="I35"/>
  <c r="F35"/>
  <c r="L34"/>
  <c r="I34"/>
  <c r="F34"/>
  <c r="L33"/>
  <c r="I33"/>
  <c r="L32"/>
  <c r="I32"/>
  <c r="F32"/>
  <c r="L31"/>
  <c r="I31"/>
  <c r="F31"/>
  <c r="L30"/>
  <c r="I30"/>
  <c r="F30"/>
  <c r="R29"/>
  <c r="L29"/>
  <c r="I29"/>
  <c r="F29"/>
  <c r="R28"/>
  <c r="L28"/>
  <c r="I28"/>
  <c r="J7"/>
  <c r="R27"/>
  <c r="L27"/>
  <c r="I27"/>
  <c r="R26"/>
  <c r="L26"/>
  <c r="I26"/>
  <c r="R25"/>
  <c r="L25"/>
  <c r="I25"/>
  <c r="R24"/>
  <c r="L24"/>
  <c r="I24"/>
  <c r="R23"/>
  <c r="L23"/>
  <c r="I23"/>
  <c r="L22"/>
  <c r="I22"/>
  <c r="F22"/>
  <c r="R21"/>
  <c r="L21"/>
  <c r="I21"/>
  <c r="F21"/>
  <c r="R20"/>
  <c r="L20"/>
  <c r="I20"/>
  <c r="F20"/>
  <c r="R19"/>
  <c r="L19"/>
  <c r="I19"/>
  <c r="F19"/>
  <c r="R18"/>
  <c r="L18"/>
  <c r="I18"/>
  <c r="R17"/>
  <c r="L17"/>
  <c r="I17"/>
  <c r="F17"/>
  <c r="R16"/>
  <c r="L16"/>
  <c r="I16"/>
  <c r="F16"/>
  <c r="R15"/>
  <c r="L15"/>
  <c r="I15"/>
  <c r="F15"/>
  <c r="R14"/>
  <c r="L14"/>
  <c r="I14"/>
  <c r="F14"/>
  <c r="R13"/>
  <c r="L13"/>
  <c r="I13"/>
  <c r="P7"/>
  <c r="M7"/>
  <c r="L7"/>
  <c r="K7"/>
  <c r="G7"/>
  <c r="P5"/>
  <c r="P8"/>
  <c r="N5"/>
  <c r="N8"/>
  <c r="L5"/>
  <c r="L8"/>
  <c r="K5"/>
  <c r="K8"/>
  <c r="H5"/>
  <c r="G5"/>
  <c r="R4"/>
  <c r="Q4"/>
  <c r="P4"/>
  <c r="O4"/>
  <c r="S4"/>
  <c r="N4"/>
  <c r="M4"/>
  <c r="L4"/>
  <c r="K4"/>
  <c r="J4"/>
  <c r="I4"/>
  <c r="H4"/>
  <c r="T4"/>
  <c r="G4"/>
  <c r="H1"/>
  <c r="G1"/>
  <c r="S104" i="35"/>
  <c r="T104"/>
  <c r="U104"/>
  <c r="Q104"/>
  <c r="P104"/>
  <c r="S103"/>
  <c r="T103"/>
  <c r="U103"/>
  <c r="Q103"/>
  <c r="P103"/>
  <c r="T102"/>
  <c r="S102"/>
  <c r="U102"/>
  <c r="Q102"/>
  <c r="P102"/>
  <c r="T101"/>
  <c r="S101"/>
  <c r="U101"/>
  <c r="Q101"/>
  <c r="P101"/>
  <c r="S100"/>
  <c r="T100"/>
  <c r="U100"/>
  <c r="Q100"/>
  <c r="P100"/>
  <c r="S99"/>
  <c r="T99"/>
  <c r="U99"/>
  <c r="Q99"/>
  <c r="P99"/>
  <c r="T98"/>
  <c r="S98"/>
  <c r="U98"/>
  <c r="Q98"/>
  <c r="P98"/>
  <c r="T97"/>
  <c r="S97"/>
  <c r="U97"/>
  <c r="Q97"/>
  <c r="P97"/>
  <c r="S96"/>
  <c r="T96"/>
  <c r="U96"/>
  <c r="Q96"/>
  <c r="P96"/>
  <c r="S95"/>
  <c r="T95"/>
  <c r="U95"/>
  <c r="Q95"/>
  <c r="P95"/>
  <c r="T94"/>
  <c r="S94"/>
  <c r="U94"/>
  <c r="Q94"/>
  <c r="P94"/>
  <c r="T93"/>
  <c r="S93"/>
  <c r="U93"/>
  <c r="Q93"/>
  <c r="P93"/>
  <c r="S92"/>
  <c r="T92"/>
  <c r="U92"/>
  <c r="Q92"/>
  <c r="P92"/>
  <c r="S91"/>
  <c r="T91"/>
  <c r="U91"/>
  <c r="Q91"/>
  <c r="P91"/>
  <c r="T90"/>
  <c r="S90"/>
  <c r="U90"/>
  <c r="Q90"/>
  <c r="P90"/>
  <c r="T89"/>
  <c r="S89"/>
  <c r="U89"/>
  <c r="Q89"/>
  <c r="P89"/>
  <c r="S88"/>
  <c r="T88"/>
  <c r="U88"/>
  <c r="Q88"/>
  <c r="P88"/>
  <c r="S87"/>
  <c r="T87"/>
  <c r="U87"/>
  <c r="Q87"/>
  <c r="P87"/>
  <c r="T86"/>
  <c r="S86"/>
  <c r="U86"/>
  <c r="Q86"/>
  <c r="P86"/>
  <c r="T85"/>
  <c r="S85"/>
  <c r="U85"/>
  <c r="Q85"/>
  <c r="P85"/>
  <c r="S84"/>
  <c r="T84"/>
  <c r="U84"/>
  <c r="Q84"/>
  <c r="P84"/>
  <c r="S83"/>
  <c r="T83"/>
  <c r="U83"/>
  <c r="Q83"/>
  <c r="P83"/>
  <c r="T82"/>
  <c r="S82"/>
  <c r="U82"/>
  <c r="Q82"/>
  <c r="P82"/>
  <c r="T81"/>
  <c r="S81"/>
  <c r="U81"/>
  <c r="Q81"/>
  <c r="P81"/>
  <c r="T80"/>
  <c r="S80"/>
  <c r="U80"/>
  <c r="Q80"/>
  <c r="P80"/>
  <c r="T79"/>
  <c r="S79"/>
  <c r="U79"/>
  <c r="Q79"/>
  <c r="P79"/>
  <c r="T78"/>
  <c r="S78"/>
  <c r="U78"/>
  <c r="Q78"/>
  <c r="P78"/>
  <c r="T77"/>
  <c r="S77"/>
  <c r="U77"/>
  <c r="Q77"/>
  <c r="P77"/>
  <c r="T76"/>
  <c r="S76"/>
  <c r="U76"/>
  <c r="Q76"/>
  <c r="P76"/>
  <c r="T75"/>
  <c r="S75"/>
  <c r="U75"/>
  <c r="Q75"/>
  <c r="P75"/>
  <c r="S74"/>
  <c r="T74"/>
  <c r="U74"/>
  <c r="Q74"/>
  <c r="P74"/>
  <c r="T73"/>
  <c r="S73"/>
  <c r="U73"/>
  <c r="Q73"/>
  <c r="P73"/>
  <c r="P105" s="1"/>
  <c r="T72"/>
  <c r="S72"/>
  <c r="U72"/>
  <c r="Q72"/>
  <c r="Q105" s="1"/>
  <c r="P72"/>
  <c r="S71"/>
  <c r="T71"/>
  <c r="U71" s="1"/>
  <c r="T70"/>
  <c r="S70"/>
  <c r="T69"/>
  <c r="S69"/>
  <c r="S68"/>
  <c r="T68"/>
  <c r="U68" s="1"/>
  <c r="S67"/>
  <c r="T67"/>
  <c r="U67"/>
  <c r="T66"/>
  <c r="S66"/>
  <c r="U66"/>
  <c r="T65"/>
  <c r="S65"/>
  <c r="S64"/>
  <c r="T64"/>
  <c r="U64" s="1"/>
  <c r="S63"/>
  <c r="T63"/>
  <c r="U63" s="1"/>
  <c r="T105"/>
  <c r="E53" s="1"/>
  <c r="B55"/>
  <c r="Q54"/>
  <c r="P54"/>
  <c r="O54"/>
  <c r="R54"/>
  <c r="L54"/>
  <c r="I54"/>
  <c r="O53"/>
  <c r="R53"/>
  <c r="Q53"/>
  <c r="P53"/>
  <c r="L53"/>
  <c r="I53"/>
  <c r="Q52"/>
  <c r="P52"/>
  <c r="O52"/>
  <c r="R52"/>
  <c r="L52"/>
  <c r="I52"/>
  <c r="F52"/>
  <c r="O51"/>
  <c r="R51"/>
  <c r="Q51"/>
  <c r="P51"/>
  <c r="L51"/>
  <c r="I51"/>
  <c r="F51"/>
  <c r="Q50"/>
  <c r="P50"/>
  <c r="O50"/>
  <c r="R50"/>
  <c r="L50"/>
  <c r="I50"/>
  <c r="F50"/>
  <c r="Q49"/>
  <c r="P49"/>
  <c r="O49"/>
  <c r="R49"/>
  <c r="L49"/>
  <c r="I49"/>
  <c r="F49"/>
  <c r="Q48"/>
  <c r="P48"/>
  <c r="O48"/>
  <c r="R48"/>
  <c r="L48"/>
  <c r="I48"/>
  <c r="E48"/>
  <c r="N7" s="1"/>
  <c r="M11" i="7" s="1"/>
  <c r="D48" i="35"/>
  <c r="Q47"/>
  <c r="P47"/>
  <c r="O47"/>
  <c r="R47"/>
  <c r="L47"/>
  <c r="I47"/>
  <c r="F47"/>
  <c r="Q46"/>
  <c r="P46"/>
  <c r="O46"/>
  <c r="R46"/>
  <c r="L46"/>
  <c r="I46"/>
  <c r="F46"/>
  <c r="O45"/>
  <c r="R45"/>
  <c r="Q45"/>
  <c r="P45"/>
  <c r="L45"/>
  <c r="I45"/>
  <c r="F45"/>
  <c r="Q44"/>
  <c r="P44"/>
  <c r="O44"/>
  <c r="R44"/>
  <c r="L44"/>
  <c r="I44"/>
  <c r="F44"/>
  <c r="Q43"/>
  <c r="P43"/>
  <c r="O43"/>
  <c r="R43"/>
  <c r="L43"/>
  <c r="I43"/>
  <c r="D43"/>
  <c r="E43"/>
  <c r="F43" s="1"/>
  <c r="Q42"/>
  <c r="P42"/>
  <c r="O42"/>
  <c r="R42"/>
  <c r="L42"/>
  <c r="I42"/>
  <c r="F42"/>
  <c r="Q41"/>
  <c r="P41"/>
  <c r="O41"/>
  <c r="R41"/>
  <c r="L41"/>
  <c r="I41"/>
  <c r="F41"/>
  <c r="Q40"/>
  <c r="P40"/>
  <c r="O40"/>
  <c r="R40"/>
  <c r="L40"/>
  <c r="I40"/>
  <c r="F40"/>
  <c r="O39"/>
  <c r="R39"/>
  <c r="Q39"/>
  <c r="P39"/>
  <c r="L39"/>
  <c r="I39"/>
  <c r="F39"/>
  <c r="Q38"/>
  <c r="P38"/>
  <c r="O38"/>
  <c r="R38"/>
  <c r="L38"/>
  <c r="I38"/>
  <c r="D38"/>
  <c r="E38"/>
  <c r="F38" s="1"/>
  <c r="O37"/>
  <c r="R37"/>
  <c r="Q37"/>
  <c r="P37"/>
  <c r="L37"/>
  <c r="I37"/>
  <c r="F37"/>
  <c r="Q36"/>
  <c r="P36"/>
  <c r="O36"/>
  <c r="R36"/>
  <c r="L36"/>
  <c r="I36"/>
  <c r="F36"/>
  <c r="Q35"/>
  <c r="P35"/>
  <c r="O35"/>
  <c r="R35"/>
  <c r="L35"/>
  <c r="I35"/>
  <c r="F35"/>
  <c r="Q34"/>
  <c r="P34"/>
  <c r="O34"/>
  <c r="R34"/>
  <c r="L34"/>
  <c r="I34"/>
  <c r="F34"/>
  <c r="O33"/>
  <c r="R33"/>
  <c r="Q33"/>
  <c r="P33"/>
  <c r="L33"/>
  <c r="I33"/>
  <c r="E33"/>
  <c r="D33"/>
  <c r="F33" s="1"/>
  <c r="Q32"/>
  <c r="P32"/>
  <c r="O32"/>
  <c r="R32"/>
  <c r="L32"/>
  <c r="I32"/>
  <c r="F32"/>
  <c r="O31"/>
  <c r="R31"/>
  <c r="Q31"/>
  <c r="P31"/>
  <c r="L31"/>
  <c r="I31"/>
  <c r="F31"/>
  <c r="Q30"/>
  <c r="P30"/>
  <c r="O30"/>
  <c r="R30"/>
  <c r="L30"/>
  <c r="I30"/>
  <c r="F30"/>
  <c r="Q29"/>
  <c r="P29"/>
  <c r="O29"/>
  <c r="R29"/>
  <c r="L29"/>
  <c r="I29"/>
  <c r="F29"/>
  <c r="Q28"/>
  <c r="P28"/>
  <c r="O28"/>
  <c r="R28"/>
  <c r="L28"/>
  <c r="I28"/>
  <c r="E28"/>
  <c r="J7" s="1"/>
  <c r="D28"/>
  <c r="Q27"/>
  <c r="P27"/>
  <c r="O27"/>
  <c r="R27"/>
  <c r="L27"/>
  <c r="I27"/>
  <c r="O26"/>
  <c r="R26"/>
  <c r="Q26"/>
  <c r="P26"/>
  <c r="L26"/>
  <c r="I26"/>
  <c r="Q25"/>
  <c r="P25"/>
  <c r="O25"/>
  <c r="R25"/>
  <c r="L25"/>
  <c r="I25"/>
  <c r="Q24"/>
  <c r="P24"/>
  <c r="O24"/>
  <c r="R24"/>
  <c r="L24"/>
  <c r="I24"/>
  <c r="O23"/>
  <c r="R23"/>
  <c r="Q23"/>
  <c r="P23"/>
  <c r="L23"/>
  <c r="I23"/>
  <c r="Q22"/>
  <c r="P22"/>
  <c r="O22"/>
  <c r="R22"/>
  <c r="L22"/>
  <c r="I22"/>
  <c r="F22"/>
  <c r="O21"/>
  <c r="R21" s="1"/>
  <c r="Q21"/>
  <c r="P21"/>
  <c r="L21"/>
  <c r="I21"/>
  <c r="F21"/>
  <c r="Q20"/>
  <c r="P20"/>
  <c r="O20"/>
  <c r="R20" s="1"/>
  <c r="L20"/>
  <c r="I20"/>
  <c r="F20"/>
  <c r="Q19"/>
  <c r="P19"/>
  <c r="O19"/>
  <c r="R19" s="1"/>
  <c r="L19"/>
  <c r="I19"/>
  <c r="F19"/>
  <c r="Q18"/>
  <c r="P18"/>
  <c r="O18"/>
  <c r="R18" s="1"/>
  <c r="L18"/>
  <c r="I18"/>
  <c r="D18"/>
  <c r="D25"/>
  <c r="Q17"/>
  <c r="P17"/>
  <c r="O17"/>
  <c r="R17"/>
  <c r="L17"/>
  <c r="I17"/>
  <c r="F17"/>
  <c r="Q16"/>
  <c r="P16"/>
  <c r="O16"/>
  <c r="R16"/>
  <c r="L16"/>
  <c r="I16"/>
  <c r="F16"/>
  <c r="O15"/>
  <c r="R15" s="1"/>
  <c r="Q15"/>
  <c r="P15"/>
  <c r="L15"/>
  <c r="I15"/>
  <c r="F15"/>
  <c r="Q14"/>
  <c r="Q13"/>
  <c r="P14"/>
  <c r="O14"/>
  <c r="R14" s="1"/>
  <c r="L14"/>
  <c r="I14"/>
  <c r="F14"/>
  <c r="P13"/>
  <c r="P55" s="1"/>
  <c r="R5" s="1"/>
  <c r="O13"/>
  <c r="R13" s="1"/>
  <c r="L13"/>
  <c r="I13"/>
  <c r="D13"/>
  <c r="F13"/>
  <c r="D24"/>
  <c r="P7"/>
  <c r="M7"/>
  <c r="L11" i="7" s="1"/>
  <c r="L23" s="1"/>
  <c r="L25" s="1"/>
  <c r="L7" i="35"/>
  <c r="K11" i="7" s="1"/>
  <c r="K7" i="35"/>
  <c r="J11" i="7" s="1"/>
  <c r="P5" i="35"/>
  <c r="P8"/>
  <c r="N5"/>
  <c r="M5"/>
  <c r="M8" s="1"/>
  <c r="L5"/>
  <c r="L8" s="1"/>
  <c r="J5"/>
  <c r="H5"/>
  <c r="G5"/>
  <c r="R4"/>
  <c r="Q4"/>
  <c r="L4"/>
  <c r="U4"/>
  <c r="P4"/>
  <c r="O4"/>
  <c r="S4"/>
  <c r="N4"/>
  <c r="M4"/>
  <c r="K4"/>
  <c r="J4"/>
  <c r="I4"/>
  <c r="H4"/>
  <c r="T4"/>
  <c r="G4"/>
  <c r="H1"/>
  <c r="G1"/>
  <c r="E13" i="14"/>
  <c r="G7"/>
  <c r="E18"/>
  <c r="H7"/>
  <c r="E24"/>
  <c r="E25"/>
  <c r="E23"/>
  <c r="I7"/>
  <c r="E28"/>
  <c r="J7"/>
  <c r="E33"/>
  <c r="K7"/>
  <c r="E38"/>
  <c r="L7"/>
  <c r="E43"/>
  <c r="M7"/>
  <c r="E48"/>
  <c r="N7"/>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E53"/>
  <c r="O7"/>
  <c r="P7"/>
  <c r="Q7"/>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R7"/>
  <c r="E13" i="26"/>
  <c r="G7"/>
  <c r="E18"/>
  <c r="H7"/>
  <c r="E24"/>
  <c r="E25"/>
  <c r="E23"/>
  <c r="I7"/>
  <c r="E28"/>
  <c r="J7"/>
  <c r="E33"/>
  <c r="K7"/>
  <c r="E38"/>
  <c r="L7"/>
  <c r="E43"/>
  <c r="M7"/>
  <c r="E48"/>
  <c r="N7"/>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E53"/>
  <c r="O7"/>
  <c r="P7"/>
  <c r="Q7"/>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R7"/>
  <c r="D8" i="43"/>
  <c r="D32"/>
  <c r="G8"/>
  <c r="D61"/>
  <c r="H8"/>
  <c r="D40"/>
  <c r="I8"/>
  <c r="J8"/>
  <c r="D16"/>
  <c r="K8" s="1"/>
  <c r="C8" i="44"/>
  <c r="D8"/>
  <c r="F8"/>
  <c r="D24"/>
  <c r="G8"/>
  <c r="D47"/>
  <c r="H8"/>
  <c r="D32"/>
  <c r="I8"/>
  <c r="J8"/>
  <c r="K8"/>
  <c r="C8" i="45"/>
  <c r="D8"/>
  <c r="F8"/>
  <c r="D24"/>
  <c r="G8"/>
  <c r="D44"/>
  <c r="H8"/>
  <c r="D32"/>
  <c r="I8"/>
  <c r="J8"/>
  <c r="K8"/>
  <c r="N32" i="6" s="1"/>
  <c r="C8" i="46"/>
  <c r="D8"/>
  <c r="F8"/>
  <c r="D24"/>
  <c r="G8"/>
  <c r="D42"/>
  <c r="H8"/>
  <c r="D32"/>
  <c r="I8"/>
  <c r="J8"/>
  <c r="K8"/>
  <c r="C8" i="48"/>
  <c r="D8"/>
  <c r="E8"/>
  <c r="F8"/>
  <c r="G8"/>
  <c r="H8"/>
  <c r="K35" i="6" s="1"/>
  <c r="I8" i="48"/>
  <c r="J8"/>
  <c r="K8"/>
  <c r="L8"/>
  <c r="P35" i="6" s="1"/>
  <c r="H31" i="5" s="1"/>
  <c r="C8" i="49"/>
  <c r="D8"/>
  <c r="F8"/>
  <c r="G8"/>
  <c r="H8"/>
  <c r="D32"/>
  <c r="I8" s="1"/>
  <c r="J8"/>
  <c r="M36" i="6" s="1"/>
  <c r="K8" i="49"/>
  <c r="C8" i="50"/>
  <c r="D8"/>
  <c r="F8"/>
  <c r="D28"/>
  <c r="G8"/>
  <c r="D53"/>
  <c r="H8"/>
  <c r="D36"/>
  <c r="I8"/>
  <c r="J8"/>
  <c r="D16"/>
  <c r="K8"/>
  <c r="D77"/>
  <c r="E11" i="56"/>
  <c r="F11"/>
  <c r="G11"/>
  <c r="H11"/>
  <c r="I11"/>
  <c r="J11"/>
  <c r="K43" i="6" s="1"/>
  <c r="K45" s="1"/>
  <c r="K11" i="56"/>
  <c r="L11"/>
  <c r="O11"/>
  <c r="C6" i="57"/>
  <c r="C9"/>
  <c r="F44" i="6" s="1"/>
  <c r="G44"/>
  <c r="I44"/>
  <c r="J44"/>
  <c r="K44"/>
  <c r="L44"/>
  <c r="M44"/>
  <c r="N44"/>
  <c r="G7" i="59"/>
  <c r="H7"/>
  <c r="J7"/>
  <c r="E40"/>
  <c r="K7"/>
  <c r="E45"/>
  <c r="L7"/>
  <c r="E50"/>
  <c r="M7"/>
  <c r="N7"/>
  <c r="O7"/>
  <c r="P7"/>
  <c r="E19" i="60"/>
  <c r="H7"/>
  <c r="D29"/>
  <c r="J5"/>
  <c r="D34"/>
  <c r="K5"/>
  <c r="E34"/>
  <c r="K7"/>
  <c r="K8"/>
  <c r="D39"/>
  <c r="L5"/>
  <c r="D50"/>
  <c r="N5"/>
  <c r="E50"/>
  <c r="N7"/>
  <c r="N8"/>
  <c r="O8"/>
  <c r="P8"/>
  <c r="E14" i="61"/>
  <c r="G7"/>
  <c r="E19"/>
  <c r="H7"/>
  <c r="E24"/>
  <c r="I7"/>
  <c r="E29"/>
  <c r="J7"/>
  <c r="E34"/>
  <c r="K7"/>
  <c r="E39"/>
  <c r="L7"/>
  <c r="E44"/>
  <c r="M7"/>
  <c r="E50"/>
  <c r="N7"/>
  <c r="O7"/>
  <c r="P7"/>
  <c r="Q7"/>
  <c r="J7" i="62"/>
  <c r="E33"/>
  <c r="K7"/>
  <c r="E38"/>
  <c r="L7"/>
  <c r="E48"/>
  <c r="N7"/>
  <c r="O7"/>
  <c r="E11" i="64"/>
  <c r="F11"/>
  <c r="G11"/>
  <c r="H11"/>
  <c r="I11"/>
  <c r="J11"/>
  <c r="K11"/>
  <c r="L11"/>
  <c r="N11"/>
  <c r="E11" i="65"/>
  <c r="F11"/>
  <c r="H11"/>
  <c r="I11"/>
  <c r="J11"/>
  <c r="K11"/>
  <c r="L11"/>
  <c r="F11" i="66"/>
  <c r="H11"/>
  <c r="L11"/>
  <c r="E11" i="68"/>
  <c r="F58" i="6" s="1"/>
  <c r="F11" i="68"/>
  <c r="H11"/>
  <c r="I11"/>
  <c r="J11"/>
  <c r="K58" i="6" s="1"/>
  <c r="K11" i="68"/>
  <c r="L11"/>
  <c r="E11" i="80"/>
  <c r="F11"/>
  <c r="H11"/>
  <c r="I11"/>
  <c r="J11"/>
  <c r="K11"/>
  <c r="L11"/>
  <c r="E11" i="81"/>
  <c r="F65" i="6" s="1"/>
  <c r="F11" i="81"/>
  <c r="H11"/>
  <c r="I11"/>
  <c r="J11"/>
  <c r="K65" i="6" s="1"/>
  <c r="K11" i="81"/>
  <c r="L11"/>
  <c r="E11" i="82"/>
  <c r="F66" i="6" s="1"/>
  <c r="F11" i="82"/>
  <c r="H11"/>
  <c r="I11"/>
  <c r="J11"/>
  <c r="K66" i="6" s="1"/>
  <c r="K11" i="82"/>
  <c r="L11"/>
  <c r="F11" i="83"/>
  <c r="H11"/>
  <c r="F11" i="84"/>
  <c r="H11"/>
  <c r="K11"/>
  <c r="L11"/>
  <c r="H12" i="90"/>
  <c r="I12"/>
  <c r="J12"/>
  <c r="K12"/>
  <c r="M12"/>
  <c r="H12" i="91"/>
  <c r="I12"/>
  <c r="J12"/>
  <c r="K12"/>
  <c r="L12"/>
  <c r="M12"/>
  <c r="M12" i="92"/>
  <c r="H12" i="93"/>
  <c r="I12"/>
  <c r="J12"/>
  <c r="K12"/>
  <c r="L12"/>
  <c r="M12"/>
  <c r="G7" i="30"/>
  <c r="H7"/>
  <c r="E28"/>
  <c r="J7"/>
  <c r="E33"/>
  <c r="K7"/>
  <c r="E38"/>
  <c r="L7"/>
  <c r="E43"/>
  <c r="M7"/>
  <c r="E48"/>
  <c r="N7"/>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E53"/>
  <c r="O7"/>
  <c r="P7"/>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R7"/>
  <c r="G7" i="42"/>
  <c r="H7"/>
  <c r="E28"/>
  <c r="J7"/>
  <c r="E33"/>
  <c r="K7"/>
  <c r="E38"/>
  <c r="L7"/>
  <c r="E43"/>
  <c r="M7"/>
  <c r="E48"/>
  <c r="N7"/>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E53"/>
  <c r="O7"/>
  <c r="P7"/>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R7"/>
  <c r="G7" i="37"/>
  <c r="H7"/>
  <c r="E28"/>
  <c r="J7"/>
  <c r="E33"/>
  <c r="K7"/>
  <c r="E38"/>
  <c r="L7"/>
  <c r="E43"/>
  <c r="M7"/>
  <c r="E48"/>
  <c r="N7"/>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E53"/>
  <c r="O7"/>
  <c r="P7"/>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R7"/>
  <c r="C8" i="51"/>
  <c r="D8"/>
  <c r="F8"/>
  <c r="D27"/>
  <c r="G8"/>
  <c r="D50"/>
  <c r="H8"/>
  <c r="D35"/>
  <c r="I8"/>
  <c r="J8"/>
  <c r="D16"/>
  <c r="K8"/>
  <c r="D62"/>
  <c r="C8" i="52"/>
  <c r="D8"/>
  <c r="F8"/>
  <c r="D24"/>
  <c r="G8"/>
  <c r="D44"/>
  <c r="H8"/>
  <c r="D32"/>
  <c r="I8"/>
  <c r="J8"/>
  <c r="K8"/>
  <c r="N31" i="7" s="1"/>
  <c r="C8" i="53"/>
  <c r="D8"/>
  <c r="F8"/>
  <c r="D24"/>
  <c r="G8"/>
  <c r="D46"/>
  <c r="H8"/>
  <c r="I8"/>
  <c r="J8"/>
  <c r="K8"/>
  <c r="C8" i="54"/>
  <c r="D8"/>
  <c r="F8"/>
  <c r="D24"/>
  <c r="G8"/>
  <c r="D40"/>
  <c r="H8"/>
  <c r="D32"/>
  <c r="I8"/>
  <c r="J8"/>
  <c r="K8"/>
  <c r="C8" i="55"/>
  <c r="D8"/>
  <c r="F8"/>
  <c r="D27"/>
  <c r="G8"/>
  <c r="D49"/>
  <c r="H8"/>
  <c r="D35"/>
  <c r="I8"/>
  <c r="J8"/>
  <c r="D16"/>
  <c r="K8"/>
  <c r="D64"/>
  <c r="G7" i="70"/>
  <c r="E20"/>
  <c r="H7"/>
  <c r="E30"/>
  <c r="J7"/>
  <c r="E35"/>
  <c r="K7"/>
  <c r="E40"/>
  <c r="L7"/>
  <c r="E45"/>
  <c r="M7"/>
  <c r="E50"/>
  <c r="N7"/>
  <c r="O7"/>
  <c r="P7"/>
  <c r="E19" i="71"/>
  <c r="H7"/>
  <c r="E34"/>
  <c r="K7"/>
  <c r="E39"/>
  <c r="L7"/>
  <c r="E45"/>
  <c r="M7"/>
  <c r="E50"/>
  <c r="N7"/>
  <c r="O7"/>
  <c r="P7"/>
  <c r="E17" i="72"/>
  <c r="G10"/>
  <c r="E22"/>
  <c r="H10"/>
  <c r="E27"/>
  <c r="I10"/>
  <c r="E32"/>
  <c r="J10"/>
  <c r="E37"/>
  <c r="K10"/>
  <c r="E42"/>
  <c r="L10"/>
  <c r="E47"/>
  <c r="M10"/>
  <c r="E53"/>
  <c r="N10"/>
  <c r="O10"/>
  <c r="P10"/>
  <c r="Q10"/>
  <c r="E18" i="73"/>
  <c r="H7"/>
  <c r="J7"/>
  <c r="E33"/>
  <c r="K7"/>
  <c r="E38"/>
  <c r="L7"/>
  <c r="E48"/>
  <c r="N7"/>
  <c r="O7"/>
  <c r="P7"/>
  <c r="E11" i="75"/>
  <c r="F11"/>
  <c r="G11"/>
  <c r="H11"/>
  <c r="I11"/>
  <c r="J11"/>
  <c r="K11"/>
  <c r="L11"/>
  <c r="N11"/>
  <c r="E11" i="76"/>
  <c r="F11"/>
  <c r="H11"/>
  <c r="I11"/>
  <c r="J11"/>
  <c r="K11"/>
  <c r="L11"/>
  <c r="F12" i="77"/>
  <c r="H12"/>
  <c r="L12"/>
  <c r="E12" i="79"/>
  <c r="F49" i="7" s="1"/>
  <c r="F12" i="79"/>
  <c r="H12"/>
  <c r="I12"/>
  <c r="J12"/>
  <c r="K49" i="7" s="1"/>
  <c r="K12" i="79"/>
  <c r="L12"/>
  <c r="E11" i="85"/>
  <c r="F11"/>
  <c r="H11"/>
  <c r="I11"/>
  <c r="J11"/>
  <c r="K11"/>
  <c r="L11"/>
  <c r="E12" i="86"/>
  <c r="F56" i="7" s="1"/>
  <c r="F12" i="86"/>
  <c r="H12"/>
  <c r="I12"/>
  <c r="J12"/>
  <c r="K56" i="7" s="1"/>
  <c r="K12" i="86"/>
  <c r="L12"/>
  <c r="E11" i="87"/>
  <c r="F57" i="7" s="1"/>
  <c r="F11" i="87"/>
  <c r="H11"/>
  <c r="I11"/>
  <c r="J11"/>
  <c r="K57" i="7" s="1"/>
  <c r="K11" i="87"/>
  <c r="L11"/>
  <c r="F11" i="89"/>
  <c r="H11"/>
  <c r="I11"/>
  <c r="J11"/>
  <c r="K11"/>
  <c r="L11"/>
  <c r="J73" i="4"/>
  <c r="J72"/>
  <c r="J69"/>
  <c r="H69"/>
  <c r="E84" i="88"/>
  <c r="E75"/>
  <c r="E67"/>
  <c r="E59"/>
  <c r="E51"/>
  <c r="E43"/>
  <c r="E38"/>
  <c r="E27"/>
  <c r="E21"/>
  <c r="M12"/>
  <c r="L11"/>
  <c r="K11"/>
  <c r="J11"/>
  <c r="I11"/>
  <c r="H11"/>
  <c r="F11"/>
  <c r="E11"/>
  <c r="N11"/>
  <c r="L9"/>
  <c r="L12"/>
  <c r="K9"/>
  <c r="K12"/>
  <c r="J9"/>
  <c r="J12"/>
  <c r="I9"/>
  <c r="I12"/>
  <c r="H9"/>
  <c r="H12"/>
  <c r="G9"/>
  <c r="G12"/>
  <c r="F9"/>
  <c r="F12"/>
  <c r="E9"/>
  <c r="E12"/>
  <c r="O8"/>
  <c r="E84" i="83"/>
  <c r="E75"/>
  <c r="E67"/>
  <c r="E59"/>
  <c r="E51"/>
  <c r="E43"/>
  <c r="E38"/>
  <c r="E27"/>
  <c r="E21"/>
  <c r="M12"/>
  <c r="L9"/>
  <c r="L12"/>
  <c r="K9"/>
  <c r="K12"/>
  <c r="J9"/>
  <c r="J12"/>
  <c r="I9"/>
  <c r="I12"/>
  <c r="H9"/>
  <c r="H12"/>
  <c r="G9"/>
  <c r="G12"/>
  <c r="F9"/>
  <c r="F12"/>
  <c r="E9"/>
  <c r="E12"/>
  <c r="O8"/>
  <c r="J91" i="4"/>
  <c r="J92"/>
  <c r="J93"/>
  <c r="J94"/>
  <c r="J90"/>
  <c r="H86"/>
  <c r="J86"/>
  <c r="K86"/>
  <c r="H70"/>
  <c r="H71"/>
  <c r="J71"/>
  <c r="H72"/>
  <c r="H38"/>
  <c r="J38"/>
  <c r="K38" i="5"/>
  <c r="K38" i="4" s="1"/>
  <c r="J39"/>
  <c r="J37"/>
  <c r="I30"/>
  <c r="J30"/>
  <c r="I31"/>
  <c r="J31"/>
  <c r="G32"/>
  <c r="I32"/>
  <c r="I9"/>
  <c r="J9"/>
  <c r="I11"/>
  <c r="J11"/>
  <c r="I12"/>
  <c r="J12"/>
  <c r="I20"/>
  <c r="J20"/>
  <c r="I23"/>
  <c r="J23"/>
  <c r="F9" i="89"/>
  <c r="F12"/>
  <c r="G9"/>
  <c r="G12"/>
  <c r="H9"/>
  <c r="H12"/>
  <c r="I9"/>
  <c r="I12"/>
  <c r="J9"/>
  <c r="J12"/>
  <c r="K9"/>
  <c r="K12"/>
  <c r="L9"/>
  <c r="L12"/>
  <c r="M12"/>
  <c r="E9"/>
  <c r="E12"/>
  <c r="F9" i="87"/>
  <c r="F12"/>
  <c r="G9"/>
  <c r="G12"/>
  <c r="H9"/>
  <c r="H12"/>
  <c r="I9"/>
  <c r="I12"/>
  <c r="J9"/>
  <c r="J12"/>
  <c r="K9"/>
  <c r="K12"/>
  <c r="L9"/>
  <c r="L12"/>
  <c r="M12"/>
  <c r="E9"/>
  <c r="E12"/>
  <c r="F10" i="86"/>
  <c r="F13"/>
  <c r="G10"/>
  <c r="G13"/>
  <c r="H10"/>
  <c r="H13"/>
  <c r="I10"/>
  <c r="I13"/>
  <c r="J10"/>
  <c r="J13"/>
  <c r="K10"/>
  <c r="K13"/>
  <c r="L10"/>
  <c r="L13"/>
  <c r="M13"/>
  <c r="E10"/>
  <c r="E13"/>
  <c r="F9" i="85"/>
  <c r="F12"/>
  <c r="G9"/>
  <c r="G12"/>
  <c r="H9"/>
  <c r="H12"/>
  <c r="I9"/>
  <c r="I12"/>
  <c r="J9"/>
  <c r="J12"/>
  <c r="K9"/>
  <c r="K12"/>
  <c r="L9"/>
  <c r="L12"/>
  <c r="M12"/>
  <c r="E9"/>
  <c r="E12"/>
  <c r="F10" i="79"/>
  <c r="F13"/>
  <c r="G10"/>
  <c r="G13"/>
  <c r="H10"/>
  <c r="H13"/>
  <c r="I10"/>
  <c r="I13"/>
  <c r="J10"/>
  <c r="J13"/>
  <c r="K10"/>
  <c r="K13"/>
  <c r="L10"/>
  <c r="L13"/>
  <c r="M13"/>
  <c r="E10"/>
  <c r="E13"/>
  <c r="F12" i="78"/>
  <c r="G12"/>
  <c r="H12"/>
  <c r="I12"/>
  <c r="J12"/>
  <c r="K12"/>
  <c r="L9"/>
  <c r="L12"/>
  <c r="M12"/>
  <c r="N9"/>
  <c r="N12"/>
  <c r="E12"/>
  <c r="Q63" i="36"/>
  <c r="R63"/>
  <c r="E55"/>
  <c r="E57"/>
  <c r="U7"/>
  <c r="O8"/>
  <c r="S7"/>
  <c r="R55"/>
  <c r="J105"/>
  <c r="V105"/>
  <c r="D23"/>
  <c r="F24"/>
  <c r="I105"/>
  <c r="T7"/>
  <c r="R51" i="18"/>
  <c r="R53"/>
  <c r="U4"/>
  <c r="M8"/>
  <c r="T105"/>
  <c r="D53"/>
  <c r="O5"/>
  <c r="F25"/>
  <c r="G8"/>
  <c r="V106" i="19"/>
  <c r="Q69"/>
  <c r="R69"/>
  <c r="Q67"/>
  <c r="R67"/>
  <c r="V8"/>
  <c r="U8"/>
  <c r="J106"/>
  <c r="S8"/>
  <c r="Q71"/>
  <c r="R71"/>
  <c r="Q65"/>
  <c r="R65"/>
  <c r="O9"/>
  <c r="F24"/>
  <c r="I6"/>
  <c r="O7" i="18"/>
  <c r="E58"/>
  <c r="D58"/>
  <c r="V4"/>
  <c r="J5"/>
  <c r="R50"/>
  <c r="G105"/>
  <c r="H7"/>
  <c r="H8"/>
  <c r="R52"/>
  <c r="D23" i="35"/>
  <c r="H7"/>
  <c r="G11" i="7" s="1"/>
  <c r="H8" i="35"/>
  <c r="G7"/>
  <c r="F11" i="7" s="1"/>
  <c r="G8" i="35"/>
  <c r="V4"/>
  <c r="F18"/>
  <c r="G105"/>
  <c r="K5"/>
  <c r="K8" s="1"/>
  <c r="N9" i="88"/>
  <c r="O11"/>
  <c r="N9" i="83"/>
  <c r="O11"/>
  <c r="F10" i="77"/>
  <c r="F13"/>
  <c r="G10"/>
  <c r="G13"/>
  <c r="H10"/>
  <c r="H13"/>
  <c r="L10"/>
  <c r="L13"/>
  <c r="M13"/>
  <c r="F9" i="76"/>
  <c r="F12"/>
  <c r="G9"/>
  <c r="G12"/>
  <c r="H9"/>
  <c r="H12"/>
  <c r="I9"/>
  <c r="I12"/>
  <c r="J9"/>
  <c r="J12"/>
  <c r="K9"/>
  <c r="K12"/>
  <c r="L9"/>
  <c r="L12"/>
  <c r="M12"/>
  <c r="E9"/>
  <c r="E12"/>
  <c r="D18" i="73"/>
  <c r="H5"/>
  <c r="H8"/>
  <c r="J5"/>
  <c r="J8"/>
  <c r="D33"/>
  <c r="K5"/>
  <c r="K8"/>
  <c r="D38"/>
  <c r="L5"/>
  <c r="L8"/>
  <c r="D43"/>
  <c r="M5"/>
  <c r="M8"/>
  <c r="D48"/>
  <c r="N5"/>
  <c r="N8"/>
  <c r="O5"/>
  <c r="O8"/>
  <c r="P5"/>
  <c r="P8"/>
  <c r="D13"/>
  <c r="G5"/>
  <c r="G8"/>
  <c r="D22" i="72"/>
  <c r="H8"/>
  <c r="H11"/>
  <c r="D27"/>
  <c r="I8"/>
  <c r="I11"/>
  <c r="D32"/>
  <c r="J8"/>
  <c r="J11"/>
  <c r="D37"/>
  <c r="K8"/>
  <c r="K11"/>
  <c r="D42"/>
  <c r="L8"/>
  <c r="L11"/>
  <c r="D47"/>
  <c r="M8"/>
  <c r="M11"/>
  <c r="D53"/>
  <c r="N8"/>
  <c r="N11"/>
  <c r="O8"/>
  <c r="O11"/>
  <c r="P8"/>
  <c r="P11"/>
  <c r="D17"/>
  <c r="G8"/>
  <c r="Q8"/>
  <c r="Q11"/>
  <c r="G11"/>
  <c r="D19" i="71"/>
  <c r="H5"/>
  <c r="H8"/>
  <c r="D29"/>
  <c r="J5"/>
  <c r="J8"/>
  <c r="D34"/>
  <c r="K5"/>
  <c r="K8"/>
  <c r="D39"/>
  <c r="L5"/>
  <c r="L8"/>
  <c r="D45"/>
  <c r="M5"/>
  <c r="M8"/>
  <c r="D50"/>
  <c r="N5"/>
  <c r="N8"/>
  <c r="O5"/>
  <c r="O8"/>
  <c r="P5"/>
  <c r="P8"/>
  <c r="D14"/>
  <c r="G5"/>
  <c r="G8"/>
  <c r="R8" i="70"/>
  <c r="D20"/>
  <c r="H5"/>
  <c r="H8"/>
  <c r="D30"/>
  <c r="J5"/>
  <c r="J8"/>
  <c r="D35"/>
  <c r="K5"/>
  <c r="K8"/>
  <c r="D40"/>
  <c r="L5"/>
  <c r="L8"/>
  <c r="D45"/>
  <c r="M5"/>
  <c r="M8"/>
  <c r="D50"/>
  <c r="N5"/>
  <c r="N8"/>
  <c r="O5"/>
  <c r="O8"/>
  <c r="P5"/>
  <c r="P8"/>
  <c r="D17"/>
  <c r="D14"/>
  <c r="G5"/>
  <c r="G8"/>
  <c r="D6" i="55"/>
  <c r="D9"/>
  <c r="F6"/>
  <c r="F9"/>
  <c r="C27"/>
  <c r="G6"/>
  <c r="G9"/>
  <c r="C49"/>
  <c r="H6"/>
  <c r="H9"/>
  <c r="C35"/>
  <c r="I6"/>
  <c r="I9"/>
  <c r="J6"/>
  <c r="J9"/>
  <c r="C16"/>
  <c r="K6"/>
  <c r="K9"/>
  <c r="C64"/>
  <c r="M6"/>
  <c r="M9"/>
  <c r="C6"/>
  <c r="C9"/>
  <c r="D6" i="54"/>
  <c r="D9"/>
  <c r="F6"/>
  <c r="F9"/>
  <c r="C24"/>
  <c r="G6"/>
  <c r="G9"/>
  <c r="C40"/>
  <c r="H6"/>
  <c r="H9"/>
  <c r="C32"/>
  <c r="I6"/>
  <c r="I9"/>
  <c r="J6"/>
  <c r="J9"/>
  <c r="K6"/>
  <c r="K9"/>
  <c r="C6"/>
  <c r="C9"/>
  <c r="M9" i="53"/>
  <c r="D6"/>
  <c r="D9"/>
  <c r="F6"/>
  <c r="F9"/>
  <c r="C24"/>
  <c r="G6"/>
  <c r="G9"/>
  <c r="C46"/>
  <c r="H6"/>
  <c r="H9"/>
  <c r="I6"/>
  <c r="I9"/>
  <c r="J6"/>
  <c r="J9"/>
  <c r="K6"/>
  <c r="K9"/>
  <c r="C6"/>
  <c r="C9"/>
  <c r="F6" i="52"/>
  <c r="F9"/>
  <c r="C24"/>
  <c r="G6"/>
  <c r="G9"/>
  <c r="C44"/>
  <c r="H6"/>
  <c r="H9"/>
  <c r="C32"/>
  <c r="I6"/>
  <c r="I9"/>
  <c r="J6"/>
  <c r="J9"/>
  <c r="K6"/>
  <c r="K9"/>
  <c r="M6"/>
  <c r="M9"/>
  <c r="D6"/>
  <c r="D9"/>
  <c r="C6"/>
  <c r="C9"/>
  <c r="D6" i="51"/>
  <c r="D9"/>
  <c r="F6"/>
  <c r="F9"/>
  <c r="C27"/>
  <c r="G6"/>
  <c r="G9"/>
  <c r="C50"/>
  <c r="H6"/>
  <c r="H9"/>
  <c r="C35"/>
  <c r="I6"/>
  <c r="I9"/>
  <c r="J6"/>
  <c r="J9"/>
  <c r="C16"/>
  <c r="K6"/>
  <c r="K9"/>
  <c r="C62"/>
  <c r="M6"/>
  <c r="M9"/>
  <c r="C6"/>
  <c r="C9"/>
  <c r="D18" i="37"/>
  <c r="H5"/>
  <c r="H8"/>
  <c r="D28"/>
  <c r="J5"/>
  <c r="J8"/>
  <c r="D33"/>
  <c r="K5"/>
  <c r="K8"/>
  <c r="D38"/>
  <c r="L5"/>
  <c r="L8"/>
  <c r="D43"/>
  <c r="M5"/>
  <c r="M8"/>
  <c r="D48"/>
  <c r="N5"/>
  <c r="N8"/>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D53"/>
  <c r="O5"/>
  <c r="O8"/>
  <c r="P5"/>
  <c r="P8"/>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R5"/>
  <c r="R8"/>
  <c r="D13"/>
  <c r="G5"/>
  <c r="G8"/>
  <c r="P13" i="42"/>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R5"/>
  <c r="R8"/>
  <c r="D18"/>
  <c r="H5"/>
  <c r="H8"/>
  <c r="D28"/>
  <c r="J5"/>
  <c r="J8"/>
  <c r="D33"/>
  <c r="K5"/>
  <c r="K8"/>
  <c r="D38"/>
  <c r="L5"/>
  <c r="L8"/>
  <c r="D43"/>
  <c r="M5"/>
  <c r="M8"/>
  <c r="D48"/>
  <c r="N5"/>
  <c r="N8"/>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D53"/>
  <c r="O5"/>
  <c r="O8"/>
  <c r="P5"/>
  <c r="P8"/>
  <c r="D13"/>
  <c r="G5"/>
  <c r="G8"/>
  <c r="F10" i="93"/>
  <c r="F13"/>
  <c r="E10"/>
  <c r="G10"/>
  <c r="G13"/>
  <c r="H10"/>
  <c r="H13"/>
  <c r="I10"/>
  <c r="I13"/>
  <c r="J10"/>
  <c r="J13"/>
  <c r="K10"/>
  <c r="K13"/>
  <c r="L10"/>
  <c r="L13"/>
  <c r="M10"/>
  <c r="M13"/>
  <c r="E13"/>
  <c r="F10" i="92"/>
  <c r="F13"/>
  <c r="E10"/>
  <c r="G10"/>
  <c r="G13"/>
  <c r="H10"/>
  <c r="H13"/>
  <c r="I10"/>
  <c r="I13"/>
  <c r="J10"/>
  <c r="J13"/>
  <c r="K10"/>
  <c r="K13"/>
  <c r="L10"/>
  <c r="L13"/>
  <c r="M10"/>
  <c r="M13"/>
  <c r="E13"/>
  <c r="F10" i="91"/>
  <c r="F13"/>
  <c r="E10"/>
  <c r="G10"/>
  <c r="G13"/>
  <c r="H10"/>
  <c r="H13"/>
  <c r="I10"/>
  <c r="I13"/>
  <c r="J10"/>
  <c r="J13"/>
  <c r="K10"/>
  <c r="K13"/>
  <c r="L10"/>
  <c r="L13"/>
  <c r="M10"/>
  <c r="M13"/>
  <c r="E13"/>
  <c r="F13" i="90"/>
  <c r="E10"/>
  <c r="G10"/>
  <c r="G13"/>
  <c r="H10"/>
  <c r="H13"/>
  <c r="I10"/>
  <c r="I13"/>
  <c r="J10"/>
  <c r="J13"/>
  <c r="K10"/>
  <c r="K13"/>
  <c r="M10"/>
  <c r="M13"/>
  <c r="E13"/>
  <c r="F9" i="84"/>
  <c r="F12"/>
  <c r="G9"/>
  <c r="G12"/>
  <c r="H9"/>
  <c r="H12"/>
  <c r="I9"/>
  <c r="I12"/>
  <c r="J9"/>
  <c r="J12"/>
  <c r="K9"/>
  <c r="K12"/>
  <c r="L9"/>
  <c r="L12"/>
  <c r="M12"/>
  <c r="E9"/>
  <c r="E12"/>
  <c r="F9" i="82"/>
  <c r="F12"/>
  <c r="G9"/>
  <c r="G12"/>
  <c r="H9"/>
  <c r="H12"/>
  <c r="I9"/>
  <c r="I12"/>
  <c r="J9"/>
  <c r="J12"/>
  <c r="K9"/>
  <c r="K12"/>
  <c r="L9"/>
  <c r="L12"/>
  <c r="M12"/>
  <c r="E9"/>
  <c r="E12"/>
  <c r="F9" i="81"/>
  <c r="F12"/>
  <c r="G9"/>
  <c r="G12"/>
  <c r="H9"/>
  <c r="H12"/>
  <c r="I9"/>
  <c r="I12"/>
  <c r="J9"/>
  <c r="J12"/>
  <c r="K9"/>
  <c r="K12"/>
  <c r="L9"/>
  <c r="L12"/>
  <c r="M12"/>
  <c r="E9"/>
  <c r="E12"/>
  <c r="F9" i="80"/>
  <c r="F12"/>
  <c r="G9"/>
  <c r="G12"/>
  <c r="H9"/>
  <c r="H12"/>
  <c r="I9"/>
  <c r="I12"/>
  <c r="J9"/>
  <c r="J12"/>
  <c r="K9"/>
  <c r="K12"/>
  <c r="L9"/>
  <c r="L12"/>
  <c r="M12"/>
  <c r="E9"/>
  <c r="E12"/>
  <c r="F9" i="68"/>
  <c r="F12"/>
  <c r="G9"/>
  <c r="G12"/>
  <c r="H9"/>
  <c r="H12"/>
  <c r="I9"/>
  <c r="I12"/>
  <c r="J9"/>
  <c r="J12"/>
  <c r="K9"/>
  <c r="K12"/>
  <c r="L9"/>
  <c r="L12"/>
  <c r="M12"/>
  <c r="E9"/>
  <c r="E12"/>
  <c r="E12" i="67"/>
  <c r="F12"/>
  <c r="G12"/>
  <c r="H12"/>
  <c r="I12"/>
  <c r="J12"/>
  <c r="K12"/>
  <c r="L9"/>
  <c r="L12"/>
  <c r="N9"/>
  <c r="N12"/>
  <c r="F9" i="66"/>
  <c r="F12"/>
  <c r="G9"/>
  <c r="G12"/>
  <c r="H9"/>
  <c r="H12"/>
  <c r="L9"/>
  <c r="L12"/>
  <c r="M12"/>
  <c r="F9" i="65"/>
  <c r="F12"/>
  <c r="G9"/>
  <c r="G12"/>
  <c r="H9"/>
  <c r="H12"/>
  <c r="I9"/>
  <c r="I12"/>
  <c r="J9"/>
  <c r="J12"/>
  <c r="K9"/>
  <c r="K12"/>
  <c r="L9"/>
  <c r="L12"/>
  <c r="M12"/>
  <c r="E9"/>
  <c r="E12"/>
  <c r="F9" i="64"/>
  <c r="F12"/>
  <c r="G9"/>
  <c r="G12"/>
  <c r="H9"/>
  <c r="H12"/>
  <c r="I9"/>
  <c r="I12"/>
  <c r="J9"/>
  <c r="J12"/>
  <c r="K9"/>
  <c r="K12"/>
  <c r="L9"/>
  <c r="L12"/>
  <c r="M12"/>
  <c r="E9"/>
  <c r="N9"/>
  <c r="N12"/>
  <c r="E12"/>
  <c r="H8" i="62"/>
  <c r="J5"/>
  <c r="J8"/>
  <c r="D33"/>
  <c r="K5"/>
  <c r="K8"/>
  <c r="D38"/>
  <c r="L5"/>
  <c r="L8"/>
  <c r="D43"/>
  <c r="M5"/>
  <c r="M8"/>
  <c r="D48"/>
  <c r="N5"/>
  <c r="N8"/>
  <c r="O5"/>
  <c r="O8"/>
  <c r="P8"/>
  <c r="D13"/>
  <c r="G5"/>
  <c r="G8"/>
  <c r="D19" i="61"/>
  <c r="H5"/>
  <c r="H8"/>
  <c r="D24"/>
  <c r="I5"/>
  <c r="I8"/>
  <c r="D29"/>
  <c r="J5"/>
  <c r="J8"/>
  <c r="D34"/>
  <c r="K5"/>
  <c r="K8"/>
  <c r="D39"/>
  <c r="L5"/>
  <c r="L8"/>
  <c r="D44"/>
  <c r="M5"/>
  <c r="M8"/>
  <c r="D50"/>
  <c r="N5"/>
  <c r="N8"/>
  <c r="O5"/>
  <c r="O8"/>
  <c r="P5"/>
  <c r="P8"/>
  <c r="D14"/>
  <c r="G5"/>
  <c r="Q5"/>
  <c r="Q8"/>
  <c r="G8"/>
  <c r="D19" i="60"/>
  <c r="H5"/>
  <c r="H8"/>
  <c r="D45"/>
  <c r="M5"/>
  <c r="M8"/>
  <c r="D14"/>
  <c r="G5"/>
  <c r="G8"/>
  <c r="H5" i="59"/>
  <c r="H8"/>
  <c r="J5"/>
  <c r="J8"/>
  <c r="D40"/>
  <c r="K5"/>
  <c r="K8"/>
  <c r="D45"/>
  <c r="L5"/>
  <c r="L8"/>
  <c r="D50"/>
  <c r="M5"/>
  <c r="M8"/>
  <c r="N5"/>
  <c r="N8"/>
  <c r="O5"/>
  <c r="O8"/>
  <c r="P5"/>
  <c r="P8"/>
  <c r="D24"/>
  <c r="D14"/>
  <c r="G5"/>
  <c r="G8"/>
  <c r="F9" i="56"/>
  <c r="F12"/>
  <c r="G9"/>
  <c r="G12"/>
  <c r="H9"/>
  <c r="H12"/>
  <c r="I9"/>
  <c r="I12"/>
  <c r="J9"/>
  <c r="K9"/>
  <c r="K12"/>
  <c r="L9"/>
  <c r="L12"/>
  <c r="E9"/>
  <c r="N9"/>
  <c r="O9"/>
  <c r="O12"/>
  <c r="E12"/>
  <c r="D6" i="50"/>
  <c r="D9"/>
  <c r="F6"/>
  <c r="F9"/>
  <c r="C28"/>
  <c r="G6"/>
  <c r="G9"/>
  <c r="C53"/>
  <c r="H6"/>
  <c r="H9"/>
  <c r="C36"/>
  <c r="I6"/>
  <c r="I9"/>
  <c r="J6"/>
  <c r="J9"/>
  <c r="C16"/>
  <c r="K6"/>
  <c r="K9"/>
  <c r="C77"/>
  <c r="M6"/>
  <c r="M9"/>
  <c r="C6"/>
  <c r="C9"/>
  <c r="D6" i="49"/>
  <c r="D9"/>
  <c r="F6"/>
  <c r="F9"/>
  <c r="G6"/>
  <c r="G9"/>
  <c r="H6"/>
  <c r="H9"/>
  <c r="C32"/>
  <c r="I6"/>
  <c r="J6"/>
  <c r="J9"/>
  <c r="K6"/>
  <c r="K9"/>
  <c r="M9"/>
  <c r="C6"/>
  <c r="C9"/>
  <c r="D6" i="48"/>
  <c r="D9"/>
  <c r="E6"/>
  <c r="E9"/>
  <c r="F6"/>
  <c r="F9"/>
  <c r="G6"/>
  <c r="G9"/>
  <c r="C44"/>
  <c r="H6"/>
  <c r="H9"/>
  <c r="I6"/>
  <c r="I9"/>
  <c r="J6"/>
  <c r="J9"/>
  <c r="K6"/>
  <c r="K9"/>
  <c r="C6"/>
  <c r="L6"/>
  <c r="L9"/>
  <c r="M6"/>
  <c r="M9"/>
  <c r="C9"/>
  <c r="D6" i="46"/>
  <c r="D9"/>
  <c r="F6"/>
  <c r="F9"/>
  <c r="C24"/>
  <c r="G6"/>
  <c r="G9"/>
  <c r="C42"/>
  <c r="H6"/>
  <c r="H9"/>
  <c r="C32"/>
  <c r="I6"/>
  <c r="I9"/>
  <c r="J6"/>
  <c r="J9"/>
  <c r="K6"/>
  <c r="K9"/>
  <c r="M6"/>
  <c r="M9"/>
  <c r="C6"/>
  <c r="C9"/>
  <c r="D6" i="45"/>
  <c r="D9"/>
  <c r="F6"/>
  <c r="F9"/>
  <c r="C24"/>
  <c r="G6"/>
  <c r="G9"/>
  <c r="C44"/>
  <c r="H6"/>
  <c r="H9"/>
  <c r="C32"/>
  <c r="I6"/>
  <c r="I9"/>
  <c r="J6"/>
  <c r="J9"/>
  <c r="K6"/>
  <c r="K9"/>
  <c r="M6"/>
  <c r="M9"/>
  <c r="C6"/>
  <c r="C9"/>
  <c r="D6" i="44"/>
  <c r="D9"/>
  <c r="F6"/>
  <c r="F9"/>
  <c r="C24"/>
  <c r="G6"/>
  <c r="G9"/>
  <c r="C47"/>
  <c r="H6"/>
  <c r="H9"/>
  <c r="C32"/>
  <c r="I6"/>
  <c r="I9"/>
  <c r="J6"/>
  <c r="J9"/>
  <c r="K6"/>
  <c r="K9"/>
  <c r="M6"/>
  <c r="M9"/>
  <c r="C6"/>
  <c r="C9"/>
  <c r="D6" i="43"/>
  <c r="D9"/>
  <c r="C32"/>
  <c r="G6"/>
  <c r="G9"/>
  <c r="C61"/>
  <c r="H6"/>
  <c r="H9"/>
  <c r="C40"/>
  <c r="I6"/>
  <c r="I9"/>
  <c r="J6"/>
  <c r="J9"/>
  <c r="C16"/>
  <c r="K6"/>
  <c r="C76"/>
  <c r="M6"/>
  <c r="C6"/>
  <c r="D18" i="26"/>
  <c r="H5"/>
  <c r="H8"/>
  <c r="D13"/>
  <c r="D24"/>
  <c r="D25"/>
  <c r="D23"/>
  <c r="I5"/>
  <c r="I8"/>
  <c r="D28"/>
  <c r="J5"/>
  <c r="J8"/>
  <c r="D33"/>
  <c r="K5"/>
  <c r="K8"/>
  <c r="D38"/>
  <c r="L5"/>
  <c r="L8"/>
  <c r="D43"/>
  <c r="M5"/>
  <c r="M8"/>
  <c r="D48"/>
  <c r="N5"/>
  <c r="N8"/>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D53"/>
  <c r="O5"/>
  <c r="O8"/>
  <c r="P5"/>
  <c r="P8"/>
  <c r="G5"/>
  <c r="Q5"/>
  <c r="Q8"/>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R5"/>
  <c r="R8"/>
  <c r="G8"/>
  <c r="D18" i="14"/>
  <c r="H5"/>
  <c r="H8"/>
  <c r="D13"/>
  <c r="D24"/>
  <c r="D25"/>
  <c r="D23"/>
  <c r="I5"/>
  <c r="I8"/>
  <c r="D28"/>
  <c r="J5"/>
  <c r="J8"/>
  <c r="D33"/>
  <c r="K5"/>
  <c r="K8"/>
  <c r="D38"/>
  <c r="L5"/>
  <c r="L8"/>
  <c r="D43"/>
  <c r="M5"/>
  <c r="M8"/>
  <c r="D48"/>
  <c r="N5"/>
  <c r="N8"/>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D53"/>
  <c r="O5"/>
  <c r="O8"/>
  <c r="P5"/>
  <c r="P8"/>
  <c r="G5"/>
  <c r="Q5"/>
  <c r="Q8"/>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R5"/>
  <c r="R8"/>
  <c r="G8"/>
  <c r="F53" i="36"/>
  <c r="F58"/>
  <c r="H105"/>
  <c r="R105"/>
  <c r="F23"/>
  <c r="F55"/>
  <c r="F57"/>
  <c r="I5"/>
  <c r="D55"/>
  <c r="D57"/>
  <c r="Q105"/>
  <c r="I7" i="18"/>
  <c r="E55"/>
  <c r="E57"/>
  <c r="Q7"/>
  <c r="T7"/>
  <c r="I9" i="19"/>
  <c r="Q9"/>
  <c r="S9"/>
  <c r="Q6"/>
  <c r="R106"/>
  <c r="H106"/>
  <c r="F54"/>
  <c r="Q106"/>
  <c r="U7" i="18"/>
  <c r="J8"/>
  <c r="R55"/>
  <c r="O8"/>
  <c r="F24"/>
  <c r="J105"/>
  <c r="I5" i="35"/>
  <c r="N12" i="88"/>
  <c r="O9"/>
  <c r="N12" i="83"/>
  <c r="O9"/>
  <c r="V64" i="40"/>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63"/>
  <c r="V64" i="38"/>
  <c r="V65"/>
  <c r="V66"/>
  <c r="V67"/>
  <c r="V68"/>
  <c r="V69"/>
  <c r="V70"/>
  <c r="V71"/>
  <c r="V72"/>
  <c r="V63"/>
  <c r="O14" i="8"/>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3"/>
  <c r="L14"/>
  <c r="L15"/>
  <c r="L16"/>
  <c r="L18"/>
  <c r="L20"/>
  <c r="L22"/>
  <c r="L25"/>
  <c r="L26"/>
  <c r="L27"/>
  <c r="L29"/>
  <c r="L30"/>
  <c r="L31"/>
  <c r="L32"/>
  <c r="L33"/>
  <c r="L35"/>
  <c r="L40"/>
  <c r="L42"/>
  <c r="L43"/>
  <c r="L46"/>
  <c r="L47"/>
  <c r="L48"/>
  <c r="L49"/>
  <c r="L50"/>
  <c r="L51"/>
  <c r="L52"/>
  <c r="L53"/>
  <c r="L54"/>
  <c r="L55"/>
  <c r="L56"/>
  <c r="L57"/>
  <c r="L58"/>
  <c r="L59"/>
  <c r="L60"/>
  <c r="L61"/>
  <c r="L64"/>
  <c r="L65"/>
  <c r="L66"/>
  <c r="L67"/>
  <c r="L68"/>
  <c r="L69"/>
  <c r="L70"/>
  <c r="L71"/>
  <c r="L72"/>
  <c r="L73"/>
  <c r="L74"/>
  <c r="L75"/>
  <c r="L76"/>
  <c r="L77"/>
  <c r="L79"/>
  <c r="L80"/>
  <c r="L82"/>
  <c r="L83"/>
  <c r="L84"/>
  <c r="L85"/>
  <c r="L86"/>
  <c r="L87"/>
  <c r="L88"/>
  <c r="L89"/>
  <c r="L90"/>
  <c r="L91"/>
  <c r="L92"/>
  <c r="L93"/>
  <c r="L94"/>
  <c r="L96"/>
  <c r="L97"/>
  <c r="L98"/>
  <c r="L99"/>
  <c r="L100"/>
  <c r="L101"/>
  <c r="L13"/>
  <c r="E56" i="57"/>
  <c r="E57"/>
  <c r="E58"/>
  <c r="E59"/>
  <c r="E60"/>
  <c r="E61"/>
  <c r="E62"/>
  <c r="E63"/>
  <c r="E64"/>
  <c r="E65"/>
  <c r="E66"/>
  <c r="E67"/>
  <c r="D67"/>
  <c r="C67"/>
  <c r="E56" i="55"/>
  <c r="E57"/>
  <c r="E58"/>
  <c r="E60"/>
  <c r="E61"/>
  <c r="E62"/>
  <c r="E63"/>
  <c r="E64"/>
  <c r="E62" i="51"/>
  <c r="E61"/>
  <c r="E60"/>
  <c r="E58"/>
  <c r="E57"/>
  <c r="E56"/>
  <c r="E60" i="50"/>
  <c r="E61"/>
  <c r="E62"/>
  <c r="E63"/>
  <c r="E64"/>
  <c r="E65"/>
  <c r="E66"/>
  <c r="E67"/>
  <c r="E68"/>
  <c r="E69"/>
  <c r="E70"/>
  <c r="E72"/>
  <c r="E73"/>
  <c r="E74"/>
  <c r="E75"/>
  <c r="E76"/>
  <c r="E77"/>
  <c r="C49" i="48"/>
  <c r="E17"/>
  <c r="E39"/>
  <c r="E42"/>
  <c r="E43"/>
  <c r="E44"/>
  <c r="E49"/>
  <c r="D49"/>
  <c r="E52"/>
  <c r="E49" i="45"/>
  <c r="B55" i="34"/>
  <c r="O4"/>
  <c r="N4"/>
  <c r="M4"/>
  <c r="L4"/>
  <c r="K4"/>
  <c r="J4"/>
  <c r="I4"/>
  <c r="H4"/>
  <c r="G4"/>
  <c r="Q4"/>
  <c r="F34" i="62"/>
  <c r="F40"/>
  <c r="F39"/>
  <c r="D46" i="43"/>
  <c r="C44"/>
  <c r="C46"/>
  <c r="V63" i="31"/>
  <c r="V64"/>
  <c r="V65"/>
  <c r="V66"/>
  <c r="V67"/>
  <c r="V68"/>
  <c r="V69"/>
  <c r="V70"/>
  <c r="V71"/>
  <c r="V72"/>
  <c r="V64" i="41"/>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63"/>
  <c r="U104" i="34"/>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U76"/>
  <c r="T76"/>
  <c r="U75"/>
  <c r="T75"/>
  <c r="U74"/>
  <c r="T74"/>
  <c r="U73"/>
  <c r="T73"/>
  <c r="U72"/>
  <c r="T72"/>
  <c r="U71"/>
  <c r="T71"/>
  <c r="U70"/>
  <c r="T70"/>
  <c r="U69"/>
  <c r="T69"/>
  <c r="U68"/>
  <c r="T68"/>
  <c r="U67"/>
  <c r="T67"/>
  <c r="U66"/>
  <c r="T66"/>
  <c r="U65"/>
  <c r="T65"/>
  <c r="U64"/>
  <c r="T64"/>
  <c r="U63"/>
  <c r="U105"/>
  <c r="E53"/>
  <c r="T63"/>
  <c r="T105"/>
  <c r="D53"/>
  <c r="Q54"/>
  <c r="P54"/>
  <c r="O54"/>
  <c r="V104"/>
  <c r="L54"/>
  <c r="I54"/>
  <c r="Q53"/>
  <c r="P53"/>
  <c r="O53"/>
  <c r="R53"/>
  <c r="L53"/>
  <c r="I53"/>
  <c r="O52"/>
  <c r="R52"/>
  <c r="Q52"/>
  <c r="P52"/>
  <c r="V102"/>
  <c r="L52"/>
  <c r="I52"/>
  <c r="F52"/>
  <c r="Q51"/>
  <c r="P51"/>
  <c r="O51"/>
  <c r="R51"/>
  <c r="L51"/>
  <c r="I51"/>
  <c r="F51"/>
  <c r="Q50"/>
  <c r="P50"/>
  <c r="O50"/>
  <c r="V100"/>
  <c r="L50"/>
  <c r="I50"/>
  <c r="F50"/>
  <c r="Q49"/>
  <c r="P49"/>
  <c r="O49"/>
  <c r="R49"/>
  <c r="L49"/>
  <c r="I49"/>
  <c r="F49"/>
  <c r="O48"/>
  <c r="R48"/>
  <c r="Q48"/>
  <c r="P48"/>
  <c r="V98"/>
  <c r="L48"/>
  <c r="I48"/>
  <c r="E48"/>
  <c r="D48"/>
  <c r="Q47"/>
  <c r="P47"/>
  <c r="O47"/>
  <c r="R47"/>
  <c r="L47"/>
  <c r="I47"/>
  <c r="F47"/>
  <c r="O46"/>
  <c r="R46"/>
  <c r="Q46"/>
  <c r="P46"/>
  <c r="V96"/>
  <c r="L46"/>
  <c r="I46"/>
  <c r="F46"/>
  <c r="Q45"/>
  <c r="P45"/>
  <c r="O45"/>
  <c r="R45"/>
  <c r="L45"/>
  <c r="I45"/>
  <c r="F45"/>
  <c r="O44"/>
  <c r="R44"/>
  <c r="Q44"/>
  <c r="P44"/>
  <c r="V94"/>
  <c r="L44"/>
  <c r="I44"/>
  <c r="F44"/>
  <c r="Q43"/>
  <c r="P43"/>
  <c r="O43"/>
  <c r="R43"/>
  <c r="L43"/>
  <c r="I43"/>
  <c r="E43"/>
  <c r="D43"/>
  <c r="Q42"/>
  <c r="P42"/>
  <c r="O42"/>
  <c r="V92"/>
  <c r="L42"/>
  <c r="I42"/>
  <c r="F42"/>
  <c r="Q41"/>
  <c r="P41"/>
  <c r="O41"/>
  <c r="R41"/>
  <c r="L41"/>
  <c r="I41"/>
  <c r="F41"/>
  <c r="O40"/>
  <c r="R40"/>
  <c r="Q40"/>
  <c r="P40"/>
  <c r="V90"/>
  <c r="L40"/>
  <c r="I40"/>
  <c r="F40"/>
  <c r="Q39"/>
  <c r="P39"/>
  <c r="O39"/>
  <c r="R39"/>
  <c r="L39"/>
  <c r="I39"/>
  <c r="F39"/>
  <c r="Q38"/>
  <c r="P38"/>
  <c r="O38"/>
  <c r="V88"/>
  <c r="L38"/>
  <c r="I38"/>
  <c r="E38"/>
  <c r="D38"/>
  <c r="O37"/>
  <c r="R37"/>
  <c r="Q37"/>
  <c r="P37"/>
  <c r="V87"/>
  <c r="L37"/>
  <c r="I37"/>
  <c r="F37"/>
  <c r="Q36"/>
  <c r="P36"/>
  <c r="O36"/>
  <c r="V86"/>
  <c r="L36"/>
  <c r="I36"/>
  <c r="F36"/>
  <c r="O35"/>
  <c r="R35"/>
  <c r="Q35"/>
  <c r="P35"/>
  <c r="V85"/>
  <c r="L35"/>
  <c r="I35"/>
  <c r="F35"/>
  <c r="Q34"/>
  <c r="P34"/>
  <c r="O34"/>
  <c r="V84"/>
  <c r="L34"/>
  <c r="I34"/>
  <c r="F34"/>
  <c r="Q33"/>
  <c r="P33"/>
  <c r="O33"/>
  <c r="V83"/>
  <c r="L33"/>
  <c r="I33"/>
  <c r="E33"/>
  <c r="D33"/>
  <c r="F33"/>
  <c r="Q32"/>
  <c r="P32"/>
  <c r="O32"/>
  <c r="V82"/>
  <c r="L32"/>
  <c r="I32"/>
  <c r="F32"/>
  <c r="Q31"/>
  <c r="P31"/>
  <c r="O31"/>
  <c r="V81"/>
  <c r="L31"/>
  <c r="I31"/>
  <c r="F31"/>
  <c r="Q30"/>
  <c r="P30"/>
  <c r="O30"/>
  <c r="V80"/>
  <c r="L30"/>
  <c r="I30"/>
  <c r="F30"/>
  <c r="O29"/>
  <c r="R29"/>
  <c r="Q29"/>
  <c r="P29"/>
  <c r="V79"/>
  <c r="L29"/>
  <c r="I29"/>
  <c r="F29"/>
  <c r="Q28"/>
  <c r="P28"/>
  <c r="O28"/>
  <c r="V78"/>
  <c r="L28"/>
  <c r="I28"/>
  <c r="E28"/>
  <c r="D28"/>
  <c r="Q27"/>
  <c r="P27"/>
  <c r="O27"/>
  <c r="V77"/>
  <c r="Q26"/>
  <c r="P26"/>
  <c r="O26"/>
  <c r="V76"/>
  <c r="Q25"/>
  <c r="P25"/>
  <c r="O25"/>
  <c r="V75"/>
  <c r="Q24"/>
  <c r="P24"/>
  <c r="O24"/>
  <c r="V74"/>
  <c r="Q23"/>
  <c r="P23"/>
  <c r="O23"/>
  <c r="V73"/>
  <c r="Q22"/>
  <c r="P22"/>
  <c r="O22"/>
  <c r="V72"/>
  <c r="F22"/>
  <c r="Q21"/>
  <c r="P21"/>
  <c r="O21"/>
  <c r="V71"/>
  <c r="F21"/>
  <c r="Q20"/>
  <c r="P20"/>
  <c r="O20"/>
  <c r="V70"/>
  <c r="F20"/>
  <c r="O19"/>
  <c r="R19"/>
  <c r="Q19"/>
  <c r="P19"/>
  <c r="V69"/>
  <c r="F19"/>
  <c r="Q18"/>
  <c r="P18"/>
  <c r="O18"/>
  <c r="V68"/>
  <c r="E18"/>
  <c r="E25"/>
  <c r="D18"/>
  <c r="Q17"/>
  <c r="P17"/>
  <c r="O17"/>
  <c r="R17"/>
  <c r="F17"/>
  <c r="Q16"/>
  <c r="P16"/>
  <c r="O16"/>
  <c r="V66"/>
  <c r="F16"/>
  <c r="Q15"/>
  <c r="P15"/>
  <c r="O15"/>
  <c r="R15"/>
  <c r="F15"/>
  <c r="Q14"/>
  <c r="P14"/>
  <c r="O14"/>
  <c r="V64"/>
  <c r="F14"/>
  <c r="Q13"/>
  <c r="Q55"/>
  <c r="R7"/>
  <c r="P13"/>
  <c r="O13"/>
  <c r="E13"/>
  <c r="D13"/>
  <c r="G5"/>
  <c r="P7"/>
  <c r="N7"/>
  <c r="M7"/>
  <c r="L7"/>
  <c r="K7"/>
  <c r="J7"/>
  <c r="H7"/>
  <c r="P5"/>
  <c r="P8"/>
  <c r="N5"/>
  <c r="M5"/>
  <c r="M8"/>
  <c r="L5"/>
  <c r="K5"/>
  <c r="K8"/>
  <c r="J5"/>
  <c r="H5"/>
  <c r="H8"/>
  <c r="H1"/>
  <c r="G1"/>
  <c r="V64" i="15"/>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D26" i="70"/>
  <c r="F45" i="62"/>
  <c r="F44"/>
  <c r="D27" i="71"/>
  <c r="D26"/>
  <c r="D25"/>
  <c r="D27" i="60"/>
  <c r="D26"/>
  <c r="D25"/>
  <c r="N8" i="56"/>
  <c r="E85"/>
  <c r="E76"/>
  <c r="E67"/>
  <c r="E59"/>
  <c r="E51"/>
  <c r="E43"/>
  <c r="E38"/>
  <c r="E27"/>
  <c r="E21"/>
  <c r="E34"/>
  <c r="P8"/>
  <c r="E75" i="64"/>
  <c r="E84"/>
  <c r="D52" i="57"/>
  <c r="C52"/>
  <c r="E6"/>
  <c r="E39"/>
  <c r="E16"/>
  <c r="E17"/>
  <c r="E18"/>
  <c r="E52"/>
  <c r="E51" i="43"/>
  <c r="E52"/>
  <c r="E53"/>
  <c r="E54"/>
  <c r="E55"/>
  <c r="E57"/>
  <c r="E58"/>
  <c r="E59"/>
  <c r="E60"/>
  <c r="E50"/>
  <c r="E20"/>
  <c r="E14"/>
  <c r="E15"/>
  <c r="E8"/>
  <c r="H30" i="6" s="1"/>
  <c r="E6" i="43"/>
  <c r="F41" i="60"/>
  <c r="F42"/>
  <c r="F43"/>
  <c r="F44"/>
  <c r="F44" i="72"/>
  <c r="F43"/>
  <c r="F41" i="61"/>
  <c r="F40"/>
  <c r="F49" i="72"/>
  <c r="F50"/>
  <c r="F51"/>
  <c r="F52"/>
  <c r="F48"/>
  <c r="F49" i="61"/>
  <c r="F56"/>
  <c r="F55"/>
  <c r="F52"/>
  <c r="F53"/>
  <c r="F54"/>
  <c r="F51"/>
  <c r="F46"/>
  <c r="F47"/>
  <c r="F48"/>
  <c r="F45"/>
  <c r="F42"/>
  <c r="F43"/>
  <c r="F36"/>
  <c r="F37"/>
  <c r="F38"/>
  <c r="F35"/>
  <c r="F31"/>
  <c r="F32"/>
  <c r="F33"/>
  <c r="F30"/>
  <c r="F26"/>
  <c r="F27"/>
  <c r="F28"/>
  <c r="F25"/>
  <c r="F24"/>
  <c r="F21"/>
  <c r="F22"/>
  <c r="F23"/>
  <c r="F20"/>
  <c r="F16"/>
  <c r="F17"/>
  <c r="F18"/>
  <c r="F15"/>
  <c r="F59" i="72"/>
  <c r="F58"/>
  <c r="F55"/>
  <c r="F56"/>
  <c r="F57"/>
  <c r="F54"/>
  <c r="F47"/>
  <c r="F45"/>
  <c r="F46"/>
  <c r="F39"/>
  <c r="F40"/>
  <c r="F41"/>
  <c r="F38"/>
  <c r="F34"/>
  <c r="F35"/>
  <c r="F36"/>
  <c r="F33"/>
  <c r="F29"/>
  <c r="F30"/>
  <c r="F31"/>
  <c r="F28"/>
  <c r="F23"/>
  <c r="F24"/>
  <c r="F25"/>
  <c r="F26"/>
  <c r="F19"/>
  <c r="F20"/>
  <c r="F21"/>
  <c r="F18"/>
  <c r="F52" i="71"/>
  <c r="F53"/>
  <c r="F54"/>
  <c r="F51"/>
  <c r="F47"/>
  <c r="F48"/>
  <c r="F49"/>
  <c r="F46"/>
  <c r="F42"/>
  <c r="F43"/>
  <c r="F44"/>
  <c r="F40"/>
  <c r="F36"/>
  <c r="F37"/>
  <c r="F38"/>
  <c r="F35"/>
  <c r="F31"/>
  <c r="F32"/>
  <c r="F33"/>
  <c r="F30"/>
  <c r="F26"/>
  <c r="F27"/>
  <c r="F28"/>
  <c r="D24"/>
  <c r="I5"/>
  <c r="F21"/>
  <c r="F22"/>
  <c r="F23"/>
  <c r="F20"/>
  <c r="F16"/>
  <c r="F17"/>
  <c r="F18"/>
  <c r="F15"/>
  <c r="F47" i="60"/>
  <c r="F52"/>
  <c r="F53"/>
  <c r="F54"/>
  <c r="F51"/>
  <c r="F48"/>
  <c r="F49"/>
  <c r="F46"/>
  <c r="F40"/>
  <c r="F36"/>
  <c r="F37"/>
  <c r="F38"/>
  <c r="F35"/>
  <c r="F31"/>
  <c r="F32"/>
  <c r="F33"/>
  <c r="F56"/>
  <c r="F55"/>
  <c r="F30"/>
  <c r="F26"/>
  <c r="F27"/>
  <c r="F28"/>
  <c r="F21"/>
  <c r="F22"/>
  <c r="F23"/>
  <c r="F20"/>
  <c r="F25"/>
  <c r="D24"/>
  <c r="I5"/>
  <c r="F16"/>
  <c r="F17"/>
  <c r="F18"/>
  <c r="F15"/>
  <c r="E15" i="55"/>
  <c r="E14"/>
  <c r="E16"/>
  <c r="C39"/>
  <c r="C51"/>
  <c r="E44"/>
  <c r="E45"/>
  <c r="E43"/>
  <c r="E46"/>
  <c r="E47"/>
  <c r="E48"/>
  <c r="E49"/>
  <c r="D51"/>
  <c r="E32"/>
  <c r="E33"/>
  <c r="E34"/>
  <c r="E35"/>
  <c r="E37"/>
  <c r="E29"/>
  <c r="E24"/>
  <c r="E26"/>
  <c r="E20"/>
  <c r="E19"/>
  <c r="D43" i="54"/>
  <c r="C43"/>
  <c r="E40"/>
  <c r="E36"/>
  <c r="E13"/>
  <c r="E16"/>
  <c r="E17"/>
  <c r="E20"/>
  <c r="E21"/>
  <c r="E22"/>
  <c r="E23"/>
  <c r="E24"/>
  <c r="E26"/>
  <c r="E29"/>
  <c r="E30"/>
  <c r="E31"/>
  <c r="E32"/>
  <c r="E34"/>
  <c r="E43"/>
  <c r="E41" i="53"/>
  <c r="E42"/>
  <c r="E40"/>
  <c r="E43"/>
  <c r="E44"/>
  <c r="E45"/>
  <c r="E46"/>
  <c r="D48"/>
  <c r="C36"/>
  <c r="E34"/>
  <c r="E26"/>
  <c r="E21"/>
  <c r="E22"/>
  <c r="E20"/>
  <c r="E23"/>
  <c r="E24"/>
  <c r="E17"/>
  <c r="E16"/>
  <c r="E13"/>
  <c r="E35" i="51"/>
  <c r="E14"/>
  <c r="E15"/>
  <c r="E16"/>
  <c r="E45" i="50"/>
  <c r="E46"/>
  <c r="E47"/>
  <c r="E48"/>
  <c r="E49"/>
  <c r="E50"/>
  <c r="E51"/>
  <c r="E52"/>
  <c r="E44"/>
  <c r="E53"/>
  <c r="C40"/>
  <c r="E34"/>
  <c r="E35"/>
  <c r="E33"/>
  <c r="E36"/>
  <c r="E25"/>
  <c r="E26"/>
  <c r="E24"/>
  <c r="E27"/>
  <c r="E28"/>
  <c r="E15"/>
  <c r="E14"/>
  <c r="E16"/>
  <c r="C43" i="49"/>
  <c r="E29"/>
  <c r="E30"/>
  <c r="E31"/>
  <c r="E47" i="46"/>
  <c r="E40"/>
  <c r="E41"/>
  <c r="E39"/>
  <c r="E42"/>
  <c r="D44"/>
  <c r="E34"/>
  <c r="E30"/>
  <c r="E31"/>
  <c r="E29"/>
  <c r="E32"/>
  <c r="E21"/>
  <c r="E22"/>
  <c r="E20"/>
  <c r="E23"/>
  <c r="E24"/>
  <c r="E17"/>
  <c r="E16"/>
  <c r="E13"/>
  <c r="C36" i="45"/>
  <c r="E16"/>
  <c r="D49" i="44"/>
  <c r="C36"/>
  <c r="E34"/>
  <c r="C42" i="43"/>
  <c r="D42" s="1"/>
  <c r="F8" s="1"/>
  <c r="I30" i="6" s="1"/>
  <c r="E85" i="93"/>
  <c r="E76"/>
  <c r="E68"/>
  <c r="E60"/>
  <c r="E52"/>
  <c r="E44"/>
  <c r="E39"/>
  <c r="E28"/>
  <c r="E22"/>
  <c r="N10"/>
  <c r="O10"/>
  <c r="O9"/>
  <c r="E85" i="92"/>
  <c r="E76"/>
  <c r="E68"/>
  <c r="E60"/>
  <c r="E52"/>
  <c r="E44"/>
  <c r="E39"/>
  <c r="E28"/>
  <c r="E22"/>
  <c r="N10"/>
  <c r="O12"/>
  <c r="O10"/>
  <c r="O9"/>
  <c r="E95" i="91"/>
  <c r="E85"/>
  <c r="E76"/>
  <c r="E68"/>
  <c r="E60"/>
  <c r="E52"/>
  <c r="E44"/>
  <c r="E39"/>
  <c r="E28"/>
  <c r="E22"/>
  <c r="N12"/>
  <c r="N10"/>
  <c r="O10"/>
  <c r="O9"/>
  <c r="E86" i="90"/>
  <c r="E77"/>
  <c r="E69"/>
  <c r="E62"/>
  <c r="E54"/>
  <c r="E46"/>
  <c r="E41"/>
  <c r="E30"/>
  <c r="E22"/>
  <c r="L12"/>
  <c r="L10"/>
  <c r="N10"/>
  <c r="O10"/>
  <c r="O9"/>
  <c r="E84" i="89"/>
  <c r="E75"/>
  <c r="E67"/>
  <c r="E59"/>
  <c r="E51"/>
  <c r="E43"/>
  <c r="E38"/>
  <c r="E27"/>
  <c r="E21"/>
  <c r="N9"/>
  <c r="O8"/>
  <c r="E84" i="87"/>
  <c r="E75"/>
  <c r="E67"/>
  <c r="E59"/>
  <c r="E51"/>
  <c r="E43"/>
  <c r="E38"/>
  <c r="E27"/>
  <c r="E21"/>
  <c r="N9"/>
  <c r="O9"/>
  <c r="O8"/>
  <c r="E83" i="86"/>
  <c r="E74"/>
  <c r="E68"/>
  <c r="E60"/>
  <c r="E52"/>
  <c r="E44"/>
  <c r="E39"/>
  <c r="E28"/>
  <c r="E22"/>
  <c r="N10"/>
  <c r="O9"/>
  <c r="E84" i="85"/>
  <c r="E75"/>
  <c r="E67"/>
  <c r="E59"/>
  <c r="E51"/>
  <c r="E43"/>
  <c r="E38"/>
  <c r="E27"/>
  <c r="E21"/>
  <c r="O8"/>
  <c r="E84" i="84"/>
  <c r="E75"/>
  <c r="E67"/>
  <c r="E59"/>
  <c r="E51"/>
  <c r="E43"/>
  <c r="E38"/>
  <c r="E27"/>
  <c r="E21"/>
  <c r="N9"/>
  <c r="O8"/>
  <c r="E84" i="82"/>
  <c r="E75"/>
  <c r="E67"/>
  <c r="E59"/>
  <c r="E51"/>
  <c r="E43"/>
  <c r="E38"/>
  <c r="E27"/>
  <c r="E21"/>
  <c r="N9"/>
  <c r="O9"/>
  <c r="O8"/>
  <c r="E82" i="81"/>
  <c r="E73"/>
  <c r="E67"/>
  <c r="E59"/>
  <c r="E51"/>
  <c r="E43"/>
  <c r="E38"/>
  <c r="E27"/>
  <c r="E21"/>
  <c r="N9"/>
  <c r="O8"/>
  <c r="E85" i="80"/>
  <c r="E76"/>
  <c r="E68"/>
  <c r="E60"/>
  <c r="E52"/>
  <c r="E44"/>
  <c r="E39"/>
  <c r="E28"/>
  <c r="E22"/>
  <c r="O8"/>
  <c r="E88" i="79"/>
  <c r="E79"/>
  <c r="E68"/>
  <c r="E60"/>
  <c r="E52"/>
  <c r="E44"/>
  <c r="E39"/>
  <c r="E28"/>
  <c r="E22"/>
  <c r="N10"/>
  <c r="O9"/>
  <c r="E84" i="78"/>
  <c r="E85" i="77"/>
  <c r="E76"/>
  <c r="E68"/>
  <c r="E60"/>
  <c r="E52"/>
  <c r="E44"/>
  <c r="E39"/>
  <c r="E28"/>
  <c r="E22"/>
  <c r="K12"/>
  <c r="L47" i="7" s="1"/>
  <c r="J12" i="77"/>
  <c r="I12"/>
  <c r="E12"/>
  <c r="K10"/>
  <c r="J10"/>
  <c r="I10"/>
  <c r="E10"/>
  <c r="N10"/>
  <c r="O9"/>
  <c r="E84" i="76"/>
  <c r="E75"/>
  <c r="E67"/>
  <c r="E59"/>
  <c r="E51"/>
  <c r="E43"/>
  <c r="E38"/>
  <c r="E27"/>
  <c r="E21"/>
  <c r="N9"/>
  <c r="O8"/>
  <c r="E84" i="75"/>
  <c r="E75"/>
  <c r="E67"/>
  <c r="E59"/>
  <c r="E51"/>
  <c r="E43"/>
  <c r="E38"/>
  <c r="E21"/>
  <c r="E34"/>
  <c r="E27"/>
  <c r="M12"/>
  <c r="L9"/>
  <c r="L12"/>
  <c r="K9"/>
  <c r="K12"/>
  <c r="E9"/>
  <c r="F9"/>
  <c r="G9"/>
  <c r="H9"/>
  <c r="I9"/>
  <c r="J9"/>
  <c r="N9"/>
  <c r="O8"/>
  <c r="F50" i="73"/>
  <c r="F49"/>
  <c r="F48"/>
  <c r="F47"/>
  <c r="F46"/>
  <c r="F45"/>
  <c r="F44"/>
  <c r="F42"/>
  <c r="F41"/>
  <c r="F40"/>
  <c r="F39"/>
  <c r="F37"/>
  <c r="F36"/>
  <c r="F35"/>
  <c r="F34"/>
  <c r="F33"/>
  <c r="D27"/>
  <c r="E27"/>
  <c r="F27"/>
  <c r="D26"/>
  <c r="E26"/>
  <c r="F26"/>
  <c r="D25"/>
  <c r="F25"/>
  <c r="D24"/>
  <c r="D23"/>
  <c r="F22"/>
  <c r="F21"/>
  <c r="F20"/>
  <c r="F19"/>
  <c r="F18"/>
  <c r="F17"/>
  <c r="F16"/>
  <c r="F15"/>
  <c r="F14"/>
  <c r="F13"/>
  <c r="F54" i="70"/>
  <c r="F53"/>
  <c r="F52"/>
  <c r="F51"/>
  <c r="F50"/>
  <c r="F49"/>
  <c r="F48"/>
  <c r="F47"/>
  <c r="F46"/>
  <c r="F45"/>
  <c r="F44"/>
  <c r="F43"/>
  <c r="F42"/>
  <c r="F41"/>
  <c r="F39"/>
  <c r="F38"/>
  <c r="F37"/>
  <c r="F36"/>
  <c r="F35"/>
  <c r="F34"/>
  <c r="F33"/>
  <c r="F32"/>
  <c r="F31"/>
  <c r="F30"/>
  <c r="F29"/>
  <c r="F28"/>
  <c r="E27"/>
  <c r="D27"/>
  <c r="F27"/>
  <c r="F24"/>
  <c r="F23"/>
  <c r="F22"/>
  <c r="F21"/>
  <c r="F19"/>
  <c r="F18"/>
  <c r="F17"/>
  <c r="F16"/>
  <c r="F15"/>
  <c r="E87" i="68"/>
  <c r="E78"/>
  <c r="E67"/>
  <c r="E59"/>
  <c r="E51"/>
  <c r="E43"/>
  <c r="E38"/>
  <c r="E27"/>
  <c r="E21"/>
  <c r="N9"/>
  <c r="O8"/>
  <c r="E84" i="67"/>
  <c r="E84" i="66"/>
  <c r="E75"/>
  <c r="E67"/>
  <c r="E59"/>
  <c r="E51"/>
  <c r="E43"/>
  <c r="E38"/>
  <c r="E28"/>
  <c r="E22"/>
  <c r="K11"/>
  <c r="J11"/>
  <c r="I11"/>
  <c r="E11"/>
  <c r="K9"/>
  <c r="J9"/>
  <c r="I9"/>
  <c r="E9"/>
  <c r="O8"/>
  <c r="E84" i="65"/>
  <c r="E75"/>
  <c r="E67"/>
  <c r="E59"/>
  <c r="E51"/>
  <c r="E43"/>
  <c r="E38"/>
  <c r="E27"/>
  <c r="E21"/>
  <c r="N9"/>
  <c r="O8"/>
  <c r="E67" i="64"/>
  <c r="E59"/>
  <c r="E51"/>
  <c r="E43"/>
  <c r="E38"/>
  <c r="E21"/>
  <c r="E34"/>
  <c r="E27"/>
  <c r="O8"/>
  <c r="F49" i="62"/>
  <c r="F48"/>
  <c r="F28"/>
  <c r="E27"/>
  <c r="D27"/>
  <c r="E26"/>
  <c r="D26"/>
  <c r="D25"/>
  <c r="D24"/>
  <c r="D23"/>
  <c r="F18"/>
  <c r="F17"/>
  <c r="F16"/>
  <c r="F15"/>
  <c r="F14"/>
  <c r="F54" i="59"/>
  <c r="F53"/>
  <c r="F52"/>
  <c r="F51"/>
  <c r="F50"/>
  <c r="F49"/>
  <c r="F48"/>
  <c r="F47"/>
  <c r="F46"/>
  <c r="F45"/>
  <c r="F44"/>
  <c r="F43"/>
  <c r="F42"/>
  <c r="F41"/>
  <c r="F40"/>
  <c r="F24"/>
  <c r="F20"/>
  <c r="F19"/>
  <c r="F18"/>
  <c r="F17"/>
  <c r="F16"/>
  <c r="F15"/>
  <c r="E8" i="55"/>
  <c r="E6"/>
  <c r="E8" i="54"/>
  <c r="L8"/>
  <c r="E6"/>
  <c r="E9"/>
  <c r="L6"/>
  <c r="M10" i="53"/>
  <c r="E8"/>
  <c r="L8"/>
  <c r="E6"/>
  <c r="L6"/>
  <c r="E43" i="52"/>
  <c r="E42"/>
  <c r="E41"/>
  <c r="E40"/>
  <c r="E39"/>
  <c r="E34"/>
  <c r="E32"/>
  <c r="E31"/>
  <c r="E30"/>
  <c r="E29"/>
  <c r="E26"/>
  <c r="E24"/>
  <c r="E23"/>
  <c r="E22"/>
  <c r="E21"/>
  <c r="E20"/>
  <c r="E13"/>
  <c r="E50" i="51"/>
  <c r="E49"/>
  <c r="E37"/>
  <c r="E29"/>
  <c r="E27"/>
  <c r="D55" i="50"/>
  <c r="C55"/>
  <c r="E38"/>
  <c r="E30"/>
  <c r="E21"/>
  <c r="E20"/>
  <c r="E8"/>
  <c r="E6"/>
  <c r="L6"/>
  <c r="E40" i="49"/>
  <c r="E39"/>
  <c r="E36"/>
  <c r="E34"/>
  <c r="E26"/>
  <c r="E24"/>
  <c r="E23"/>
  <c r="E22"/>
  <c r="E21"/>
  <c r="E20"/>
  <c r="E17"/>
  <c r="E16"/>
  <c r="E8"/>
  <c r="E6"/>
  <c r="E9"/>
  <c r="E8" i="46"/>
  <c r="E6"/>
  <c r="E36" i="45"/>
  <c r="E34"/>
  <c r="E26"/>
  <c r="D46"/>
  <c r="E24"/>
  <c r="E17"/>
  <c r="E13"/>
  <c r="E8"/>
  <c r="E6"/>
  <c r="E46" i="44"/>
  <c r="E45"/>
  <c r="E44"/>
  <c r="E43"/>
  <c r="E42"/>
  <c r="E41"/>
  <c r="E40"/>
  <c r="E47"/>
  <c r="E31"/>
  <c r="E30"/>
  <c r="E29"/>
  <c r="E32"/>
  <c r="E26"/>
  <c r="E23"/>
  <c r="E22"/>
  <c r="E21"/>
  <c r="E20"/>
  <c r="E24"/>
  <c r="E17"/>
  <c r="E16"/>
  <c r="E6"/>
  <c r="L6"/>
  <c r="E61" i="43"/>
  <c r="E40"/>
  <c r="E34"/>
  <c r="I105" i="37"/>
  <c r="O54"/>
  <c r="U104"/>
  <c r="Q104"/>
  <c r="P104"/>
  <c r="O53"/>
  <c r="U103"/>
  <c r="Q103"/>
  <c r="P103"/>
  <c r="L103" s="1"/>
  <c r="Q102"/>
  <c r="P102"/>
  <c r="O51"/>
  <c r="U101"/>
  <c r="Q101"/>
  <c r="P101"/>
  <c r="Q100"/>
  <c r="P100"/>
  <c r="L100" s="1"/>
  <c r="O49"/>
  <c r="U99"/>
  <c r="Q99"/>
  <c r="P99"/>
  <c r="L99" s="1"/>
  <c r="Q98"/>
  <c r="P98"/>
  <c r="O47"/>
  <c r="U97"/>
  <c r="Q97"/>
  <c r="P97"/>
  <c r="Q96"/>
  <c r="P96"/>
  <c r="L96" s="1"/>
  <c r="O45"/>
  <c r="U95"/>
  <c r="Q95"/>
  <c r="P95"/>
  <c r="L95" s="1"/>
  <c r="Q94"/>
  <c r="P94"/>
  <c r="O43"/>
  <c r="U93"/>
  <c r="Q93"/>
  <c r="P93"/>
  <c r="Q92"/>
  <c r="P92"/>
  <c r="O41"/>
  <c r="U91"/>
  <c r="Q91"/>
  <c r="P91"/>
  <c r="L91" s="1"/>
  <c r="Q90"/>
  <c r="P90"/>
  <c r="O39"/>
  <c r="U89"/>
  <c r="Q89"/>
  <c r="P89"/>
  <c r="Q88"/>
  <c r="P88"/>
  <c r="L88" s="1"/>
  <c r="O37"/>
  <c r="U87"/>
  <c r="Q87"/>
  <c r="P87"/>
  <c r="L87" s="1"/>
  <c r="Q86"/>
  <c r="P86"/>
  <c r="O35"/>
  <c r="U85"/>
  <c r="Q85"/>
  <c r="P85"/>
  <c r="Q84"/>
  <c r="P84"/>
  <c r="O33"/>
  <c r="U83"/>
  <c r="Q83"/>
  <c r="P83"/>
  <c r="L83" s="1"/>
  <c r="Q82"/>
  <c r="P82"/>
  <c r="Q81"/>
  <c r="P81"/>
  <c r="L81" s="1"/>
  <c r="Q80"/>
  <c r="P80"/>
  <c r="Q79"/>
  <c r="P79"/>
  <c r="L79" s="1"/>
  <c r="Q78"/>
  <c r="P78"/>
  <c r="Q77"/>
  <c r="P77"/>
  <c r="L77" s="1"/>
  <c r="Q76"/>
  <c r="P76"/>
  <c r="Q75"/>
  <c r="P75"/>
  <c r="Q74"/>
  <c r="P74"/>
  <c r="Q73"/>
  <c r="P73"/>
  <c r="L73" s="1"/>
  <c r="Q72"/>
  <c r="P72"/>
  <c r="Q71"/>
  <c r="P71"/>
  <c r="L71" s="1"/>
  <c r="Q70"/>
  <c r="P70"/>
  <c r="Q69"/>
  <c r="P69"/>
  <c r="L69" s="1"/>
  <c r="Q68"/>
  <c r="P68"/>
  <c r="Q67"/>
  <c r="P67"/>
  <c r="L67" s="1"/>
  <c r="Q66"/>
  <c r="P66"/>
  <c r="Q65"/>
  <c r="P65"/>
  <c r="P105" s="1"/>
  <c r="L105" s="1"/>
  <c r="B55"/>
  <c r="R54"/>
  <c r="L54"/>
  <c r="I54"/>
  <c r="R53"/>
  <c r="L53"/>
  <c r="I53"/>
  <c r="O52"/>
  <c r="R52"/>
  <c r="L52"/>
  <c r="I52"/>
  <c r="F52"/>
  <c r="R51"/>
  <c r="L51"/>
  <c r="I51"/>
  <c r="F51"/>
  <c r="O50"/>
  <c r="R50"/>
  <c r="L50"/>
  <c r="I50"/>
  <c r="F50"/>
  <c r="R49"/>
  <c r="L49"/>
  <c r="I49"/>
  <c r="F49"/>
  <c r="O48"/>
  <c r="R48"/>
  <c r="L48"/>
  <c r="I48"/>
  <c r="F48"/>
  <c r="R47"/>
  <c r="L47"/>
  <c r="I47"/>
  <c r="F47"/>
  <c r="O46"/>
  <c r="R46"/>
  <c r="L46"/>
  <c r="I46"/>
  <c r="F46"/>
  <c r="R45"/>
  <c r="L45"/>
  <c r="I45"/>
  <c r="F45"/>
  <c r="O44"/>
  <c r="R44"/>
  <c r="L44"/>
  <c r="I44"/>
  <c r="F44"/>
  <c r="R43"/>
  <c r="L43"/>
  <c r="I43"/>
  <c r="F43"/>
  <c r="O42"/>
  <c r="R42"/>
  <c r="L42"/>
  <c r="I42"/>
  <c r="F42"/>
  <c r="R41"/>
  <c r="L41"/>
  <c r="I41"/>
  <c r="F41"/>
  <c r="O40"/>
  <c r="R40"/>
  <c r="L40"/>
  <c r="I40"/>
  <c r="F40"/>
  <c r="R39"/>
  <c r="L39"/>
  <c r="I39"/>
  <c r="F39"/>
  <c r="O38"/>
  <c r="R38"/>
  <c r="L38"/>
  <c r="I38"/>
  <c r="R37"/>
  <c r="L37"/>
  <c r="I37"/>
  <c r="F37"/>
  <c r="O36"/>
  <c r="R36"/>
  <c r="L36"/>
  <c r="I36"/>
  <c r="F36"/>
  <c r="R35"/>
  <c r="L35"/>
  <c r="I35"/>
  <c r="F35"/>
  <c r="O34"/>
  <c r="R34"/>
  <c r="L34"/>
  <c r="I34"/>
  <c r="F34"/>
  <c r="R33"/>
  <c r="L33"/>
  <c r="I33"/>
  <c r="F33"/>
  <c r="O32"/>
  <c r="R32"/>
  <c r="L32"/>
  <c r="I32"/>
  <c r="F32"/>
  <c r="O31"/>
  <c r="R31"/>
  <c r="L31"/>
  <c r="I31"/>
  <c r="F31"/>
  <c r="O30"/>
  <c r="R30"/>
  <c r="L30"/>
  <c r="I30"/>
  <c r="F30"/>
  <c r="O29"/>
  <c r="R29"/>
  <c r="L29"/>
  <c r="I29"/>
  <c r="F29"/>
  <c r="O28"/>
  <c r="R28"/>
  <c r="L28"/>
  <c r="I28"/>
  <c r="F28"/>
  <c r="O27"/>
  <c r="R27"/>
  <c r="L27"/>
  <c r="I27"/>
  <c r="O26"/>
  <c r="R26"/>
  <c r="L26"/>
  <c r="I26"/>
  <c r="O25"/>
  <c r="R25"/>
  <c r="L25"/>
  <c r="I25"/>
  <c r="D25"/>
  <c r="F25"/>
  <c r="O24"/>
  <c r="R24"/>
  <c r="L24"/>
  <c r="I24"/>
  <c r="D24"/>
  <c r="F24"/>
  <c r="O23"/>
  <c r="R23"/>
  <c r="L23"/>
  <c r="I23"/>
  <c r="D23"/>
  <c r="O22"/>
  <c r="R22"/>
  <c r="L22"/>
  <c r="I22"/>
  <c r="F22"/>
  <c r="O21"/>
  <c r="R21"/>
  <c r="L21"/>
  <c r="I21"/>
  <c r="F21"/>
  <c r="O20"/>
  <c r="R20"/>
  <c r="L20"/>
  <c r="I20"/>
  <c r="F20"/>
  <c r="O19"/>
  <c r="R19"/>
  <c r="L19"/>
  <c r="I19"/>
  <c r="F19"/>
  <c r="O18"/>
  <c r="R18"/>
  <c r="L18"/>
  <c r="I18"/>
  <c r="F18"/>
  <c r="O17"/>
  <c r="R17"/>
  <c r="L17"/>
  <c r="I17"/>
  <c r="F17"/>
  <c r="O16"/>
  <c r="R16"/>
  <c r="L16"/>
  <c r="I16"/>
  <c r="F16"/>
  <c r="O15"/>
  <c r="R15"/>
  <c r="L15"/>
  <c r="I15"/>
  <c r="F15"/>
  <c r="O14"/>
  <c r="R14"/>
  <c r="L14"/>
  <c r="I14"/>
  <c r="F14"/>
  <c r="O13"/>
  <c r="R13"/>
  <c r="R55"/>
  <c r="L13"/>
  <c r="I13"/>
  <c r="F13"/>
  <c r="I5"/>
  <c r="Q4"/>
  <c r="R4"/>
  <c r="V4" s="1"/>
  <c r="L4"/>
  <c r="U4"/>
  <c r="J4"/>
  <c r="H4"/>
  <c r="T4"/>
  <c r="O4"/>
  <c r="S4"/>
  <c r="P4"/>
  <c r="N4"/>
  <c r="M4"/>
  <c r="K4"/>
  <c r="I4"/>
  <c r="G4"/>
  <c r="H1"/>
  <c r="G1"/>
  <c r="O13" i="42"/>
  <c r="U63"/>
  <c r="O14"/>
  <c r="U64"/>
  <c r="O15"/>
  <c r="U65"/>
  <c r="O16"/>
  <c r="U66"/>
  <c r="O17"/>
  <c r="U67"/>
  <c r="O18"/>
  <c r="U68"/>
  <c r="O19"/>
  <c r="U69"/>
  <c r="O20"/>
  <c r="U70"/>
  <c r="O21"/>
  <c r="U71"/>
  <c r="O22"/>
  <c r="U72"/>
  <c r="O23"/>
  <c r="U73"/>
  <c r="O24"/>
  <c r="U74"/>
  <c r="O25"/>
  <c r="U75"/>
  <c r="O26"/>
  <c r="U76"/>
  <c r="O27"/>
  <c r="U77"/>
  <c r="O28"/>
  <c r="U78"/>
  <c r="O29"/>
  <c r="U79"/>
  <c r="O30"/>
  <c r="U80"/>
  <c r="O31"/>
  <c r="U81"/>
  <c r="O32"/>
  <c r="U82"/>
  <c r="O33"/>
  <c r="U83"/>
  <c r="O34"/>
  <c r="U84"/>
  <c r="O35"/>
  <c r="U85"/>
  <c r="O36"/>
  <c r="U86"/>
  <c r="O37"/>
  <c r="U87"/>
  <c r="O38"/>
  <c r="U88"/>
  <c r="O39"/>
  <c r="U89"/>
  <c r="O40"/>
  <c r="U90"/>
  <c r="O41"/>
  <c r="U91"/>
  <c r="O42"/>
  <c r="U92"/>
  <c r="O43"/>
  <c r="U93"/>
  <c r="O44"/>
  <c r="U94"/>
  <c r="O45"/>
  <c r="U95"/>
  <c r="O46"/>
  <c r="U96"/>
  <c r="O47"/>
  <c r="U97"/>
  <c r="O48"/>
  <c r="U98"/>
  <c r="O49"/>
  <c r="U99"/>
  <c r="O50"/>
  <c r="U100"/>
  <c r="O51"/>
  <c r="U101"/>
  <c r="O52"/>
  <c r="U102"/>
  <c r="O53"/>
  <c r="U103"/>
  <c r="O54"/>
  <c r="U104"/>
  <c r="U105"/>
  <c r="I105"/>
  <c r="H105"/>
  <c r="G105"/>
  <c r="Q104"/>
  <c r="P104"/>
  <c r="Q103"/>
  <c r="P103"/>
  <c r="L103" s="1"/>
  <c r="Q102"/>
  <c r="P102"/>
  <c r="Q101"/>
  <c r="P101"/>
  <c r="L101" s="1"/>
  <c r="Q100"/>
  <c r="P100"/>
  <c r="Q99"/>
  <c r="P99"/>
  <c r="L99" s="1"/>
  <c r="Q98"/>
  <c r="P98"/>
  <c r="Q97"/>
  <c r="P97"/>
  <c r="L97" s="1"/>
  <c r="Q96"/>
  <c r="P96"/>
  <c r="Q95"/>
  <c r="P95"/>
  <c r="L95" s="1"/>
  <c r="Q94"/>
  <c r="P94"/>
  <c r="Q93"/>
  <c r="P93"/>
  <c r="L93" s="1"/>
  <c r="Q92"/>
  <c r="P92"/>
  <c r="Q91"/>
  <c r="P91"/>
  <c r="L91" s="1"/>
  <c r="Q90"/>
  <c r="P90"/>
  <c r="Q89"/>
  <c r="P89"/>
  <c r="L89" s="1"/>
  <c r="Q88"/>
  <c r="P88"/>
  <c r="Q87"/>
  <c r="P87"/>
  <c r="L87" s="1"/>
  <c r="Q86"/>
  <c r="P86"/>
  <c r="Q85"/>
  <c r="P85"/>
  <c r="L85" s="1"/>
  <c r="Q84"/>
  <c r="P84"/>
  <c r="Q83"/>
  <c r="P83"/>
  <c r="L83" s="1"/>
  <c r="Q82"/>
  <c r="P82"/>
  <c r="Q81"/>
  <c r="P81"/>
  <c r="L81" s="1"/>
  <c r="Q80"/>
  <c r="P80"/>
  <c r="Q79"/>
  <c r="P79"/>
  <c r="L79" s="1"/>
  <c r="Q78"/>
  <c r="P78"/>
  <c r="Q77"/>
  <c r="P77"/>
  <c r="L77" s="1"/>
  <c r="Q76"/>
  <c r="P76"/>
  <c r="Q75"/>
  <c r="P75"/>
  <c r="L75" s="1"/>
  <c r="Q74"/>
  <c r="P74"/>
  <c r="Q73"/>
  <c r="P73"/>
  <c r="L73" s="1"/>
  <c r="Q72"/>
  <c r="P72"/>
  <c r="Q71"/>
  <c r="P71"/>
  <c r="L71" s="1"/>
  <c r="Q70"/>
  <c r="P70"/>
  <c r="Q69"/>
  <c r="P69"/>
  <c r="L69" s="1"/>
  <c r="Q68"/>
  <c r="P68"/>
  <c r="Q67"/>
  <c r="P67"/>
  <c r="L67" s="1"/>
  <c r="Q66"/>
  <c r="P66"/>
  <c r="Q65"/>
  <c r="P65"/>
  <c r="L65" s="1"/>
  <c r="Q64"/>
  <c r="P64"/>
  <c r="Q63"/>
  <c r="P63"/>
  <c r="L63" s="1"/>
  <c r="E58"/>
  <c r="D58"/>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D24"/>
  <c r="D25"/>
  <c r="D23"/>
  <c r="D55"/>
  <c r="B55"/>
  <c r="L54"/>
  <c r="I54"/>
  <c r="L53"/>
  <c r="I53"/>
  <c r="F53"/>
  <c r="L52"/>
  <c r="I52"/>
  <c r="F52"/>
  <c r="L51"/>
  <c r="I51"/>
  <c r="F51"/>
  <c r="L50"/>
  <c r="I50"/>
  <c r="F50"/>
  <c r="L49"/>
  <c r="I49"/>
  <c r="F49"/>
  <c r="L48"/>
  <c r="I48"/>
  <c r="F48"/>
  <c r="L47"/>
  <c r="I47"/>
  <c r="F47"/>
  <c r="L46"/>
  <c r="I46"/>
  <c r="F46"/>
  <c r="L45"/>
  <c r="I45"/>
  <c r="F45"/>
  <c r="L44"/>
  <c r="I44"/>
  <c r="F44"/>
  <c r="L43"/>
  <c r="I43"/>
  <c r="F43"/>
  <c r="L42"/>
  <c r="I42"/>
  <c r="F42"/>
  <c r="L41"/>
  <c r="I41"/>
  <c r="F41"/>
  <c r="L40"/>
  <c r="I40"/>
  <c r="F40"/>
  <c r="L39"/>
  <c r="I39"/>
  <c r="F39"/>
  <c r="L38"/>
  <c r="I38"/>
  <c r="F38"/>
  <c r="L37"/>
  <c r="I37"/>
  <c r="F37"/>
  <c r="L36"/>
  <c r="I36"/>
  <c r="F36"/>
  <c r="L35"/>
  <c r="I35"/>
  <c r="F35"/>
  <c r="L34"/>
  <c r="I34"/>
  <c r="F34"/>
  <c r="L33"/>
  <c r="I33"/>
  <c r="F33"/>
  <c r="L32"/>
  <c r="I32"/>
  <c r="F32"/>
  <c r="L31"/>
  <c r="I31"/>
  <c r="F31"/>
  <c r="L30"/>
  <c r="I30"/>
  <c r="F30"/>
  <c r="L29"/>
  <c r="I29"/>
  <c r="F29"/>
  <c r="L28"/>
  <c r="I28"/>
  <c r="F28"/>
  <c r="L27"/>
  <c r="I27"/>
  <c r="L26"/>
  <c r="I26"/>
  <c r="L25"/>
  <c r="I25"/>
  <c r="F25"/>
  <c r="L24"/>
  <c r="I24"/>
  <c r="F24"/>
  <c r="L23"/>
  <c r="I23"/>
  <c r="L22"/>
  <c r="I22"/>
  <c r="F22"/>
  <c r="L21"/>
  <c r="I21"/>
  <c r="F21"/>
  <c r="L20"/>
  <c r="I20"/>
  <c r="F20"/>
  <c r="L19"/>
  <c r="I19"/>
  <c r="F19"/>
  <c r="L18"/>
  <c r="I18"/>
  <c r="F18"/>
  <c r="L17"/>
  <c r="I17"/>
  <c r="F17"/>
  <c r="L16"/>
  <c r="I16"/>
  <c r="F16"/>
  <c r="L15"/>
  <c r="I15"/>
  <c r="F15"/>
  <c r="L14"/>
  <c r="I14"/>
  <c r="F14"/>
  <c r="L13"/>
  <c r="I13"/>
  <c r="F13"/>
  <c r="I5"/>
  <c r="Q5"/>
  <c r="V5"/>
  <c r="U5"/>
  <c r="T5"/>
  <c r="S5"/>
  <c r="Q4"/>
  <c r="R4"/>
  <c r="V4" s="1"/>
  <c r="L4"/>
  <c r="U4"/>
  <c r="J4"/>
  <c r="H4"/>
  <c r="T4"/>
  <c r="O4"/>
  <c r="S4"/>
  <c r="P4"/>
  <c r="N4"/>
  <c r="M4"/>
  <c r="K4"/>
  <c r="I4"/>
  <c r="G4"/>
  <c r="H1"/>
  <c r="G1"/>
  <c r="T105" i="41"/>
  <c r="B55"/>
  <c r="Q54"/>
  <c r="P54"/>
  <c r="O54"/>
  <c r="R54"/>
  <c r="L54"/>
  <c r="I54"/>
  <c r="Q53"/>
  <c r="P53"/>
  <c r="O53"/>
  <c r="R53"/>
  <c r="L53"/>
  <c r="I53"/>
  <c r="D53"/>
  <c r="O52"/>
  <c r="R52"/>
  <c r="Q52"/>
  <c r="P52"/>
  <c r="L52"/>
  <c r="I52"/>
  <c r="F52"/>
  <c r="Q51"/>
  <c r="P51"/>
  <c r="O51"/>
  <c r="R51"/>
  <c r="L51"/>
  <c r="I51"/>
  <c r="F51"/>
  <c r="O50"/>
  <c r="R50"/>
  <c r="Q50"/>
  <c r="P50"/>
  <c r="L50"/>
  <c r="I50"/>
  <c r="F50"/>
  <c r="Q49"/>
  <c r="P49"/>
  <c r="O49"/>
  <c r="R49"/>
  <c r="L49"/>
  <c r="I49"/>
  <c r="F49"/>
  <c r="O48"/>
  <c r="R48"/>
  <c r="Q48"/>
  <c r="P48"/>
  <c r="L48"/>
  <c r="I48"/>
  <c r="D48"/>
  <c r="F48"/>
  <c r="Q47"/>
  <c r="P47"/>
  <c r="O47"/>
  <c r="R47"/>
  <c r="L47"/>
  <c r="I47"/>
  <c r="F47"/>
  <c r="O46"/>
  <c r="R46"/>
  <c r="Q46"/>
  <c r="P46"/>
  <c r="L46"/>
  <c r="I46"/>
  <c r="F46"/>
  <c r="Q45"/>
  <c r="P45"/>
  <c r="O45"/>
  <c r="R45"/>
  <c r="L45"/>
  <c r="I45"/>
  <c r="F45"/>
  <c r="O44"/>
  <c r="R44"/>
  <c r="Q44"/>
  <c r="P44"/>
  <c r="L44"/>
  <c r="I44"/>
  <c r="F44"/>
  <c r="Q43"/>
  <c r="P43"/>
  <c r="O43"/>
  <c r="R43"/>
  <c r="L43"/>
  <c r="I43"/>
  <c r="D43"/>
  <c r="Q42"/>
  <c r="P42"/>
  <c r="O42"/>
  <c r="R42"/>
  <c r="L42"/>
  <c r="I42"/>
  <c r="F42"/>
  <c r="O41"/>
  <c r="R41"/>
  <c r="Q41"/>
  <c r="P41"/>
  <c r="L41"/>
  <c r="I41"/>
  <c r="F41"/>
  <c r="Q40"/>
  <c r="P40"/>
  <c r="O40"/>
  <c r="R40"/>
  <c r="L40"/>
  <c r="I40"/>
  <c r="F40"/>
  <c r="O39"/>
  <c r="R39"/>
  <c r="Q39"/>
  <c r="P39"/>
  <c r="L39"/>
  <c r="I39"/>
  <c r="F39"/>
  <c r="Q38"/>
  <c r="P38"/>
  <c r="O38"/>
  <c r="R38"/>
  <c r="L38"/>
  <c r="I38"/>
  <c r="D38"/>
  <c r="F38"/>
  <c r="O37"/>
  <c r="R37"/>
  <c r="Q37"/>
  <c r="P37"/>
  <c r="L37"/>
  <c r="I37"/>
  <c r="F37"/>
  <c r="Q36"/>
  <c r="P36"/>
  <c r="O36"/>
  <c r="R36"/>
  <c r="L36"/>
  <c r="I36"/>
  <c r="F36"/>
  <c r="O35"/>
  <c r="R35"/>
  <c r="Q35"/>
  <c r="P35"/>
  <c r="L35"/>
  <c r="I35"/>
  <c r="F35"/>
  <c r="Q34"/>
  <c r="P34"/>
  <c r="O34"/>
  <c r="R34"/>
  <c r="L34"/>
  <c r="I34"/>
  <c r="F34"/>
  <c r="O33"/>
  <c r="R33"/>
  <c r="Q33"/>
  <c r="P33"/>
  <c r="L33"/>
  <c r="I33"/>
  <c r="E33"/>
  <c r="D33"/>
  <c r="O32"/>
  <c r="R32"/>
  <c r="Q32"/>
  <c r="P32"/>
  <c r="L32"/>
  <c r="I32"/>
  <c r="F32"/>
  <c r="Q31"/>
  <c r="P31"/>
  <c r="O31"/>
  <c r="R31"/>
  <c r="L31"/>
  <c r="I31"/>
  <c r="F31"/>
  <c r="O30"/>
  <c r="R30"/>
  <c r="Q30"/>
  <c r="P30"/>
  <c r="L30"/>
  <c r="I30"/>
  <c r="F30"/>
  <c r="O29"/>
  <c r="R29"/>
  <c r="Q29"/>
  <c r="P29"/>
  <c r="L29"/>
  <c r="I29"/>
  <c r="F29"/>
  <c r="Q28"/>
  <c r="P28"/>
  <c r="O28"/>
  <c r="R28"/>
  <c r="L28"/>
  <c r="I28"/>
  <c r="D28"/>
  <c r="Q27"/>
  <c r="P27"/>
  <c r="O27"/>
  <c r="L27"/>
  <c r="I27"/>
  <c r="O26"/>
  <c r="R26"/>
  <c r="Q26"/>
  <c r="P26"/>
  <c r="L26"/>
  <c r="I26"/>
  <c r="Q25"/>
  <c r="P25"/>
  <c r="O25"/>
  <c r="L25"/>
  <c r="I25"/>
  <c r="O24"/>
  <c r="R24"/>
  <c r="Q24"/>
  <c r="P24"/>
  <c r="Q23"/>
  <c r="P23"/>
  <c r="O23"/>
  <c r="P22"/>
  <c r="O22"/>
  <c r="R22"/>
  <c r="F22"/>
  <c r="P21"/>
  <c r="O21"/>
  <c r="F21"/>
  <c r="P20"/>
  <c r="O20"/>
  <c r="R20"/>
  <c r="F20"/>
  <c r="P19"/>
  <c r="O19"/>
  <c r="F19"/>
  <c r="P18"/>
  <c r="O18"/>
  <c r="E18"/>
  <c r="E25"/>
  <c r="D18"/>
  <c r="F18"/>
  <c r="P17"/>
  <c r="O17"/>
  <c r="F17"/>
  <c r="P16"/>
  <c r="O16"/>
  <c r="F16"/>
  <c r="P15"/>
  <c r="O15"/>
  <c r="F15"/>
  <c r="P14"/>
  <c r="O14"/>
  <c r="R14"/>
  <c r="F14"/>
  <c r="P13"/>
  <c r="O13"/>
  <c r="G105"/>
  <c r="E13"/>
  <c r="E24"/>
  <c r="D13"/>
  <c r="F13"/>
  <c r="P7"/>
  <c r="K7"/>
  <c r="H7"/>
  <c r="G7"/>
  <c r="P5"/>
  <c r="P8"/>
  <c r="O5"/>
  <c r="N5"/>
  <c r="M5"/>
  <c r="M8"/>
  <c r="L5"/>
  <c r="K5"/>
  <c r="K8"/>
  <c r="J5"/>
  <c r="H5"/>
  <c r="H8"/>
  <c r="Q4"/>
  <c r="L4"/>
  <c r="U4"/>
  <c r="P4"/>
  <c r="O4"/>
  <c r="N4"/>
  <c r="M4"/>
  <c r="K4"/>
  <c r="J4"/>
  <c r="H4"/>
  <c r="T4"/>
  <c r="S4"/>
  <c r="R4"/>
  <c r="I4"/>
  <c r="G4"/>
  <c r="H1"/>
  <c r="G1"/>
  <c r="U105" i="40"/>
  <c r="T105"/>
  <c r="T55"/>
  <c r="B55"/>
  <c r="Q54"/>
  <c r="P54"/>
  <c r="O54"/>
  <c r="R54"/>
  <c r="L54"/>
  <c r="I54"/>
  <c r="Q53"/>
  <c r="P53"/>
  <c r="O53"/>
  <c r="R53"/>
  <c r="L53"/>
  <c r="I53"/>
  <c r="O52"/>
  <c r="R52"/>
  <c r="Q52"/>
  <c r="P52"/>
  <c r="L52"/>
  <c r="I52"/>
  <c r="F52"/>
  <c r="Q51"/>
  <c r="P51"/>
  <c r="O51"/>
  <c r="R51"/>
  <c r="L51"/>
  <c r="I51"/>
  <c r="F51"/>
  <c r="O50"/>
  <c r="R50"/>
  <c r="Q50"/>
  <c r="P50"/>
  <c r="L50"/>
  <c r="I50"/>
  <c r="F50"/>
  <c r="Q49"/>
  <c r="P49"/>
  <c r="O49"/>
  <c r="R49"/>
  <c r="L49"/>
  <c r="I49"/>
  <c r="F49"/>
  <c r="O48"/>
  <c r="R48"/>
  <c r="Q48"/>
  <c r="P48"/>
  <c r="L48"/>
  <c r="I48"/>
  <c r="E48"/>
  <c r="D48"/>
  <c r="O47"/>
  <c r="R47"/>
  <c r="Q47"/>
  <c r="P47"/>
  <c r="L47"/>
  <c r="I47"/>
  <c r="F47"/>
  <c r="Q46"/>
  <c r="P46"/>
  <c r="O46"/>
  <c r="R46"/>
  <c r="L46"/>
  <c r="I46"/>
  <c r="F46"/>
  <c r="O45"/>
  <c r="R45"/>
  <c r="Q45"/>
  <c r="P45"/>
  <c r="L45"/>
  <c r="I45"/>
  <c r="F45"/>
  <c r="Q44"/>
  <c r="P44"/>
  <c r="O44"/>
  <c r="R44"/>
  <c r="L44"/>
  <c r="I44"/>
  <c r="F44"/>
  <c r="O43"/>
  <c r="R43"/>
  <c r="Q43"/>
  <c r="P43"/>
  <c r="L43"/>
  <c r="I43"/>
  <c r="E43"/>
  <c r="D43"/>
  <c r="O42"/>
  <c r="R42"/>
  <c r="Q42"/>
  <c r="P42"/>
  <c r="L42"/>
  <c r="I42"/>
  <c r="F42"/>
  <c r="Q41"/>
  <c r="P41"/>
  <c r="O41"/>
  <c r="R41"/>
  <c r="L41"/>
  <c r="I41"/>
  <c r="F41"/>
  <c r="O40"/>
  <c r="R40"/>
  <c r="Q40"/>
  <c r="P40"/>
  <c r="L40"/>
  <c r="I40"/>
  <c r="F40"/>
  <c r="Q39"/>
  <c r="P39"/>
  <c r="O39"/>
  <c r="R39"/>
  <c r="L39"/>
  <c r="I39"/>
  <c r="F39"/>
  <c r="O38"/>
  <c r="R38"/>
  <c r="Q38"/>
  <c r="P38"/>
  <c r="L38"/>
  <c r="I38"/>
  <c r="E38"/>
  <c r="D38"/>
  <c r="O37"/>
  <c r="R37"/>
  <c r="Q37"/>
  <c r="P37"/>
  <c r="L37"/>
  <c r="I37"/>
  <c r="F37"/>
  <c r="O36"/>
  <c r="R36"/>
  <c r="Q36"/>
  <c r="P36"/>
  <c r="L36"/>
  <c r="I36"/>
  <c r="F36"/>
  <c r="Q35"/>
  <c r="P35"/>
  <c r="O35"/>
  <c r="R35"/>
  <c r="L35"/>
  <c r="I35"/>
  <c r="F35"/>
  <c r="Q34"/>
  <c r="P34"/>
  <c r="O34"/>
  <c r="L34"/>
  <c r="I34"/>
  <c r="F34"/>
  <c r="O33"/>
  <c r="R33"/>
  <c r="Q33"/>
  <c r="P33"/>
  <c r="L33"/>
  <c r="I33"/>
  <c r="E33"/>
  <c r="D33"/>
  <c r="Q32"/>
  <c r="P32"/>
  <c r="O32"/>
  <c r="L32"/>
  <c r="I32"/>
  <c r="F32"/>
  <c r="Q31"/>
  <c r="P31"/>
  <c r="O31"/>
  <c r="L31"/>
  <c r="I31"/>
  <c r="F31"/>
  <c r="Q30"/>
  <c r="P30"/>
  <c r="O30"/>
  <c r="L30"/>
  <c r="I30"/>
  <c r="F30"/>
  <c r="O29"/>
  <c r="R29"/>
  <c r="Q29"/>
  <c r="P29"/>
  <c r="L29"/>
  <c r="I29"/>
  <c r="F29"/>
  <c r="Q28"/>
  <c r="P28"/>
  <c r="O28"/>
  <c r="L28"/>
  <c r="I28"/>
  <c r="E28"/>
  <c r="D28"/>
  <c r="Q27"/>
  <c r="P27"/>
  <c r="O27"/>
  <c r="L27"/>
  <c r="I27"/>
  <c r="O26"/>
  <c r="R26"/>
  <c r="Q26"/>
  <c r="P26"/>
  <c r="L26"/>
  <c r="I26"/>
  <c r="Q25"/>
  <c r="P25"/>
  <c r="O25"/>
  <c r="L25"/>
  <c r="I25"/>
  <c r="Q24"/>
  <c r="P24"/>
  <c r="O24"/>
  <c r="L24"/>
  <c r="I24"/>
  <c r="Q23"/>
  <c r="P23"/>
  <c r="O23"/>
  <c r="L23"/>
  <c r="I23"/>
  <c r="Q22"/>
  <c r="P22"/>
  <c r="O22"/>
  <c r="L22"/>
  <c r="I22"/>
  <c r="F22"/>
  <c r="O21"/>
  <c r="R21"/>
  <c r="Q21"/>
  <c r="P21"/>
  <c r="L21"/>
  <c r="I21"/>
  <c r="F21"/>
  <c r="O20"/>
  <c r="R20"/>
  <c r="Q20"/>
  <c r="P20"/>
  <c r="L20"/>
  <c r="I20"/>
  <c r="F20"/>
  <c r="Q19"/>
  <c r="P19"/>
  <c r="O19"/>
  <c r="L19"/>
  <c r="I19"/>
  <c r="F19"/>
  <c r="O18"/>
  <c r="R18"/>
  <c r="Q18"/>
  <c r="P18"/>
  <c r="L18"/>
  <c r="I18"/>
  <c r="E18"/>
  <c r="E25"/>
  <c r="D18"/>
  <c r="Q17"/>
  <c r="P17"/>
  <c r="O17"/>
  <c r="L17"/>
  <c r="I17"/>
  <c r="F17"/>
  <c r="Q16"/>
  <c r="P16"/>
  <c r="O16"/>
  <c r="L16"/>
  <c r="I16"/>
  <c r="F16"/>
  <c r="Q15"/>
  <c r="P15"/>
  <c r="O15"/>
  <c r="L15"/>
  <c r="I15"/>
  <c r="F15"/>
  <c r="Q14"/>
  <c r="P14"/>
  <c r="O14"/>
  <c r="L14"/>
  <c r="I14"/>
  <c r="F14"/>
  <c r="Q13"/>
  <c r="P13"/>
  <c r="O13"/>
  <c r="G105"/>
  <c r="L13"/>
  <c r="I13"/>
  <c r="E13"/>
  <c r="E24"/>
  <c r="D13"/>
  <c r="G5"/>
  <c r="P7"/>
  <c r="N7"/>
  <c r="M7"/>
  <c r="L7"/>
  <c r="K7"/>
  <c r="J7"/>
  <c r="H7"/>
  <c r="G7"/>
  <c r="P5"/>
  <c r="P8"/>
  <c r="N5"/>
  <c r="N8"/>
  <c r="M5"/>
  <c r="L5"/>
  <c r="K5"/>
  <c r="H5"/>
  <c r="H8"/>
  <c r="R4"/>
  <c r="Q4"/>
  <c r="P4"/>
  <c r="O4"/>
  <c r="N4"/>
  <c r="M4"/>
  <c r="L4"/>
  <c r="K4"/>
  <c r="J4"/>
  <c r="I4"/>
  <c r="H4"/>
  <c r="G4"/>
  <c r="H1"/>
  <c r="G1"/>
  <c r="I105" i="39"/>
  <c r="U104"/>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R77"/>
  <c r="Q77"/>
  <c r="U76"/>
  <c r="T76"/>
  <c r="R76"/>
  <c r="Q76"/>
  <c r="U75"/>
  <c r="T75"/>
  <c r="R75"/>
  <c r="Q75"/>
  <c r="U74"/>
  <c r="T74"/>
  <c r="R74"/>
  <c r="Q74"/>
  <c r="U73"/>
  <c r="T73"/>
  <c r="R73"/>
  <c r="Q73"/>
  <c r="U72"/>
  <c r="T72"/>
  <c r="R72"/>
  <c r="Q72"/>
  <c r="U71"/>
  <c r="T71"/>
  <c r="R71"/>
  <c r="Q71"/>
  <c r="U70"/>
  <c r="T70"/>
  <c r="R70"/>
  <c r="Q70"/>
  <c r="U69"/>
  <c r="T69"/>
  <c r="R69"/>
  <c r="Q69"/>
  <c r="U68"/>
  <c r="T68"/>
  <c r="R68"/>
  <c r="Q68"/>
  <c r="U67"/>
  <c r="T67"/>
  <c r="R67"/>
  <c r="Q67"/>
  <c r="U66"/>
  <c r="T66"/>
  <c r="R66"/>
  <c r="Q66"/>
  <c r="U65"/>
  <c r="T65"/>
  <c r="R65"/>
  <c r="Q65"/>
  <c r="U64"/>
  <c r="T64"/>
  <c r="R64"/>
  <c r="Q64"/>
  <c r="U63"/>
  <c r="B55"/>
  <c r="Q54"/>
  <c r="P54"/>
  <c r="O54"/>
  <c r="R54"/>
  <c r="L54"/>
  <c r="I54"/>
  <c r="O53"/>
  <c r="R53"/>
  <c r="Q53"/>
  <c r="P53"/>
  <c r="V103"/>
  <c r="L53"/>
  <c r="I53"/>
  <c r="Q52"/>
  <c r="P52"/>
  <c r="O52"/>
  <c r="R52"/>
  <c r="L52"/>
  <c r="I52"/>
  <c r="F52"/>
  <c r="Q51"/>
  <c r="P51"/>
  <c r="O51"/>
  <c r="V101"/>
  <c r="L51"/>
  <c r="I51"/>
  <c r="F51"/>
  <c r="O50"/>
  <c r="R50"/>
  <c r="Q50"/>
  <c r="P50"/>
  <c r="L50"/>
  <c r="I50"/>
  <c r="F50"/>
  <c r="O49"/>
  <c r="R49"/>
  <c r="Q49"/>
  <c r="P49"/>
  <c r="V99"/>
  <c r="L49"/>
  <c r="I49"/>
  <c r="F49"/>
  <c r="Q48"/>
  <c r="P48"/>
  <c r="O48"/>
  <c r="R48"/>
  <c r="L48"/>
  <c r="I48"/>
  <c r="E48"/>
  <c r="D48"/>
  <c r="O47"/>
  <c r="R47"/>
  <c r="Q47"/>
  <c r="P47"/>
  <c r="V97"/>
  <c r="L47"/>
  <c r="I47"/>
  <c r="F47"/>
  <c r="Q46"/>
  <c r="P46"/>
  <c r="O46"/>
  <c r="R46"/>
  <c r="L46"/>
  <c r="I46"/>
  <c r="F46"/>
  <c r="Q45"/>
  <c r="P45"/>
  <c r="O45"/>
  <c r="V95"/>
  <c r="L45"/>
  <c r="I45"/>
  <c r="F45"/>
  <c r="O44"/>
  <c r="R44"/>
  <c r="Q44"/>
  <c r="P44"/>
  <c r="L44"/>
  <c r="I44"/>
  <c r="F44"/>
  <c r="O43"/>
  <c r="R43"/>
  <c r="Q43"/>
  <c r="P43"/>
  <c r="V93"/>
  <c r="L43"/>
  <c r="I43"/>
  <c r="E43"/>
  <c r="D43"/>
  <c r="O42"/>
  <c r="R42"/>
  <c r="Q42"/>
  <c r="P42"/>
  <c r="L42"/>
  <c r="I42"/>
  <c r="F42"/>
  <c r="O41"/>
  <c r="R41"/>
  <c r="Q41"/>
  <c r="P41"/>
  <c r="V91"/>
  <c r="L41"/>
  <c r="I41"/>
  <c r="F41"/>
  <c r="Q40"/>
  <c r="P40"/>
  <c r="O40"/>
  <c r="R40"/>
  <c r="L40"/>
  <c r="I40"/>
  <c r="F40"/>
  <c r="Q39"/>
  <c r="P39"/>
  <c r="O39"/>
  <c r="V89"/>
  <c r="L39"/>
  <c r="I39"/>
  <c r="F39"/>
  <c r="O38"/>
  <c r="R38"/>
  <c r="Q38"/>
  <c r="P38"/>
  <c r="L38"/>
  <c r="I38"/>
  <c r="E38"/>
  <c r="D38"/>
  <c r="Q37"/>
  <c r="P37"/>
  <c r="O37"/>
  <c r="V87"/>
  <c r="L37"/>
  <c r="I37"/>
  <c r="F37"/>
  <c r="O36"/>
  <c r="R36"/>
  <c r="Q36"/>
  <c r="P36"/>
  <c r="L36"/>
  <c r="I36"/>
  <c r="F36"/>
  <c r="O35"/>
  <c r="R35"/>
  <c r="Q35"/>
  <c r="P35"/>
  <c r="V85"/>
  <c r="L35"/>
  <c r="I35"/>
  <c r="F35"/>
  <c r="Q34"/>
  <c r="P34"/>
  <c r="O34"/>
  <c r="R34"/>
  <c r="L34"/>
  <c r="I34"/>
  <c r="F34"/>
  <c r="Q33"/>
  <c r="P33"/>
  <c r="O33"/>
  <c r="V83"/>
  <c r="L33"/>
  <c r="I33"/>
  <c r="E33"/>
  <c r="K7" s="1"/>
  <c r="D33"/>
  <c r="Q32"/>
  <c r="P32"/>
  <c r="O32"/>
  <c r="R32"/>
  <c r="L32"/>
  <c r="I32"/>
  <c r="F32"/>
  <c r="O31"/>
  <c r="R31"/>
  <c r="Q31"/>
  <c r="P31"/>
  <c r="L31"/>
  <c r="I31"/>
  <c r="F31"/>
  <c r="Q30"/>
  <c r="P30"/>
  <c r="O30"/>
  <c r="R30"/>
  <c r="L30"/>
  <c r="I30"/>
  <c r="F30"/>
  <c r="O29"/>
  <c r="R29"/>
  <c r="Q29"/>
  <c r="P29"/>
  <c r="L29"/>
  <c r="I29"/>
  <c r="F29"/>
  <c r="Q28"/>
  <c r="P28"/>
  <c r="O28"/>
  <c r="R28"/>
  <c r="L28"/>
  <c r="I28"/>
  <c r="E28"/>
  <c r="J7" s="1"/>
  <c r="D28"/>
  <c r="Q27"/>
  <c r="P27"/>
  <c r="O27"/>
  <c r="R27"/>
  <c r="L27"/>
  <c r="I27"/>
  <c r="Q26"/>
  <c r="P26"/>
  <c r="O26"/>
  <c r="R26"/>
  <c r="L26"/>
  <c r="I26"/>
  <c r="Q25"/>
  <c r="P25"/>
  <c r="O25"/>
  <c r="R25"/>
  <c r="L25"/>
  <c r="I25"/>
  <c r="Q24"/>
  <c r="P24"/>
  <c r="O24"/>
  <c r="R24"/>
  <c r="L24"/>
  <c r="I24"/>
  <c r="Q23"/>
  <c r="P23"/>
  <c r="O23"/>
  <c r="R23"/>
  <c r="L23"/>
  <c r="I23"/>
  <c r="O22"/>
  <c r="R22"/>
  <c r="Q22"/>
  <c r="P22"/>
  <c r="L22"/>
  <c r="I22"/>
  <c r="F22"/>
  <c r="Q21"/>
  <c r="P21"/>
  <c r="O21"/>
  <c r="R21"/>
  <c r="L21"/>
  <c r="I21"/>
  <c r="F21"/>
  <c r="O20"/>
  <c r="R20"/>
  <c r="Q20"/>
  <c r="P20"/>
  <c r="L20"/>
  <c r="I20"/>
  <c r="F20"/>
  <c r="Q19"/>
  <c r="P19"/>
  <c r="O19"/>
  <c r="R19"/>
  <c r="L19"/>
  <c r="I19"/>
  <c r="F19"/>
  <c r="O18"/>
  <c r="R18"/>
  <c r="Q18"/>
  <c r="P18"/>
  <c r="L18"/>
  <c r="I18"/>
  <c r="E18"/>
  <c r="F18" s="1"/>
  <c r="E25"/>
  <c r="D18"/>
  <c r="Q17"/>
  <c r="P17"/>
  <c r="O17"/>
  <c r="R17"/>
  <c r="L17"/>
  <c r="I17"/>
  <c r="F17"/>
  <c r="O16"/>
  <c r="R16"/>
  <c r="Q16"/>
  <c r="P16"/>
  <c r="L16"/>
  <c r="I16"/>
  <c r="F16"/>
  <c r="Q15"/>
  <c r="P15"/>
  <c r="O15"/>
  <c r="R15"/>
  <c r="L15"/>
  <c r="I15"/>
  <c r="F15"/>
  <c r="O14"/>
  <c r="R14"/>
  <c r="Q14"/>
  <c r="P14"/>
  <c r="L14"/>
  <c r="I14"/>
  <c r="F14"/>
  <c r="P13"/>
  <c r="O13"/>
  <c r="G105"/>
  <c r="V104"/>
  <c r="L13"/>
  <c r="I13"/>
  <c r="E13"/>
  <c r="G7" s="1"/>
  <c r="D13"/>
  <c r="P7"/>
  <c r="N7"/>
  <c r="M7"/>
  <c r="L7"/>
  <c r="P5"/>
  <c r="P8"/>
  <c r="N5"/>
  <c r="N8"/>
  <c r="M5"/>
  <c r="M8"/>
  <c r="L5"/>
  <c r="L8"/>
  <c r="K5"/>
  <c r="J5"/>
  <c r="H5"/>
  <c r="G5"/>
  <c r="R4"/>
  <c r="Q4"/>
  <c r="P4"/>
  <c r="O4"/>
  <c r="N4"/>
  <c r="M4"/>
  <c r="L4"/>
  <c r="K4"/>
  <c r="J4"/>
  <c r="I4"/>
  <c r="H4"/>
  <c r="G4"/>
  <c r="H1"/>
  <c r="G1"/>
  <c r="I105" i="38"/>
  <c r="U105"/>
  <c r="T105"/>
  <c r="B55"/>
  <c r="Q54"/>
  <c r="P54"/>
  <c r="O54"/>
  <c r="R54"/>
  <c r="L54"/>
  <c r="I54"/>
  <c r="O53"/>
  <c r="R53"/>
  <c r="Q53"/>
  <c r="P53"/>
  <c r="V103"/>
  <c r="L53"/>
  <c r="I53"/>
  <c r="Q52"/>
  <c r="P52"/>
  <c r="O52"/>
  <c r="R52"/>
  <c r="L52"/>
  <c r="I52"/>
  <c r="F52"/>
  <c r="Q51"/>
  <c r="P51"/>
  <c r="O51"/>
  <c r="V101"/>
  <c r="L51"/>
  <c r="I51"/>
  <c r="F51"/>
  <c r="O50"/>
  <c r="R50"/>
  <c r="Q50"/>
  <c r="P50"/>
  <c r="L50"/>
  <c r="I50"/>
  <c r="F50"/>
  <c r="O49"/>
  <c r="R49"/>
  <c r="Q49"/>
  <c r="P49"/>
  <c r="V99"/>
  <c r="L49"/>
  <c r="I49"/>
  <c r="F49"/>
  <c r="Q48"/>
  <c r="P48"/>
  <c r="O48"/>
  <c r="R48"/>
  <c r="L48"/>
  <c r="I48"/>
  <c r="E48"/>
  <c r="D48"/>
  <c r="O47"/>
  <c r="R47"/>
  <c r="Q47"/>
  <c r="P47"/>
  <c r="V97"/>
  <c r="L47"/>
  <c r="I47"/>
  <c r="F47"/>
  <c r="Q46"/>
  <c r="P46"/>
  <c r="O46"/>
  <c r="R46"/>
  <c r="L46"/>
  <c r="I46"/>
  <c r="F46"/>
  <c r="Q45"/>
  <c r="P45"/>
  <c r="O45"/>
  <c r="V95"/>
  <c r="L45"/>
  <c r="I45"/>
  <c r="F45"/>
  <c r="O44"/>
  <c r="R44"/>
  <c r="Q44"/>
  <c r="P44"/>
  <c r="L44"/>
  <c r="I44"/>
  <c r="F44"/>
  <c r="O43"/>
  <c r="R43"/>
  <c r="Q43"/>
  <c r="P43"/>
  <c r="V93"/>
  <c r="L43"/>
  <c r="I43"/>
  <c r="E43"/>
  <c r="D43"/>
  <c r="O42"/>
  <c r="R42"/>
  <c r="Q42"/>
  <c r="P42"/>
  <c r="L42"/>
  <c r="I42"/>
  <c r="F42"/>
  <c r="O41"/>
  <c r="R41"/>
  <c r="Q41"/>
  <c r="P41"/>
  <c r="V91"/>
  <c r="L41"/>
  <c r="I41"/>
  <c r="F41"/>
  <c r="Q40"/>
  <c r="P40"/>
  <c r="O40"/>
  <c r="R40"/>
  <c r="L40"/>
  <c r="I40"/>
  <c r="F40"/>
  <c r="Q39"/>
  <c r="P39"/>
  <c r="O39"/>
  <c r="V89"/>
  <c r="L39"/>
  <c r="I39"/>
  <c r="F39"/>
  <c r="O38"/>
  <c r="R38"/>
  <c r="Q38"/>
  <c r="P38"/>
  <c r="L38"/>
  <c r="I38"/>
  <c r="E38"/>
  <c r="D38"/>
  <c r="Q37"/>
  <c r="P37"/>
  <c r="O37"/>
  <c r="V87"/>
  <c r="L37"/>
  <c r="I37"/>
  <c r="F37"/>
  <c r="O36"/>
  <c r="R36"/>
  <c r="Q36"/>
  <c r="P36"/>
  <c r="L36"/>
  <c r="I36"/>
  <c r="F36"/>
  <c r="O35"/>
  <c r="R35"/>
  <c r="Q35"/>
  <c r="P35"/>
  <c r="V85"/>
  <c r="L35"/>
  <c r="I35"/>
  <c r="F35"/>
  <c r="Q34"/>
  <c r="P34"/>
  <c r="O34"/>
  <c r="R34"/>
  <c r="L34"/>
  <c r="I34"/>
  <c r="F34"/>
  <c r="Q33"/>
  <c r="P33"/>
  <c r="O33"/>
  <c r="V83"/>
  <c r="L33"/>
  <c r="I33"/>
  <c r="E33"/>
  <c r="D33"/>
  <c r="Q32"/>
  <c r="P32"/>
  <c r="O32"/>
  <c r="R32"/>
  <c r="L32"/>
  <c r="I32"/>
  <c r="F32"/>
  <c r="O31"/>
  <c r="R31"/>
  <c r="Q31"/>
  <c r="P31"/>
  <c r="L31"/>
  <c r="I31"/>
  <c r="F31"/>
  <c r="Q30"/>
  <c r="P30"/>
  <c r="O30"/>
  <c r="R30"/>
  <c r="L30"/>
  <c r="I30"/>
  <c r="F30"/>
  <c r="O29"/>
  <c r="R29"/>
  <c r="Q29"/>
  <c r="P29"/>
  <c r="L29"/>
  <c r="I29"/>
  <c r="F29"/>
  <c r="Q28"/>
  <c r="P28"/>
  <c r="O28"/>
  <c r="R28"/>
  <c r="L28"/>
  <c r="I28"/>
  <c r="E28"/>
  <c r="D28"/>
  <c r="Q27"/>
  <c r="P27"/>
  <c r="O27"/>
  <c r="R27"/>
  <c r="L27"/>
  <c r="I27"/>
  <c r="Q26"/>
  <c r="P26"/>
  <c r="O26"/>
  <c r="R26"/>
  <c r="L26"/>
  <c r="I26"/>
  <c r="Q25"/>
  <c r="P25"/>
  <c r="O25"/>
  <c r="R25"/>
  <c r="L25"/>
  <c r="I25"/>
  <c r="Q24"/>
  <c r="P24"/>
  <c r="O24"/>
  <c r="R24"/>
  <c r="L24"/>
  <c r="I24"/>
  <c r="Q23"/>
  <c r="P23"/>
  <c r="O23"/>
  <c r="R23"/>
  <c r="L23"/>
  <c r="I23"/>
  <c r="Q22"/>
  <c r="P22"/>
  <c r="O22"/>
  <c r="R22"/>
  <c r="L22"/>
  <c r="I22"/>
  <c r="F22"/>
  <c r="Q21"/>
  <c r="P21"/>
  <c r="O21"/>
  <c r="R21"/>
  <c r="L21"/>
  <c r="I21"/>
  <c r="F21"/>
  <c r="Q20"/>
  <c r="P20"/>
  <c r="O20"/>
  <c r="R20"/>
  <c r="L20"/>
  <c r="I20"/>
  <c r="F20"/>
  <c r="Q19"/>
  <c r="P19"/>
  <c r="O19"/>
  <c r="R19"/>
  <c r="L19"/>
  <c r="I19"/>
  <c r="F19"/>
  <c r="Q18"/>
  <c r="P18"/>
  <c r="O18"/>
  <c r="R18"/>
  <c r="L18"/>
  <c r="I18"/>
  <c r="E18"/>
  <c r="E25"/>
  <c r="D18"/>
  <c r="F18"/>
  <c r="Q17"/>
  <c r="P17"/>
  <c r="O17"/>
  <c r="R17"/>
  <c r="L17"/>
  <c r="I17"/>
  <c r="F17"/>
  <c r="Q16"/>
  <c r="P16"/>
  <c r="O16"/>
  <c r="R16"/>
  <c r="L16"/>
  <c r="I16"/>
  <c r="F16"/>
  <c r="Q15"/>
  <c r="P15"/>
  <c r="O15"/>
  <c r="R15"/>
  <c r="L15"/>
  <c r="I15"/>
  <c r="F15"/>
  <c r="O14"/>
  <c r="R14"/>
  <c r="Q14"/>
  <c r="P14"/>
  <c r="L14"/>
  <c r="I14"/>
  <c r="F14"/>
  <c r="Q13"/>
  <c r="P13"/>
  <c r="O13"/>
  <c r="R13"/>
  <c r="L13"/>
  <c r="I13"/>
  <c r="E13"/>
  <c r="E24"/>
  <c r="D13"/>
  <c r="D24"/>
  <c r="P7"/>
  <c r="N7"/>
  <c r="M7"/>
  <c r="L7"/>
  <c r="K7"/>
  <c r="J7"/>
  <c r="H7"/>
  <c r="G7"/>
  <c r="P5"/>
  <c r="P8"/>
  <c r="N5"/>
  <c r="N8"/>
  <c r="M5"/>
  <c r="M8"/>
  <c r="L5"/>
  <c r="L8"/>
  <c r="K5"/>
  <c r="J5"/>
  <c r="H5"/>
  <c r="H8"/>
  <c r="R4"/>
  <c r="Q4"/>
  <c r="P4"/>
  <c r="O4"/>
  <c r="N4"/>
  <c r="M4"/>
  <c r="L4"/>
  <c r="K4"/>
  <c r="J4"/>
  <c r="I4"/>
  <c r="H4"/>
  <c r="G4"/>
  <c r="H1"/>
  <c r="G1"/>
  <c r="U104" i="33"/>
  <c r="T104"/>
  <c r="R104"/>
  <c r="N104" s="1"/>
  <c r="Q104"/>
  <c r="U103"/>
  <c r="T103"/>
  <c r="R103"/>
  <c r="N103" s="1"/>
  <c r="Q103"/>
  <c r="U102"/>
  <c r="T102"/>
  <c r="R102"/>
  <c r="Q102"/>
  <c r="U101"/>
  <c r="T101"/>
  <c r="R101"/>
  <c r="Q101"/>
  <c r="U100"/>
  <c r="T100"/>
  <c r="R100"/>
  <c r="N100" s="1"/>
  <c r="Q100"/>
  <c r="U99"/>
  <c r="T99"/>
  <c r="R99"/>
  <c r="N99" s="1"/>
  <c r="Q99"/>
  <c r="U98"/>
  <c r="T98"/>
  <c r="R98"/>
  <c r="Q98"/>
  <c r="U97"/>
  <c r="T97"/>
  <c r="R97"/>
  <c r="Q97"/>
  <c r="U96"/>
  <c r="T96"/>
  <c r="R96"/>
  <c r="N96" s="1"/>
  <c r="Q96"/>
  <c r="U95"/>
  <c r="T95"/>
  <c r="R95"/>
  <c r="N95" s="1"/>
  <c r="Q95"/>
  <c r="U94"/>
  <c r="T94"/>
  <c r="R94"/>
  <c r="Q94"/>
  <c r="U93"/>
  <c r="T93"/>
  <c r="R93"/>
  <c r="Q93"/>
  <c r="U92"/>
  <c r="T92"/>
  <c r="R92"/>
  <c r="N92" s="1"/>
  <c r="Q92"/>
  <c r="U91"/>
  <c r="T91"/>
  <c r="R91"/>
  <c r="N91" s="1"/>
  <c r="Q91"/>
  <c r="U90"/>
  <c r="T90"/>
  <c r="R90"/>
  <c r="Q90"/>
  <c r="U89"/>
  <c r="T89"/>
  <c r="R89"/>
  <c r="Q89"/>
  <c r="U88"/>
  <c r="T88"/>
  <c r="R88"/>
  <c r="N88" s="1"/>
  <c r="Q88"/>
  <c r="U87"/>
  <c r="T87"/>
  <c r="R87"/>
  <c r="N87" s="1"/>
  <c r="Q87"/>
  <c r="U86"/>
  <c r="T86"/>
  <c r="R86"/>
  <c r="Q86"/>
  <c r="U85"/>
  <c r="T85"/>
  <c r="R85"/>
  <c r="Q85"/>
  <c r="U84"/>
  <c r="T84"/>
  <c r="R84"/>
  <c r="N84" s="1"/>
  <c r="Q84"/>
  <c r="U83"/>
  <c r="T83"/>
  <c r="R83"/>
  <c r="N83" s="1"/>
  <c r="Q83"/>
  <c r="U82"/>
  <c r="T82"/>
  <c r="R82"/>
  <c r="Q82"/>
  <c r="U81"/>
  <c r="T81"/>
  <c r="R81"/>
  <c r="Q81"/>
  <c r="U80"/>
  <c r="T80"/>
  <c r="R80"/>
  <c r="N80" s="1"/>
  <c r="Q80"/>
  <c r="U79"/>
  <c r="T79"/>
  <c r="R79"/>
  <c r="N79" s="1"/>
  <c r="Q79"/>
  <c r="U78"/>
  <c r="T78"/>
  <c r="R78"/>
  <c r="Q78"/>
  <c r="U77"/>
  <c r="T77"/>
  <c r="R77"/>
  <c r="Q77"/>
  <c r="U76"/>
  <c r="T76"/>
  <c r="R76"/>
  <c r="N76" s="1"/>
  <c r="Q76"/>
  <c r="U75"/>
  <c r="T75"/>
  <c r="R75"/>
  <c r="N75" s="1"/>
  <c r="Q75"/>
  <c r="U74"/>
  <c r="T74"/>
  <c r="R74"/>
  <c r="Q74"/>
  <c r="U73"/>
  <c r="T73"/>
  <c r="R73"/>
  <c r="Q73"/>
  <c r="U72"/>
  <c r="T72"/>
  <c r="R72"/>
  <c r="N72" s="1"/>
  <c r="Q72"/>
  <c r="U71"/>
  <c r="T71"/>
  <c r="R71"/>
  <c r="N71" s="1"/>
  <c r="Q71"/>
  <c r="U70"/>
  <c r="T70"/>
  <c r="R70"/>
  <c r="Q70"/>
  <c r="B55"/>
  <c r="Q54"/>
  <c r="P54"/>
  <c r="O54"/>
  <c r="R54"/>
  <c r="L54"/>
  <c r="I54"/>
  <c r="O53"/>
  <c r="R53"/>
  <c r="Q53"/>
  <c r="P53"/>
  <c r="V103"/>
  <c r="L53"/>
  <c r="I53"/>
  <c r="Q52"/>
  <c r="P52"/>
  <c r="O52"/>
  <c r="R52"/>
  <c r="L52"/>
  <c r="I52"/>
  <c r="F52"/>
  <c r="Q51"/>
  <c r="P51"/>
  <c r="O51"/>
  <c r="V101"/>
  <c r="L51"/>
  <c r="I51"/>
  <c r="F51"/>
  <c r="O50"/>
  <c r="R50"/>
  <c r="Q50"/>
  <c r="P50"/>
  <c r="L50"/>
  <c r="I50"/>
  <c r="F50"/>
  <c r="O49"/>
  <c r="R49"/>
  <c r="Q49"/>
  <c r="P49"/>
  <c r="V99"/>
  <c r="L49"/>
  <c r="I49"/>
  <c r="F49"/>
  <c r="Q48"/>
  <c r="P48"/>
  <c r="O48"/>
  <c r="R48"/>
  <c r="L48"/>
  <c r="I48"/>
  <c r="E48"/>
  <c r="D48"/>
  <c r="O47"/>
  <c r="R47"/>
  <c r="Q47"/>
  <c r="P47"/>
  <c r="V97"/>
  <c r="L47"/>
  <c r="I47"/>
  <c r="F47"/>
  <c r="Q46"/>
  <c r="P46"/>
  <c r="O46"/>
  <c r="R46"/>
  <c r="L46"/>
  <c r="I46"/>
  <c r="F46"/>
  <c r="Q45"/>
  <c r="P45"/>
  <c r="O45"/>
  <c r="V95"/>
  <c r="L45"/>
  <c r="I45"/>
  <c r="F45"/>
  <c r="O44"/>
  <c r="R44"/>
  <c r="Q44"/>
  <c r="P44"/>
  <c r="L44"/>
  <c r="I44"/>
  <c r="F44"/>
  <c r="O43"/>
  <c r="R43"/>
  <c r="Q43"/>
  <c r="P43"/>
  <c r="V93"/>
  <c r="L43"/>
  <c r="I43"/>
  <c r="E43"/>
  <c r="D43"/>
  <c r="O42"/>
  <c r="R42"/>
  <c r="Q42"/>
  <c r="P42"/>
  <c r="L42"/>
  <c r="I42"/>
  <c r="F42"/>
  <c r="O41"/>
  <c r="R41"/>
  <c r="Q41"/>
  <c r="P41"/>
  <c r="V91"/>
  <c r="L41"/>
  <c r="I41"/>
  <c r="F41"/>
  <c r="Q40"/>
  <c r="P40"/>
  <c r="O40"/>
  <c r="R40"/>
  <c r="L40"/>
  <c r="I40"/>
  <c r="F40"/>
  <c r="Q39"/>
  <c r="P39"/>
  <c r="O39"/>
  <c r="V89"/>
  <c r="L39"/>
  <c r="I39"/>
  <c r="F39"/>
  <c r="Q38"/>
  <c r="P38"/>
  <c r="O38"/>
  <c r="R38"/>
  <c r="L38"/>
  <c r="I38"/>
  <c r="D38"/>
  <c r="O37"/>
  <c r="R37"/>
  <c r="Q37"/>
  <c r="P37"/>
  <c r="L37"/>
  <c r="I37"/>
  <c r="F37"/>
  <c r="Q36"/>
  <c r="P36"/>
  <c r="O36"/>
  <c r="R36"/>
  <c r="L36"/>
  <c r="I36"/>
  <c r="F36"/>
  <c r="O35"/>
  <c r="R35"/>
  <c r="Q35"/>
  <c r="P35"/>
  <c r="L35"/>
  <c r="I35"/>
  <c r="F35"/>
  <c r="Q34"/>
  <c r="P34"/>
  <c r="O34"/>
  <c r="R34"/>
  <c r="L34"/>
  <c r="I34"/>
  <c r="F34"/>
  <c r="O33"/>
  <c r="R33"/>
  <c r="Q33"/>
  <c r="P33"/>
  <c r="L33"/>
  <c r="I33"/>
  <c r="E33"/>
  <c r="D33"/>
  <c r="O32"/>
  <c r="R32"/>
  <c r="Q32"/>
  <c r="P32"/>
  <c r="L32"/>
  <c r="I32"/>
  <c r="F32"/>
  <c r="Q31"/>
  <c r="P31"/>
  <c r="O31"/>
  <c r="R31"/>
  <c r="L31"/>
  <c r="I31"/>
  <c r="F31"/>
  <c r="O30"/>
  <c r="R30"/>
  <c r="Q30"/>
  <c r="P30"/>
  <c r="L30"/>
  <c r="I30"/>
  <c r="F30"/>
  <c r="Q29"/>
  <c r="P29"/>
  <c r="O29"/>
  <c r="R29"/>
  <c r="L29"/>
  <c r="I29"/>
  <c r="F29"/>
  <c r="O28"/>
  <c r="R28"/>
  <c r="Q28"/>
  <c r="P28"/>
  <c r="L28"/>
  <c r="I28"/>
  <c r="E28"/>
  <c r="D28"/>
  <c r="F28"/>
  <c r="O27"/>
  <c r="R27"/>
  <c r="Q27"/>
  <c r="P27"/>
  <c r="L27"/>
  <c r="I27"/>
  <c r="Q26"/>
  <c r="P26"/>
  <c r="O26"/>
  <c r="R26"/>
  <c r="L26"/>
  <c r="I26"/>
  <c r="Q25"/>
  <c r="P25"/>
  <c r="O25"/>
  <c r="R25"/>
  <c r="L25"/>
  <c r="I25"/>
  <c r="O24"/>
  <c r="R24"/>
  <c r="Q24"/>
  <c r="P24"/>
  <c r="L24"/>
  <c r="I24"/>
  <c r="Q23"/>
  <c r="P23"/>
  <c r="O23"/>
  <c r="R23"/>
  <c r="L23"/>
  <c r="I23"/>
  <c r="O22"/>
  <c r="R22"/>
  <c r="Q22"/>
  <c r="P22"/>
  <c r="L22"/>
  <c r="I22"/>
  <c r="F22"/>
  <c r="Q21"/>
  <c r="P21"/>
  <c r="O21"/>
  <c r="R21"/>
  <c r="L21"/>
  <c r="I21"/>
  <c r="F21"/>
  <c r="O20"/>
  <c r="R20"/>
  <c r="Q20"/>
  <c r="P20"/>
  <c r="L20"/>
  <c r="I20"/>
  <c r="F20"/>
  <c r="I69"/>
  <c r="P19"/>
  <c r="O19"/>
  <c r="R19"/>
  <c r="L19"/>
  <c r="I19"/>
  <c r="F19"/>
  <c r="I68"/>
  <c r="P18"/>
  <c r="O18"/>
  <c r="R18"/>
  <c r="L18"/>
  <c r="I18"/>
  <c r="E18"/>
  <c r="E25"/>
  <c r="D18"/>
  <c r="D25"/>
  <c r="Q17"/>
  <c r="I67"/>
  <c r="P17"/>
  <c r="O17"/>
  <c r="V67"/>
  <c r="L17"/>
  <c r="I17"/>
  <c r="F17"/>
  <c r="Q16"/>
  <c r="I66"/>
  <c r="P16"/>
  <c r="O16"/>
  <c r="R16"/>
  <c r="L16"/>
  <c r="I16"/>
  <c r="F16"/>
  <c r="O15"/>
  <c r="R15"/>
  <c r="I65"/>
  <c r="P15"/>
  <c r="V65"/>
  <c r="L15"/>
  <c r="I15"/>
  <c r="F15"/>
  <c r="Q14"/>
  <c r="I64"/>
  <c r="P14"/>
  <c r="O14"/>
  <c r="R14"/>
  <c r="L14"/>
  <c r="I14"/>
  <c r="F14"/>
  <c r="Q13"/>
  <c r="I63"/>
  <c r="P13"/>
  <c r="O13"/>
  <c r="L13"/>
  <c r="I13"/>
  <c r="E13"/>
  <c r="E24"/>
  <c r="D13"/>
  <c r="P7"/>
  <c r="N7"/>
  <c r="M7"/>
  <c r="K7"/>
  <c r="J7"/>
  <c r="H7"/>
  <c r="P5"/>
  <c r="P8"/>
  <c r="N5"/>
  <c r="N8"/>
  <c r="M5"/>
  <c r="M8"/>
  <c r="L5"/>
  <c r="K5"/>
  <c r="J5"/>
  <c r="H5"/>
  <c r="G5"/>
  <c r="R4"/>
  <c r="Q4"/>
  <c r="P4"/>
  <c r="O4"/>
  <c r="N4"/>
  <c r="M4"/>
  <c r="L4"/>
  <c r="K4"/>
  <c r="J4"/>
  <c r="I4"/>
  <c r="H4"/>
  <c r="G4"/>
  <c r="H1"/>
  <c r="G1"/>
  <c r="I105" i="32"/>
  <c r="U104"/>
  <c r="T104"/>
  <c r="R104"/>
  <c r="Q104"/>
  <c r="M104" s="1"/>
  <c r="U103"/>
  <c r="T103"/>
  <c r="R103"/>
  <c r="Q103"/>
  <c r="M103" s="1"/>
  <c r="U102"/>
  <c r="T102"/>
  <c r="R102"/>
  <c r="Q102"/>
  <c r="M102" s="1"/>
  <c r="U101"/>
  <c r="T101"/>
  <c r="R101"/>
  <c r="Q101"/>
  <c r="M101" s="1"/>
  <c r="U100"/>
  <c r="T100"/>
  <c r="R100"/>
  <c r="Q100"/>
  <c r="M100" s="1"/>
  <c r="U99"/>
  <c r="T99"/>
  <c r="R99"/>
  <c r="Q99"/>
  <c r="M99" s="1"/>
  <c r="U98"/>
  <c r="T98"/>
  <c r="R98"/>
  <c r="Q98"/>
  <c r="M98" s="1"/>
  <c r="U97"/>
  <c r="T97"/>
  <c r="R97"/>
  <c r="Q97"/>
  <c r="M97" s="1"/>
  <c r="U96"/>
  <c r="T96"/>
  <c r="R96"/>
  <c r="Q96"/>
  <c r="M96" s="1"/>
  <c r="U95"/>
  <c r="T95"/>
  <c r="R95"/>
  <c r="Q95"/>
  <c r="M95" s="1"/>
  <c r="U94"/>
  <c r="T94"/>
  <c r="R94"/>
  <c r="Q94"/>
  <c r="M94" s="1"/>
  <c r="U93"/>
  <c r="T93"/>
  <c r="R93"/>
  <c r="Q93"/>
  <c r="M93" s="1"/>
  <c r="U92"/>
  <c r="T92"/>
  <c r="R92"/>
  <c r="Q92"/>
  <c r="M92" s="1"/>
  <c r="U91"/>
  <c r="T91"/>
  <c r="R91"/>
  <c r="Q91"/>
  <c r="M91" s="1"/>
  <c r="U90"/>
  <c r="T90"/>
  <c r="R90"/>
  <c r="Q90"/>
  <c r="M90" s="1"/>
  <c r="U89"/>
  <c r="T89"/>
  <c r="R89"/>
  <c r="Q89"/>
  <c r="M89" s="1"/>
  <c r="U88"/>
  <c r="T88"/>
  <c r="R88"/>
  <c r="Q88"/>
  <c r="M88" s="1"/>
  <c r="U87"/>
  <c r="T87"/>
  <c r="R87"/>
  <c r="Q87"/>
  <c r="M87" s="1"/>
  <c r="U86"/>
  <c r="T86"/>
  <c r="R86"/>
  <c r="Q86"/>
  <c r="M86" s="1"/>
  <c r="U85"/>
  <c r="T85"/>
  <c r="R85"/>
  <c r="Q85"/>
  <c r="M85" s="1"/>
  <c r="U84"/>
  <c r="T84"/>
  <c r="R84"/>
  <c r="Q84"/>
  <c r="M84" s="1"/>
  <c r="U83"/>
  <c r="T83"/>
  <c r="R83"/>
  <c r="Q83"/>
  <c r="M83" s="1"/>
  <c r="U82"/>
  <c r="T82"/>
  <c r="R82"/>
  <c r="Q82"/>
  <c r="M82" s="1"/>
  <c r="U81"/>
  <c r="T81"/>
  <c r="R81"/>
  <c r="Q81"/>
  <c r="M81" s="1"/>
  <c r="U80"/>
  <c r="T80"/>
  <c r="R80"/>
  <c r="Q80"/>
  <c r="M80" s="1"/>
  <c r="U79"/>
  <c r="T79"/>
  <c r="R79"/>
  <c r="Q79"/>
  <c r="M79" s="1"/>
  <c r="U78"/>
  <c r="T78"/>
  <c r="R78"/>
  <c r="Q78"/>
  <c r="M78" s="1"/>
  <c r="U77"/>
  <c r="T77"/>
  <c r="R77"/>
  <c r="Q77"/>
  <c r="M77" s="1"/>
  <c r="U76"/>
  <c r="T76"/>
  <c r="R76"/>
  <c r="Q76"/>
  <c r="M76" s="1"/>
  <c r="U75"/>
  <c r="T75"/>
  <c r="R75"/>
  <c r="Q75"/>
  <c r="M75" s="1"/>
  <c r="U74"/>
  <c r="T74"/>
  <c r="R74"/>
  <c r="Q74"/>
  <c r="M74" s="1"/>
  <c r="U73"/>
  <c r="T73"/>
  <c r="R73"/>
  <c r="Q73"/>
  <c r="M73" s="1"/>
  <c r="U72"/>
  <c r="T72"/>
  <c r="R72"/>
  <c r="Q72"/>
  <c r="M72" s="1"/>
  <c r="U71"/>
  <c r="T71"/>
  <c r="R71"/>
  <c r="Q71"/>
  <c r="M71" s="1"/>
  <c r="U70"/>
  <c r="T70"/>
  <c r="R70"/>
  <c r="Q70"/>
  <c r="M70" s="1"/>
  <c r="U69"/>
  <c r="T69"/>
  <c r="R69"/>
  <c r="R105" s="1"/>
  <c r="N105" s="1"/>
  <c r="Q69"/>
  <c r="M69" s="1"/>
  <c r="U68"/>
  <c r="U105"/>
  <c r="T68"/>
  <c r="T105"/>
  <c r="R68"/>
  <c r="Q68"/>
  <c r="B55"/>
  <c r="Q54"/>
  <c r="P54"/>
  <c r="R54"/>
  <c r="L54"/>
  <c r="I54"/>
  <c r="R53"/>
  <c r="Q53"/>
  <c r="P53"/>
  <c r="L53"/>
  <c r="I53"/>
  <c r="Q52"/>
  <c r="P52"/>
  <c r="R52"/>
  <c r="L52"/>
  <c r="I52"/>
  <c r="F52"/>
  <c r="Q51"/>
  <c r="P51"/>
  <c r="L51"/>
  <c r="I51"/>
  <c r="F51"/>
  <c r="R50"/>
  <c r="Q50"/>
  <c r="P50"/>
  <c r="L50"/>
  <c r="I50"/>
  <c r="F50"/>
  <c r="R49"/>
  <c r="Q49"/>
  <c r="P49"/>
  <c r="L49"/>
  <c r="I49"/>
  <c r="F49"/>
  <c r="Q48"/>
  <c r="P48"/>
  <c r="R48"/>
  <c r="L48"/>
  <c r="I48"/>
  <c r="R47"/>
  <c r="Q47"/>
  <c r="P47"/>
  <c r="L47"/>
  <c r="I47"/>
  <c r="F47"/>
  <c r="Q46"/>
  <c r="P46"/>
  <c r="R46"/>
  <c r="L46"/>
  <c r="I46"/>
  <c r="F46"/>
  <c r="Q45"/>
  <c r="P45"/>
  <c r="L45"/>
  <c r="I45"/>
  <c r="F45"/>
  <c r="R44"/>
  <c r="Q44"/>
  <c r="P44"/>
  <c r="L44"/>
  <c r="I44"/>
  <c r="F44"/>
  <c r="R43"/>
  <c r="Q43"/>
  <c r="P43"/>
  <c r="L43"/>
  <c r="I43"/>
  <c r="R42"/>
  <c r="Q42"/>
  <c r="P42"/>
  <c r="L42"/>
  <c r="I42"/>
  <c r="F42"/>
  <c r="R41"/>
  <c r="Q41"/>
  <c r="P41"/>
  <c r="L41"/>
  <c r="I41"/>
  <c r="F41"/>
  <c r="Q40"/>
  <c r="P40"/>
  <c r="R40"/>
  <c r="L40"/>
  <c r="I40"/>
  <c r="F40"/>
  <c r="Q39"/>
  <c r="P39"/>
  <c r="L39"/>
  <c r="I39"/>
  <c r="F39"/>
  <c r="R38"/>
  <c r="Q38"/>
  <c r="P38"/>
  <c r="L38"/>
  <c r="I38"/>
  <c r="Q37"/>
  <c r="P37"/>
  <c r="L37"/>
  <c r="I37"/>
  <c r="F37"/>
  <c r="R36"/>
  <c r="Q36"/>
  <c r="P36"/>
  <c r="L36"/>
  <c r="I36"/>
  <c r="F36"/>
  <c r="R35"/>
  <c r="Q35"/>
  <c r="P35"/>
  <c r="L35"/>
  <c r="I35"/>
  <c r="F35"/>
  <c r="Q34"/>
  <c r="P34"/>
  <c r="R34"/>
  <c r="L34"/>
  <c r="I34"/>
  <c r="F34"/>
  <c r="Q33"/>
  <c r="P33"/>
  <c r="L33"/>
  <c r="I33"/>
  <c r="Q32"/>
  <c r="P32"/>
  <c r="R32"/>
  <c r="L32"/>
  <c r="I32"/>
  <c r="F32"/>
  <c r="R31"/>
  <c r="Q31"/>
  <c r="P31"/>
  <c r="L31"/>
  <c r="I31"/>
  <c r="F31"/>
  <c r="Q30"/>
  <c r="P30"/>
  <c r="R30"/>
  <c r="L30"/>
  <c r="I30"/>
  <c r="F30"/>
  <c r="R29"/>
  <c r="Q29"/>
  <c r="P29"/>
  <c r="L29"/>
  <c r="I29"/>
  <c r="F29"/>
  <c r="Q28"/>
  <c r="P28"/>
  <c r="R28"/>
  <c r="L28"/>
  <c r="I28"/>
  <c r="Q27"/>
  <c r="P27"/>
  <c r="R27"/>
  <c r="L27"/>
  <c r="I27"/>
  <c r="Q26"/>
  <c r="P26"/>
  <c r="R26"/>
  <c r="L26"/>
  <c r="I26"/>
  <c r="Q25"/>
  <c r="P25"/>
  <c r="R25"/>
  <c r="L25"/>
  <c r="I25"/>
  <c r="R24"/>
  <c r="Q24"/>
  <c r="P24"/>
  <c r="L24"/>
  <c r="I24"/>
  <c r="R23"/>
  <c r="Q23"/>
  <c r="P23"/>
  <c r="L23"/>
  <c r="I23"/>
  <c r="Q22"/>
  <c r="P22"/>
  <c r="R22"/>
  <c r="L22"/>
  <c r="I22"/>
  <c r="F22"/>
  <c r="R21"/>
  <c r="Q21"/>
  <c r="P21"/>
  <c r="L21"/>
  <c r="I21"/>
  <c r="F21"/>
  <c r="Q20"/>
  <c r="P20"/>
  <c r="R20"/>
  <c r="L20"/>
  <c r="I20"/>
  <c r="F20"/>
  <c r="R19"/>
  <c r="Q19"/>
  <c r="P19"/>
  <c r="L19"/>
  <c r="I19"/>
  <c r="F19"/>
  <c r="Q18"/>
  <c r="P18"/>
  <c r="R18"/>
  <c r="L18"/>
  <c r="I18"/>
  <c r="O17"/>
  <c r="R17"/>
  <c r="Q17"/>
  <c r="P17"/>
  <c r="L17"/>
  <c r="I17"/>
  <c r="F17"/>
  <c r="Q16"/>
  <c r="P16"/>
  <c r="L16"/>
  <c r="I16"/>
  <c r="F16"/>
  <c r="Q15"/>
  <c r="P15"/>
  <c r="L15"/>
  <c r="I15"/>
  <c r="F15"/>
  <c r="Q14"/>
  <c r="P14"/>
  <c r="L14"/>
  <c r="I14"/>
  <c r="F14"/>
  <c r="Q13"/>
  <c r="P13"/>
  <c r="G105"/>
  <c r="L13"/>
  <c r="I13"/>
  <c r="P7"/>
  <c r="N7"/>
  <c r="M7"/>
  <c r="L7"/>
  <c r="K7"/>
  <c r="J7"/>
  <c r="H7"/>
  <c r="G7"/>
  <c r="P5"/>
  <c r="P8"/>
  <c r="N5"/>
  <c r="N8"/>
  <c r="M5"/>
  <c r="M8"/>
  <c r="L5"/>
  <c r="L8"/>
  <c r="K5"/>
  <c r="K8"/>
  <c r="J5"/>
  <c r="J8"/>
  <c r="G5"/>
  <c r="R4"/>
  <c r="Q4"/>
  <c r="P4"/>
  <c r="O4"/>
  <c r="N4"/>
  <c r="M4"/>
  <c r="L4"/>
  <c r="K4"/>
  <c r="J4"/>
  <c r="I4"/>
  <c r="H4"/>
  <c r="G4"/>
  <c r="H1"/>
  <c r="G1"/>
  <c r="U104" i="31"/>
  <c r="T104"/>
  <c r="V104"/>
  <c r="R104"/>
  <c r="Q104"/>
  <c r="U103"/>
  <c r="T103"/>
  <c r="V103"/>
  <c r="R103"/>
  <c r="Q103"/>
  <c r="U102"/>
  <c r="T102"/>
  <c r="V102"/>
  <c r="R102"/>
  <c r="Q102"/>
  <c r="U101"/>
  <c r="T101"/>
  <c r="V101"/>
  <c r="R101"/>
  <c r="Q101"/>
  <c r="U100"/>
  <c r="T100"/>
  <c r="V100"/>
  <c r="R100"/>
  <c r="Q100"/>
  <c r="M100" s="1"/>
  <c r="U99"/>
  <c r="T99"/>
  <c r="V99"/>
  <c r="R99"/>
  <c r="N99" s="1"/>
  <c r="Q99"/>
  <c r="U98"/>
  <c r="T98"/>
  <c r="V98"/>
  <c r="R98"/>
  <c r="Q98"/>
  <c r="U97"/>
  <c r="T97"/>
  <c r="V97"/>
  <c r="R97"/>
  <c r="Q97"/>
  <c r="U96"/>
  <c r="T96"/>
  <c r="V96"/>
  <c r="R96"/>
  <c r="Q96"/>
  <c r="U95"/>
  <c r="T95"/>
  <c r="V95"/>
  <c r="R95"/>
  <c r="Q95"/>
  <c r="U94"/>
  <c r="T94"/>
  <c r="V94"/>
  <c r="R94"/>
  <c r="Q94"/>
  <c r="U93"/>
  <c r="T93"/>
  <c r="V93"/>
  <c r="R93"/>
  <c r="Q93"/>
  <c r="U92"/>
  <c r="T92"/>
  <c r="V92"/>
  <c r="R92"/>
  <c r="Q92"/>
  <c r="M92" s="1"/>
  <c r="U91"/>
  <c r="T91"/>
  <c r="V91"/>
  <c r="R91"/>
  <c r="N91" s="1"/>
  <c r="Q91"/>
  <c r="U90"/>
  <c r="T90"/>
  <c r="V90"/>
  <c r="R90"/>
  <c r="Q90"/>
  <c r="U89"/>
  <c r="T89"/>
  <c r="V89"/>
  <c r="R89"/>
  <c r="Q89"/>
  <c r="U88"/>
  <c r="T88"/>
  <c r="V88"/>
  <c r="R88"/>
  <c r="Q88"/>
  <c r="U87"/>
  <c r="T87"/>
  <c r="V87"/>
  <c r="R87"/>
  <c r="Q87"/>
  <c r="U86"/>
  <c r="T86"/>
  <c r="V86"/>
  <c r="R86"/>
  <c r="Q86"/>
  <c r="U85"/>
  <c r="T85"/>
  <c r="V85"/>
  <c r="R85"/>
  <c r="Q85"/>
  <c r="U84"/>
  <c r="T84"/>
  <c r="V84"/>
  <c r="R84"/>
  <c r="Q84"/>
  <c r="M84" s="1"/>
  <c r="U83"/>
  <c r="T83"/>
  <c r="V83"/>
  <c r="R83"/>
  <c r="N83" s="1"/>
  <c r="Q83"/>
  <c r="U82"/>
  <c r="T82"/>
  <c r="V82"/>
  <c r="R82"/>
  <c r="Q82"/>
  <c r="U81"/>
  <c r="T81"/>
  <c r="V81"/>
  <c r="R81"/>
  <c r="Q81"/>
  <c r="U80"/>
  <c r="T80"/>
  <c r="V80"/>
  <c r="R80"/>
  <c r="Q80"/>
  <c r="U79"/>
  <c r="T79"/>
  <c r="V79"/>
  <c r="R79"/>
  <c r="Q79"/>
  <c r="U78"/>
  <c r="T78"/>
  <c r="V78"/>
  <c r="R78"/>
  <c r="Q78"/>
  <c r="U77"/>
  <c r="T77"/>
  <c r="V77"/>
  <c r="R77"/>
  <c r="Q77"/>
  <c r="U76"/>
  <c r="T76"/>
  <c r="V76"/>
  <c r="R76"/>
  <c r="Q76"/>
  <c r="M76" s="1"/>
  <c r="U75"/>
  <c r="T75"/>
  <c r="V75"/>
  <c r="R75"/>
  <c r="Q75"/>
  <c r="U74"/>
  <c r="T74"/>
  <c r="V74"/>
  <c r="R74"/>
  <c r="Q74"/>
  <c r="U73"/>
  <c r="U105"/>
  <c r="T73"/>
  <c r="V73"/>
  <c r="R73"/>
  <c r="Q73"/>
  <c r="B55"/>
  <c r="Q54"/>
  <c r="P54"/>
  <c r="O54"/>
  <c r="R54"/>
  <c r="L54"/>
  <c r="I54"/>
  <c r="Q53"/>
  <c r="P53"/>
  <c r="O53"/>
  <c r="R53"/>
  <c r="L53"/>
  <c r="I53"/>
  <c r="O52"/>
  <c r="R52"/>
  <c r="Q52"/>
  <c r="P52"/>
  <c r="L52"/>
  <c r="I52"/>
  <c r="F52"/>
  <c r="Q51"/>
  <c r="P51"/>
  <c r="O51"/>
  <c r="R51"/>
  <c r="L51"/>
  <c r="I51"/>
  <c r="F51"/>
  <c r="O50"/>
  <c r="R50"/>
  <c r="Q50"/>
  <c r="P50"/>
  <c r="L50"/>
  <c r="I50"/>
  <c r="F50"/>
  <c r="Q49"/>
  <c r="P49"/>
  <c r="O49"/>
  <c r="R49"/>
  <c r="L49"/>
  <c r="I49"/>
  <c r="F49"/>
  <c r="O48"/>
  <c r="R48"/>
  <c r="Q48"/>
  <c r="P48"/>
  <c r="L48"/>
  <c r="I48"/>
  <c r="E48"/>
  <c r="D48"/>
  <c r="N5"/>
  <c r="N7"/>
  <c r="N8"/>
  <c r="O47"/>
  <c r="R47"/>
  <c r="Q47"/>
  <c r="P47"/>
  <c r="L47"/>
  <c r="I47"/>
  <c r="F47"/>
  <c r="Q46"/>
  <c r="P46"/>
  <c r="O46"/>
  <c r="R46"/>
  <c r="L46"/>
  <c r="I46"/>
  <c r="F46"/>
  <c r="O45"/>
  <c r="R45"/>
  <c r="Q45"/>
  <c r="P45"/>
  <c r="L45"/>
  <c r="I45"/>
  <c r="F45"/>
  <c r="Q44"/>
  <c r="P44"/>
  <c r="O44"/>
  <c r="R44"/>
  <c r="L44"/>
  <c r="I44"/>
  <c r="F44"/>
  <c r="O43"/>
  <c r="R43"/>
  <c r="Q43"/>
  <c r="P43"/>
  <c r="L43"/>
  <c r="I43"/>
  <c r="E43"/>
  <c r="D43"/>
  <c r="O42"/>
  <c r="R42"/>
  <c r="Q42"/>
  <c r="P42"/>
  <c r="L42"/>
  <c r="I42"/>
  <c r="F42"/>
  <c r="Q41"/>
  <c r="P41"/>
  <c r="O41"/>
  <c r="R41"/>
  <c r="L41"/>
  <c r="I41"/>
  <c r="F41"/>
  <c r="O40"/>
  <c r="R40"/>
  <c r="Q40"/>
  <c r="P40"/>
  <c r="L40"/>
  <c r="I40"/>
  <c r="F40"/>
  <c r="Q39"/>
  <c r="P39"/>
  <c r="O39"/>
  <c r="R39"/>
  <c r="L39"/>
  <c r="I39"/>
  <c r="F39"/>
  <c r="O38"/>
  <c r="R38"/>
  <c r="Q38"/>
  <c r="P38"/>
  <c r="L38"/>
  <c r="I38"/>
  <c r="E38"/>
  <c r="D38"/>
  <c r="L5"/>
  <c r="O37"/>
  <c r="R37"/>
  <c r="Q37"/>
  <c r="P37"/>
  <c r="L37"/>
  <c r="I37"/>
  <c r="F37"/>
  <c r="Q36"/>
  <c r="P36"/>
  <c r="O36"/>
  <c r="R36"/>
  <c r="L36"/>
  <c r="I36"/>
  <c r="F36"/>
  <c r="O35"/>
  <c r="R35"/>
  <c r="Q35"/>
  <c r="P35"/>
  <c r="L35"/>
  <c r="I35"/>
  <c r="F35"/>
  <c r="Q34"/>
  <c r="P34"/>
  <c r="O34"/>
  <c r="R34"/>
  <c r="L34"/>
  <c r="I34"/>
  <c r="F34"/>
  <c r="O33"/>
  <c r="R33"/>
  <c r="Q33"/>
  <c r="P33"/>
  <c r="L33"/>
  <c r="I33"/>
  <c r="E33"/>
  <c r="D33"/>
  <c r="Q32"/>
  <c r="P32"/>
  <c r="O32"/>
  <c r="R32"/>
  <c r="L32"/>
  <c r="I32"/>
  <c r="F32"/>
  <c r="Q31"/>
  <c r="P31"/>
  <c r="O31"/>
  <c r="R31"/>
  <c r="L31"/>
  <c r="I31"/>
  <c r="F31"/>
  <c r="Q30"/>
  <c r="P30"/>
  <c r="O30"/>
  <c r="R30"/>
  <c r="L30"/>
  <c r="I30"/>
  <c r="F30"/>
  <c r="Q29"/>
  <c r="P29"/>
  <c r="O29"/>
  <c r="R29"/>
  <c r="L29"/>
  <c r="I29"/>
  <c r="F29"/>
  <c r="Q28"/>
  <c r="P28"/>
  <c r="O28"/>
  <c r="R28"/>
  <c r="L28"/>
  <c r="I28"/>
  <c r="E28"/>
  <c r="J7"/>
  <c r="D28"/>
  <c r="Q27"/>
  <c r="P27"/>
  <c r="O27"/>
  <c r="R27"/>
  <c r="L27"/>
  <c r="I27"/>
  <c r="Q26"/>
  <c r="P26"/>
  <c r="O26"/>
  <c r="R26"/>
  <c r="L26"/>
  <c r="I26"/>
  <c r="Q25"/>
  <c r="P25"/>
  <c r="O25"/>
  <c r="R25"/>
  <c r="L25"/>
  <c r="I25"/>
  <c r="O24"/>
  <c r="R24"/>
  <c r="Q24"/>
  <c r="P24"/>
  <c r="L24"/>
  <c r="I24"/>
  <c r="O23"/>
  <c r="R23"/>
  <c r="Q23"/>
  <c r="P23"/>
  <c r="L23"/>
  <c r="I23"/>
  <c r="Q22"/>
  <c r="P22"/>
  <c r="O22"/>
  <c r="R22"/>
  <c r="L22"/>
  <c r="I22"/>
  <c r="F22"/>
  <c r="Q21"/>
  <c r="P21"/>
  <c r="O21"/>
  <c r="R21"/>
  <c r="L21"/>
  <c r="I21"/>
  <c r="F21"/>
  <c r="Q20"/>
  <c r="P20"/>
  <c r="O20"/>
  <c r="R20"/>
  <c r="L20"/>
  <c r="I20"/>
  <c r="F20"/>
  <c r="Q19"/>
  <c r="P19"/>
  <c r="O19"/>
  <c r="R19"/>
  <c r="L19"/>
  <c r="I19"/>
  <c r="F19"/>
  <c r="Q18"/>
  <c r="P18"/>
  <c r="O18"/>
  <c r="L18"/>
  <c r="I18"/>
  <c r="E18"/>
  <c r="E25"/>
  <c r="D18"/>
  <c r="Q17"/>
  <c r="P17"/>
  <c r="O17"/>
  <c r="R17"/>
  <c r="L17"/>
  <c r="I17"/>
  <c r="F17"/>
  <c r="Q16"/>
  <c r="P16"/>
  <c r="O16"/>
  <c r="L16"/>
  <c r="I16"/>
  <c r="F16"/>
  <c r="Q15"/>
  <c r="P15"/>
  <c r="O15"/>
  <c r="R15"/>
  <c r="L15"/>
  <c r="I15"/>
  <c r="F15"/>
  <c r="Q14"/>
  <c r="P14"/>
  <c r="O14"/>
  <c r="L14"/>
  <c r="I14"/>
  <c r="F14"/>
  <c r="Q13"/>
  <c r="P13"/>
  <c r="O13"/>
  <c r="G105"/>
  <c r="L13"/>
  <c r="I13"/>
  <c r="E13"/>
  <c r="E24"/>
  <c r="D13"/>
  <c r="D24"/>
  <c r="P7"/>
  <c r="M7"/>
  <c r="L7"/>
  <c r="K7"/>
  <c r="H7"/>
  <c r="P5"/>
  <c r="P8"/>
  <c r="M5"/>
  <c r="M8"/>
  <c r="K5"/>
  <c r="K8"/>
  <c r="J5"/>
  <c r="H5"/>
  <c r="H8"/>
  <c r="G5"/>
  <c r="R4"/>
  <c r="Q4"/>
  <c r="P4"/>
  <c r="O4"/>
  <c r="N4"/>
  <c r="M4"/>
  <c r="L4"/>
  <c r="K4"/>
  <c r="J4"/>
  <c r="I4"/>
  <c r="H4"/>
  <c r="G4"/>
  <c r="H1"/>
  <c r="G1"/>
  <c r="O13" i="30"/>
  <c r="U63"/>
  <c r="O14"/>
  <c r="U64"/>
  <c r="O15"/>
  <c r="U65"/>
  <c r="O16"/>
  <c r="U66"/>
  <c r="O17"/>
  <c r="U67"/>
  <c r="O18"/>
  <c r="U68"/>
  <c r="O19"/>
  <c r="U69"/>
  <c r="O20"/>
  <c r="U70"/>
  <c r="O21"/>
  <c r="U71"/>
  <c r="O22"/>
  <c r="U72"/>
  <c r="O23"/>
  <c r="U73"/>
  <c r="O24"/>
  <c r="U74"/>
  <c r="O25"/>
  <c r="U75"/>
  <c r="O26"/>
  <c r="U76"/>
  <c r="O27"/>
  <c r="U77"/>
  <c r="O28"/>
  <c r="U78"/>
  <c r="O29"/>
  <c r="U79"/>
  <c r="O30"/>
  <c r="U80"/>
  <c r="O31"/>
  <c r="U81"/>
  <c r="O32"/>
  <c r="U82"/>
  <c r="O33"/>
  <c r="U83"/>
  <c r="O34"/>
  <c r="U84"/>
  <c r="O35"/>
  <c r="U85"/>
  <c r="O36"/>
  <c r="U86"/>
  <c r="O37"/>
  <c r="U87"/>
  <c r="O38"/>
  <c r="U88"/>
  <c r="O39"/>
  <c r="U89"/>
  <c r="O40"/>
  <c r="U90"/>
  <c r="O41"/>
  <c r="U91"/>
  <c r="O42"/>
  <c r="U92"/>
  <c r="O43"/>
  <c r="U93"/>
  <c r="O44"/>
  <c r="U94"/>
  <c r="O45"/>
  <c r="U95"/>
  <c r="O46"/>
  <c r="U96"/>
  <c r="O47"/>
  <c r="U97"/>
  <c r="O48"/>
  <c r="U98"/>
  <c r="O49"/>
  <c r="U99"/>
  <c r="O50"/>
  <c r="U100"/>
  <c r="O51"/>
  <c r="U101"/>
  <c r="O52"/>
  <c r="U102"/>
  <c r="O53"/>
  <c r="U103"/>
  <c r="O54"/>
  <c r="U104"/>
  <c r="U105"/>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I105"/>
  <c r="H105"/>
  <c r="G105"/>
  <c r="Q104"/>
  <c r="P104"/>
  <c r="Q103"/>
  <c r="P103"/>
  <c r="L103" s="1"/>
  <c r="Q102"/>
  <c r="P102"/>
  <c r="Q101"/>
  <c r="P101"/>
  <c r="Q100"/>
  <c r="P100"/>
  <c r="Q99"/>
  <c r="P99"/>
  <c r="L99" s="1"/>
  <c r="Q98"/>
  <c r="P98"/>
  <c r="Q97"/>
  <c r="P97"/>
  <c r="Q96"/>
  <c r="P96"/>
  <c r="Q95"/>
  <c r="P95"/>
  <c r="L95" s="1"/>
  <c r="Q94"/>
  <c r="P94"/>
  <c r="Q93"/>
  <c r="P93"/>
  <c r="Q92"/>
  <c r="P92"/>
  <c r="Q91"/>
  <c r="P91"/>
  <c r="L91" s="1"/>
  <c r="Q90"/>
  <c r="P90"/>
  <c r="Q89"/>
  <c r="P89"/>
  <c r="Q88"/>
  <c r="P88"/>
  <c r="Q87"/>
  <c r="P87"/>
  <c r="L87" s="1"/>
  <c r="Q86"/>
  <c r="P86"/>
  <c r="Q85"/>
  <c r="P85"/>
  <c r="Q84"/>
  <c r="P84"/>
  <c r="Q83"/>
  <c r="P83"/>
  <c r="L83" s="1"/>
  <c r="Q82"/>
  <c r="P82"/>
  <c r="Q81"/>
  <c r="P81"/>
  <c r="Q80"/>
  <c r="P80"/>
  <c r="Q79"/>
  <c r="P79"/>
  <c r="L79" s="1"/>
  <c r="Q78"/>
  <c r="P78"/>
  <c r="Q77"/>
  <c r="P77"/>
  <c r="Q76"/>
  <c r="P76"/>
  <c r="Q75"/>
  <c r="P75"/>
  <c r="Q74"/>
  <c r="P74"/>
  <c r="Q73"/>
  <c r="P73"/>
  <c r="Q72"/>
  <c r="P72"/>
  <c r="Q71"/>
  <c r="P71"/>
  <c r="Q70"/>
  <c r="P70"/>
  <c r="Q69"/>
  <c r="P69"/>
  <c r="Q68"/>
  <c r="P68"/>
  <c r="Q67"/>
  <c r="P67"/>
  <c r="L67" s="1"/>
  <c r="Q66"/>
  <c r="P66"/>
  <c r="R15"/>
  <c r="Q65"/>
  <c r="M65" s="1"/>
  <c r="P65"/>
  <c r="R14"/>
  <c r="Q64"/>
  <c r="P64"/>
  <c r="L64" s="1"/>
  <c r="R13"/>
  <c r="Q63"/>
  <c r="P63"/>
  <c r="E58"/>
  <c r="D53"/>
  <c r="D58"/>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D13"/>
  <c r="D18"/>
  <c r="D24"/>
  <c r="D25"/>
  <c r="D23"/>
  <c r="D28"/>
  <c r="D33"/>
  <c r="D38"/>
  <c r="D43"/>
  <c r="D48"/>
  <c r="D55"/>
  <c r="B55"/>
  <c r="L54"/>
  <c r="I54"/>
  <c r="L53"/>
  <c r="I53"/>
  <c r="F53"/>
  <c r="L52"/>
  <c r="I52"/>
  <c r="F52"/>
  <c r="L51"/>
  <c r="I51"/>
  <c r="F51"/>
  <c r="L50"/>
  <c r="I50"/>
  <c r="F50"/>
  <c r="L49"/>
  <c r="I49"/>
  <c r="F49"/>
  <c r="L48"/>
  <c r="I48"/>
  <c r="F48"/>
  <c r="L47"/>
  <c r="I47"/>
  <c r="F47"/>
  <c r="L46"/>
  <c r="I46"/>
  <c r="F46"/>
  <c r="L45"/>
  <c r="I45"/>
  <c r="F45"/>
  <c r="L44"/>
  <c r="I44"/>
  <c r="F44"/>
  <c r="L43"/>
  <c r="I43"/>
  <c r="F43"/>
  <c r="L42"/>
  <c r="I42"/>
  <c r="F42"/>
  <c r="L41"/>
  <c r="I41"/>
  <c r="F41"/>
  <c r="L40"/>
  <c r="I40"/>
  <c r="F40"/>
  <c r="L39"/>
  <c r="I39"/>
  <c r="F39"/>
  <c r="L38"/>
  <c r="I38"/>
  <c r="F38"/>
  <c r="L37"/>
  <c r="I37"/>
  <c r="F37"/>
  <c r="L36"/>
  <c r="I36"/>
  <c r="F36"/>
  <c r="L35"/>
  <c r="I35"/>
  <c r="F35"/>
  <c r="L34"/>
  <c r="I34"/>
  <c r="F34"/>
  <c r="L33"/>
  <c r="I33"/>
  <c r="F33"/>
  <c r="L32"/>
  <c r="I32"/>
  <c r="F32"/>
  <c r="L31"/>
  <c r="I31"/>
  <c r="F31"/>
  <c r="L30"/>
  <c r="I30"/>
  <c r="F30"/>
  <c r="L29"/>
  <c r="I29"/>
  <c r="F29"/>
  <c r="L28"/>
  <c r="I28"/>
  <c r="F28"/>
  <c r="L27"/>
  <c r="I27"/>
  <c r="L26"/>
  <c r="I26"/>
  <c r="L25"/>
  <c r="I25"/>
  <c r="F25"/>
  <c r="L24"/>
  <c r="I24"/>
  <c r="F24"/>
  <c r="L23"/>
  <c r="I23"/>
  <c r="L22"/>
  <c r="I22"/>
  <c r="F22"/>
  <c r="L21"/>
  <c r="I21"/>
  <c r="F21"/>
  <c r="L20"/>
  <c r="I20"/>
  <c r="F20"/>
  <c r="L19"/>
  <c r="I19"/>
  <c r="F19"/>
  <c r="L18"/>
  <c r="I18"/>
  <c r="F18"/>
  <c r="L17"/>
  <c r="I17"/>
  <c r="F17"/>
  <c r="L16"/>
  <c r="I16"/>
  <c r="F16"/>
  <c r="L15"/>
  <c r="I15"/>
  <c r="F15"/>
  <c r="L14"/>
  <c r="I14"/>
  <c r="F14"/>
  <c r="L13"/>
  <c r="I13"/>
  <c r="F13"/>
  <c r="O5"/>
  <c r="O8"/>
  <c r="N5"/>
  <c r="N8"/>
  <c r="M5"/>
  <c r="M8"/>
  <c r="L5"/>
  <c r="L8"/>
  <c r="K5"/>
  <c r="K8"/>
  <c r="J5"/>
  <c r="J8"/>
  <c r="G5"/>
  <c r="H5"/>
  <c r="I5"/>
  <c r="P5"/>
  <c r="Q5"/>
  <c r="R5"/>
  <c r="V5"/>
  <c r="U5"/>
  <c r="T5"/>
  <c r="S5"/>
  <c r="Q4"/>
  <c r="R4"/>
  <c r="V4" s="1"/>
  <c r="L4"/>
  <c r="U4"/>
  <c r="J4"/>
  <c r="H4"/>
  <c r="T4"/>
  <c r="O4"/>
  <c r="S4"/>
  <c r="P4"/>
  <c r="N4"/>
  <c r="M4"/>
  <c r="K4"/>
  <c r="I4"/>
  <c r="G4"/>
  <c r="H1"/>
  <c r="G1"/>
  <c r="I105" i="29"/>
  <c r="U104"/>
  <c r="T104"/>
  <c r="R104"/>
  <c r="Q104"/>
  <c r="M104" s="1"/>
  <c r="U103"/>
  <c r="T103"/>
  <c r="R103"/>
  <c r="Q103"/>
  <c r="U102"/>
  <c r="T102"/>
  <c r="R102"/>
  <c r="Q102"/>
  <c r="M102" s="1"/>
  <c r="U101"/>
  <c r="T101"/>
  <c r="R101"/>
  <c r="Q101"/>
  <c r="U100"/>
  <c r="T100"/>
  <c r="R100"/>
  <c r="Q100"/>
  <c r="M100" s="1"/>
  <c r="U99"/>
  <c r="T99"/>
  <c r="R99"/>
  <c r="Q99"/>
  <c r="M99" s="1"/>
  <c r="U98"/>
  <c r="T98"/>
  <c r="R98"/>
  <c r="Q98"/>
  <c r="M98" s="1"/>
  <c r="U97"/>
  <c r="T97"/>
  <c r="R97"/>
  <c r="Q97"/>
  <c r="M97" s="1"/>
  <c r="U96"/>
  <c r="T96"/>
  <c r="R96"/>
  <c r="Q96"/>
  <c r="U95"/>
  <c r="T95"/>
  <c r="R95"/>
  <c r="Q95"/>
  <c r="M95" s="1"/>
  <c r="U94"/>
  <c r="T94"/>
  <c r="R94"/>
  <c r="Q94"/>
  <c r="U93"/>
  <c r="T93"/>
  <c r="R93"/>
  <c r="Q93"/>
  <c r="U92"/>
  <c r="T92"/>
  <c r="R92"/>
  <c r="Q92"/>
  <c r="M92" s="1"/>
  <c r="U91"/>
  <c r="T91"/>
  <c r="R91"/>
  <c r="Q91"/>
  <c r="M91" s="1"/>
  <c r="U90"/>
  <c r="T90"/>
  <c r="R90"/>
  <c r="Q90"/>
  <c r="M90" s="1"/>
  <c r="U89"/>
  <c r="T89"/>
  <c r="R89"/>
  <c r="Q89"/>
  <c r="M89" s="1"/>
  <c r="U88"/>
  <c r="T88"/>
  <c r="R88"/>
  <c r="Q88"/>
  <c r="U87"/>
  <c r="T87"/>
  <c r="R87"/>
  <c r="Q87"/>
  <c r="M87" s="1"/>
  <c r="U86"/>
  <c r="T86"/>
  <c r="R86"/>
  <c r="Q86"/>
  <c r="M86" s="1"/>
  <c r="U85"/>
  <c r="T85"/>
  <c r="R85"/>
  <c r="Q85"/>
  <c r="U84"/>
  <c r="T84"/>
  <c r="R84"/>
  <c r="Q84"/>
  <c r="M84" s="1"/>
  <c r="U83"/>
  <c r="T83"/>
  <c r="R83"/>
  <c r="Q83"/>
  <c r="U82"/>
  <c r="T82"/>
  <c r="R82"/>
  <c r="Q82"/>
  <c r="U81"/>
  <c r="T81"/>
  <c r="R81"/>
  <c r="Q81"/>
  <c r="U80"/>
  <c r="T80"/>
  <c r="R80"/>
  <c r="Q80"/>
  <c r="M80" s="1"/>
  <c r="U79"/>
  <c r="T79"/>
  <c r="R79"/>
  <c r="Q79"/>
  <c r="M79" s="1"/>
  <c r="U78"/>
  <c r="T78"/>
  <c r="R78"/>
  <c r="Q78"/>
  <c r="M78" s="1"/>
  <c r="U77"/>
  <c r="T77"/>
  <c r="R77"/>
  <c r="Q77"/>
  <c r="M77" s="1"/>
  <c r="U76"/>
  <c r="T76"/>
  <c r="R76"/>
  <c r="Q76"/>
  <c r="M76" s="1"/>
  <c r="U75"/>
  <c r="T75"/>
  <c r="R75"/>
  <c r="Q75"/>
  <c r="U74"/>
  <c r="T74"/>
  <c r="R74"/>
  <c r="Q74"/>
  <c r="U73"/>
  <c r="T73"/>
  <c r="R73"/>
  <c r="Q73"/>
  <c r="M73" s="1"/>
  <c r="U72"/>
  <c r="T72"/>
  <c r="R72"/>
  <c r="Q72"/>
  <c r="U71"/>
  <c r="T71"/>
  <c r="R71"/>
  <c r="Q71"/>
  <c r="M71" s="1"/>
  <c r="U70"/>
  <c r="T70"/>
  <c r="R70"/>
  <c r="Q70"/>
  <c r="M70" s="1"/>
  <c r="U69"/>
  <c r="T69"/>
  <c r="R69"/>
  <c r="Q69"/>
  <c r="M69" s="1"/>
  <c r="U68"/>
  <c r="T68"/>
  <c r="R68"/>
  <c r="Q68"/>
  <c r="U67"/>
  <c r="T67"/>
  <c r="R67"/>
  <c r="Q67"/>
  <c r="M67" s="1"/>
  <c r="U66"/>
  <c r="T66"/>
  <c r="R66"/>
  <c r="Q66"/>
  <c r="M66" s="1"/>
  <c r="U65"/>
  <c r="T65"/>
  <c r="R65"/>
  <c r="Q65"/>
  <c r="M65" s="1"/>
  <c r="U64"/>
  <c r="T64"/>
  <c r="R64"/>
  <c r="Q64"/>
  <c r="M64" s="1"/>
  <c r="U63"/>
  <c r="T63"/>
  <c r="R63"/>
  <c r="Q63"/>
  <c r="M63" s="1"/>
  <c r="B55"/>
  <c r="Q54"/>
  <c r="P54"/>
  <c r="O54"/>
  <c r="R54"/>
  <c r="L54"/>
  <c r="I54"/>
  <c r="O53"/>
  <c r="R53"/>
  <c r="Q53"/>
  <c r="P53"/>
  <c r="V103"/>
  <c r="L53"/>
  <c r="I53"/>
  <c r="Q52"/>
  <c r="P52"/>
  <c r="O52"/>
  <c r="R52"/>
  <c r="L52"/>
  <c r="I52"/>
  <c r="F52"/>
  <c r="Q51"/>
  <c r="P51"/>
  <c r="O51"/>
  <c r="V101"/>
  <c r="L51"/>
  <c r="I51"/>
  <c r="F51"/>
  <c r="O50"/>
  <c r="R50"/>
  <c r="Q50"/>
  <c r="P50"/>
  <c r="L50"/>
  <c r="I50"/>
  <c r="F50"/>
  <c r="O49"/>
  <c r="R49"/>
  <c r="Q49"/>
  <c r="P49"/>
  <c r="V99"/>
  <c r="L49"/>
  <c r="I49"/>
  <c r="F49"/>
  <c r="Q48"/>
  <c r="P48"/>
  <c r="O48"/>
  <c r="R48"/>
  <c r="L48"/>
  <c r="I48"/>
  <c r="E48"/>
  <c r="D48"/>
  <c r="O47"/>
  <c r="R47"/>
  <c r="Q47"/>
  <c r="P47"/>
  <c r="V97"/>
  <c r="L47"/>
  <c r="I47"/>
  <c r="F47"/>
  <c r="Q46"/>
  <c r="P46"/>
  <c r="O46"/>
  <c r="R46"/>
  <c r="L46"/>
  <c r="I46"/>
  <c r="F46"/>
  <c r="Q45"/>
  <c r="P45"/>
  <c r="O45"/>
  <c r="V95"/>
  <c r="L45"/>
  <c r="I45"/>
  <c r="F45"/>
  <c r="O44"/>
  <c r="R44"/>
  <c r="Q44"/>
  <c r="P44"/>
  <c r="L44"/>
  <c r="I44"/>
  <c r="F44"/>
  <c r="O43"/>
  <c r="R43"/>
  <c r="Q43"/>
  <c r="P43"/>
  <c r="V93"/>
  <c r="L43"/>
  <c r="I43"/>
  <c r="E43"/>
  <c r="D43"/>
  <c r="O42"/>
  <c r="R42"/>
  <c r="Q42"/>
  <c r="P42"/>
  <c r="L42"/>
  <c r="I42"/>
  <c r="F42"/>
  <c r="O41"/>
  <c r="R41"/>
  <c r="Q41"/>
  <c r="P41"/>
  <c r="V91"/>
  <c r="L41"/>
  <c r="I41"/>
  <c r="F41"/>
  <c r="Q40"/>
  <c r="P40"/>
  <c r="O40"/>
  <c r="R40"/>
  <c r="L40"/>
  <c r="I40"/>
  <c r="F40"/>
  <c r="Q39"/>
  <c r="P39"/>
  <c r="O39"/>
  <c r="V89"/>
  <c r="L39"/>
  <c r="I39"/>
  <c r="F39"/>
  <c r="O38"/>
  <c r="R38"/>
  <c r="Q38"/>
  <c r="P38"/>
  <c r="L38"/>
  <c r="I38"/>
  <c r="E38"/>
  <c r="D38"/>
  <c r="Q37"/>
  <c r="P37"/>
  <c r="O37"/>
  <c r="V87"/>
  <c r="L37"/>
  <c r="I37"/>
  <c r="F37"/>
  <c r="O36"/>
  <c r="R36"/>
  <c r="Q36"/>
  <c r="P36"/>
  <c r="L36"/>
  <c r="I36"/>
  <c r="F36"/>
  <c r="O35"/>
  <c r="R35"/>
  <c r="Q35"/>
  <c r="P35"/>
  <c r="V85"/>
  <c r="L35"/>
  <c r="I35"/>
  <c r="F35"/>
  <c r="Q34"/>
  <c r="P34"/>
  <c r="O34"/>
  <c r="R34"/>
  <c r="L34"/>
  <c r="I34"/>
  <c r="F34"/>
  <c r="Q33"/>
  <c r="P33"/>
  <c r="O33"/>
  <c r="V83"/>
  <c r="L33"/>
  <c r="I33"/>
  <c r="E33"/>
  <c r="D33"/>
  <c r="Q32"/>
  <c r="P32"/>
  <c r="O32"/>
  <c r="R32"/>
  <c r="L32"/>
  <c r="I32"/>
  <c r="F32"/>
  <c r="O31"/>
  <c r="R31"/>
  <c r="Q31"/>
  <c r="P31"/>
  <c r="L31"/>
  <c r="I31"/>
  <c r="F31"/>
  <c r="Q30"/>
  <c r="P30"/>
  <c r="O30"/>
  <c r="R30"/>
  <c r="L30"/>
  <c r="I30"/>
  <c r="F30"/>
  <c r="O29"/>
  <c r="R29"/>
  <c r="Q29"/>
  <c r="P29"/>
  <c r="L29"/>
  <c r="I29"/>
  <c r="F29"/>
  <c r="Q28"/>
  <c r="P28"/>
  <c r="O28"/>
  <c r="R28"/>
  <c r="L28"/>
  <c r="I28"/>
  <c r="E28"/>
  <c r="D28"/>
  <c r="Q27"/>
  <c r="P27"/>
  <c r="O27"/>
  <c r="R27"/>
  <c r="L27"/>
  <c r="I27"/>
  <c r="Q26"/>
  <c r="P26"/>
  <c r="O26"/>
  <c r="R26"/>
  <c r="L26"/>
  <c r="I26"/>
  <c r="Q25"/>
  <c r="P25"/>
  <c r="O25"/>
  <c r="R25"/>
  <c r="L25"/>
  <c r="I25"/>
  <c r="O24"/>
  <c r="R24"/>
  <c r="Q24"/>
  <c r="P24"/>
  <c r="L24"/>
  <c r="I24"/>
  <c r="O23"/>
  <c r="R23"/>
  <c r="Q23"/>
  <c r="P23"/>
  <c r="L23"/>
  <c r="I23"/>
  <c r="O22"/>
  <c r="R22"/>
  <c r="Q22"/>
  <c r="P22"/>
  <c r="L22"/>
  <c r="I22"/>
  <c r="F22"/>
  <c r="Q21"/>
  <c r="P21"/>
  <c r="O21"/>
  <c r="R21"/>
  <c r="L21"/>
  <c r="I21"/>
  <c r="F21"/>
  <c r="O20"/>
  <c r="R20"/>
  <c r="Q20"/>
  <c r="P20"/>
  <c r="L20"/>
  <c r="I20"/>
  <c r="F20"/>
  <c r="Q19"/>
  <c r="P19"/>
  <c r="O19"/>
  <c r="R19"/>
  <c r="L19"/>
  <c r="I19"/>
  <c r="F19"/>
  <c r="O18"/>
  <c r="R18"/>
  <c r="Q18"/>
  <c r="P18"/>
  <c r="L18"/>
  <c r="I18"/>
  <c r="E18"/>
  <c r="E25"/>
  <c r="D18"/>
  <c r="F18"/>
  <c r="Q17"/>
  <c r="P17"/>
  <c r="O17"/>
  <c r="R17"/>
  <c r="L17"/>
  <c r="I17"/>
  <c r="F17"/>
  <c r="O16"/>
  <c r="R16"/>
  <c r="Q16"/>
  <c r="P16"/>
  <c r="L16"/>
  <c r="I16"/>
  <c r="F16"/>
  <c r="Q15"/>
  <c r="P15"/>
  <c r="O15"/>
  <c r="R15"/>
  <c r="L15"/>
  <c r="I15"/>
  <c r="F15"/>
  <c r="O14"/>
  <c r="R14"/>
  <c r="Q14"/>
  <c r="P14"/>
  <c r="L14"/>
  <c r="I14"/>
  <c r="F14"/>
  <c r="Q13"/>
  <c r="P13"/>
  <c r="O13"/>
  <c r="G105"/>
  <c r="V104"/>
  <c r="L13"/>
  <c r="I13"/>
  <c r="E13"/>
  <c r="E24"/>
  <c r="E23"/>
  <c r="D13"/>
  <c r="P7"/>
  <c r="N7"/>
  <c r="M7"/>
  <c r="L7"/>
  <c r="K7"/>
  <c r="J7"/>
  <c r="H7"/>
  <c r="G7"/>
  <c r="P5"/>
  <c r="P8"/>
  <c r="N5"/>
  <c r="N8"/>
  <c r="M5"/>
  <c r="M8"/>
  <c r="L5"/>
  <c r="L8"/>
  <c r="K5"/>
  <c r="K8"/>
  <c r="J5"/>
  <c r="J8"/>
  <c r="H5"/>
  <c r="H8"/>
  <c r="G5"/>
  <c r="R4"/>
  <c r="Q4"/>
  <c r="P4"/>
  <c r="O4"/>
  <c r="N4"/>
  <c r="M4"/>
  <c r="L4"/>
  <c r="K4"/>
  <c r="J4"/>
  <c r="I4"/>
  <c r="H4"/>
  <c r="G4"/>
  <c r="H1"/>
  <c r="G1"/>
  <c r="D53" i="27"/>
  <c r="Q72"/>
  <c r="P72"/>
  <c r="O72"/>
  <c r="R72"/>
  <c r="L72"/>
  <c r="I72"/>
  <c r="Q71"/>
  <c r="P71"/>
  <c r="O71"/>
  <c r="R71"/>
  <c r="L71"/>
  <c r="Q70"/>
  <c r="P70"/>
  <c r="O70"/>
  <c r="R70"/>
  <c r="L70"/>
  <c r="I70"/>
  <c r="Q69"/>
  <c r="P69"/>
  <c r="O69"/>
  <c r="R69"/>
  <c r="L69"/>
  <c r="I69"/>
  <c r="Q68"/>
  <c r="P68"/>
  <c r="O68"/>
  <c r="R68"/>
  <c r="L68"/>
  <c r="I68"/>
  <c r="Q67"/>
  <c r="P67"/>
  <c r="O67"/>
  <c r="R67"/>
  <c r="L67"/>
  <c r="I67"/>
  <c r="Q66"/>
  <c r="P66"/>
  <c r="O66"/>
  <c r="R66"/>
  <c r="L66"/>
  <c r="I66"/>
  <c r="Q65"/>
  <c r="P65"/>
  <c r="O65"/>
  <c r="R65"/>
  <c r="L65"/>
  <c r="I65"/>
  <c r="Q64"/>
  <c r="P64"/>
  <c r="O64"/>
  <c r="R64"/>
  <c r="L64"/>
  <c r="I64"/>
  <c r="Q63"/>
  <c r="P63"/>
  <c r="O63"/>
  <c r="R63"/>
  <c r="L63"/>
  <c r="I63"/>
  <c r="Q62"/>
  <c r="P62"/>
  <c r="O62"/>
  <c r="R62"/>
  <c r="L62"/>
  <c r="I62"/>
  <c r="Q61"/>
  <c r="P61"/>
  <c r="O61"/>
  <c r="R61"/>
  <c r="L61"/>
  <c r="I61"/>
  <c r="Q60"/>
  <c r="P60"/>
  <c r="O60"/>
  <c r="R60"/>
  <c r="L60"/>
  <c r="I60"/>
  <c r="Q59"/>
  <c r="P59"/>
  <c r="O59"/>
  <c r="R59"/>
  <c r="L59"/>
  <c r="I59"/>
  <c r="Q58"/>
  <c r="P58"/>
  <c r="O58"/>
  <c r="R58"/>
  <c r="L58"/>
  <c r="I58"/>
  <c r="Q57"/>
  <c r="P57"/>
  <c r="O57"/>
  <c r="R57"/>
  <c r="L57"/>
  <c r="I57"/>
  <c r="Q56"/>
  <c r="P56"/>
  <c r="O56"/>
  <c r="R56"/>
  <c r="L56"/>
  <c r="I56"/>
  <c r="Q55"/>
  <c r="P55"/>
  <c r="O55"/>
  <c r="R55"/>
  <c r="L55"/>
  <c r="I55"/>
  <c r="B55"/>
  <c r="Q54"/>
  <c r="P54"/>
  <c r="O54"/>
  <c r="R54"/>
  <c r="L54"/>
  <c r="I54"/>
  <c r="Q53"/>
  <c r="P53"/>
  <c r="O53"/>
  <c r="R53"/>
  <c r="L53"/>
  <c r="I53"/>
  <c r="Q52"/>
  <c r="P52"/>
  <c r="O52"/>
  <c r="R52"/>
  <c r="L52"/>
  <c r="I52"/>
  <c r="F52"/>
  <c r="Q51"/>
  <c r="P51"/>
  <c r="O51"/>
  <c r="R51"/>
  <c r="L51"/>
  <c r="I51"/>
  <c r="F51"/>
  <c r="Q50"/>
  <c r="P50"/>
  <c r="O50"/>
  <c r="R50"/>
  <c r="L50"/>
  <c r="I50"/>
  <c r="F50"/>
  <c r="Q49"/>
  <c r="P49"/>
  <c r="O49"/>
  <c r="R49"/>
  <c r="L49"/>
  <c r="I49"/>
  <c r="F49"/>
  <c r="Q48"/>
  <c r="P48"/>
  <c r="O48"/>
  <c r="R48"/>
  <c r="L48"/>
  <c r="I48"/>
  <c r="E48"/>
  <c r="D48"/>
  <c r="Q47"/>
  <c r="P47"/>
  <c r="O47"/>
  <c r="R47"/>
  <c r="L47"/>
  <c r="I47"/>
  <c r="F47"/>
  <c r="Q46"/>
  <c r="P46"/>
  <c r="O46"/>
  <c r="R46"/>
  <c r="L46"/>
  <c r="I46"/>
  <c r="F46"/>
  <c r="O45"/>
  <c r="R45"/>
  <c r="Q45"/>
  <c r="P45"/>
  <c r="L45"/>
  <c r="I45"/>
  <c r="F45"/>
  <c r="Q44"/>
  <c r="P44"/>
  <c r="O44"/>
  <c r="R44"/>
  <c r="L44"/>
  <c r="I44"/>
  <c r="F44"/>
  <c r="Q43"/>
  <c r="P43"/>
  <c r="O43"/>
  <c r="R43"/>
  <c r="L43"/>
  <c r="I43"/>
  <c r="E43"/>
  <c r="D43"/>
  <c r="Q42"/>
  <c r="P42"/>
  <c r="O42"/>
  <c r="R42"/>
  <c r="L42"/>
  <c r="I42"/>
  <c r="F42"/>
  <c r="Q41"/>
  <c r="P41"/>
  <c r="O41"/>
  <c r="R41"/>
  <c r="L41"/>
  <c r="I41"/>
  <c r="F41"/>
  <c r="O40"/>
  <c r="R40"/>
  <c r="Q40"/>
  <c r="P40"/>
  <c r="L40"/>
  <c r="I40"/>
  <c r="F40"/>
  <c r="Q39"/>
  <c r="P39"/>
  <c r="O39"/>
  <c r="R39"/>
  <c r="L39"/>
  <c r="I39"/>
  <c r="F39"/>
  <c r="Q38"/>
  <c r="P38"/>
  <c r="O38"/>
  <c r="R38"/>
  <c r="L38"/>
  <c r="I38"/>
  <c r="E38"/>
  <c r="D38"/>
  <c r="Q37"/>
  <c r="P37"/>
  <c r="O37"/>
  <c r="R37"/>
  <c r="L37"/>
  <c r="I37"/>
  <c r="F37"/>
  <c r="Q36"/>
  <c r="P36"/>
  <c r="O36"/>
  <c r="R36"/>
  <c r="L36"/>
  <c r="I36"/>
  <c r="F36"/>
  <c r="Q35"/>
  <c r="P35"/>
  <c r="O35"/>
  <c r="R35"/>
  <c r="L35"/>
  <c r="I35"/>
  <c r="F35"/>
  <c r="Q34"/>
  <c r="P34"/>
  <c r="O34"/>
  <c r="R34"/>
  <c r="L34"/>
  <c r="I34"/>
  <c r="F34"/>
  <c r="Q33"/>
  <c r="P33"/>
  <c r="O33"/>
  <c r="R33"/>
  <c r="L33"/>
  <c r="I33"/>
  <c r="E33"/>
  <c r="D33"/>
  <c r="Q32"/>
  <c r="P32"/>
  <c r="O32"/>
  <c r="R32"/>
  <c r="L32"/>
  <c r="I32"/>
  <c r="F32"/>
  <c r="Q31"/>
  <c r="P31"/>
  <c r="O31"/>
  <c r="R31"/>
  <c r="L31"/>
  <c r="I31"/>
  <c r="F31"/>
  <c r="Q30"/>
  <c r="P30"/>
  <c r="O30"/>
  <c r="R30"/>
  <c r="L30"/>
  <c r="I30"/>
  <c r="F30"/>
  <c r="Q29"/>
  <c r="P29"/>
  <c r="O29"/>
  <c r="R29"/>
  <c r="L29"/>
  <c r="I29"/>
  <c r="F29"/>
  <c r="Q28"/>
  <c r="P28"/>
  <c r="O28"/>
  <c r="R28"/>
  <c r="L28"/>
  <c r="I28"/>
  <c r="E28"/>
  <c r="D28"/>
  <c r="Q27"/>
  <c r="P27"/>
  <c r="O27"/>
  <c r="R27"/>
  <c r="L27"/>
  <c r="I27"/>
  <c r="O26"/>
  <c r="R26"/>
  <c r="Q26"/>
  <c r="P26"/>
  <c r="L26"/>
  <c r="I26"/>
  <c r="Q25"/>
  <c r="P25"/>
  <c r="O25"/>
  <c r="R25"/>
  <c r="L25"/>
  <c r="I25"/>
  <c r="Q24"/>
  <c r="P24"/>
  <c r="O24"/>
  <c r="R24"/>
  <c r="L24"/>
  <c r="I24"/>
  <c r="Q23"/>
  <c r="P23"/>
  <c r="O23"/>
  <c r="R23"/>
  <c r="L23"/>
  <c r="I23"/>
  <c r="Q22"/>
  <c r="P22"/>
  <c r="O22"/>
  <c r="R22"/>
  <c r="L22"/>
  <c r="I22"/>
  <c r="F22"/>
  <c r="Q21"/>
  <c r="P21"/>
  <c r="O21"/>
  <c r="R21"/>
  <c r="L21"/>
  <c r="I21"/>
  <c r="F21"/>
  <c r="Q20"/>
  <c r="P20"/>
  <c r="O20"/>
  <c r="R20"/>
  <c r="L20"/>
  <c r="I20"/>
  <c r="F20"/>
  <c r="Q19"/>
  <c r="P19"/>
  <c r="O19"/>
  <c r="R19"/>
  <c r="L19"/>
  <c r="I19"/>
  <c r="F19"/>
  <c r="Q18"/>
  <c r="P18"/>
  <c r="O18"/>
  <c r="R18"/>
  <c r="L18"/>
  <c r="I18"/>
  <c r="D18"/>
  <c r="Q17"/>
  <c r="P17"/>
  <c r="O17"/>
  <c r="R17"/>
  <c r="L17"/>
  <c r="I17"/>
  <c r="F17"/>
  <c r="Q16"/>
  <c r="P16"/>
  <c r="O16"/>
  <c r="R16"/>
  <c r="L16"/>
  <c r="I16"/>
  <c r="F16"/>
  <c r="Q15"/>
  <c r="P15"/>
  <c r="O15"/>
  <c r="R15"/>
  <c r="L15"/>
  <c r="I15"/>
  <c r="F15"/>
  <c r="Q14"/>
  <c r="P14"/>
  <c r="O14"/>
  <c r="R14"/>
  <c r="L14"/>
  <c r="I14"/>
  <c r="F14"/>
  <c r="Q13"/>
  <c r="P13"/>
  <c r="O13"/>
  <c r="G146"/>
  <c r="L13"/>
  <c r="I13"/>
  <c r="E13"/>
  <c r="E24"/>
  <c r="D13"/>
  <c r="P7"/>
  <c r="N7"/>
  <c r="M7" i="7" s="1"/>
  <c r="M7" i="27"/>
  <c r="K7"/>
  <c r="J7"/>
  <c r="G7"/>
  <c r="P5"/>
  <c r="P8"/>
  <c r="N5"/>
  <c r="N8"/>
  <c r="M5"/>
  <c r="L5"/>
  <c r="K5"/>
  <c r="J5"/>
  <c r="J8"/>
  <c r="H5"/>
  <c r="G5"/>
  <c r="R4"/>
  <c r="Q4"/>
  <c r="P4"/>
  <c r="O4"/>
  <c r="N4"/>
  <c r="M4"/>
  <c r="L4"/>
  <c r="K4"/>
  <c r="J4"/>
  <c r="I4"/>
  <c r="H4"/>
  <c r="G4"/>
  <c r="H1"/>
  <c r="G1"/>
  <c r="I105" i="20"/>
  <c r="U104"/>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R77"/>
  <c r="Q77"/>
  <c r="U76"/>
  <c r="T76"/>
  <c r="R76"/>
  <c r="Q76"/>
  <c r="U75"/>
  <c r="T75"/>
  <c r="R75"/>
  <c r="Q75"/>
  <c r="U74"/>
  <c r="T74"/>
  <c r="R74"/>
  <c r="Q74"/>
  <c r="U73"/>
  <c r="T73"/>
  <c r="R73"/>
  <c r="Q73"/>
  <c r="U72"/>
  <c r="T72"/>
  <c r="R72"/>
  <c r="Q72"/>
  <c r="U71"/>
  <c r="T71"/>
  <c r="R71"/>
  <c r="Q71"/>
  <c r="U70"/>
  <c r="T70"/>
  <c r="R70"/>
  <c r="Q70"/>
  <c r="U69"/>
  <c r="T69"/>
  <c r="R69"/>
  <c r="Q69"/>
  <c r="U68"/>
  <c r="T68"/>
  <c r="R68"/>
  <c r="Q68"/>
  <c r="U67"/>
  <c r="T67"/>
  <c r="R67"/>
  <c r="Q67"/>
  <c r="U66"/>
  <c r="T66"/>
  <c r="R66"/>
  <c r="Q66"/>
  <c r="U65"/>
  <c r="T65"/>
  <c r="R65"/>
  <c r="Q65"/>
  <c r="U64"/>
  <c r="T64"/>
  <c r="U63"/>
  <c r="T63"/>
  <c r="B55"/>
  <c r="O54"/>
  <c r="R54"/>
  <c r="Q54"/>
  <c r="P54"/>
  <c r="L54"/>
  <c r="I54"/>
  <c r="Q53"/>
  <c r="P53"/>
  <c r="O53"/>
  <c r="V103"/>
  <c r="L53"/>
  <c r="I53"/>
  <c r="O52"/>
  <c r="R52"/>
  <c r="Q52"/>
  <c r="P52"/>
  <c r="L52"/>
  <c r="I52"/>
  <c r="F52"/>
  <c r="O51"/>
  <c r="R51"/>
  <c r="Q51"/>
  <c r="P51"/>
  <c r="V101"/>
  <c r="L51"/>
  <c r="I51"/>
  <c r="F51"/>
  <c r="Q50"/>
  <c r="P50"/>
  <c r="O50"/>
  <c r="R50"/>
  <c r="L50"/>
  <c r="I50"/>
  <c r="F50"/>
  <c r="Q49"/>
  <c r="P49"/>
  <c r="O49"/>
  <c r="V99"/>
  <c r="L49"/>
  <c r="I49"/>
  <c r="F49"/>
  <c r="O48"/>
  <c r="R48"/>
  <c r="Q48"/>
  <c r="P48"/>
  <c r="L48"/>
  <c r="I48"/>
  <c r="E48"/>
  <c r="D48"/>
  <c r="Q47"/>
  <c r="P47"/>
  <c r="O47"/>
  <c r="V97"/>
  <c r="L47"/>
  <c r="I47"/>
  <c r="F47"/>
  <c r="O46"/>
  <c r="R46"/>
  <c r="Q46"/>
  <c r="P46"/>
  <c r="L46"/>
  <c r="I46"/>
  <c r="F46"/>
  <c r="O45"/>
  <c r="R45"/>
  <c r="Q45"/>
  <c r="P45"/>
  <c r="V95"/>
  <c r="L45"/>
  <c r="I45"/>
  <c r="F45"/>
  <c r="Q44"/>
  <c r="P44"/>
  <c r="O44"/>
  <c r="R44"/>
  <c r="L44"/>
  <c r="I44"/>
  <c r="F44"/>
  <c r="Q43"/>
  <c r="P43"/>
  <c r="O43"/>
  <c r="V93"/>
  <c r="L43"/>
  <c r="I43"/>
  <c r="E43"/>
  <c r="D43"/>
  <c r="Q42"/>
  <c r="P42"/>
  <c r="O42"/>
  <c r="R42"/>
  <c r="L42"/>
  <c r="I42"/>
  <c r="F42"/>
  <c r="Q41"/>
  <c r="P41"/>
  <c r="O41"/>
  <c r="V91"/>
  <c r="L41"/>
  <c r="I41"/>
  <c r="F41"/>
  <c r="O40"/>
  <c r="R40"/>
  <c r="Q40"/>
  <c r="P40"/>
  <c r="L40"/>
  <c r="I40"/>
  <c r="F40"/>
  <c r="O39"/>
  <c r="R39"/>
  <c r="Q39"/>
  <c r="P39"/>
  <c r="V89"/>
  <c r="L39"/>
  <c r="I39"/>
  <c r="F39"/>
  <c r="Q38"/>
  <c r="P38"/>
  <c r="O38"/>
  <c r="R38"/>
  <c r="L38"/>
  <c r="I38"/>
  <c r="E38"/>
  <c r="E13"/>
  <c r="E18"/>
  <c r="E24"/>
  <c r="E25"/>
  <c r="E23"/>
  <c r="E28"/>
  <c r="E33"/>
  <c r="U105"/>
  <c r="E53"/>
  <c r="E55"/>
  <c r="D38"/>
  <c r="O37"/>
  <c r="R37"/>
  <c r="Q37"/>
  <c r="P37"/>
  <c r="V87"/>
  <c r="L37"/>
  <c r="I37"/>
  <c r="F37"/>
  <c r="Q36"/>
  <c r="P36"/>
  <c r="O36"/>
  <c r="R36"/>
  <c r="L36"/>
  <c r="I36"/>
  <c r="F36"/>
  <c r="Q35"/>
  <c r="P35"/>
  <c r="O35"/>
  <c r="V85"/>
  <c r="L35"/>
  <c r="I35"/>
  <c r="F35"/>
  <c r="O34"/>
  <c r="R34"/>
  <c r="Q34"/>
  <c r="P34"/>
  <c r="L34"/>
  <c r="I34"/>
  <c r="F34"/>
  <c r="O33"/>
  <c r="R33"/>
  <c r="Q33"/>
  <c r="P33"/>
  <c r="V83"/>
  <c r="L33"/>
  <c r="I33"/>
  <c r="D33"/>
  <c r="O32"/>
  <c r="R32"/>
  <c r="Q32"/>
  <c r="P32"/>
  <c r="L32"/>
  <c r="I32"/>
  <c r="F32"/>
  <c r="Q31"/>
  <c r="P31"/>
  <c r="O31"/>
  <c r="R31"/>
  <c r="L31"/>
  <c r="I31"/>
  <c r="F31"/>
  <c r="O30"/>
  <c r="R30"/>
  <c r="Q30"/>
  <c r="P30"/>
  <c r="L30"/>
  <c r="I30"/>
  <c r="F30"/>
  <c r="Q29"/>
  <c r="P29"/>
  <c r="O29"/>
  <c r="R29"/>
  <c r="L29"/>
  <c r="I29"/>
  <c r="F29"/>
  <c r="O28"/>
  <c r="R28"/>
  <c r="Q28"/>
  <c r="P28"/>
  <c r="L28"/>
  <c r="I28"/>
  <c r="J7"/>
  <c r="D28"/>
  <c r="O27"/>
  <c r="R27"/>
  <c r="Q27"/>
  <c r="P27"/>
  <c r="L27"/>
  <c r="I27"/>
  <c r="O26"/>
  <c r="R26"/>
  <c r="Q26"/>
  <c r="P26"/>
  <c r="L26"/>
  <c r="I26"/>
  <c r="O25"/>
  <c r="R25"/>
  <c r="Q25"/>
  <c r="P25"/>
  <c r="L25"/>
  <c r="I25"/>
  <c r="O24"/>
  <c r="R24"/>
  <c r="Q24"/>
  <c r="P24"/>
  <c r="L24"/>
  <c r="I24"/>
  <c r="O23"/>
  <c r="R23"/>
  <c r="Q23"/>
  <c r="P23"/>
  <c r="L23"/>
  <c r="I23"/>
  <c r="Q22"/>
  <c r="P22"/>
  <c r="O22"/>
  <c r="R22"/>
  <c r="L22"/>
  <c r="I22"/>
  <c r="F22"/>
  <c r="O21"/>
  <c r="R21"/>
  <c r="Q21"/>
  <c r="P21"/>
  <c r="L21"/>
  <c r="I21"/>
  <c r="F21"/>
  <c r="Q20"/>
  <c r="P20"/>
  <c r="O20"/>
  <c r="R20"/>
  <c r="L20"/>
  <c r="I20"/>
  <c r="F20"/>
  <c r="O19"/>
  <c r="R19"/>
  <c r="Q19"/>
  <c r="P19"/>
  <c r="L19"/>
  <c r="I19"/>
  <c r="F19"/>
  <c r="Q18"/>
  <c r="P18"/>
  <c r="O18"/>
  <c r="R18"/>
  <c r="L18"/>
  <c r="I18"/>
  <c r="D18"/>
  <c r="F18"/>
  <c r="O17"/>
  <c r="R17"/>
  <c r="Q17"/>
  <c r="P17"/>
  <c r="L17"/>
  <c r="I17"/>
  <c r="F17"/>
  <c r="Q16"/>
  <c r="P16"/>
  <c r="O16"/>
  <c r="R16"/>
  <c r="L16"/>
  <c r="I16"/>
  <c r="F16"/>
  <c r="O15"/>
  <c r="R15"/>
  <c r="Q15"/>
  <c r="P15"/>
  <c r="L15"/>
  <c r="I15"/>
  <c r="F15"/>
  <c r="Q14"/>
  <c r="P14"/>
  <c r="O14"/>
  <c r="R14"/>
  <c r="R64"/>
  <c r="Q64"/>
  <c r="L14"/>
  <c r="I14"/>
  <c r="F14"/>
  <c r="O13"/>
  <c r="R13"/>
  <c r="Q13"/>
  <c r="P13"/>
  <c r="G105"/>
  <c r="V104"/>
  <c r="L13"/>
  <c r="I13"/>
  <c r="D13"/>
  <c r="P7"/>
  <c r="N7"/>
  <c r="M7"/>
  <c r="L7"/>
  <c r="K7"/>
  <c r="H7"/>
  <c r="G7"/>
  <c r="P5"/>
  <c r="P8"/>
  <c r="N5"/>
  <c r="N8"/>
  <c r="M5"/>
  <c r="M8"/>
  <c r="L5"/>
  <c r="K5"/>
  <c r="K8"/>
  <c r="J5"/>
  <c r="H5"/>
  <c r="G5"/>
  <c r="R4"/>
  <c r="Q4"/>
  <c r="P4"/>
  <c r="O4"/>
  <c r="N4"/>
  <c r="M4"/>
  <c r="L4"/>
  <c r="K4"/>
  <c r="J4"/>
  <c r="I4"/>
  <c r="H4"/>
  <c r="G4"/>
  <c r="H1"/>
  <c r="G1"/>
  <c r="O13" i="26"/>
  <c r="U63"/>
  <c r="O14"/>
  <c r="U64"/>
  <c r="O15"/>
  <c r="U65"/>
  <c r="O16"/>
  <c r="U66"/>
  <c r="O17"/>
  <c r="U67"/>
  <c r="O18"/>
  <c r="U68"/>
  <c r="O19"/>
  <c r="U69"/>
  <c r="O20"/>
  <c r="U70"/>
  <c r="O21"/>
  <c r="U71"/>
  <c r="O22"/>
  <c r="U72"/>
  <c r="O23"/>
  <c r="U73"/>
  <c r="O24"/>
  <c r="U74"/>
  <c r="O25"/>
  <c r="U75"/>
  <c r="O26"/>
  <c r="U76"/>
  <c r="O27"/>
  <c r="U77"/>
  <c r="O28"/>
  <c r="U78"/>
  <c r="O29"/>
  <c r="U79"/>
  <c r="O30"/>
  <c r="U80"/>
  <c r="O31"/>
  <c r="U81"/>
  <c r="O32"/>
  <c r="U82"/>
  <c r="O33"/>
  <c r="U83"/>
  <c r="O34"/>
  <c r="U84"/>
  <c r="O35"/>
  <c r="U85"/>
  <c r="O36"/>
  <c r="U86"/>
  <c r="O37"/>
  <c r="U87"/>
  <c r="O38"/>
  <c r="U88"/>
  <c r="O39"/>
  <c r="U89"/>
  <c r="O40"/>
  <c r="U90"/>
  <c r="O41"/>
  <c r="U91"/>
  <c r="O42"/>
  <c r="U92"/>
  <c r="O43"/>
  <c r="U93"/>
  <c r="O44"/>
  <c r="U94"/>
  <c r="O45"/>
  <c r="U95"/>
  <c r="O46"/>
  <c r="U96"/>
  <c r="O47"/>
  <c r="U97"/>
  <c r="O48"/>
  <c r="U98"/>
  <c r="O49"/>
  <c r="U99"/>
  <c r="O50"/>
  <c r="U100"/>
  <c r="O51"/>
  <c r="U101"/>
  <c r="O52"/>
  <c r="U102"/>
  <c r="O53"/>
  <c r="U103"/>
  <c r="O54"/>
  <c r="U104"/>
  <c r="U105"/>
  <c r="F13"/>
  <c r="F18"/>
  <c r="F23"/>
  <c r="F28"/>
  <c r="F33"/>
  <c r="F38"/>
  <c r="F43"/>
  <c r="F48"/>
  <c r="F53"/>
  <c r="F55"/>
  <c r="F57"/>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I105"/>
  <c r="H105"/>
  <c r="G105"/>
  <c r="Q104"/>
  <c r="P104"/>
  <c r="Q103"/>
  <c r="P103"/>
  <c r="L103" s="1"/>
  <c r="Q102"/>
  <c r="P102"/>
  <c r="Q101"/>
  <c r="P101"/>
  <c r="L101" s="1"/>
  <c r="Q100"/>
  <c r="P100"/>
  <c r="Q99"/>
  <c r="P99"/>
  <c r="L99" s="1"/>
  <c r="Q98"/>
  <c r="P98"/>
  <c r="Q97"/>
  <c r="P97"/>
  <c r="L97" s="1"/>
  <c r="M97"/>
  <c r="Q96"/>
  <c r="M96" s="1"/>
  <c r="P96"/>
  <c r="L96" s="1"/>
  <c r="Q95"/>
  <c r="P95"/>
  <c r="L95" s="1"/>
  <c r="Q94"/>
  <c r="P94"/>
  <c r="Q93"/>
  <c r="P93"/>
  <c r="Q92"/>
  <c r="M92" s="1"/>
  <c r="P92"/>
  <c r="L92"/>
  <c r="Q91"/>
  <c r="P91"/>
  <c r="Q90"/>
  <c r="P90"/>
  <c r="Q89"/>
  <c r="P89"/>
  <c r="Q88"/>
  <c r="P88"/>
  <c r="Q87"/>
  <c r="P87"/>
  <c r="Q86"/>
  <c r="P86"/>
  <c r="Q85"/>
  <c r="P85"/>
  <c r="Q84"/>
  <c r="P84"/>
  <c r="L84" s="1"/>
  <c r="Q83"/>
  <c r="P83"/>
  <c r="Q82"/>
  <c r="P82"/>
  <c r="L82" s="1"/>
  <c r="X81"/>
  <c r="W81"/>
  <c r="V81"/>
  <c r="Q81"/>
  <c r="M81" s="1"/>
  <c r="P81"/>
  <c r="X80"/>
  <c r="W80"/>
  <c r="V80"/>
  <c r="Q80"/>
  <c r="P80"/>
  <c r="X79"/>
  <c r="W79"/>
  <c r="V79"/>
  <c r="Q79"/>
  <c r="P79"/>
  <c r="X78"/>
  <c r="W78"/>
  <c r="V78"/>
  <c r="Q78"/>
  <c r="P78"/>
  <c r="L78" s="1"/>
  <c r="X77"/>
  <c r="W77"/>
  <c r="V77"/>
  <c r="Q77"/>
  <c r="M77" s="1"/>
  <c r="P77"/>
  <c r="X76"/>
  <c r="W76"/>
  <c r="V76"/>
  <c r="Q76"/>
  <c r="P76"/>
  <c r="X75"/>
  <c r="W75"/>
  <c r="V75"/>
  <c r="Q75"/>
  <c r="P75"/>
  <c r="X74"/>
  <c r="W74"/>
  <c r="V74"/>
  <c r="Q74"/>
  <c r="P74"/>
  <c r="L74" s="1"/>
  <c r="X73"/>
  <c r="W73"/>
  <c r="V73"/>
  <c r="Q73"/>
  <c r="M73" s="1"/>
  <c r="P73"/>
  <c r="X72"/>
  <c r="W72"/>
  <c r="V72"/>
  <c r="Q72"/>
  <c r="P72"/>
  <c r="X71"/>
  <c r="W71"/>
  <c r="V71"/>
  <c r="R21"/>
  <c r="Q71"/>
  <c r="M71" s="1"/>
  <c r="P71"/>
  <c r="L71" s="1"/>
  <c r="X70"/>
  <c r="W70"/>
  <c r="V70"/>
  <c r="R20"/>
  <c r="Q70"/>
  <c r="P70"/>
  <c r="X69"/>
  <c r="W69"/>
  <c r="V69"/>
  <c r="R19"/>
  <c r="Q69"/>
  <c r="M69" s="1"/>
  <c r="P69"/>
  <c r="L69" s="1"/>
  <c r="X68"/>
  <c r="W68"/>
  <c r="V68"/>
  <c r="R18"/>
  <c r="Q68"/>
  <c r="P68"/>
  <c r="X67"/>
  <c r="W67"/>
  <c r="V67"/>
  <c r="R17"/>
  <c r="Q67"/>
  <c r="M67" s="1"/>
  <c r="P67"/>
  <c r="L67" s="1"/>
  <c r="X66"/>
  <c r="W66"/>
  <c r="V66"/>
  <c r="R16"/>
  <c r="Q66"/>
  <c r="P66"/>
  <c r="X65"/>
  <c r="W65"/>
  <c r="V65"/>
  <c r="Q65"/>
  <c r="Q105" s="1"/>
  <c r="M105" s="1"/>
  <c r="P65"/>
  <c r="X64"/>
  <c r="W64"/>
  <c r="V64"/>
  <c r="Q64"/>
  <c r="P64"/>
  <c r="X63"/>
  <c r="W63"/>
  <c r="V63"/>
  <c r="Q63"/>
  <c r="P63"/>
  <c r="L63" s="1"/>
  <c r="M63"/>
  <c r="F58"/>
  <c r="G58"/>
  <c r="E58"/>
  <c r="D58"/>
  <c r="E55"/>
  <c r="E57"/>
  <c r="D55"/>
  <c r="D57"/>
  <c r="R13"/>
  <c r="R14"/>
  <c r="R15"/>
  <c r="R22"/>
  <c r="R23"/>
  <c r="R24"/>
  <c r="R25"/>
  <c r="R26"/>
  <c r="R27"/>
  <c r="R28"/>
  <c r="R29"/>
  <c r="R30"/>
  <c r="R31"/>
  <c r="R32"/>
  <c r="R33"/>
  <c r="R34"/>
  <c r="R35"/>
  <c r="R36"/>
  <c r="R37"/>
  <c r="R38"/>
  <c r="R39"/>
  <c r="R40"/>
  <c r="R41"/>
  <c r="R42"/>
  <c r="R43"/>
  <c r="R44"/>
  <c r="R45"/>
  <c r="R46"/>
  <c r="R47"/>
  <c r="R48"/>
  <c r="R49"/>
  <c r="R50"/>
  <c r="R51"/>
  <c r="R52"/>
  <c r="R53"/>
  <c r="R54"/>
  <c r="R55"/>
  <c r="B55"/>
  <c r="L54"/>
  <c r="I54"/>
  <c r="L53"/>
  <c r="I53"/>
  <c r="L52"/>
  <c r="I52"/>
  <c r="F52"/>
  <c r="L51"/>
  <c r="I51"/>
  <c r="F51"/>
  <c r="L50"/>
  <c r="I50"/>
  <c r="F50"/>
  <c r="L49"/>
  <c r="I49"/>
  <c r="F49"/>
  <c r="L48"/>
  <c r="I48"/>
  <c r="L47"/>
  <c r="I47"/>
  <c r="F47"/>
  <c r="L46"/>
  <c r="I46"/>
  <c r="F46"/>
  <c r="L45"/>
  <c r="I45"/>
  <c r="F45"/>
  <c r="L44"/>
  <c r="I44"/>
  <c r="F44"/>
  <c r="L43"/>
  <c r="I43"/>
  <c r="L42"/>
  <c r="I42"/>
  <c r="F42"/>
  <c r="L41"/>
  <c r="I41"/>
  <c r="F41"/>
  <c r="L40"/>
  <c r="I40"/>
  <c r="F40"/>
  <c r="L39"/>
  <c r="I39"/>
  <c r="F39"/>
  <c r="L38"/>
  <c r="I38"/>
  <c r="L37"/>
  <c r="I37"/>
  <c r="F37"/>
  <c r="L36"/>
  <c r="I36"/>
  <c r="F36"/>
  <c r="L35"/>
  <c r="I35"/>
  <c r="F35"/>
  <c r="L34"/>
  <c r="I34"/>
  <c r="F34"/>
  <c r="L33"/>
  <c r="I33"/>
  <c r="L32"/>
  <c r="I32"/>
  <c r="F32"/>
  <c r="L31"/>
  <c r="I31"/>
  <c r="F31"/>
  <c r="L30"/>
  <c r="I30"/>
  <c r="F30"/>
  <c r="L29"/>
  <c r="I29"/>
  <c r="F29"/>
  <c r="L28"/>
  <c r="I28"/>
  <c r="L27"/>
  <c r="I27"/>
  <c r="L26"/>
  <c r="I26"/>
  <c r="L25"/>
  <c r="I25"/>
  <c r="F25"/>
  <c r="L24"/>
  <c r="I24"/>
  <c r="F24"/>
  <c r="L23"/>
  <c r="I23"/>
  <c r="L22"/>
  <c r="I22"/>
  <c r="F22"/>
  <c r="L21"/>
  <c r="I21"/>
  <c r="F21"/>
  <c r="L20"/>
  <c r="I20"/>
  <c r="F20"/>
  <c r="L19"/>
  <c r="I19"/>
  <c r="F19"/>
  <c r="L18"/>
  <c r="I18"/>
  <c r="L17"/>
  <c r="I17"/>
  <c r="F17"/>
  <c r="L16"/>
  <c r="I16"/>
  <c r="F16"/>
  <c r="L15"/>
  <c r="I15"/>
  <c r="F15"/>
  <c r="L14"/>
  <c r="I14"/>
  <c r="F14"/>
  <c r="L13"/>
  <c r="I13"/>
  <c r="V7"/>
  <c r="U7"/>
  <c r="T7"/>
  <c r="S7"/>
  <c r="V5"/>
  <c r="U5"/>
  <c r="T5"/>
  <c r="S5"/>
  <c r="Q4"/>
  <c r="R4"/>
  <c r="V4" s="1"/>
  <c r="L4"/>
  <c r="U4"/>
  <c r="J4"/>
  <c r="H4"/>
  <c r="T4"/>
  <c r="O4"/>
  <c r="S4"/>
  <c r="P4"/>
  <c r="N4"/>
  <c r="M4"/>
  <c r="K4"/>
  <c r="I4"/>
  <c r="G4"/>
  <c r="H1"/>
  <c r="G1"/>
  <c r="U104" i="25"/>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T83"/>
  <c r="T82"/>
  <c r="T81"/>
  <c r="T80"/>
  <c r="T79"/>
  <c r="T78"/>
  <c r="T77"/>
  <c r="T76"/>
  <c r="T75"/>
  <c r="T74"/>
  <c r="T73"/>
  <c r="T72"/>
  <c r="T71"/>
  <c r="T70"/>
  <c r="T69"/>
  <c r="T68"/>
  <c r="T67"/>
  <c r="T66"/>
  <c r="T65"/>
  <c r="T64"/>
  <c r="T63"/>
  <c r="B55"/>
  <c r="Q54"/>
  <c r="P54"/>
  <c r="R54"/>
  <c r="I54"/>
  <c r="R53"/>
  <c r="Q53"/>
  <c r="P53"/>
  <c r="I53"/>
  <c r="Q52"/>
  <c r="P52"/>
  <c r="R52"/>
  <c r="I52"/>
  <c r="F52"/>
  <c r="Q51"/>
  <c r="P51"/>
  <c r="I51"/>
  <c r="F51"/>
  <c r="R50"/>
  <c r="Q50"/>
  <c r="P50"/>
  <c r="I50"/>
  <c r="F50"/>
  <c r="R49"/>
  <c r="Q49"/>
  <c r="P49"/>
  <c r="I49"/>
  <c r="F49"/>
  <c r="Q48"/>
  <c r="P48"/>
  <c r="R48"/>
  <c r="I48"/>
  <c r="R47"/>
  <c r="Q47"/>
  <c r="P47"/>
  <c r="I47"/>
  <c r="F47"/>
  <c r="Q46"/>
  <c r="P46"/>
  <c r="R46"/>
  <c r="I46"/>
  <c r="F46"/>
  <c r="Q45"/>
  <c r="P45"/>
  <c r="I45"/>
  <c r="F45"/>
  <c r="R44"/>
  <c r="Q44"/>
  <c r="P44"/>
  <c r="I44"/>
  <c r="F44"/>
  <c r="R43"/>
  <c r="Q43"/>
  <c r="P43"/>
  <c r="I43"/>
  <c r="R42"/>
  <c r="Q42"/>
  <c r="P42"/>
  <c r="I42"/>
  <c r="F42"/>
  <c r="R41"/>
  <c r="Q41"/>
  <c r="P41"/>
  <c r="I41"/>
  <c r="F41"/>
  <c r="Q40"/>
  <c r="P40"/>
  <c r="R40"/>
  <c r="I40"/>
  <c r="F40"/>
  <c r="Q39"/>
  <c r="P39"/>
  <c r="I39"/>
  <c r="F39"/>
  <c r="R38"/>
  <c r="Q38"/>
  <c r="P38"/>
  <c r="I38"/>
  <c r="Q37"/>
  <c r="P37"/>
  <c r="I37"/>
  <c r="F37"/>
  <c r="R36"/>
  <c r="Q36"/>
  <c r="P36"/>
  <c r="I36"/>
  <c r="F36"/>
  <c r="R35"/>
  <c r="Q35"/>
  <c r="P35"/>
  <c r="I35"/>
  <c r="F35"/>
  <c r="Q34"/>
  <c r="P34"/>
  <c r="R34"/>
  <c r="I34"/>
  <c r="F34"/>
  <c r="P33"/>
  <c r="I83"/>
  <c r="I33"/>
  <c r="P32"/>
  <c r="I82"/>
  <c r="I32"/>
  <c r="F32"/>
  <c r="P31"/>
  <c r="I81"/>
  <c r="I31"/>
  <c r="F31"/>
  <c r="P30"/>
  <c r="I80"/>
  <c r="I30"/>
  <c r="F30"/>
  <c r="P29"/>
  <c r="I79"/>
  <c r="I29"/>
  <c r="F29"/>
  <c r="P28"/>
  <c r="I78"/>
  <c r="I28"/>
  <c r="P27"/>
  <c r="I77"/>
  <c r="I27"/>
  <c r="P26"/>
  <c r="I76"/>
  <c r="I26"/>
  <c r="P25"/>
  <c r="I75"/>
  <c r="I25"/>
  <c r="P24"/>
  <c r="I74"/>
  <c r="I24"/>
  <c r="P23"/>
  <c r="I73"/>
  <c r="I23"/>
  <c r="P22"/>
  <c r="I72"/>
  <c r="I22"/>
  <c r="F22"/>
  <c r="P21"/>
  <c r="I71"/>
  <c r="I21"/>
  <c r="F21"/>
  <c r="P20"/>
  <c r="I70"/>
  <c r="I20"/>
  <c r="F20"/>
  <c r="P19"/>
  <c r="I69"/>
  <c r="I19"/>
  <c r="F19"/>
  <c r="P18"/>
  <c r="I68"/>
  <c r="I18"/>
  <c r="P17"/>
  <c r="I67"/>
  <c r="I17"/>
  <c r="F17"/>
  <c r="P16"/>
  <c r="I66"/>
  <c r="I16"/>
  <c r="F16"/>
  <c r="P15"/>
  <c r="I65"/>
  <c r="I15"/>
  <c r="F15"/>
  <c r="P14"/>
  <c r="I14"/>
  <c r="F14"/>
  <c r="P13"/>
  <c r="I13"/>
  <c r="P7"/>
  <c r="N7"/>
  <c r="M7"/>
  <c r="L7"/>
  <c r="K7"/>
  <c r="J7"/>
  <c r="H7"/>
  <c r="G7"/>
  <c r="P5"/>
  <c r="P8"/>
  <c r="N5"/>
  <c r="N8"/>
  <c r="M5"/>
  <c r="M8"/>
  <c r="L5"/>
  <c r="L8"/>
  <c r="K5"/>
  <c r="K8"/>
  <c r="J5"/>
  <c r="J8"/>
  <c r="H5"/>
  <c r="H8"/>
  <c r="G5"/>
  <c r="R4"/>
  <c r="Q4"/>
  <c r="P4"/>
  <c r="O4"/>
  <c r="N4"/>
  <c r="M4"/>
  <c r="L4"/>
  <c r="K4"/>
  <c r="J4"/>
  <c r="I4"/>
  <c r="H4"/>
  <c r="G4"/>
  <c r="H1"/>
  <c r="G1"/>
  <c r="B55" i="24"/>
  <c r="F52"/>
  <c r="F51"/>
  <c r="F50"/>
  <c r="F49"/>
  <c r="F47"/>
  <c r="F46"/>
  <c r="F45"/>
  <c r="F44"/>
  <c r="F42"/>
  <c r="F37"/>
  <c r="F36"/>
  <c r="F35"/>
  <c r="F34"/>
  <c r="F32"/>
  <c r="F31"/>
  <c r="F30"/>
  <c r="F29"/>
  <c r="F22"/>
  <c r="F21"/>
  <c r="F20"/>
  <c r="F19"/>
  <c r="F17"/>
  <c r="F16"/>
  <c r="F15"/>
  <c r="F14"/>
  <c r="P5"/>
  <c r="P8" s="1"/>
  <c r="N5"/>
  <c r="N8" s="1"/>
  <c r="M5"/>
  <c r="L5"/>
  <c r="L8" s="1"/>
  <c r="K5"/>
  <c r="K8" s="1"/>
  <c r="G5"/>
  <c r="R4"/>
  <c r="Q4"/>
  <c r="P4"/>
  <c r="O4"/>
  <c r="N4"/>
  <c r="M4"/>
  <c r="L4"/>
  <c r="U4" s="1"/>
  <c r="K4"/>
  <c r="J4"/>
  <c r="I4"/>
  <c r="H4"/>
  <c r="G4"/>
  <c r="H1"/>
  <c r="G1"/>
  <c r="U104" i="23"/>
  <c r="T104"/>
  <c r="R104"/>
  <c r="M104" s="1"/>
  <c r="Q104"/>
  <c r="U103"/>
  <c r="T103"/>
  <c r="R103"/>
  <c r="M103" s="1"/>
  <c r="Q103"/>
  <c r="U102"/>
  <c r="T102"/>
  <c r="R102"/>
  <c r="M102" s="1"/>
  <c r="Q102"/>
  <c r="U101"/>
  <c r="T101"/>
  <c r="R101"/>
  <c r="M101" s="1"/>
  <c r="Q101"/>
  <c r="U100"/>
  <c r="T100"/>
  <c r="R100"/>
  <c r="M100" s="1"/>
  <c r="Q100"/>
  <c r="U99"/>
  <c r="T99"/>
  <c r="R99"/>
  <c r="M99" s="1"/>
  <c r="Q99"/>
  <c r="U98"/>
  <c r="T98"/>
  <c r="R98"/>
  <c r="M98" s="1"/>
  <c r="Q98"/>
  <c r="U97"/>
  <c r="T97"/>
  <c r="R97"/>
  <c r="M97" s="1"/>
  <c r="Q97"/>
  <c r="U96"/>
  <c r="T96"/>
  <c r="R96"/>
  <c r="M96" s="1"/>
  <c r="Q96"/>
  <c r="U95"/>
  <c r="T95"/>
  <c r="R95"/>
  <c r="M95" s="1"/>
  <c r="Q95"/>
  <c r="U94"/>
  <c r="T94"/>
  <c r="R94"/>
  <c r="M94" s="1"/>
  <c r="Q94"/>
  <c r="U93"/>
  <c r="T93"/>
  <c r="R93"/>
  <c r="M93" s="1"/>
  <c r="Q93"/>
  <c r="U92"/>
  <c r="T92"/>
  <c r="R92"/>
  <c r="M92" s="1"/>
  <c r="Q92"/>
  <c r="U91"/>
  <c r="T91"/>
  <c r="R91"/>
  <c r="M91" s="1"/>
  <c r="Q91"/>
  <c r="U90"/>
  <c r="T90"/>
  <c r="R90"/>
  <c r="M90" s="1"/>
  <c r="Q90"/>
  <c r="U89"/>
  <c r="T89"/>
  <c r="R89"/>
  <c r="M89" s="1"/>
  <c r="Q89"/>
  <c r="U88"/>
  <c r="T88"/>
  <c r="R88"/>
  <c r="M88" s="1"/>
  <c r="Q88"/>
  <c r="U87"/>
  <c r="T87"/>
  <c r="R87"/>
  <c r="M87" s="1"/>
  <c r="Q87"/>
  <c r="U86"/>
  <c r="T86"/>
  <c r="R86"/>
  <c r="M86" s="1"/>
  <c r="Q86"/>
  <c r="U85"/>
  <c r="T85"/>
  <c r="R85"/>
  <c r="M85" s="1"/>
  <c r="Q85"/>
  <c r="U84"/>
  <c r="T84"/>
  <c r="R84"/>
  <c r="M84" s="1"/>
  <c r="Q84"/>
  <c r="U83"/>
  <c r="T83"/>
  <c r="R83"/>
  <c r="M83" s="1"/>
  <c r="Q83"/>
  <c r="U82"/>
  <c r="T82"/>
  <c r="R82"/>
  <c r="R105" s="1"/>
  <c r="M105" s="1"/>
  <c r="Q82"/>
  <c r="Q105" s="1"/>
  <c r="L105" s="1"/>
  <c r="U81"/>
  <c r="T81"/>
  <c r="U80"/>
  <c r="T80"/>
  <c r="U79"/>
  <c r="T79"/>
  <c r="U78"/>
  <c r="T78"/>
  <c r="U77"/>
  <c r="T77"/>
  <c r="U76"/>
  <c r="T76"/>
  <c r="U75"/>
  <c r="T75"/>
  <c r="U74"/>
  <c r="T74"/>
  <c r="U73"/>
  <c r="T73"/>
  <c r="U72"/>
  <c r="T72"/>
  <c r="U71"/>
  <c r="T71"/>
  <c r="U70"/>
  <c r="T70"/>
  <c r="U69"/>
  <c r="T69"/>
  <c r="U68"/>
  <c r="T68"/>
  <c r="U67"/>
  <c r="T67"/>
  <c r="U66"/>
  <c r="T66"/>
  <c r="U65"/>
  <c r="T65"/>
  <c r="U64"/>
  <c r="T64"/>
  <c r="U63"/>
  <c r="T63"/>
  <c r="B55"/>
  <c r="Q54"/>
  <c r="P54"/>
  <c r="L54"/>
  <c r="I54"/>
  <c r="Q53"/>
  <c r="P53"/>
  <c r="L53"/>
  <c r="I53"/>
  <c r="Q52"/>
  <c r="P52"/>
  <c r="L52"/>
  <c r="I52"/>
  <c r="F52"/>
  <c r="Q51"/>
  <c r="P51"/>
  <c r="L51"/>
  <c r="I51"/>
  <c r="F51"/>
  <c r="Q50"/>
  <c r="P50"/>
  <c r="L50"/>
  <c r="I50"/>
  <c r="F50"/>
  <c r="Q49"/>
  <c r="P49"/>
  <c r="L49"/>
  <c r="I49"/>
  <c r="F49"/>
  <c r="Q48"/>
  <c r="P48"/>
  <c r="L48"/>
  <c r="I48"/>
  <c r="Q47"/>
  <c r="P47"/>
  <c r="L47"/>
  <c r="I47"/>
  <c r="F47"/>
  <c r="Q46"/>
  <c r="P46"/>
  <c r="L46"/>
  <c r="I46"/>
  <c r="F46"/>
  <c r="Q45"/>
  <c r="P45"/>
  <c r="L45"/>
  <c r="I45"/>
  <c r="F45"/>
  <c r="Q44"/>
  <c r="P44"/>
  <c r="L44"/>
  <c r="I44"/>
  <c r="F44"/>
  <c r="Q43"/>
  <c r="P43"/>
  <c r="L43"/>
  <c r="I43"/>
  <c r="Q42"/>
  <c r="P42"/>
  <c r="L42"/>
  <c r="I42"/>
  <c r="F42"/>
  <c r="Q41"/>
  <c r="P41"/>
  <c r="L41"/>
  <c r="I41"/>
  <c r="F41"/>
  <c r="Q40"/>
  <c r="P40"/>
  <c r="L40"/>
  <c r="I40"/>
  <c r="F40"/>
  <c r="Q39"/>
  <c r="P39"/>
  <c r="L39"/>
  <c r="I39"/>
  <c r="F39"/>
  <c r="Q38"/>
  <c r="P38"/>
  <c r="L38"/>
  <c r="I38"/>
  <c r="Q37"/>
  <c r="P37"/>
  <c r="L37"/>
  <c r="I37"/>
  <c r="F37"/>
  <c r="Q36"/>
  <c r="P36"/>
  <c r="L36"/>
  <c r="I36"/>
  <c r="F36"/>
  <c r="Q35"/>
  <c r="P35"/>
  <c r="L35"/>
  <c r="I35"/>
  <c r="F35"/>
  <c r="Q34"/>
  <c r="P34"/>
  <c r="L34"/>
  <c r="I34"/>
  <c r="F34"/>
  <c r="Q33"/>
  <c r="P33"/>
  <c r="L33"/>
  <c r="I33"/>
  <c r="Q32"/>
  <c r="P32"/>
  <c r="L32"/>
  <c r="I32"/>
  <c r="F32"/>
  <c r="Q31"/>
  <c r="P31"/>
  <c r="L31"/>
  <c r="I31"/>
  <c r="F31"/>
  <c r="Q30"/>
  <c r="P30"/>
  <c r="L30"/>
  <c r="I30"/>
  <c r="F30"/>
  <c r="Q29"/>
  <c r="P29"/>
  <c r="L29"/>
  <c r="I29"/>
  <c r="F29"/>
  <c r="Q28"/>
  <c r="P28"/>
  <c r="L28"/>
  <c r="I28"/>
  <c r="Q27"/>
  <c r="P27"/>
  <c r="L27"/>
  <c r="I27"/>
  <c r="Q26"/>
  <c r="P26"/>
  <c r="L26"/>
  <c r="I26"/>
  <c r="Q25"/>
  <c r="P25"/>
  <c r="L25"/>
  <c r="I25"/>
  <c r="Q24"/>
  <c r="P24"/>
  <c r="L24"/>
  <c r="I24"/>
  <c r="Q23"/>
  <c r="P23"/>
  <c r="L23"/>
  <c r="I23"/>
  <c r="Q22"/>
  <c r="P22"/>
  <c r="L22"/>
  <c r="I22"/>
  <c r="F22"/>
  <c r="Q21"/>
  <c r="P21"/>
  <c r="L21"/>
  <c r="I21"/>
  <c r="F21"/>
  <c r="Q20"/>
  <c r="P20"/>
  <c r="L20"/>
  <c r="I20"/>
  <c r="F20"/>
  <c r="Q19"/>
  <c r="P19"/>
  <c r="L19"/>
  <c r="I19"/>
  <c r="F19"/>
  <c r="Q18"/>
  <c r="P18"/>
  <c r="L18"/>
  <c r="I18"/>
  <c r="Q17"/>
  <c r="P17"/>
  <c r="L17"/>
  <c r="I17"/>
  <c r="F17"/>
  <c r="Q16"/>
  <c r="P16"/>
  <c r="L16"/>
  <c r="I16"/>
  <c r="F16"/>
  <c r="Q15"/>
  <c r="P15"/>
  <c r="L15"/>
  <c r="I15"/>
  <c r="F15"/>
  <c r="Q14"/>
  <c r="P14"/>
  <c r="L14"/>
  <c r="I14"/>
  <c r="F14"/>
  <c r="Q13"/>
  <c r="Q55"/>
  <c r="P13"/>
  <c r="P55"/>
  <c r="G105"/>
  <c r="L13"/>
  <c r="I13"/>
  <c r="P7"/>
  <c r="N7"/>
  <c r="M7"/>
  <c r="L7"/>
  <c r="K7"/>
  <c r="J7"/>
  <c r="H7"/>
  <c r="P5"/>
  <c r="P8"/>
  <c r="N5"/>
  <c r="N8"/>
  <c r="M5"/>
  <c r="M8"/>
  <c r="L5"/>
  <c r="L8"/>
  <c r="K5"/>
  <c r="K8"/>
  <c r="J5"/>
  <c r="H5"/>
  <c r="H8"/>
  <c r="G5"/>
  <c r="R4"/>
  <c r="V4" s="1"/>
  <c r="Q4"/>
  <c r="L4"/>
  <c r="U4"/>
  <c r="J4"/>
  <c r="H4"/>
  <c r="T4"/>
  <c r="O4"/>
  <c r="S4"/>
  <c r="P4"/>
  <c r="N4"/>
  <c r="M4"/>
  <c r="K4"/>
  <c r="I4"/>
  <c r="G4"/>
  <c r="H1"/>
  <c r="G1"/>
  <c r="I105" i="22"/>
  <c r="U104"/>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R77"/>
  <c r="Q77"/>
  <c r="U76"/>
  <c r="T76"/>
  <c r="R76"/>
  <c r="Q76"/>
  <c r="U75"/>
  <c r="T75"/>
  <c r="R75"/>
  <c r="Q75"/>
  <c r="U74"/>
  <c r="T74"/>
  <c r="R74"/>
  <c r="Q74"/>
  <c r="U73"/>
  <c r="T73"/>
  <c r="R73"/>
  <c r="Q73"/>
  <c r="U72"/>
  <c r="T72"/>
  <c r="R72"/>
  <c r="Q72"/>
  <c r="U71"/>
  <c r="T71"/>
  <c r="R71"/>
  <c r="Q71"/>
  <c r="U70"/>
  <c r="T70"/>
  <c r="R70"/>
  <c r="Q70"/>
  <c r="U69"/>
  <c r="T69"/>
  <c r="R69"/>
  <c r="Q69"/>
  <c r="U68"/>
  <c r="T68"/>
  <c r="R68"/>
  <c r="Q68"/>
  <c r="U67"/>
  <c r="T67"/>
  <c r="R67"/>
  <c r="Q67"/>
  <c r="U66"/>
  <c r="T66"/>
  <c r="R66"/>
  <c r="Q66"/>
  <c r="U65"/>
  <c r="T65"/>
  <c r="U64"/>
  <c r="T64"/>
  <c r="U63"/>
  <c r="T63"/>
  <c r="B55"/>
  <c r="O54"/>
  <c r="R54"/>
  <c r="Q54"/>
  <c r="P54"/>
  <c r="L54"/>
  <c r="I54"/>
  <c r="O53"/>
  <c r="R53"/>
  <c r="Q53"/>
  <c r="P53"/>
  <c r="L53"/>
  <c r="I53"/>
  <c r="Q52"/>
  <c r="P52"/>
  <c r="O52"/>
  <c r="R52"/>
  <c r="L52"/>
  <c r="I52"/>
  <c r="F52"/>
  <c r="O51"/>
  <c r="R51"/>
  <c r="Q51"/>
  <c r="P51"/>
  <c r="L51"/>
  <c r="I51"/>
  <c r="F51"/>
  <c r="Q50"/>
  <c r="P50"/>
  <c r="O50"/>
  <c r="R50"/>
  <c r="L50"/>
  <c r="I50"/>
  <c r="F50"/>
  <c r="O49"/>
  <c r="R49"/>
  <c r="Q49"/>
  <c r="P49"/>
  <c r="L49"/>
  <c r="I49"/>
  <c r="F49"/>
  <c r="Q48"/>
  <c r="P48"/>
  <c r="O48"/>
  <c r="R48"/>
  <c r="L48"/>
  <c r="I48"/>
  <c r="E48"/>
  <c r="D48"/>
  <c r="Q47"/>
  <c r="P47"/>
  <c r="O47"/>
  <c r="R47"/>
  <c r="L47"/>
  <c r="I47"/>
  <c r="F47"/>
  <c r="O46"/>
  <c r="R46"/>
  <c r="Q46"/>
  <c r="P46"/>
  <c r="L46"/>
  <c r="I46"/>
  <c r="F46"/>
  <c r="Q45"/>
  <c r="P45"/>
  <c r="O45"/>
  <c r="R45"/>
  <c r="L45"/>
  <c r="I45"/>
  <c r="F45"/>
  <c r="O44"/>
  <c r="R44"/>
  <c r="Q44"/>
  <c r="P44"/>
  <c r="L44"/>
  <c r="I44"/>
  <c r="F44"/>
  <c r="Q43"/>
  <c r="P43"/>
  <c r="O43"/>
  <c r="R43"/>
  <c r="L43"/>
  <c r="I43"/>
  <c r="E43"/>
  <c r="D43"/>
  <c r="M5"/>
  <c r="M7"/>
  <c r="M8"/>
  <c r="Q42"/>
  <c r="P42"/>
  <c r="O42"/>
  <c r="R42"/>
  <c r="L42"/>
  <c r="I42"/>
  <c r="F42"/>
  <c r="O41"/>
  <c r="R41"/>
  <c r="Q41"/>
  <c r="P41"/>
  <c r="L41"/>
  <c r="I41"/>
  <c r="F41"/>
  <c r="Q40"/>
  <c r="P40"/>
  <c r="O40"/>
  <c r="R40"/>
  <c r="L40"/>
  <c r="I40"/>
  <c r="F40"/>
  <c r="O39"/>
  <c r="R39"/>
  <c r="Q39"/>
  <c r="P39"/>
  <c r="L39"/>
  <c r="I39"/>
  <c r="F39"/>
  <c r="Q38"/>
  <c r="P38"/>
  <c r="O38"/>
  <c r="R38"/>
  <c r="L38"/>
  <c r="I38"/>
  <c r="E38"/>
  <c r="D38"/>
  <c r="Q37"/>
  <c r="P37"/>
  <c r="O37"/>
  <c r="R37"/>
  <c r="L37"/>
  <c r="I37"/>
  <c r="F37"/>
  <c r="O36"/>
  <c r="R36"/>
  <c r="Q36"/>
  <c r="P36"/>
  <c r="L36"/>
  <c r="I36"/>
  <c r="F36"/>
  <c r="Q35"/>
  <c r="P35"/>
  <c r="O35"/>
  <c r="R35"/>
  <c r="L35"/>
  <c r="I35"/>
  <c r="F35"/>
  <c r="O34"/>
  <c r="R34"/>
  <c r="Q34"/>
  <c r="P34"/>
  <c r="L34"/>
  <c r="I34"/>
  <c r="F34"/>
  <c r="Q33"/>
  <c r="P33"/>
  <c r="O33"/>
  <c r="R33"/>
  <c r="L33"/>
  <c r="I33"/>
  <c r="E33"/>
  <c r="D33"/>
  <c r="K5"/>
  <c r="K7"/>
  <c r="K8"/>
  <c r="Q32"/>
  <c r="P32"/>
  <c r="O32"/>
  <c r="R32"/>
  <c r="L32"/>
  <c r="I32"/>
  <c r="F32"/>
  <c r="O31"/>
  <c r="R31"/>
  <c r="Q31"/>
  <c r="P31"/>
  <c r="L31"/>
  <c r="I31"/>
  <c r="F31"/>
  <c r="Q30"/>
  <c r="P30"/>
  <c r="O30"/>
  <c r="R30"/>
  <c r="L30"/>
  <c r="I30"/>
  <c r="F30"/>
  <c r="O29"/>
  <c r="R29"/>
  <c r="Q29"/>
  <c r="P29"/>
  <c r="L29"/>
  <c r="I29"/>
  <c r="F29"/>
  <c r="Q28"/>
  <c r="P28"/>
  <c r="O28"/>
  <c r="R28"/>
  <c r="L28"/>
  <c r="I28"/>
  <c r="E28"/>
  <c r="D28"/>
  <c r="Q27"/>
  <c r="P27"/>
  <c r="O27"/>
  <c r="R27"/>
  <c r="L27"/>
  <c r="I27"/>
  <c r="Q26"/>
  <c r="P26"/>
  <c r="O26"/>
  <c r="R26"/>
  <c r="L26"/>
  <c r="I26"/>
  <c r="Q25"/>
  <c r="P25"/>
  <c r="O25"/>
  <c r="R25"/>
  <c r="L25"/>
  <c r="I25"/>
  <c r="O24"/>
  <c r="R24"/>
  <c r="Q24"/>
  <c r="P24"/>
  <c r="L24"/>
  <c r="I24"/>
  <c r="O23"/>
  <c r="R23"/>
  <c r="Q23"/>
  <c r="P23"/>
  <c r="L23"/>
  <c r="I23"/>
  <c r="Q22"/>
  <c r="P22"/>
  <c r="O22"/>
  <c r="R22"/>
  <c r="L22"/>
  <c r="I22"/>
  <c r="F22"/>
  <c r="O21"/>
  <c r="R21"/>
  <c r="Q21"/>
  <c r="P21"/>
  <c r="L21"/>
  <c r="I21"/>
  <c r="F21"/>
  <c r="Q20"/>
  <c r="P20"/>
  <c r="O20"/>
  <c r="R20"/>
  <c r="L20"/>
  <c r="I20"/>
  <c r="F20"/>
  <c r="O19"/>
  <c r="R19"/>
  <c r="Q19"/>
  <c r="P19"/>
  <c r="L19"/>
  <c r="I19"/>
  <c r="F19"/>
  <c r="Q18"/>
  <c r="P18"/>
  <c r="O18"/>
  <c r="R18"/>
  <c r="L18"/>
  <c r="I18"/>
  <c r="E18"/>
  <c r="E25"/>
  <c r="D18"/>
  <c r="Q17"/>
  <c r="P17"/>
  <c r="O17"/>
  <c r="R17"/>
  <c r="L17"/>
  <c r="I17"/>
  <c r="F17"/>
  <c r="O16"/>
  <c r="R16"/>
  <c r="Q16"/>
  <c r="P16"/>
  <c r="L16"/>
  <c r="I16"/>
  <c r="F16"/>
  <c r="Q15"/>
  <c r="P15"/>
  <c r="O15"/>
  <c r="R15"/>
  <c r="L15"/>
  <c r="I15"/>
  <c r="F15"/>
  <c r="Q14"/>
  <c r="P14"/>
  <c r="O14"/>
  <c r="R14"/>
  <c r="Q64"/>
  <c r="L14"/>
  <c r="I14"/>
  <c r="F14"/>
  <c r="Q13"/>
  <c r="P13"/>
  <c r="O13"/>
  <c r="R13"/>
  <c r="L13"/>
  <c r="I13"/>
  <c r="E13"/>
  <c r="E24"/>
  <c r="D13"/>
  <c r="P7"/>
  <c r="N7"/>
  <c r="L7"/>
  <c r="J7"/>
  <c r="H7"/>
  <c r="G7"/>
  <c r="P5"/>
  <c r="P8"/>
  <c r="N5"/>
  <c r="N8"/>
  <c r="L5"/>
  <c r="L8"/>
  <c r="J5"/>
  <c r="J8"/>
  <c r="H5"/>
  <c r="H8"/>
  <c r="G5"/>
  <c r="R4"/>
  <c r="Q4"/>
  <c r="P4"/>
  <c r="O4"/>
  <c r="N4"/>
  <c r="M4"/>
  <c r="L4"/>
  <c r="K4"/>
  <c r="J4"/>
  <c r="I4"/>
  <c r="H4"/>
  <c r="G4"/>
  <c r="H1"/>
  <c r="G1"/>
  <c r="B55" i="21"/>
  <c r="Q53"/>
  <c r="P53"/>
  <c r="L53"/>
  <c r="I53"/>
  <c r="D53"/>
  <c r="Q52"/>
  <c r="P52"/>
  <c r="L52"/>
  <c r="I52"/>
  <c r="F52"/>
  <c r="Q51"/>
  <c r="P51"/>
  <c r="L51"/>
  <c r="I51"/>
  <c r="F51"/>
  <c r="Q50"/>
  <c r="P50"/>
  <c r="L50"/>
  <c r="I50"/>
  <c r="F50"/>
  <c r="Q49"/>
  <c r="P49"/>
  <c r="L49"/>
  <c r="I49"/>
  <c r="F49"/>
  <c r="Q48"/>
  <c r="P48"/>
  <c r="L48"/>
  <c r="I48"/>
  <c r="Q47"/>
  <c r="P47"/>
  <c r="L47"/>
  <c r="I47"/>
  <c r="F47"/>
  <c r="Q46"/>
  <c r="P46"/>
  <c r="L46"/>
  <c r="I46"/>
  <c r="F46"/>
  <c r="Q45"/>
  <c r="P45"/>
  <c r="L45"/>
  <c r="I45"/>
  <c r="F45"/>
  <c r="Q44"/>
  <c r="P44"/>
  <c r="L44"/>
  <c r="I44"/>
  <c r="F44"/>
  <c r="Q43"/>
  <c r="P43"/>
  <c r="L43"/>
  <c r="I43"/>
  <c r="Q42"/>
  <c r="P42"/>
  <c r="L42"/>
  <c r="I42"/>
  <c r="F42"/>
  <c r="Q41"/>
  <c r="P41"/>
  <c r="L41"/>
  <c r="I41"/>
  <c r="F41"/>
  <c r="Q40"/>
  <c r="P40"/>
  <c r="L40"/>
  <c r="I40"/>
  <c r="F40"/>
  <c r="Q39"/>
  <c r="P39"/>
  <c r="L39"/>
  <c r="I39"/>
  <c r="F39"/>
  <c r="Q38"/>
  <c r="P38"/>
  <c r="L38"/>
  <c r="I38"/>
  <c r="Q37"/>
  <c r="P37"/>
  <c r="L37"/>
  <c r="I37"/>
  <c r="F37"/>
  <c r="Q36"/>
  <c r="P36"/>
  <c r="L36"/>
  <c r="I36"/>
  <c r="F36"/>
  <c r="Q35"/>
  <c r="P35"/>
  <c r="L35"/>
  <c r="I35"/>
  <c r="F35"/>
  <c r="Q34"/>
  <c r="P34"/>
  <c r="L34"/>
  <c r="I34"/>
  <c r="F34"/>
  <c r="Q33"/>
  <c r="P33"/>
  <c r="L33"/>
  <c r="I33"/>
  <c r="Q32"/>
  <c r="P32"/>
  <c r="P54"/>
  <c r="L32"/>
  <c r="I32"/>
  <c r="F32"/>
  <c r="F31"/>
  <c r="F30"/>
  <c r="F29"/>
  <c r="F22"/>
  <c r="F21"/>
  <c r="F20"/>
  <c r="F19"/>
  <c r="F17"/>
  <c r="F16"/>
  <c r="F15"/>
  <c r="F14"/>
  <c r="P7"/>
  <c r="N7"/>
  <c r="M7"/>
  <c r="K7"/>
  <c r="J7"/>
  <c r="G7"/>
  <c r="P5"/>
  <c r="P8"/>
  <c r="O5"/>
  <c r="O8"/>
  <c r="N5"/>
  <c r="N8"/>
  <c r="M5"/>
  <c r="M8"/>
  <c r="L5"/>
  <c r="L8"/>
  <c r="K5"/>
  <c r="K8"/>
  <c r="J5"/>
  <c r="J8"/>
  <c r="H5"/>
  <c r="R4"/>
  <c r="Q4"/>
  <c r="P4"/>
  <c r="O4"/>
  <c r="N4"/>
  <c r="M4"/>
  <c r="L4"/>
  <c r="K4"/>
  <c r="J4"/>
  <c r="H4"/>
  <c r="T4"/>
  <c r="S4"/>
  <c r="I4"/>
  <c r="G4"/>
  <c r="H1"/>
  <c r="G1"/>
  <c r="U105" i="17"/>
  <c r="R104"/>
  <c r="Q104"/>
  <c r="R103"/>
  <c r="N103" s="1"/>
  <c r="Q103"/>
  <c r="R102"/>
  <c r="Q102"/>
  <c r="R101"/>
  <c r="Q101"/>
  <c r="R100"/>
  <c r="Q100"/>
  <c r="R99"/>
  <c r="N99" s="1"/>
  <c r="Q99"/>
  <c r="R98"/>
  <c r="Q98"/>
  <c r="R97"/>
  <c r="Q97"/>
  <c r="R96"/>
  <c r="Q96"/>
  <c r="R95"/>
  <c r="N95" s="1"/>
  <c r="Q95"/>
  <c r="R94"/>
  <c r="Q94"/>
  <c r="R93"/>
  <c r="Q93"/>
  <c r="R92"/>
  <c r="Q92"/>
  <c r="R91"/>
  <c r="N91" s="1"/>
  <c r="Q91"/>
  <c r="R90"/>
  <c r="Q90"/>
  <c r="R89"/>
  <c r="Q89"/>
  <c r="R88"/>
  <c r="Q88"/>
  <c r="R87"/>
  <c r="N87" s="1"/>
  <c r="Q87"/>
  <c r="R86"/>
  <c r="Q86"/>
  <c r="R85"/>
  <c r="Q85"/>
  <c r="R84"/>
  <c r="Q84"/>
  <c r="R83"/>
  <c r="N83" s="1"/>
  <c r="Q83"/>
  <c r="R82"/>
  <c r="Q82"/>
  <c r="R81"/>
  <c r="Q81"/>
  <c r="R80"/>
  <c r="Q80"/>
  <c r="R79"/>
  <c r="N79" s="1"/>
  <c r="Q79"/>
  <c r="R78"/>
  <c r="Q78"/>
  <c r="R77"/>
  <c r="Q77"/>
  <c r="B55"/>
  <c r="Q4"/>
  <c r="P54"/>
  <c r="R54"/>
  <c r="O54"/>
  <c r="L54"/>
  <c r="I54"/>
  <c r="P53"/>
  <c r="R53"/>
  <c r="O53"/>
  <c r="L53"/>
  <c r="I53"/>
  <c r="P52"/>
  <c r="R52"/>
  <c r="O52"/>
  <c r="L52"/>
  <c r="I52"/>
  <c r="F52"/>
  <c r="P51"/>
  <c r="R51"/>
  <c r="O51"/>
  <c r="L51"/>
  <c r="I51"/>
  <c r="F51"/>
  <c r="P50"/>
  <c r="R50"/>
  <c r="O50"/>
  <c r="L50"/>
  <c r="I50"/>
  <c r="F50"/>
  <c r="P49"/>
  <c r="R49"/>
  <c r="O49"/>
  <c r="L49"/>
  <c r="I49"/>
  <c r="F49"/>
  <c r="P48"/>
  <c r="R48"/>
  <c r="O48"/>
  <c r="L48"/>
  <c r="I48"/>
  <c r="P47"/>
  <c r="R47"/>
  <c r="O47"/>
  <c r="L47"/>
  <c r="I47"/>
  <c r="F47"/>
  <c r="P46"/>
  <c r="R46"/>
  <c r="O46"/>
  <c r="L46"/>
  <c r="I46"/>
  <c r="F46"/>
  <c r="P45"/>
  <c r="R45"/>
  <c r="O45"/>
  <c r="L45"/>
  <c r="I45"/>
  <c r="F45"/>
  <c r="P44"/>
  <c r="R44"/>
  <c r="O44"/>
  <c r="L44"/>
  <c r="I44"/>
  <c r="F44"/>
  <c r="P43"/>
  <c r="R43"/>
  <c r="O43"/>
  <c r="L43"/>
  <c r="I43"/>
  <c r="M5"/>
  <c r="M7"/>
  <c r="M8"/>
  <c r="P42"/>
  <c r="R42"/>
  <c r="O42"/>
  <c r="L42"/>
  <c r="I42"/>
  <c r="F42"/>
  <c r="P41"/>
  <c r="R41"/>
  <c r="O41"/>
  <c r="L41"/>
  <c r="I41"/>
  <c r="F41"/>
  <c r="P40"/>
  <c r="R40"/>
  <c r="O40"/>
  <c r="L40"/>
  <c r="I40"/>
  <c r="F40"/>
  <c r="P39"/>
  <c r="R39"/>
  <c r="O39"/>
  <c r="L39"/>
  <c r="I39"/>
  <c r="F39"/>
  <c r="P38"/>
  <c r="R38"/>
  <c r="O38"/>
  <c r="L38"/>
  <c r="I38"/>
  <c r="P37"/>
  <c r="R37"/>
  <c r="O37"/>
  <c r="L37"/>
  <c r="I37"/>
  <c r="F37"/>
  <c r="P36"/>
  <c r="R36"/>
  <c r="O36"/>
  <c r="L36"/>
  <c r="I36"/>
  <c r="F36"/>
  <c r="P35"/>
  <c r="R35"/>
  <c r="O35"/>
  <c r="L35"/>
  <c r="I35"/>
  <c r="F35"/>
  <c r="P34"/>
  <c r="R34"/>
  <c r="O34"/>
  <c r="L34"/>
  <c r="I34"/>
  <c r="F34"/>
  <c r="P33"/>
  <c r="R33"/>
  <c r="O33"/>
  <c r="L33"/>
  <c r="I33"/>
  <c r="K5"/>
  <c r="K7"/>
  <c r="K8"/>
  <c r="P32"/>
  <c r="R32"/>
  <c r="O32"/>
  <c r="L32"/>
  <c r="I32"/>
  <c r="F32"/>
  <c r="P31"/>
  <c r="R31"/>
  <c r="O31"/>
  <c r="L31"/>
  <c r="I31"/>
  <c r="F31"/>
  <c r="P30"/>
  <c r="R30"/>
  <c r="O30"/>
  <c r="L30"/>
  <c r="I30"/>
  <c r="F30"/>
  <c r="P29"/>
  <c r="R29"/>
  <c r="O29"/>
  <c r="L29"/>
  <c r="I29"/>
  <c r="F29"/>
  <c r="P28"/>
  <c r="R28"/>
  <c r="O28"/>
  <c r="L28"/>
  <c r="I28"/>
  <c r="P27"/>
  <c r="R27"/>
  <c r="O27"/>
  <c r="L27"/>
  <c r="I27"/>
  <c r="L26"/>
  <c r="I26"/>
  <c r="L25"/>
  <c r="I25"/>
  <c r="L24"/>
  <c r="I24"/>
  <c r="I5"/>
  <c r="F22"/>
  <c r="F21"/>
  <c r="F20"/>
  <c r="F19"/>
  <c r="F17"/>
  <c r="F16"/>
  <c r="F15"/>
  <c r="F14"/>
  <c r="G105"/>
  <c r="F24"/>
  <c r="P7"/>
  <c r="N7"/>
  <c r="J7"/>
  <c r="G7"/>
  <c r="P5"/>
  <c r="N5"/>
  <c r="N8"/>
  <c r="L5"/>
  <c r="J5"/>
  <c r="H5"/>
  <c r="G5"/>
  <c r="R4"/>
  <c r="P4"/>
  <c r="O4"/>
  <c r="N4"/>
  <c r="M4"/>
  <c r="L4"/>
  <c r="K4"/>
  <c r="J4"/>
  <c r="I4"/>
  <c r="H4"/>
  <c r="G4"/>
  <c r="H1"/>
  <c r="G1"/>
  <c r="I105" i="16"/>
  <c r="U104"/>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R77"/>
  <c r="Q77"/>
  <c r="U76"/>
  <c r="T76"/>
  <c r="R76"/>
  <c r="Q76"/>
  <c r="U75"/>
  <c r="T75"/>
  <c r="R75"/>
  <c r="Q75"/>
  <c r="U74"/>
  <c r="T74"/>
  <c r="R74"/>
  <c r="Q74"/>
  <c r="U73"/>
  <c r="T73"/>
  <c r="R73"/>
  <c r="Q73"/>
  <c r="U72"/>
  <c r="T72"/>
  <c r="R72"/>
  <c r="R105" s="1"/>
  <c r="N105" s="1"/>
  <c r="Q72"/>
  <c r="M72" s="1"/>
  <c r="V71"/>
  <c r="U71"/>
  <c r="T71"/>
  <c r="V70"/>
  <c r="U70"/>
  <c r="T70"/>
  <c r="V69"/>
  <c r="U69"/>
  <c r="T69"/>
  <c r="V68"/>
  <c r="U68"/>
  <c r="T68"/>
  <c r="V67"/>
  <c r="U67"/>
  <c r="T67"/>
  <c r="V66"/>
  <c r="U66"/>
  <c r="T66"/>
  <c r="V65"/>
  <c r="U65"/>
  <c r="T65"/>
  <c r="V64"/>
  <c r="U64"/>
  <c r="T64"/>
  <c r="V63"/>
  <c r="U63"/>
  <c r="T63"/>
  <c r="B55"/>
  <c r="O54"/>
  <c r="R54"/>
  <c r="Q54"/>
  <c r="P54"/>
  <c r="L54"/>
  <c r="I54"/>
  <c r="O53"/>
  <c r="R53"/>
  <c r="Q53"/>
  <c r="P53"/>
  <c r="V103"/>
  <c r="L53"/>
  <c r="I53"/>
  <c r="Q52"/>
  <c r="P52"/>
  <c r="O52"/>
  <c r="R52"/>
  <c r="L52"/>
  <c r="I52"/>
  <c r="F52"/>
  <c r="Q51"/>
  <c r="P51"/>
  <c r="O51"/>
  <c r="V101"/>
  <c r="L51"/>
  <c r="I51"/>
  <c r="F51"/>
  <c r="O50"/>
  <c r="R50"/>
  <c r="Q50"/>
  <c r="P50"/>
  <c r="L50"/>
  <c r="I50"/>
  <c r="F50"/>
  <c r="O49"/>
  <c r="R49"/>
  <c r="Q49"/>
  <c r="P49"/>
  <c r="V99"/>
  <c r="L49"/>
  <c r="I49"/>
  <c r="F49"/>
  <c r="Q48"/>
  <c r="P48"/>
  <c r="O48"/>
  <c r="R48"/>
  <c r="L48"/>
  <c r="I48"/>
  <c r="E48"/>
  <c r="D48"/>
  <c r="O47"/>
  <c r="R47"/>
  <c r="Q47"/>
  <c r="P47"/>
  <c r="V97"/>
  <c r="L47"/>
  <c r="I47"/>
  <c r="F47"/>
  <c r="Q46"/>
  <c r="P46"/>
  <c r="O46"/>
  <c r="R46"/>
  <c r="L46"/>
  <c r="I46"/>
  <c r="F46"/>
  <c r="Q45"/>
  <c r="P45"/>
  <c r="O45"/>
  <c r="V95"/>
  <c r="L45"/>
  <c r="I45"/>
  <c r="F45"/>
  <c r="O44"/>
  <c r="R44"/>
  <c r="Q44"/>
  <c r="P44"/>
  <c r="L44"/>
  <c r="I44"/>
  <c r="F44"/>
  <c r="O43"/>
  <c r="R43"/>
  <c r="Q43"/>
  <c r="P43"/>
  <c r="V93"/>
  <c r="L43"/>
  <c r="I43"/>
  <c r="E43"/>
  <c r="D43"/>
  <c r="O42"/>
  <c r="R42"/>
  <c r="Q42"/>
  <c r="P42"/>
  <c r="L42"/>
  <c r="I42"/>
  <c r="F42"/>
  <c r="O41"/>
  <c r="R41"/>
  <c r="Q41"/>
  <c r="P41"/>
  <c r="V91"/>
  <c r="L41"/>
  <c r="I41"/>
  <c r="F41"/>
  <c r="Q40"/>
  <c r="P40"/>
  <c r="O40"/>
  <c r="R40"/>
  <c r="L40"/>
  <c r="I40"/>
  <c r="F40"/>
  <c r="Q39"/>
  <c r="P39"/>
  <c r="O39"/>
  <c r="V89"/>
  <c r="L39"/>
  <c r="I39"/>
  <c r="F39"/>
  <c r="Q38"/>
  <c r="P38"/>
  <c r="O38"/>
  <c r="R38"/>
  <c r="L38"/>
  <c r="I38"/>
  <c r="D38"/>
  <c r="O37"/>
  <c r="R37"/>
  <c r="Q37"/>
  <c r="P37"/>
  <c r="L37"/>
  <c r="I37"/>
  <c r="F37"/>
  <c r="Q36"/>
  <c r="P36"/>
  <c r="O36"/>
  <c r="R36"/>
  <c r="L36"/>
  <c r="I36"/>
  <c r="F36"/>
  <c r="O35"/>
  <c r="R35"/>
  <c r="Q35"/>
  <c r="P35"/>
  <c r="L35"/>
  <c r="I35"/>
  <c r="F35"/>
  <c r="Q34"/>
  <c r="P34"/>
  <c r="O34"/>
  <c r="R34"/>
  <c r="L34"/>
  <c r="I34"/>
  <c r="F34"/>
  <c r="O33"/>
  <c r="R33"/>
  <c r="Q33"/>
  <c r="P33"/>
  <c r="L33"/>
  <c r="I33"/>
  <c r="E33"/>
  <c r="D33"/>
  <c r="O32"/>
  <c r="R32"/>
  <c r="Q32"/>
  <c r="P32"/>
  <c r="L32"/>
  <c r="I32"/>
  <c r="F32"/>
  <c r="Q31"/>
  <c r="P31"/>
  <c r="O31"/>
  <c r="R31"/>
  <c r="L31"/>
  <c r="I31"/>
  <c r="F31"/>
  <c r="O30"/>
  <c r="R30"/>
  <c r="Q30"/>
  <c r="P30"/>
  <c r="L30"/>
  <c r="I30"/>
  <c r="F30"/>
  <c r="Q29"/>
  <c r="P29"/>
  <c r="O29"/>
  <c r="R29"/>
  <c r="L29"/>
  <c r="I29"/>
  <c r="F29"/>
  <c r="O28"/>
  <c r="R28"/>
  <c r="Q28"/>
  <c r="P28"/>
  <c r="L28"/>
  <c r="I28"/>
  <c r="E28"/>
  <c r="D28"/>
  <c r="F28"/>
  <c r="O27"/>
  <c r="R27"/>
  <c r="Q27"/>
  <c r="P27"/>
  <c r="L27"/>
  <c r="I27"/>
  <c r="O26"/>
  <c r="R26"/>
  <c r="Q26"/>
  <c r="P26"/>
  <c r="L26"/>
  <c r="I26"/>
  <c r="O25"/>
  <c r="R25"/>
  <c r="Q25"/>
  <c r="P25"/>
  <c r="L25"/>
  <c r="I25"/>
  <c r="Q24"/>
  <c r="P24"/>
  <c r="O24"/>
  <c r="R24"/>
  <c r="L24"/>
  <c r="I24"/>
  <c r="O23"/>
  <c r="R23"/>
  <c r="Q23"/>
  <c r="P23"/>
  <c r="L23"/>
  <c r="I23"/>
  <c r="Q22"/>
  <c r="Q55"/>
  <c r="P22"/>
  <c r="P55"/>
  <c r="O22"/>
  <c r="G105"/>
  <c r="V104"/>
  <c r="L22"/>
  <c r="I22"/>
  <c r="F22"/>
  <c r="F21"/>
  <c r="F20"/>
  <c r="F19"/>
  <c r="E18"/>
  <c r="E25"/>
  <c r="D18"/>
  <c r="D25"/>
  <c r="F17"/>
  <c r="F16"/>
  <c r="F15"/>
  <c r="F14"/>
  <c r="E13"/>
  <c r="D13"/>
  <c r="P7"/>
  <c r="N7"/>
  <c r="M7"/>
  <c r="K7"/>
  <c r="J7"/>
  <c r="H7"/>
  <c r="P5"/>
  <c r="P8"/>
  <c r="N5"/>
  <c r="N8"/>
  <c r="M5"/>
  <c r="M8"/>
  <c r="L5"/>
  <c r="K5"/>
  <c r="J5"/>
  <c r="G5"/>
  <c r="R4"/>
  <c r="Q4"/>
  <c r="P4"/>
  <c r="O4"/>
  <c r="N4"/>
  <c r="M4"/>
  <c r="L4"/>
  <c r="K4"/>
  <c r="J4"/>
  <c r="I4"/>
  <c r="H4"/>
  <c r="G4"/>
  <c r="H1"/>
  <c r="G1"/>
  <c r="U105" i="15"/>
  <c r="T105"/>
  <c r="R4"/>
  <c r="V4" s="1"/>
  <c r="B55"/>
  <c r="Q54"/>
  <c r="P54"/>
  <c r="L54"/>
  <c r="I54"/>
  <c r="Q53"/>
  <c r="P53"/>
  <c r="L53"/>
  <c r="I53"/>
  <c r="Q52"/>
  <c r="P52"/>
  <c r="L52"/>
  <c r="I52"/>
  <c r="F52"/>
  <c r="Q51"/>
  <c r="P51"/>
  <c r="L51"/>
  <c r="I51"/>
  <c r="F51"/>
  <c r="Q50"/>
  <c r="P50"/>
  <c r="L50"/>
  <c r="I50"/>
  <c r="F50"/>
  <c r="Q49"/>
  <c r="P49"/>
  <c r="L49"/>
  <c r="I49"/>
  <c r="F49"/>
  <c r="Q48"/>
  <c r="P48"/>
  <c r="L48"/>
  <c r="I48"/>
  <c r="E48"/>
  <c r="D48"/>
  <c r="Q47"/>
  <c r="P47"/>
  <c r="L47"/>
  <c r="I47"/>
  <c r="F47"/>
  <c r="Q46"/>
  <c r="P46"/>
  <c r="L46"/>
  <c r="I46"/>
  <c r="F46"/>
  <c r="Q45"/>
  <c r="P45"/>
  <c r="L45"/>
  <c r="I45"/>
  <c r="F45"/>
  <c r="Q44"/>
  <c r="P44"/>
  <c r="L44"/>
  <c r="I44"/>
  <c r="F44"/>
  <c r="Q43"/>
  <c r="P43"/>
  <c r="L43"/>
  <c r="I43"/>
  <c r="E43"/>
  <c r="D43"/>
  <c r="Q42"/>
  <c r="P42"/>
  <c r="L42"/>
  <c r="I42"/>
  <c r="F42"/>
  <c r="Q41"/>
  <c r="P41"/>
  <c r="L41"/>
  <c r="I41"/>
  <c r="F41"/>
  <c r="Q40"/>
  <c r="P40"/>
  <c r="L40"/>
  <c r="I40"/>
  <c r="F40"/>
  <c r="Q39"/>
  <c r="P39"/>
  <c r="L39"/>
  <c r="I39"/>
  <c r="F39"/>
  <c r="Q38"/>
  <c r="P38"/>
  <c r="E38"/>
  <c r="D38"/>
  <c r="F38"/>
  <c r="Q37"/>
  <c r="P37"/>
  <c r="F37"/>
  <c r="Q36"/>
  <c r="P36"/>
  <c r="F36"/>
  <c r="Q35"/>
  <c r="P35"/>
  <c r="F35"/>
  <c r="Q34"/>
  <c r="P34"/>
  <c r="F34"/>
  <c r="Q33"/>
  <c r="P33"/>
  <c r="E33"/>
  <c r="D33"/>
  <c r="Q32"/>
  <c r="P32"/>
  <c r="F32"/>
  <c r="Q31"/>
  <c r="P31"/>
  <c r="F31"/>
  <c r="Q30"/>
  <c r="P30"/>
  <c r="F30"/>
  <c r="Q29"/>
  <c r="P29"/>
  <c r="F29"/>
  <c r="Q28"/>
  <c r="P28"/>
  <c r="E28"/>
  <c r="D28"/>
  <c r="F28"/>
  <c r="Q27"/>
  <c r="P27"/>
  <c r="Q26"/>
  <c r="P26"/>
  <c r="Q25"/>
  <c r="P25"/>
  <c r="Q24"/>
  <c r="P24"/>
  <c r="Q23"/>
  <c r="P23"/>
  <c r="Q22"/>
  <c r="P22"/>
  <c r="F22"/>
  <c r="Q21"/>
  <c r="P21"/>
  <c r="F21"/>
  <c r="Q20"/>
  <c r="P20"/>
  <c r="F20"/>
  <c r="Q19"/>
  <c r="P19"/>
  <c r="F19"/>
  <c r="Q18"/>
  <c r="P18"/>
  <c r="E18"/>
  <c r="E25"/>
  <c r="D18"/>
  <c r="D25"/>
  <c r="Q17"/>
  <c r="P17"/>
  <c r="F17"/>
  <c r="Q16"/>
  <c r="P16"/>
  <c r="F16"/>
  <c r="Q15"/>
  <c r="P15"/>
  <c r="F15"/>
  <c r="Q14"/>
  <c r="P14"/>
  <c r="F14"/>
  <c r="Q13"/>
  <c r="P13"/>
  <c r="G105"/>
  <c r="E13"/>
  <c r="E24"/>
  <c r="D13"/>
  <c r="D24"/>
  <c r="D23"/>
  <c r="I5"/>
  <c r="P7"/>
  <c r="N7"/>
  <c r="M7"/>
  <c r="L7"/>
  <c r="K7"/>
  <c r="H7"/>
  <c r="P5"/>
  <c r="P8"/>
  <c r="N5"/>
  <c r="N8"/>
  <c r="M5"/>
  <c r="M8"/>
  <c r="L5"/>
  <c r="L8"/>
  <c r="K5"/>
  <c r="H5"/>
  <c r="H8"/>
  <c r="G5"/>
  <c r="Q4"/>
  <c r="P4"/>
  <c r="O4"/>
  <c r="N4"/>
  <c r="M4"/>
  <c r="L4"/>
  <c r="K4"/>
  <c r="J4"/>
  <c r="I4"/>
  <c r="H4"/>
  <c r="G4"/>
  <c r="H1"/>
  <c r="G1"/>
  <c r="O13" i="14"/>
  <c r="U63"/>
  <c r="O14"/>
  <c r="U64"/>
  <c r="O15"/>
  <c r="U65"/>
  <c r="O16"/>
  <c r="U66"/>
  <c r="O17"/>
  <c r="U67"/>
  <c r="O18"/>
  <c r="U68"/>
  <c r="O19"/>
  <c r="U69"/>
  <c r="O20"/>
  <c r="U70"/>
  <c r="O21"/>
  <c r="U71"/>
  <c r="O22"/>
  <c r="U72"/>
  <c r="O23"/>
  <c r="U73"/>
  <c r="O24"/>
  <c r="U74"/>
  <c r="O25"/>
  <c r="U75"/>
  <c r="O26"/>
  <c r="U76"/>
  <c r="O27"/>
  <c r="U77"/>
  <c r="O28"/>
  <c r="U78"/>
  <c r="O29"/>
  <c r="U79"/>
  <c r="O30"/>
  <c r="U80"/>
  <c r="O31"/>
  <c r="U81"/>
  <c r="O32"/>
  <c r="U82"/>
  <c r="O33"/>
  <c r="U83"/>
  <c r="O34"/>
  <c r="U84"/>
  <c r="O35"/>
  <c r="U85"/>
  <c r="O36"/>
  <c r="U86"/>
  <c r="O37"/>
  <c r="U87"/>
  <c r="O38"/>
  <c r="U88"/>
  <c r="O39"/>
  <c r="U89"/>
  <c r="O40"/>
  <c r="U90"/>
  <c r="O41"/>
  <c r="U91"/>
  <c r="O42"/>
  <c r="U92"/>
  <c r="O43"/>
  <c r="U93"/>
  <c r="O44"/>
  <c r="U94"/>
  <c r="O45"/>
  <c r="U95"/>
  <c r="O46"/>
  <c r="U96"/>
  <c r="O47"/>
  <c r="U97"/>
  <c r="O48"/>
  <c r="U98"/>
  <c r="O49"/>
  <c r="U99"/>
  <c r="O50"/>
  <c r="U100"/>
  <c r="O51"/>
  <c r="U101"/>
  <c r="O52"/>
  <c r="U102"/>
  <c r="O53"/>
  <c r="U103"/>
  <c r="O54"/>
  <c r="U104"/>
  <c r="U105"/>
  <c r="I105"/>
  <c r="F13"/>
  <c r="F18"/>
  <c r="F23"/>
  <c r="F28"/>
  <c r="F33"/>
  <c r="F38"/>
  <c r="F43"/>
  <c r="F48"/>
  <c r="F53"/>
  <c r="F55"/>
  <c r="F57"/>
  <c r="G105"/>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Q105"/>
  <c r="P105"/>
  <c r="H105"/>
  <c r="R104"/>
  <c r="O104"/>
  <c r="M104" s="1"/>
  <c r="Q104"/>
  <c r="P104"/>
  <c r="R103"/>
  <c r="O103"/>
  <c r="Q103"/>
  <c r="P103"/>
  <c r="N103"/>
  <c r="R102"/>
  <c r="O102" s="1"/>
  <c r="M102" s="1"/>
  <c r="Q102"/>
  <c r="P102"/>
  <c r="R101"/>
  <c r="O101" s="1"/>
  <c r="Q101"/>
  <c r="P101"/>
  <c r="R100"/>
  <c r="O100" s="1"/>
  <c r="Q100"/>
  <c r="P100"/>
  <c r="R99"/>
  <c r="O99" s="1"/>
  <c r="Q99"/>
  <c r="P99"/>
  <c r="R98"/>
  <c r="O98" s="1"/>
  <c r="Q98"/>
  <c r="P98"/>
  <c r="R97"/>
  <c r="O97" s="1"/>
  <c r="Q97"/>
  <c r="P97"/>
  <c r="R96"/>
  <c r="O96" s="1"/>
  <c r="M96" s="1"/>
  <c r="Q96"/>
  <c r="P96"/>
  <c r="R95"/>
  <c r="O95" s="1"/>
  <c r="Q95"/>
  <c r="P95"/>
  <c r="R94"/>
  <c r="O94" s="1"/>
  <c r="Q94"/>
  <c r="P94"/>
  <c r="R93"/>
  <c r="O93" s="1"/>
  <c r="M93" s="1"/>
  <c r="Q93"/>
  <c r="P93"/>
  <c r="R92"/>
  <c r="O92" s="1"/>
  <c r="M92" s="1"/>
  <c r="Q92"/>
  <c r="P92"/>
  <c r="R91"/>
  <c r="O91" s="1"/>
  <c r="Q91"/>
  <c r="P91"/>
  <c r="R90"/>
  <c r="Q90"/>
  <c r="P90"/>
  <c r="M90" s="1"/>
  <c r="O90"/>
  <c r="N90"/>
  <c r="R89"/>
  <c r="O89"/>
  <c r="M89" s="1"/>
  <c r="Q89"/>
  <c r="P89"/>
  <c r="R88"/>
  <c r="O88" s="1"/>
  <c r="M88" s="1"/>
  <c r="Q88"/>
  <c r="P88"/>
  <c r="R87"/>
  <c r="O87" s="1"/>
  <c r="M87" s="1"/>
  <c r="Q87"/>
  <c r="P87"/>
  <c r="R86"/>
  <c r="O86" s="1"/>
  <c r="Q86"/>
  <c r="P86"/>
  <c r="R85"/>
  <c r="O85"/>
  <c r="Q85"/>
  <c r="P85"/>
  <c r="R84"/>
  <c r="O84"/>
  <c r="Q84"/>
  <c r="P84"/>
  <c r="N84"/>
  <c r="R83"/>
  <c r="O83" s="1"/>
  <c r="M83" s="1"/>
  <c r="Q83"/>
  <c r="P83"/>
  <c r="R82"/>
  <c r="O82" s="1"/>
  <c r="M82" s="1"/>
  <c r="Q82"/>
  <c r="P82"/>
  <c r="X81"/>
  <c r="W81"/>
  <c r="V81"/>
  <c r="R81"/>
  <c r="O81" s="1"/>
  <c r="M81" s="1"/>
  <c r="Q81"/>
  <c r="P81"/>
  <c r="X80"/>
  <c r="W80"/>
  <c r="V80"/>
  <c r="R80"/>
  <c r="O80" s="1"/>
  <c r="Q80"/>
  <c r="P80"/>
  <c r="X79"/>
  <c r="W79"/>
  <c r="V79"/>
  <c r="R79"/>
  <c r="O79" s="1"/>
  <c r="M79" s="1"/>
  <c r="Q79"/>
  <c r="P79"/>
  <c r="X78"/>
  <c r="W78"/>
  <c r="V78"/>
  <c r="R78"/>
  <c r="O78" s="1"/>
  <c r="Q78"/>
  <c r="P78"/>
  <c r="X77"/>
  <c r="W77"/>
  <c r="V77"/>
  <c r="R77"/>
  <c r="O77" s="1"/>
  <c r="M77" s="1"/>
  <c r="Q77"/>
  <c r="P77"/>
  <c r="X76"/>
  <c r="W76"/>
  <c r="V76"/>
  <c r="R76"/>
  <c r="O76" s="1"/>
  <c r="Q76"/>
  <c r="P76"/>
  <c r="X75"/>
  <c r="W75"/>
  <c r="V75"/>
  <c r="R75"/>
  <c r="O75" s="1"/>
  <c r="Q75"/>
  <c r="P75"/>
  <c r="X74"/>
  <c r="W74"/>
  <c r="V74"/>
  <c r="R74"/>
  <c r="O74" s="1"/>
  <c r="Q74"/>
  <c r="P74"/>
  <c r="X73"/>
  <c r="W73"/>
  <c r="V73"/>
  <c r="R73"/>
  <c r="O73" s="1"/>
  <c r="M73" s="1"/>
  <c r="Q73"/>
  <c r="P73"/>
  <c r="X72"/>
  <c r="W72"/>
  <c r="V72"/>
  <c r="R72"/>
  <c r="O72" s="1"/>
  <c r="Q72"/>
  <c r="P72"/>
  <c r="X71"/>
  <c r="W71"/>
  <c r="V71"/>
  <c r="R71"/>
  <c r="O71" s="1"/>
  <c r="M71" s="1"/>
  <c r="Q71"/>
  <c r="P71"/>
  <c r="X70"/>
  <c r="W70"/>
  <c r="V70"/>
  <c r="R70"/>
  <c r="O70" s="1"/>
  <c r="Q70"/>
  <c r="P70"/>
  <c r="M70" s="1"/>
  <c r="X69"/>
  <c r="W69"/>
  <c r="V69"/>
  <c r="R69"/>
  <c r="O69" s="1"/>
  <c r="M69" s="1"/>
  <c r="Q69"/>
  <c r="P69"/>
  <c r="X68"/>
  <c r="W68"/>
  <c r="V68"/>
  <c r="R68"/>
  <c r="O68" s="1"/>
  <c r="Q68"/>
  <c r="P68"/>
  <c r="X67"/>
  <c r="W67"/>
  <c r="V67"/>
  <c r="R67"/>
  <c r="O67" s="1"/>
  <c r="M67" s="1"/>
  <c r="Q67"/>
  <c r="P67"/>
  <c r="X66"/>
  <c r="W66"/>
  <c r="V66"/>
  <c r="R66"/>
  <c r="O66" s="1"/>
  <c r="M66" s="1"/>
  <c r="Q66"/>
  <c r="P66"/>
  <c r="X65"/>
  <c r="W65"/>
  <c r="V65"/>
  <c r="R65"/>
  <c r="O65" s="1"/>
  <c r="Q65"/>
  <c r="P65"/>
  <c r="X64"/>
  <c r="W64"/>
  <c r="V64"/>
  <c r="R64"/>
  <c r="O64" s="1"/>
  <c r="M64" s="1"/>
  <c r="Q64"/>
  <c r="P64"/>
  <c r="X63"/>
  <c r="W63"/>
  <c r="V63"/>
  <c r="R63"/>
  <c r="O63"/>
  <c r="Q63"/>
  <c r="P63"/>
  <c r="F58"/>
  <c r="G58"/>
  <c r="E58"/>
  <c r="D58"/>
  <c r="E55"/>
  <c r="E57"/>
  <c r="D55"/>
  <c r="D57"/>
  <c r="B55"/>
  <c r="L54"/>
  <c r="I54"/>
  <c r="L53"/>
  <c r="I53"/>
  <c r="L52"/>
  <c r="I52"/>
  <c r="F52"/>
  <c r="L51"/>
  <c r="I51"/>
  <c r="F51"/>
  <c r="L50"/>
  <c r="I50"/>
  <c r="F50"/>
  <c r="L49"/>
  <c r="I49"/>
  <c r="F49"/>
  <c r="L48"/>
  <c r="I48"/>
  <c r="L47"/>
  <c r="I47"/>
  <c r="F47"/>
  <c r="L46"/>
  <c r="I46"/>
  <c r="F46"/>
  <c r="L45"/>
  <c r="I45"/>
  <c r="F45"/>
  <c r="L44"/>
  <c r="I44"/>
  <c r="F44"/>
  <c r="L43"/>
  <c r="I43"/>
  <c r="L42"/>
  <c r="I42"/>
  <c r="F42"/>
  <c r="L41"/>
  <c r="I41"/>
  <c r="F41"/>
  <c r="L40"/>
  <c r="I40"/>
  <c r="F40"/>
  <c r="L39"/>
  <c r="I39"/>
  <c r="F39"/>
  <c r="L38"/>
  <c r="I38"/>
  <c r="L37"/>
  <c r="I37"/>
  <c r="F37"/>
  <c r="L36"/>
  <c r="I36"/>
  <c r="F36"/>
  <c r="L35"/>
  <c r="I35"/>
  <c r="F35"/>
  <c r="L34"/>
  <c r="I34"/>
  <c r="F34"/>
  <c r="L33"/>
  <c r="I33"/>
  <c r="L32"/>
  <c r="I32"/>
  <c r="F32"/>
  <c r="L31"/>
  <c r="I31"/>
  <c r="F31"/>
  <c r="L30"/>
  <c r="I30"/>
  <c r="F30"/>
  <c r="L29"/>
  <c r="I29"/>
  <c r="F29"/>
  <c r="L28"/>
  <c r="I28"/>
  <c r="L27"/>
  <c r="I27"/>
  <c r="L26"/>
  <c r="I26"/>
  <c r="L25"/>
  <c r="I25"/>
  <c r="F25"/>
  <c r="L24"/>
  <c r="I24"/>
  <c r="F24"/>
  <c r="L23"/>
  <c r="I23"/>
  <c r="L22"/>
  <c r="I22"/>
  <c r="F22"/>
  <c r="L21"/>
  <c r="I21"/>
  <c r="F21"/>
  <c r="L20"/>
  <c r="I20"/>
  <c r="F20"/>
  <c r="L19"/>
  <c r="I19"/>
  <c r="F19"/>
  <c r="L18"/>
  <c r="I18"/>
  <c r="L17"/>
  <c r="I17"/>
  <c r="F17"/>
  <c r="L16"/>
  <c r="I16"/>
  <c r="F16"/>
  <c r="L15"/>
  <c r="I15"/>
  <c r="F15"/>
  <c r="L14"/>
  <c r="I14"/>
  <c r="F14"/>
  <c r="L13"/>
  <c r="I13"/>
  <c r="V7"/>
  <c r="U7"/>
  <c r="T7"/>
  <c r="S7"/>
  <c r="V5"/>
  <c r="U5"/>
  <c r="T5"/>
  <c r="S5"/>
  <c r="Q4"/>
  <c r="R4"/>
  <c r="V4" s="1"/>
  <c r="L4"/>
  <c r="U4"/>
  <c r="J4"/>
  <c r="H4"/>
  <c r="T4"/>
  <c r="O4"/>
  <c r="S4"/>
  <c r="P4"/>
  <c r="N4"/>
  <c r="M4"/>
  <c r="K4"/>
  <c r="I4"/>
  <c r="G4"/>
  <c r="H1"/>
  <c r="G1"/>
  <c r="I105" i="13"/>
  <c r="U104"/>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R77"/>
  <c r="Q77"/>
  <c r="U76"/>
  <c r="T76"/>
  <c r="R76"/>
  <c r="Q76"/>
  <c r="U75"/>
  <c r="T75"/>
  <c r="R75"/>
  <c r="Q75"/>
  <c r="U74"/>
  <c r="T74"/>
  <c r="R74"/>
  <c r="Q74"/>
  <c r="U73"/>
  <c r="T73"/>
  <c r="R73"/>
  <c r="Q73"/>
  <c r="U72"/>
  <c r="T72"/>
  <c r="R72"/>
  <c r="Q72"/>
  <c r="U71"/>
  <c r="U105"/>
  <c r="T71"/>
  <c r="T105"/>
  <c r="R71"/>
  <c r="Q71"/>
  <c r="M71" s="1"/>
  <c r="B55"/>
  <c r="Q54"/>
  <c r="P54"/>
  <c r="R54"/>
  <c r="L54"/>
  <c r="I54"/>
  <c r="R53"/>
  <c r="Q53"/>
  <c r="P53"/>
  <c r="L53"/>
  <c r="I53"/>
  <c r="Q52"/>
  <c r="P52"/>
  <c r="R52"/>
  <c r="L52"/>
  <c r="I52"/>
  <c r="F52"/>
  <c r="Q51"/>
  <c r="P51"/>
  <c r="L51"/>
  <c r="I51"/>
  <c r="F51"/>
  <c r="R50"/>
  <c r="Q50"/>
  <c r="P50"/>
  <c r="L50"/>
  <c r="I50"/>
  <c r="F50"/>
  <c r="R49"/>
  <c r="Q49"/>
  <c r="P49"/>
  <c r="L49"/>
  <c r="I49"/>
  <c r="F49"/>
  <c r="Q48"/>
  <c r="P48"/>
  <c r="R48"/>
  <c r="L48"/>
  <c r="I48"/>
  <c r="R47"/>
  <c r="Q47"/>
  <c r="P47"/>
  <c r="L47"/>
  <c r="I47"/>
  <c r="F47"/>
  <c r="Q46"/>
  <c r="P46"/>
  <c r="R46"/>
  <c r="L46"/>
  <c r="I46"/>
  <c r="F46"/>
  <c r="Q45"/>
  <c r="P45"/>
  <c r="L45"/>
  <c r="I45"/>
  <c r="F45"/>
  <c r="R44"/>
  <c r="Q44"/>
  <c r="P44"/>
  <c r="L44"/>
  <c r="I44"/>
  <c r="F44"/>
  <c r="R43"/>
  <c r="Q43"/>
  <c r="P43"/>
  <c r="L43"/>
  <c r="I43"/>
  <c r="R42"/>
  <c r="Q42"/>
  <c r="P42"/>
  <c r="L42"/>
  <c r="I42"/>
  <c r="F42"/>
  <c r="R41"/>
  <c r="Q41"/>
  <c r="P41"/>
  <c r="L41"/>
  <c r="I41"/>
  <c r="F41"/>
  <c r="Q40"/>
  <c r="P40"/>
  <c r="R40"/>
  <c r="L40"/>
  <c r="I40"/>
  <c r="F40"/>
  <c r="Q39"/>
  <c r="P39"/>
  <c r="L39"/>
  <c r="I39"/>
  <c r="F39"/>
  <c r="R38"/>
  <c r="Q38"/>
  <c r="P38"/>
  <c r="L38"/>
  <c r="I38"/>
  <c r="Q37"/>
  <c r="P37"/>
  <c r="L37"/>
  <c r="I37"/>
  <c r="F37"/>
  <c r="R36"/>
  <c r="Q36"/>
  <c r="P36"/>
  <c r="L36"/>
  <c r="I36"/>
  <c r="F36"/>
  <c r="R35"/>
  <c r="Q35"/>
  <c r="P35"/>
  <c r="L35"/>
  <c r="I35"/>
  <c r="F35"/>
  <c r="Q34"/>
  <c r="P34"/>
  <c r="R34"/>
  <c r="L34"/>
  <c r="I34"/>
  <c r="F34"/>
  <c r="Q33"/>
  <c r="P33"/>
  <c r="L33"/>
  <c r="I33"/>
  <c r="Q32"/>
  <c r="P32"/>
  <c r="R32"/>
  <c r="L32"/>
  <c r="I32"/>
  <c r="F32"/>
  <c r="R31"/>
  <c r="Q31"/>
  <c r="P31"/>
  <c r="L31"/>
  <c r="I31"/>
  <c r="F31"/>
  <c r="Q30"/>
  <c r="P30"/>
  <c r="R30"/>
  <c r="L30"/>
  <c r="I30"/>
  <c r="F30"/>
  <c r="R29"/>
  <c r="Q29"/>
  <c r="P29"/>
  <c r="L29"/>
  <c r="I29"/>
  <c r="F29"/>
  <c r="Q28"/>
  <c r="P28"/>
  <c r="R28"/>
  <c r="L28"/>
  <c r="I28"/>
  <c r="Q27"/>
  <c r="P27"/>
  <c r="R27"/>
  <c r="L27"/>
  <c r="I27"/>
  <c r="Q26"/>
  <c r="P26"/>
  <c r="R26"/>
  <c r="L26"/>
  <c r="I26"/>
  <c r="Q25"/>
  <c r="P25"/>
  <c r="R25"/>
  <c r="L25"/>
  <c r="I25"/>
  <c r="R24"/>
  <c r="Q24"/>
  <c r="P24"/>
  <c r="L24"/>
  <c r="I24"/>
  <c r="R23"/>
  <c r="Q23"/>
  <c r="P23"/>
  <c r="L23"/>
  <c r="I23"/>
  <c r="Q22"/>
  <c r="P22"/>
  <c r="R22"/>
  <c r="L22"/>
  <c r="I22"/>
  <c r="F22"/>
  <c r="R21"/>
  <c r="Q21"/>
  <c r="P21"/>
  <c r="L21"/>
  <c r="I21"/>
  <c r="F21"/>
  <c r="Q20"/>
  <c r="P20"/>
  <c r="O20"/>
  <c r="R20"/>
  <c r="L20"/>
  <c r="I20"/>
  <c r="F20"/>
  <c r="Q19"/>
  <c r="P19"/>
  <c r="L19"/>
  <c r="I19"/>
  <c r="Q18"/>
  <c r="P18"/>
  <c r="L18"/>
  <c r="I18"/>
  <c r="Q17"/>
  <c r="P17"/>
  <c r="L17"/>
  <c r="I17"/>
  <c r="F17"/>
  <c r="Q16"/>
  <c r="P16"/>
  <c r="L16"/>
  <c r="I16"/>
  <c r="F16"/>
  <c r="Q15"/>
  <c r="P15"/>
  <c r="L15"/>
  <c r="I15"/>
  <c r="F15"/>
  <c r="Q14"/>
  <c r="P14"/>
  <c r="L14"/>
  <c r="I14"/>
  <c r="F14"/>
  <c r="Q13"/>
  <c r="P13"/>
  <c r="P55"/>
  <c r="L13"/>
  <c r="I13"/>
  <c r="P7"/>
  <c r="N7"/>
  <c r="M7"/>
  <c r="L7"/>
  <c r="K7"/>
  <c r="J7"/>
  <c r="G7"/>
  <c r="P5"/>
  <c r="P8"/>
  <c r="N5"/>
  <c r="N8"/>
  <c r="M5"/>
  <c r="M8"/>
  <c r="L5"/>
  <c r="L8"/>
  <c r="K5"/>
  <c r="K8"/>
  <c r="J5"/>
  <c r="J8"/>
  <c r="H5"/>
  <c r="G5"/>
  <c r="R4"/>
  <c r="V4" s="1"/>
  <c r="Q4"/>
  <c r="P4"/>
  <c r="O4"/>
  <c r="N4"/>
  <c r="M4"/>
  <c r="L4"/>
  <c r="K4"/>
  <c r="J4"/>
  <c r="I4"/>
  <c r="H4"/>
  <c r="G4"/>
  <c r="H1"/>
  <c r="G1"/>
  <c r="U104" i="12"/>
  <c r="T104"/>
  <c r="R104"/>
  <c r="Q104"/>
  <c r="U103"/>
  <c r="T103"/>
  <c r="R103"/>
  <c r="Q103"/>
  <c r="U102"/>
  <c r="T102"/>
  <c r="R102"/>
  <c r="Q102"/>
  <c r="U101"/>
  <c r="T101"/>
  <c r="R101"/>
  <c r="Q101"/>
  <c r="U100"/>
  <c r="T100"/>
  <c r="R100"/>
  <c r="Q100"/>
  <c r="U99"/>
  <c r="T99"/>
  <c r="R99"/>
  <c r="Q99"/>
  <c r="U98"/>
  <c r="T98"/>
  <c r="R98"/>
  <c r="Q98"/>
  <c r="U97"/>
  <c r="T97"/>
  <c r="R97"/>
  <c r="Q97"/>
  <c r="U96"/>
  <c r="T96"/>
  <c r="R96"/>
  <c r="Q96"/>
  <c r="T95"/>
  <c r="T94"/>
  <c r="T93"/>
  <c r="T92"/>
  <c r="T91"/>
  <c r="T90"/>
  <c r="T89"/>
  <c r="T88"/>
  <c r="T87"/>
  <c r="T86"/>
  <c r="T85"/>
  <c r="T84"/>
  <c r="T83"/>
  <c r="T82"/>
  <c r="T81"/>
  <c r="T80"/>
  <c r="T79"/>
  <c r="T105"/>
  <c r="B55"/>
  <c r="Q54"/>
  <c r="P54"/>
  <c r="R54"/>
  <c r="L54"/>
  <c r="I54"/>
  <c r="Q53"/>
  <c r="P53"/>
  <c r="L53"/>
  <c r="I53"/>
  <c r="R52"/>
  <c r="Q52"/>
  <c r="P52"/>
  <c r="L52"/>
  <c r="I52"/>
  <c r="F52"/>
  <c r="R51"/>
  <c r="Q51"/>
  <c r="P51"/>
  <c r="L51"/>
  <c r="I51"/>
  <c r="F51"/>
  <c r="Q50"/>
  <c r="P50"/>
  <c r="R50"/>
  <c r="L50"/>
  <c r="I50"/>
  <c r="F50"/>
  <c r="Q49"/>
  <c r="P49"/>
  <c r="L49"/>
  <c r="I49"/>
  <c r="F49"/>
  <c r="R48"/>
  <c r="Q48"/>
  <c r="P48"/>
  <c r="L48"/>
  <c r="I48"/>
  <c r="N7"/>
  <c r="R47"/>
  <c r="Q47"/>
  <c r="P47"/>
  <c r="L47"/>
  <c r="I47"/>
  <c r="F47"/>
  <c r="Q46"/>
  <c r="P46"/>
  <c r="R46"/>
  <c r="L46"/>
  <c r="I46"/>
  <c r="F46"/>
  <c r="Q45"/>
  <c r="P45"/>
  <c r="R45"/>
  <c r="Q95"/>
  <c r="L45"/>
  <c r="I45"/>
  <c r="F45"/>
  <c r="Q44"/>
  <c r="P44"/>
  <c r="R44"/>
  <c r="Q94"/>
  <c r="L44"/>
  <c r="I44"/>
  <c r="F44"/>
  <c r="Q43"/>
  <c r="P43"/>
  <c r="R43"/>
  <c r="L43"/>
  <c r="I43"/>
  <c r="Q42"/>
  <c r="P42"/>
  <c r="R42"/>
  <c r="Q92"/>
  <c r="L42"/>
  <c r="I42"/>
  <c r="F42"/>
  <c r="Q41"/>
  <c r="P41"/>
  <c r="R41"/>
  <c r="Q91"/>
  <c r="L41"/>
  <c r="I41"/>
  <c r="F41"/>
  <c r="Q40"/>
  <c r="P40"/>
  <c r="R40"/>
  <c r="Q90"/>
  <c r="L40"/>
  <c r="I40"/>
  <c r="F40"/>
  <c r="Q39"/>
  <c r="P39"/>
  <c r="R39"/>
  <c r="Q89"/>
  <c r="M89" s="1"/>
  <c r="L39"/>
  <c r="I39"/>
  <c r="F39"/>
  <c r="Q38"/>
  <c r="P38"/>
  <c r="R38"/>
  <c r="Q88"/>
  <c r="L38"/>
  <c r="I38"/>
  <c r="Q37"/>
  <c r="P37"/>
  <c r="R37"/>
  <c r="Q87"/>
  <c r="L37"/>
  <c r="I37"/>
  <c r="F37"/>
  <c r="Q36"/>
  <c r="P36"/>
  <c r="R36"/>
  <c r="Q86"/>
  <c r="L36"/>
  <c r="I36"/>
  <c r="F36"/>
  <c r="Q35"/>
  <c r="P35"/>
  <c r="R35"/>
  <c r="L35"/>
  <c r="I35"/>
  <c r="F35"/>
  <c r="Q34"/>
  <c r="P34"/>
  <c r="R34"/>
  <c r="Q84"/>
  <c r="L34"/>
  <c r="I34"/>
  <c r="F34"/>
  <c r="Q33"/>
  <c r="P33"/>
  <c r="R33"/>
  <c r="Q83"/>
  <c r="M83" s="1"/>
  <c r="L33"/>
  <c r="I33"/>
  <c r="K7"/>
  <c r="Q32"/>
  <c r="P32"/>
  <c r="R32"/>
  <c r="Q82"/>
  <c r="L32"/>
  <c r="I32"/>
  <c r="F32"/>
  <c r="Q31"/>
  <c r="P31"/>
  <c r="L31"/>
  <c r="I31"/>
  <c r="F31"/>
  <c r="Q30"/>
  <c r="P30"/>
  <c r="R30"/>
  <c r="Q80"/>
  <c r="L30"/>
  <c r="I30"/>
  <c r="F30"/>
  <c r="Q29"/>
  <c r="P29"/>
  <c r="L29"/>
  <c r="I29"/>
  <c r="F29"/>
  <c r="Q28"/>
  <c r="P28"/>
  <c r="L28"/>
  <c r="I28"/>
  <c r="Q27"/>
  <c r="P27"/>
  <c r="L27"/>
  <c r="I27"/>
  <c r="Q26"/>
  <c r="P26"/>
  <c r="R26"/>
  <c r="L26"/>
  <c r="I26"/>
  <c r="Q25"/>
  <c r="P25"/>
  <c r="R25"/>
  <c r="L25"/>
  <c r="I25"/>
  <c r="Q24"/>
  <c r="P24"/>
  <c r="R24"/>
  <c r="L24"/>
  <c r="I24"/>
  <c r="Q23"/>
  <c r="P23"/>
  <c r="R23"/>
  <c r="L23"/>
  <c r="I23"/>
  <c r="Q22"/>
  <c r="P22"/>
  <c r="L22"/>
  <c r="I22"/>
  <c r="F22"/>
  <c r="Q21"/>
  <c r="P21"/>
  <c r="R21"/>
  <c r="L21"/>
  <c r="I21"/>
  <c r="F21"/>
  <c r="Q20"/>
  <c r="P20"/>
  <c r="L20"/>
  <c r="I20"/>
  <c r="F20"/>
  <c r="Q19"/>
  <c r="P19"/>
  <c r="R19"/>
  <c r="L19"/>
  <c r="I19"/>
  <c r="F19"/>
  <c r="Q18"/>
  <c r="P18"/>
  <c r="L18"/>
  <c r="I18"/>
  <c r="Q17"/>
  <c r="P17"/>
  <c r="R17"/>
  <c r="L17"/>
  <c r="I17"/>
  <c r="F17"/>
  <c r="Q16"/>
  <c r="P16"/>
  <c r="L16"/>
  <c r="I16"/>
  <c r="F16"/>
  <c r="Q15"/>
  <c r="P15"/>
  <c r="R15"/>
  <c r="L15"/>
  <c r="I15"/>
  <c r="F15"/>
  <c r="Q14"/>
  <c r="P14"/>
  <c r="L14"/>
  <c r="I14"/>
  <c r="F14"/>
  <c r="Q13"/>
  <c r="P13"/>
  <c r="P55"/>
  <c r="L13"/>
  <c r="I13"/>
  <c r="P7"/>
  <c r="M7"/>
  <c r="J7"/>
  <c r="H7"/>
  <c r="G7"/>
  <c r="P5"/>
  <c r="P8"/>
  <c r="N5"/>
  <c r="N8"/>
  <c r="M5"/>
  <c r="L5"/>
  <c r="K5"/>
  <c r="J5"/>
  <c r="J8"/>
  <c r="H5"/>
  <c r="H8"/>
  <c r="R4"/>
  <c r="Q4"/>
  <c r="P4"/>
  <c r="O4"/>
  <c r="N4"/>
  <c r="M4"/>
  <c r="L4"/>
  <c r="K4"/>
  <c r="J4"/>
  <c r="I4"/>
  <c r="H4"/>
  <c r="G4"/>
  <c r="H1"/>
  <c r="G1"/>
  <c r="I105" i="11"/>
  <c r="U104"/>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R77"/>
  <c r="Q77"/>
  <c r="U76"/>
  <c r="T76"/>
  <c r="R76"/>
  <c r="Q76"/>
  <c r="U75"/>
  <c r="T75"/>
  <c r="R75"/>
  <c r="Q75"/>
  <c r="U74"/>
  <c r="T74"/>
  <c r="R74"/>
  <c r="Q74"/>
  <c r="U73"/>
  <c r="T73"/>
  <c r="R73"/>
  <c r="Q73"/>
  <c r="U72"/>
  <c r="T72"/>
  <c r="R72"/>
  <c r="Q72"/>
  <c r="U71"/>
  <c r="T71"/>
  <c r="R71"/>
  <c r="Q71"/>
  <c r="U70"/>
  <c r="T70"/>
  <c r="R70"/>
  <c r="Q70"/>
  <c r="U69"/>
  <c r="T69"/>
  <c r="R69"/>
  <c r="Q69"/>
  <c r="U68"/>
  <c r="T68"/>
  <c r="R68"/>
  <c r="Q68"/>
  <c r="U67"/>
  <c r="T67"/>
  <c r="U66"/>
  <c r="T66"/>
  <c r="U65"/>
  <c r="T65"/>
  <c r="U64"/>
  <c r="T64"/>
  <c r="U63"/>
  <c r="T63"/>
  <c r="B55"/>
  <c r="Q54"/>
  <c r="P54"/>
  <c r="O54"/>
  <c r="R54"/>
  <c r="L54"/>
  <c r="I54"/>
  <c r="Q53"/>
  <c r="P53"/>
  <c r="O53"/>
  <c r="R53"/>
  <c r="L53"/>
  <c r="I53"/>
  <c r="O52"/>
  <c r="R52"/>
  <c r="Q52"/>
  <c r="P52"/>
  <c r="L52"/>
  <c r="I52"/>
  <c r="F52"/>
  <c r="Q51"/>
  <c r="P51"/>
  <c r="O51"/>
  <c r="R51"/>
  <c r="L51"/>
  <c r="I51"/>
  <c r="F51"/>
  <c r="O50"/>
  <c r="R50"/>
  <c r="Q50"/>
  <c r="P50"/>
  <c r="L50"/>
  <c r="I50"/>
  <c r="F50"/>
  <c r="Q49"/>
  <c r="P49"/>
  <c r="O49"/>
  <c r="R49"/>
  <c r="L49"/>
  <c r="I49"/>
  <c r="F49"/>
  <c r="O48"/>
  <c r="R48"/>
  <c r="Q48"/>
  <c r="P48"/>
  <c r="L48"/>
  <c r="I48"/>
  <c r="E48"/>
  <c r="D48"/>
  <c r="O47"/>
  <c r="R47"/>
  <c r="Q47"/>
  <c r="P47"/>
  <c r="L47"/>
  <c r="I47"/>
  <c r="F47"/>
  <c r="Q46"/>
  <c r="P46"/>
  <c r="O46"/>
  <c r="R46"/>
  <c r="L46"/>
  <c r="I46"/>
  <c r="F46"/>
  <c r="O45"/>
  <c r="R45"/>
  <c r="Q45"/>
  <c r="P45"/>
  <c r="L45"/>
  <c r="I45"/>
  <c r="F45"/>
  <c r="Q44"/>
  <c r="P44"/>
  <c r="O44"/>
  <c r="R44"/>
  <c r="L44"/>
  <c r="I44"/>
  <c r="F44"/>
  <c r="O43"/>
  <c r="R43"/>
  <c r="Q43"/>
  <c r="P43"/>
  <c r="L43"/>
  <c r="I43"/>
  <c r="E43"/>
  <c r="D43"/>
  <c r="O42"/>
  <c r="R42"/>
  <c r="Q42"/>
  <c r="P42"/>
  <c r="L42"/>
  <c r="I42"/>
  <c r="F42"/>
  <c r="Q41"/>
  <c r="P41"/>
  <c r="O41"/>
  <c r="R41"/>
  <c r="L41"/>
  <c r="I41"/>
  <c r="F41"/>
  <c r="O40"/>
  <c r="R40"/>
  <c r="Q40"/>
  <c r="P40"/>
  <c r="L40"/>
  <c r="I40"/>
  <c r="F40"/>
  <c r="Q39"/>
  <c r="P39"/>
  <c r="O39"/>
  <c r="R39"/>
  <c r="L39"/>
  <c r="I39"/>
  <c r="F39"/>
  <c r="O38"/>
  <c r="R38"/>
  <c r="Q38"/>
  <c r="P38"/>
  <c r="L38"/>
  <c r="I38"/>
  <c r="E38"/>
  <c r="D38"/>
  <c r="O37"/>
  <c r="R37"/>
  <c r="Q37"/>
  <c r="P37"/>
  <c r="L37"/>
  <c r="I37"/>
  <c r="F37"/>
  <c r="Q36"/>
  <c r="P36"/>
  <c r="O36"/>
  <c r="R36"/>
  <c r="L36"/>
  <c r="I36"/>
  <c r="F36"/>
  <c r="O35"/>
  <c r="R35"/>
  <c r="Q35"/>
  <c r="P35"/>
  <c r="L35"/>
  <c r="I35"/>
  <c r="F35"/>
  <c r="Q34"/>
  <c r="P34"/>
  <c r="O34"/>
  <c r="R34"/>
  <c r="L34"/>
  <c r="I34"/>
  <c r="F34"/>
  <c r="O33"/>
  <c r="R33"/>
  <c r="Q33"/>
  <c r="P33"/>
  <c r="L33"/>
  <c r="I33"/>
  <c r="E33"/>
  <c r="D33"/>
  <c r="Q32"/>
  <c r="P32"/>
  <c r="O32"/>
  <c r="R32"/>
  <c r="L32"/>
  <c r="I32"/>
  <c r="F32"/>
  <c r="Q31"/>
  <c r="P31"/>
  <c r="O31"/>
  <c r="R31"/>
  <c r="L31"/>
  <c r="I31"/>
  <c r="F31"/>
  <c r="O30"/>
  <c r="R30"/>
  <c r="Q30"/>
  <c r="P30"/>
  <c r="L30"/>
  <c r="I30"/>
  <c r="F30"/>
  <c r="Q29"/>
  <c r="P29"/>
  <c r="O29"/>
  <c r="R29"/>
  <c r="L29"/>
  <c r="I29"/>
  <c r="F29"/>
  <c r="O28"/>
  <c r="R28"/>
  <c r="Q28"/>
  <c r="P28"/>
  <c r="L28"/>
  <c r="I28"/>
  <c r="E28"/>
  <c r="D28"/>
  <c r="Q27"/>
  <c r="P27"/>
  <c r="O27"/>
  <c r="R27"/>
  <c r="L27"/>
  <c r="I27"/>
  <c r="Q26"/>
  <c r="P26"/>
  <c r="O26"/>
  <c r="R26"/>
  <c r="L26"/>
  <c r="I26"/>
  <c r="Q25"/>
  <c r="P25"/>
  <c r="O25"/>
  <c r="R25"/>
  <c r="L25"/>
  <c r="I25"/>
  <c r="O24"/>
  <c r="R24"/>
  <c r="Q24"/>
  <c r="P24"/>
  <c r="L24"/>
  <c r="I24"/>
  <c r="O23"/>
  <c r="R23"/>
  <c r="Q23"/>
  <c r="P23"/>
  <c r="L23"/>
  <c r="I23"/>
  <c r="Q22"/>
  <c r="P22"/>
  <c r="O22"/>
  <c r="R22"/>
  <c r="L22"/>
  <c r="I22"/>
  <c r="F22"/>
  <c r="O21"/>
  <c r="R21"/>
  <c r="Q21"/>
  <c r="P21"/>
  <c r="L21"/>
  <c r="I21"/>
  <c r="F21"/>
  <c r="Q20"/>
  <c r="P20"/>
  <c r="O20"/>
  <c r="R20"/>
  <c r="L20"/>
  <c r="I20"/>
  <c r="F20"/>
  <c r="O19"/>
  <c r="R19"/>
  <c r="Q19"/>
  <c r="P19"/>
  <c r="L19"/>
  <c r="I19"/>
  <c r="F19"/>
  <c r="Q18"/>
  <c r="P18"/>
  <c r="O18"/>
  <c r="R18"/>
  <c r="L18"/>
  <c r="I18"/>
  <c r="E18"/>
  <c r="E25"/>
  <c r="D18"/>
  <c r="Q17"/>
  <c r="P17"/>
  <c r="O17"/>
  <c r="R17"/>
  <c r="R67"/>
  <c r="L17"/>
  <c r="I17"/>
  <c r="F17"/>
  <c r="Q16"/>
  <c r="P16"/>
  <c r="O16"/>
  <c r="R16"/>
  <c r="L16"/>
  <c r="I16"/>
  <c r="F16"/>
  <c r="Q15"/>
  <c r="P15"/>
  <c r="O15"/>
  <c r="R15"/>
  <c r="Q65"/>
  <c r="L15"/>
  <c r="I15"/>
  <c r="F15"/>
  <c r="Q14"/>
  <c r="P14"/>
  <c r="O14"/>
  <c r="R14"/>
  <c r="L14"/>
  <c r="I14"/>
  <c r="F14"/>
  <c r="Q13"/>
  <c r="P13"/>
  <c r="O13"/>
  <c r="V63"/>
  <c r="L13"/>
  <c r="I13"/>
  <c r="E13"/>
  <c r="E24"/>
  <c r="D13"/>
  <c r="P7"/>
  <c r="N7"/>
  <c r="M7"/>
  <c r="L7"/>
  <c r="K7"/>
  <c r="J7"/>
  <c r="H7"/>
  <c r="P5"/>
  <c r="P8"/>
  <c r="N5"/>
  <c r="N8"/>
  <c r="M5"/>
  <c r="M8"/>
  <c r="L5"/>
  <c r="L8"/>
  <c r="K5"/>
  <c r="K8"/>
  <c r="J5"/>
  <c r="J8"/>
  <c r="H5"/>
  <c r="G5"/>
  <c r="R4"/>
  <c r="Q4"/>
  <c r="P4"/>
  <c r="O4"/>
  <c r="N4"/>
  <c r="M4"/>
  <c r="L4"/>
  <c r="K4"/>
  <c r="J4"/>
  <c r="I4"/>
  <c r="H4"/>
  <c r="G4"/>
  <c r="H1"/>
  <c r="G1"/>
  <c r="U104" i="10"/>
  <c r="T104"/>
  <c r="R104"/>
  <c r="Q104"/>
  <c r="U103"/>
  <c r="T103"/>
  <c r="R103"/>
  <c r="Q103"/>
  <c r="U102"/>
  <c r="T102"/>
  <c r="R102"/>
  <c r="Q102"/>
  <c r="U101"/>
  <c r="T101"/>
  <c r="R101"/>
  <c r="Q101"/>
  <c r="U100"/>
  <c r="T100"/>
  <c r="R100"/>
  <c r="Q100"/>
  <c r="U99"/>
  <c r="T99"/>
  <c r="R99"/>
  <c r="Q99"/>
  <c r="U98"/>
  <c r="T98"/>
  <c r="R98"/>
  <c r="Q98"/>
  <c r="U97"/>
  <c r="T97"/>
  <c r="R97"/>
  <c r="Q97"/>
  <c r="U96"/>
  <c r="T96"/>
  <c r="R96"/>
  <c r="Q96"/>
  <c r="U95"/>
  <c r="T95"/>
  <c r="R95"/>
  <c r="Q95"/>
  <c r="U94"/>
  <c r="T94"/>
  <c r="R94"/>
  <c r="Q94"/>
  <c r="U93"/>
  <c r="T93"/>
  <c r="R93"/>
  <c r="Q93"/>
  <c r="U92"/>
  <c r="T92"/>
  <c r="R92"/>
  <c r="Q92"/>
  <c r="U91"/>
  <c r="T91"/>
  <c r="R91"/>
  <c r="Q91"/>
  <c r="U90"/>
  <c r="T90"/>
  <c r="R90"/>
  <c r="Q90"/>
  <c r="U89"/>
  <c r="T89"/>
  <c r="R89"/>
  <c r="Q89"/>
  <c r="U88"/>
  <c r="T88"/>
  <c r="R88"/>
  <c r="Q88"/>
  <c r="U87"/>
  <c r="T87"/>
  <c r="R87"/>
  <c r="Q87"/>
  <c r="U86"/>
  <c r="T86"/>
  <c r="R86"/>
  <c r="Q86"/>
  <c r="U85"/>
  <c r="T85"/>
  <c r="R85"/>
  <c r="Q85"/>
  <c r="U84"/>
  <c r="T84"/>
  <c r="R84"/>
  <c r="Q84"/>
  <c r="U83"/>
  <c r="T83"/>
  <c r="R83"/>
  <c r="Q83"/>
  <c r="U82"/>
  <c r="T82"/>
  <c r="R82"/>
  <c r="Q82"/>
  <c r="U81"/>
  <c r="T81"/>
  <c r="R81"/>
  <c r="Q81"/>
  <c r="U80"/>
  <c r="T80"/>
  <c r="R80"/>
  <c r="Q80"/>
  <c r="U79"/>
  <c r="T79"/>
  <c r="R79"/>
  <c r="Q79"/>
  <c r="U78"/>
  <c r="T78"/>
  <c r="R78"/>
  <c r="Q78"/>
  <c r="U77"/>
  <c r="T77"/>
  <c r="R77"/>
  <c r="Q77"/>
  <c r="U76"/>
  <c r="T76"/>
  <c r="R76"/>
  <c r="Q76"/>
  <c r="U75"/>
  <c r="T75"/>
  <c r="R75"/>
  <c r="Q75"/>
  <c r="U74"/>
  <c r="T74"/>
  <c r="R74"/>
  <c r="Q74"/>
  <c r="U73"/>
  <c r="T73"/>
  <c r="R73"/>
  <c r="Q73"/>
  <c r="U72"/>
  <c r="T72"/>
  <c r="R72"/>
  <c r="Q72"/>
  <c r="U71"/>
  <c r="T71"/>
  <c r="R71"/>
  <c r="Q71"/>
  <c r="U70"/>
  <c r="T70"/>
  <c r="R70"/>
  <c r="Q70"/>
  <c r="U69"/>
  <c r="T69"/>
  <c r="R69"/>
  <c r="Q69"/>
  <c r="U68"/>
  <c r="T68"/>
  <c r="R68"/>
  <c r="Q68"/>
  <c r="U67"/>
  <c r="T67"/>
  <c r="R67"/>
  <c r="Q67"/>
  <c r="U66"/>
  <c r="T66"/>
  <c r="R66"/>
  <c r="Q66"/>
  <c r="U65"/>
  <c r="T65"/>
  <c r="U64"/>
  <c r="T64"/>
  <c r="R64"/>
  <c r="T63"/>
  <c r="B55"/>
  <c r="Q54"/>
  <c r="P54"/>
  <c r="O54"/>
  <c r="R54"/>
  <c r="L54"/>
  <c r="I54"/>
  <c r="O53"/>
  <c r="R53"/>
  <c r="Q53"/>
  <c r="P53"/>
  <c r="V103"/>
  <c r="L53"/>
  <c r="I53"/>
  <c r="O52"/>
  <c r="R52"/>
  <c r="Q52"/>
  <c r="P52"/>
  <c r="L52"/>
  <c r="I52"/>
  <c r="F52"/>
  <c r="Q51"/>
  <c r="P51"/>
  <c r="O51"/>
  <c r="V101"/>
  <c r="L51"/>
  <c r="I51"/>
  <c r="F51"/>
  <c r="Q50"/>
  <c r="P50"/>
  <c r="O50"/>
  <c r="R50"/>
  <c r="L50"/>
  <c r="I50"/>
  <c r="F50"/>
  <c r="Q49"/>
  <c r="P49"/>
  <c r="O49"/>
  <c r="R49"/>
  <c r="L49"/>
  <c r="I49"/>
  <c r="D49"/>
  <c r="Q48"/>
  <c r="P48"/>
  <c r="O48"/>
  <c r="R48"/>
  <c r="L48"/>
  <c r="I48"/>
  <c r="E48"/>
  <c r="D48"/>
  <c r="Q47"/>
  <c r="P47"/>
  <c r="O47"/>
  <c r="V97"/>
  <c r="L47"/>
  <c r="I47"/>
  <c r="F47"/>
  <c r="Q46"/>
  <c r="P46"/>
  <c r="O46"/>
  <c r="R46"/>
  <c r="L46"/>
  <c r="I46"/>
  <c r="F46"/>
  <c r="Q45"/>
  <c r="P45"/>
  <c r="O45"/>
  <c r="V95"/>
  <c r="L45"/>
  <c r="I45"/>
  <c r="F45"/>
  <c r="Q44"/>
  <c r="P44"/>
  <c r="O44"/>
  <c r="R44"/>
  <c r="L44"/>
  <c r="I44"/>
  <c r="F44"/>
  <c r="Q43"/>
  <c r="P43"/>
  <c r="O43"/>
  <c r="V93"/>
  <c r="L43"/>
  <c r="I43"/>
  <c r="E43"/>
  <c r="D43"/>
  <c r="Q42"/>
  <c r="P42"/>
  <c r="O42"/>
  <c r="R42"/>
  <c r="L42"/>
  <c r="I42"/>
  <c r="F42"/>
  <c r="Q41"/>
  <c r="P41"/>
  <c r="O41"/>
  <c r="V91"/>
  <c r="L41"/>
  <c r="I41"/>
  <c r="F41"/>
  <c r="Q40"/>
  <c r="P40"/>
  <c r="O40"/>
  <c r="R40"/>
  <c r="L40"/>
  <c r="I40"/>
  <c r="F40"/>
  <c r="Q39"/>
  <c r="P39"/>
  <c r="O39"/>
  <c r="V89"/>
  <c r="L39"/>
  <c r="I39"/>
  <c r="F39"/>
  <c r="Q38"/>
  <c r="P38"/>
  <c r="O38"/>
  <c r="R38"/>
  <c r="L38"/>
  <c r="I38"/>
  <c r="E38"/>
  <c r="D38"/>
  <c r="Q37"/>
  <c r="P37"/>
  <c r="O37"/>
  <c r="V87"/>
  <c r="L37"/>
  <c r="I37"/>
  <c r="F37"/>
  <c r="Q36"/>
  <c r="P36"/>
  <c r="O36"/>
  <c r="R36"/>
  <c r="L36"/>
  <c r="I36"/>
  <c r="F36"/>
  <c r="Q35"/>
  <c r="P35"/>
  <c r="O35"/>
  <c r="V85"/>
  <c r="L35"/>
  <c r="I35"/>
  <c r="F35"/>
  <c r="O34"/>
  <c r="R34"/>
  <c r="Q34"/>
  <c r="P34"/>
  <c r="L34"/>
  <c r="I34"/>
  <c r="F34"/>
  <c r="Q33"/>
  <c r="P33"/>
  <c r="O33"/>
  <c r="V83"/>
  <c r="L33"/>
  <c r="I33"/>
  <c r="E33"/>
  <c r="K7"/>
  <c r="D33"/>
  <c r="Q32"/>
  <c r="P32"/>
  <c r="O32"/>
  <c r="R32"/>
  <c r="L32"/>
  <c r="I32"/>
  <c r="F32"/>
  <c r="O31"/>
  <c r="R31"/>
  <c r="Q31"/>
  <c r="P31"/>
  <c r="L31"/>
  <c r="I31"/>
  <c r="F31"/>
  <c r="Q30"/>
  <c r="P30"/>
  <c r="O30"/>
  <c r="R30"/>
  <c r="L30"/>
  <c r="I30"/>
  <c r="F30"/>
  <c r="Q29"/>
  <c r="P29"/>
  <c r="O29"/>
  <c r="R29"/>
  <c r="L29"/>
  <c r="I29"/>
  <c r="F29"/>
  <c r="Q28"/>
  <c r="P28"/>
  <c r="O28"/>
  <c r="R28"/>
  <c r="L28"/>
  <c r="I28"/>
  <c r="E28"/>
  <c r="D28"/>
  <c r="Q27"/>
  <c r="P27"/>
  <c r="O27"/>
  <c r="R27"/>
  <c r="L27"/>
  <c r="I27"/>
  <c r="Q26"/>
  <c r="P26"/>
  <c r="O26"/>
  <c r="R26"/>
  <c r="L26"/>
  <c r="I26"/>
  <c r="Q25"/>
  <c r="P25"/>
  <c r="O25"/>
  <c r="R25"/>
  <c r="L25"/>
  <c r="I25"/>
  <c r="O24"/>
  <c r="R24"/>
  <c r="Q24"/>
  <c r="P24"/>
  <c r="L24"/>
  <c r="I24"/>
  <c r="Q23"/>
  <c r="P23"/>
  <c r="O23"/>
  <c r="R23"/>
  <c r="L23"/>
  <c r="I23"/>
  <c r="Q22"/>
  <c r="P22"/>
  <c r="O22"/>
  <c r="R22"/>
  <c r="L22"/>
  <c r="I22"/>
  <c r="F22"/>
  <c r="Q21"/>
  <c r="P21"/>
  <c r="O21"/>
  <c r="R21"/>
  <c r="L21"/>
  <c r="I21"/>
  <c r="F21"/>
  <c r="Q20"/>
  <c r="P20"/>
  <c r="O20"/>
  <c r="R20"/>
  <c r="L20"/>
  <c r="I20"/>
  <c r="F20"/>
  <c r="Q19"/>
  <c r="P19"/>
  <c r="O19"/>
  <c r="R19"/>
  <c r="L19"/>
  <c r="I19"/>
  <c r="F19"/>
  <c r="O18"/>
  <c r="R18"/>
  <c r="Q18"/>
  <c r="P18"/>
  <c r="L18"/>
  <c r="I18"/>
  <c r="E18"/>
  <c r="E25"/>
  <c r="D18"/>
  <c r="Q17"/>
  <c r="P17"/>
  <c r="O17"/>
  <c r="R17"/>
  <c r="L17"/>
  <c r="I17"/>
  <c r="F17"/>
  <c r="O16"/>
  <c r="R16"/>
  <c r="Q16"/>
  <c r="P16"/>
  <c r="L16"/>
  <c r="I16"/>
  <c r="F16"/>
  <c r="Q15"/>
  <c r="P15"/>
  <c r="L15"/>
  <c r="I15"/>
  <c r="F15"/>
  <c r="Q14"/>
  <c r="P14"/>
  <c r="O14"/>
  <c r="R14"/>
  <c r="L14"/>
  <c r="I14"/>
  <c r="F14"/>
  <c r="Q13"/>
  <c r="P13"/>
  <c r="L13"/>
  <c r="I13"/>
  <c r="D13"/>
  <c r="P7"/>
  <c r="N7"/>
  <c r="M7"/>
  <c r="L7"/>
  <c r="J7"/>
  <c r="H7"/>
  <c r="G7"/>
  <c r="P5"/>
  <c r="P8"/>
  <c r="N5"/>
  <c r="M5"/>
  <c r="M8"/>
  <c r="L5"/>
  <c r="L8"/>
  <c r="K5"/>
  <c r="J5"/>
  <c r="J8"/>
  <c r="H5"/>
  <c r="H8"/>
  <c r="G5"/>
  <c r="R4"/>
  <c r="Q4"/>
  <c r="P4"/>
  <c r="O4"/>
  <c r="N4"/>
  <c r="M4"/>
  <c r="L4"/>
  <c r="K4"/>
  <c r="J4"/>
  <c r="I4"/>
  <c r="H4"/>
  <c r="G4"/>
  <c r="H1"/>
  <c r="G1"/>
  <c r="T100" i="8"/>
  <c r="B55"/>
  <c r="Q4"/>
  <c r="F52"/>
  <c r="F51"/>
  <c r="F50"/>
  <c r="F49"/>
  <c r="E48"/>
  <c r="D48"/>
  <c r="N5"/>
  <c r="F47"/>
  <c r="F46"/>
  <c r="F45"/>
  <c r="F44"/>
  <c r="E43"/>
  <c r="D43"/>
  <c r="M5"/>
  <c r="M7"/>
  <c r="M8"/>
  <c r="F42"/>
  <c r="F41"/>
  <c r="F40"/>
  <c r="F39"/>
  <c r="E38"/>
  <c r="D38"/>
  <c r="F38"/>
  <c r="F37"/>
  <c r="F36"/>
  <c r="F35"/>
  <c r="F34"/>
  <c r="E33"/>
  <c r="D33"/>
  <c r="F32"/>
  <c r="F31"/>
  <c r="F30"/>
  <c r="F29"/>
  <c r="E28"/>
  <c r="D28"/>
  <c r="F22"/>
  <c r="F21"/>
  <c r="F20"/>
  <c r="F19"/>
  <c r="E18"/>
  <c r="E25"/>
  <c r="D18"/>
  <c r="F18"/>
  <c r="F17"/>
  <c r="F16"/>
  <c r="F15"/>
  <c r="F14"/>
  <c r="E13"/>
  <c r="E24"/>
  <c r="D13"/>
  <c r="G5"/>
  <c r="P7"/>
  <c r="N7"/>
  <c r="M7" i="6" s="1"/>
  <c r="K7" i="8"/>
  <c r="G7"/>
  <c r="P5"/>
  <c r="P8"/>
  <c r="J5"/>
  <c r="R4"/>
  <c r="P4"/>
  <c r="O4"/>
  <c r="N4"/>
  <c r="M4"/>
  <c r="L4"/>
  <c r="K4"/>
  <c r="J4"/>
  <c r="I4"/>
  <c r="H4"/>
  <c r="G4"/>
  <c r="H1"/>
  <c r="G1"/>
  <c r="Q70" i="41"/>
  <c r="R70"/>
  <c r="Q72"/>
  <c r="R72"/>
  <c r="Q64"/>
  <c r="R64"/>
  <c r="R25"/>
  <c r="R27"/>
  <c r="F28"/>
  <c r="F33"/>
  <c r="G5"/>
  <c r="J8"/>
  <c r="L8"/>
  <c r="N8"/>
  <c r="F43"/>
  <c r="V105"/>
  <c r="R28" i="40"/>
  <c r="R78"/>
  <c r="R19"/>
  <c r="Q69"/>
  <c r="Q55"/>
  <c r="P55"/>
  <c r="Q68"/>
  <c r="R68"/>
  <c r="R69"/>
  <c r="Q70"/>
  <c r="R70"/>
  <c r="R71"/>
  <c r="Q71"/>
  <c r="Q76"/>
  <c r="R76"/>
  <c r="Q78"/>
  <c r="R79"/>
  <c r="Q79"/>
  <c r="I64"/>
  <c r="I66"/>
  <c r="I73"/>
  <c r="I77"/>
  <c r="I81"/>
  <c r="I84"/>
  <c r="I86"/>
  <c r="I88"/>
  <c r="I92"/>
  <c r="I96"/>
  <c r="I98"/>
  <c r="I102"/>
  <c r="V105"/>
  <c r="K8"/>
  <c r="M8"/>
  <c r="R13"/>
  <c r="R14"/>
  <c r="R15"/>
  <c r="R16"/>
  <c r="R17"/>
  <c r="R25"/>
  <c r="R27"/>
  <c r="R30"/>
  <c r="R31"/>
  <c r="R32"/>
  <c r="R34"/>
  <c r="F38"/>
  <c r="L8"/>
  <c r="J5"/>
  <c r="J8"/>
  <c r="F28"/>
  <c r="F33"/>
  <c r="F43"/>
  <c r="F48"/>
  <c r="F18"/>
  <c r="V4"/>
  <c r="U4"/>
  <c r="T4"/>
  <c r="S4"/>
  <c r="G8"/>
  <c r="D25"/>
  <c r="R24"/>
  <c r="Q70" i="38"/>
  <c r="R70"/>
  <c r="Q63"/>
  <c r="R63"/>
  <c r="Q73"/>
  <c r="R73"/>
  <c r="R33"/>
  <c r="R37"/>
  <c r="R39"/>
  <c r="R45"/>
  <c r="R51"/>
  <c r="K8"/>
  <c r="J8"/>
  <c r="F33"/>
  <c r="F48"/>
  <c r="F38"/>
  <c r="F43"/>
  <c r="F24"/>
  <c r="G5"/>
  <c r="F28"/>
  <c r="F13"/>
  <c r="D24" i="39"/>
  <c r="F28"/>
  <c r="F33"/>
  <c r="F48"/>
  <c r="V4"/>
  <c r="U4"/>
  <c r="T4"/>
  <c r="S4"/>
  <c r="F13"/>
  <c r="R13"/>
  <c r="R33"/>
  <c r="R37"/>
  <c r="F38"/>
  <c r="R39"/>
  <c r="F43"/>
  <c r="R45"/>
  <c r="R51"/>
  <c r="O104" i="36"/>
  <c r="M104"/>
  <c r="O103"/>
  <c r="M103"/>
  <c r="O102"/>
  <c r="M102"/>
  <c r="O101"/>
  <c r="M101"/>
  <c r="O100"/>
  <c r="M100"/>
  <c r="O99"/>
  <c r="M99"/>
  <c r="O98"/>
  <c r="M98"/>
  <c r="O97"/>
  <c r="M97"/>
  <c r="O96"/>
  <c r="M96"/>
  <c r="O95"/>
  <c r="M95"/>
  <c r="O94"/>
  <c r="M94"/>
  <c r="O93"/>
  <c r="M93"/>
  <c r="O92"/>
  <c r="M92"/>
  <c r="O91"/>
  <c r="M91"/>
  <c r="O90"/>
  <c r="M90"/>
  <c r="O89"/>
  <c r="M89"/>
  <c r="O88"/>
  <c r="M88"/>
  <c r="O87"/>
  <c r="M87"/>
  <c r="O86"/>
  <c r="M86"/>
  <c r="O85"/>
  <c r="M85"/>
  <c r="O84"/>
  <c r="M84"/>
  <c r="O83"/>
  <c r="M83"/>
  <c r="O82"/>
  <c r="M82"/>
  <c r="O81"/>
  <c r="M81"/>
  <c r="O80"/>
  <c r="M80"/>
  <c r="O79"/>
  <c r="M79"/>
  <c r="O78"/>
  <c r="M78"/>
  <c r="O77"/>
  <c r="M77"/>
  <c r="O76"/>
  <c r="M76"/>
  <c r="O75"/>
  <c r="M75"/>
  <c r="O74"/>
  <c r="M74"/>
  <c r="O73"/>
  <c r="M73"/>
  <c r="O72"/>
  <c r="M72"/>
  <c r="O71"/>
  <c r="M71"/>
  <c r="O70"/>
  <c r="M70"/>
  <c r="O69"/>
  <c r="M69"/>
  <c r="O68"/>
  <c r="M68"/>
  <c r="O67"/>
  <c r="M67"/>
  <c r="O66"/>
  <c r="M66"/>
  <c r="O65"/>
  <c r="M65"/>
  <c r="O64"/>
  <c r="M64"/>
  <c r="O63"/>
  <c r="M63"/>
  <c r="P104"/>
  <c r="N104"/>
  <c r="P103"/>
  <c r="N103"/>
  <c r="P102"/>
  <c r="N102"/>
  <c r="P101"/>
  <c r="N101"/>
  <c r="P100"/>
  <c r="N100"/>
  <c r="P99"/>
  <c r="N99"/>
  <c r="P98"/>
  <c r="N98"/>
  <c r="P97"/>
  <c r="N97"/>
  <c r="P96"/>
  <c r="N96"/>
  <c r="P95"/>
  <c r="N95"/>
  <c r="P94"/>
  <c r="N94"/>
  <c r="P93"/>
  <c r="N93"/>
  <c r="P92"/>
  <c r="N92"/>
  <c r="P91"/>
  <c r="N91"/>
  <c r="P90"/>
  <c r="N90"/>
  <c r="P89"/>
  <c r="N89"/>
  <c r="P88"/>
  <c r="N88"/>
  <c r="P87"/>
  <c r="N87"/>
  <c r="P86"/>
  <c r="N86"/>
  <c r="P85"/>
  <c r="N85"/>
  <c r="P84"/>
  <c r="N84"/>
  <c r="P83"/>
  <c r="N83"/>
  <c r="P82"/>
  <c r="N82"/>
  <c r="P81"/>
  <c r="N81"/>
  <c r="P80"/>
  <c r="N80"/>
  <c r="P79"/>
  <c r="N79"/>
  <c r="P78"/>
  <c r="N78"/>
  <c r="P77"/>
  <c r="N77"/>
  <c r="P76"/>
  <c r="N76"/>
  <c r="P75"/>
  <c r="N75"/>
  <c r="P74"/>
  <c r="N74"/>
  <c r="P73"/>
  <c r="N73"/>
  <c r="P72"/>
  <c r="N72"/>
  <c r="P71"/>
  <c r="N71"/>
  <c r="P70"/>
  <c r="N70"/>
  <c r="P69"/>
  <c r="N69"/>
  <c r="P68"/>
  <c r="N68"/>
  <c r="P67"/>
  <c r="N67"/>
  <c r="P66"/>
  <c r="N66"/>
  <c r="P65"/>
  <c r="N65"/>
  <c r="P64"/>
  <c r="N64"/>
  <c r="P63"/>
  <c r="N63"/>
  <c r="I8"/>
  <c r="Q5"/>
  <c r="G58"/>
  <c r="Y79"/>
  <c r="Y77"/>
  <c r="Y75"/>
  <c r="Y73"/>
  <c r="Y70"/>
  <c r="Y66"/>
  <c r="W66"/>
  <c r="W68"/>
  <c r="W74"/>
  <c r="W77"/>
  <c r="W70"/>
  <c r="W76"/>
  <c r="Y78"/>
  <c r="Y76"/>
  <c r="Y74"/>
  <c r="Y72"/>
  <c r="Y68"/>
  <c r="Y64"/>
  <c r="W72"/>
  <c r="W75"/>
  <c r="W79"/>
  <c r="W64"/>
  <c r="W73"/>
  <c r="W78"/>
  <c r="Y67"/>
  <c r="W81"/>
  <c r="W69"/>
  <c r="X81"/>
  <c r="Y81"/>
  <c r="W63"/>
  <c r="X79"/>
  <c r="X77"/>
  <c r="X75"/>
  <c r="X73"/>
  <c r="X70"/>
  <c r="X66"/>
  <c r="X71"/>
  <c r="X67"/>
  <c r="X63"/>
  <c r="Y80"/>
  <c r="X80"/>
  <c r="W71"/>
  <c r="Y65"/>
  <c r="Y71"/>
  <c r="Y63"/>
  <c r="W65"/>
  <c r="X78"/>
  <c r="X76"/>
  <c r="X74"/>
  <c r="X72"/>
  <c r="X68"/>
  <c r="X64"/>
  <c r="X69"/>
  <c r="X65"/>
  <c r="W67"/>
  <c r="W80"/>
  <c r="Y69"/>
  <c r="G105" i="33"/>
  <c r="V104"/>
  <c r="R64"/>
  <c r="Q64"/>
  <c r="Q65"/>
  <c r="R65"/>
  <c r="R66"/>
  <c r="Q66"/>
  <c r="R68"/>
  <c r="Q68"/>
  <c r="Q69"/>
  <c r="R69"/>
  <c r="V4"/>
  <c r="U4"/>
  <c r="T4"/>
  <c r="S4"/>
  <c r="R13"/>
  <c r="R17"/>
  <c r="D24"/>
  <c r="D23"/>
  <c r="I5"/>
  <c r="F33"/>
  <c r="R39"/>
  <c r="F43"/>
  <c r="R45"/>
  <c r="R51"/>
  <c r="V63"/>
  <c r="F48"/>
  <c r="K8"/>
  <c r="J8"/>
  <c r="F18"/>
  <c r="H8"/>
  <c r="F25"/>
  <c r="G7"/>
  <c r="F13"/>
  <c r="R13" i="34"/>
  <c r="O55"/>
  <c r="V4"/>
  <c r="U4"/>
  <c r="S4"/>
  <c r="T4"/>
  <c r="E24"/>
  <c r="G7"/>
  <c r="J8"/>
  <c r="L8"/>
  <c r="N8"/>
  <c r="R42"/>
  <c r="F48"/>
  <c r="R50"/>
  <c r="R31"/>
  <c r="R33"/>
  <c r="H5" i="32"/>
  <c r="H8"/>
  <c r="R33"/>
  <c r="R37"/>
  <c r="R39"/>
  <c r="R45"/>
  <c r="R51"/>
  <c r="V4"/>
  <c r="U4"/>
  <c r="T4"/>
  <c r="S4"/>
  <c r="G8"/>
  <c r="R55"/>
  <c r="Q55"/>
  <c r="P55"/>
  <c r="Q55" i="15"/>
  <c r="I68"/>
  <c r="I64"/>
  <c r="I66"/>
  <c r="I73"/>
  <c r="I77"/>
  <c r="I84"/>
  <c r="I86"/>
  <c r="I93"/>
  <c r="I95"/>
  <c r="I97"/>
  <c r="J5"/>
  <c r="K8"/>
  <c r="J7"/>
  <c r="F24"/>
  <c r="F25"/>
  <c r="R39"/>
  <c r="F43"/>
  <c r="V63"/>
  <c r="V105"/>
  <c r="F53"/>
  <c r="G7"/>
  <c r="U4"/>
  <c r="T4"/>
  <c r="S4"/>
  <c r="F13"/>
  <c r="F18"/>
  <c r="F33"/>
  <c r="F48"/>
  <c r="G8"/>
  <c r="R18" i="31"/>
  <c r="R65"/>
  <c r="Q65"/>
  <c r="Q71"/>
  <c r="R71"/>
  <c r="Q72"/>
  <c r="R72"/>
  <c r="Q67"/>
  <c r="R67"/>
  <c r="Q68"/>
  <c r="R68"/>
  <c r="R69"/>
  <c r="Q69"/>
  <c r="Q70"/>
  <c r="R70"/>
  <c r="L8"/>
  <c r="J8"/>
  <c r="G7"/>
  <c r="F24"/>
  <c r="D23"/>
  <c r="I5"/>
  <c r="F13"/>
  <c r="R13"/>
  <c r="R16"/>
  <c r="F25"/>
  <c r="F28"/>
  <c r="F33"/>
  <c r="F43"/>
  <c r="F48"/>
  <c r="V4"/>
  <c r="U4"/>
  <c r="T4"/>
  <c r="S4"/>
  <c r="G8"/>
  <c r="R14"/>
  <c r="F18"/>
  <c r="T105"/>
  <c r="V105"/>
  <c r="I7" i="29"/>
  <c r="F28"/>
  <c r="F33"/>
  <c r="F48"/>
  <c r="V4"/>
  <c r="U4"/>
  <c r="T4"/>
  <c r="S4"/>
  <c r="G8"/>
  <c r="F13"/>
  <c r="R13"/>
  <c r="D24"/>
  <c r="R33"/>
  <c r="R37"/>
  <c r="F38"/>
  <c r="R39"/>
  <c r="F43"/>
  <c r="R45"/>
  <c r="R51"/>
  <c r="K8" i="27"/>
  <c r="F33"/>
  <c r="D58"/>
  <c r="O5"/>
  <c r="M8"/>
  <c r="R13"/>
  <c r="V4"/>
  <c r="U4"/>
  <c r="T4"/>
  <c r="S4"/>
  <c r="G8"/>
  <c r="L7"/>
  <c r="L8"/>
  <c r="F28"/>
  <c r="F43"/>
  <c r="F48"/>
  <c r="L8" i="20"/>
  <c r="H8"/>
  <c r="J8"/>
  <c r="D24"/>
  <c r="F28"/>
  <c r="F33"/>
  <c r="R35"/>
  <c r="R41"/>
  <c r="R43"/>
  <c r="R47"/>
  <c r="F48"/>
  <c r="R49"/>
  <c r="R53"/>
  <c r="Q63"/>
  <c r="V4"/>
  <c r="U4"/>
  <c r="T4"/>
  <c r="S4"/>
  <c r="G8"/>
  <c r="F13"/>
  <c r="F38"/>
  <c r="F43"/>
  <c r="R63"/>
  <c r="R105" s="1"/>
  <c r="N105" s="1"/>
  <c r="O65" i="25"/>
  <c r="M65"/>
  <c r="P65"/>
  <c r="N65"/>
  <c r="P66"/>
  <c r="N66"/>
  <c r="O66"/>
  <c r="M66"/>
  <c r="P67"/>
  <c r="N67"/>
  <c r="O67"/>
  <c r="M67"/>
  <c r="P68"/>
  <c r="N68"/>
  <c r="O68"/>
  <c r="M68"/>
  <c r="P73"/>
  <c r="N73"/>
  <c r="O73"/>
  <c r="M73"/>
  <c r="P75"/>
  <c r="N75"/>
  <c r="O75"/>
  <c r="M75"/>
  <c r="P77"/>
  <c r="N77"/>
  <c r="O77"/>
  <c r="M77"/>
  <c r="P82"/>
  <c r="N82"/>
  <c r="O82"/>
  <c r="M82"/>
  <c r="P69"/>
  <c r="N69"/>
  <c r="O69"/>
  <c r="M69"/>
  <c r="P70"/>
  <c r="N70"/>
  <c r="O70"/>
  <c r="M70"/>
  <c r="P71"/>
  <c r="N71"/>
  <c r="O71"/>
  <c r="M71"/>
  <c r="P72"/>
  <c r="N72"/>
  <c r="O72"/>
  <c r="M72"/>
  <c r="P74"/>
  <c r="N74"/>
  <c r="O74"/>
  <c r="M74"/>
  <c r="P76"/>
  <c r="N76"/>
  <c r="O76"/>
  <c r="M76"/>
  <c r="P78"/>
  <c r="N78"/>
  <c r="O78"/>
  <c r="M78"/>
  <c r="P79"/>
  <c r="N79"/>
  <c r="O79"/>
  <c r="M79"/>
  <c r="P80"/>
  <c r="N80"/>
  <c r="O80"/>
  <c r="M80"/>
  <c r="P81"/>
  <c r="N81"/>
  <c r="O81"/>
  <c r="M81"/>
  <c r="P83"/>
  <c r="N83"/>
  <c r="O83"/>
  <c r="M83"/>
  <c r="G105"/>
  <c r="P55"/>
  <c r="R37"/>
  <c r="R39"/>
  <c r="R45"/>
  <c r="R51"/>
  <c r="V4"/>
  <c r="U4"/>
  <c r="T4"/>
  <c r="S4"/>
  <c r="G8"/>
  <c r="J5" i="24"/>
  <c r="J8" s="1"/>
  <c r="H5"/>
  <c r="H8" s="1"/>
  <c r="V4"/>
  <c r="T4"/>
  <c r="S4"/>
  <c r="G8"/>
  <c r="M8"/>
  <c r="J8" i="23"/>
  <c r="G7"/>
  <c r="G8"/>
  <c r="F24" i="22"/>
  <c r="D23"/>
  <c r="I5"/>
  <c r="R63"/>
  <c r="R55"/>
  <c r="Q55"/>
  <c r="P55"/>
  <c r="Q63"/>
  <c r="R65"/>
  <c r="R105" s="1"/>
  <c r="N105" s="1"/>
  <c r="Q65"/>
  <c r="F18"/>
  <c r="F25"/>
  <c r="F28"/>
  <c r="F33"/>
  <c r="F38"/>
  <c r="F43"/>
  <c r="F48"/>
  <c r="V63"/>
  <c r="R64"/>
  <c r="V4"/>
  <c r="U4"/>
  <c r="T4"/>
  <c r="S4"/>
  <c r="G8"/>
  <c r="F13"/>
  <c r="H7" i="21"/>
  <c r="E58"/>
  <c r="G5"/>
  <c r="H8"/>
  <c r="D58"/>
  <c r="F58"/>
  <c r="R105" i="17"/>
  <c r="Q105"/>
  <c r="O55"/>
  <c r="V4"/>
  <c r="U4"/>
  <c r="T4"/>
  <c r="S4"/>
  <c r="P8"/>
  <c r="H7"/>
  <c r="P55"/>
  <c r="F25"/>
  <c r="T105"/>
  <c r="J8"/>
  <c r="G8"/>
  <c r="S7" i="18"/>
  <c r="V7"/>
  <c r="F59" i="19"/>
  <c r="F56"/>
  <c r="F58"/>
  <c r="V6"/>
  <c r="U6"/>
  <c r="T6"/>
  <c r="S6"/>
  <c r="V9"/>
  <c r="U9"/>
  <c r="T9"/>
  <c r="G105" i="13"/>
  <c r="U4"/>
  <c r="T4"/>
  <c r="S4"/>
  <c r="G8"/>
  <c r="R33"/>
  <c r="R37"/>
  <c r="R39"/>
  <c r="R45"/>
  <c r="R51"/>
  <c r="R55"/>
  <c r="Q55"/>
  <c r="F19"/>
  <c r="Q85" i="12"/>
  <c r="R85"/>
  <c r="Q93"/>
  <c r="M93" s="1"/>
  <c r="R93"/>
  <c r="R80"/>
  <c r="R82"/>
  <c r="R83"/>
  <c r="N83" s="1"/>
  <c r="R84"/>
  <c r="R86"/>
  <c r="R87"/>
  <c r="R88"/>
  <c r="N88" s="1"/>
  <c r="R89"/>
  <c r="R90"/>
  <c r="R91"/>
  <c r="R92"/>
  <c r="N92" s="1"/>
  <c r="R94"/>
  <c r="R95"/>
  <c r="G105"/>
  <c r="R27"/>
  <c r="R13"/>
  <c r="K8"/>
  <c r="R16"/>
  <c r="R20"/>
  <c r="R31"/>
  <c r="U105"/>
  <c r="M8"/>
  <c r="Q67" i="11"/>
  <c r="H8"/>
  <c r="G7"/>
  <c r="R13"/>
  <c r="R63"/>
  <c r="F24"/>
  <c r="D23"/>
  <c r="I5"/>
  <c r="R66"/>
  <c r="N66" s="1"/>
  <c r="Q66"/>
  <c r="Q64"/>
  <c r="R64"/>
  <c r="F18"/>
  <c r="F25"/>
  <c r="F28"/>
  <c r="F33"/>
  <c r="F38"/>
  <c r="F43"/>
  <c r="F48"/>
  <c r="Q63"/>
  <c r="R65"/>
  <c r="V4"/>
  <c r="U4"/>
  <c r="T4"/>
  <c r="S4"/>
  <c r="G8"/>
  <c r="F13"/>
  <c r="R55"/>
  <c r="Q55"/>
  <c r="P55"/>
  <c r="L7" i="8"/>
  <c r="N8"/>
  <c r="H5"/>
  <c r="J7"/>
  <c r="F33"/>
  <c r="G8"/>
  <c r="L5"/>
  <c r="L8"/>
  <c r="K5"/>
  <c r="K8"/>
  <c r="H5" i="16"/>
  <c r="F48"/>
  <c r="E24"/>
  <c r="V4"/>
  <c r="U4"/>
  <c r="T4"/>
  <c r="S4"/>
  <c r="R22"/>
  <c r="D24"/>
  <c r="D23"/>
  <c r="I5"/>
  <c r="F33"/>
  <c r="R39"/>
  <c r="F43"/>
  <c r="R45"/>
  <c r="R51"/>
  <c r="K8"/>
  <c r="J8"/>
  <c r="F18"/>
  <c r="H8"/>
  <c r="F25"/>
  <c r="G7"/>
  <c r="F13"/>
  <c r="K8" i="10"/>
  <c r="R47"/>
  <c r="R43"/>
  <c r="F13"/>
  <c r="F18"/>
  <c r="R41"/>
  <c r="V4"/>
  <c r="U4"/>
  <c r="T4"/>
  <c r="S4"/>
  <c r="G8"/>
  <c r="R33"/>
  <c r="R37"/>
  <c r="F38"/>
  <c r="R39"/>
  <c r="F43"/>
  <c r="R45"/>
  <c r="R51"/>
  <c r="F28"/>
  <c r="F33"/>
  <c r="R35"/>
  <c r="F48"/>
  <c r="F49"/>
  <c r="G105"/>
  <c r="V104"/>
  <c r="R65"/>
  <c r="V63"/>
  <c r="N8"/>
  <c r="K12" i="66"/>
  <c r="J12"/>
  <c r="I12"/>
  <c r="E12"/>
  <c r="K13" i="77"/>
  <c r="J13"/>
  <c r="I13"/>
  <c r="E13"/>
  <c r="R105" i="13"/>
  <c r="L13" i="90"/>
  <c r="N12"/>
  <c r="O12"/>
  <c r="N13" i="92"/>
  <c r="N13" i="91"/>
  <c r="O12"/>
  <c r="N13" i="90"/>
  <c r="I8" i="71"/>
  <c r="E9" i="57"/>
  <c r="H44" i="6" s="1"/>
  <c r="E9" i="55"/>
  <c r="L9" i="54"/>
  <c r="L9" i="53"/>
  <c r="E9"/>
  <c r="E9" i="50"/>
  <c r="E9" i="46"/>
  <c r="E9" i="45"/>
  <c r="E9" i="43"/>
  <c r="I105" i="18"/>
  <c r="H105"/>
  <c r="F58"/>
  <c r="I5"/>
  <c r="D55"/>
  <c r="D57"/>
  <c r="N99" i="14"/>
  <c r="M100" i="26"/>
  <c r="L100"/>
  <c r="M101"/>
  <c r="M104"/>
  <c r="L104"/>
  <c r="Q105" i="37"/>
  <c r="E32" i="45"/>
  <c r="C46"/>
  <c r="G5" i="12"/>
  <c r="L7"/>
  <c r="R14"/>
  <c r="R18"/>
  <c r="R28"/>
  <c r="R29"/>
  <c r="R49"/>
  <c r="R53"/>
  <c r="N98" i="14"/>
  <c r="R15" i="41"/>
  <c r="R16"/>
  <c r="R17"/>
  <c r="R18"/>
  <c r="R19"/>
  <c r="F53"/>
  <c r="H105"/>
  <c r="F13" i="40"/>
  <c r="R5"/>
  <c r="R7"/>
  <c r="G105" i="38"/>
  <c r="V104"/>
  <c r="R105"/>
  <c r="Q55"/>
  <c r="P55"/>
  <c r="Q105"/>
  <c r="F38" i="27"/>
  <c r="U4" i="8"/>
  <c r="T4"/>
  <c r="S4"/>
  <c r="V4"/>
  <c r="D25"/>
  <c r="F25"/>
  <c r="F43"/>
  <c r="F48"/>
  <c r="P101"/>
  <c r="R101"/>
  <c r="P99"/>
  <c r="R99"/>
  <c r="P97"/>
  <c r="R97"/>
  <c r="P95"/>
  <c r="R95"/>
  <c r="P93"/>
  <c r="R93"/>
  <c r="P91"/>
  <c r="R91"/>
  <c r="P89"/>
  <c r="R89"/>
  <c r="P87"/>
  <c r="R87"/>
  <c r="P85"/>
  <c r="R85"/>
  <c r="P83"/>
  <c r="R83"/>
  <c r="P81"/>
  <c r="R81"/>
  <c r="P79"/>
  <c r="R79"/>
  <c r="P77"/>
  <c r="R77"/>
  <c r="P75"/>
  <c r="R75"/>
  <c r="P73"/>
  <c r="R73"/>
  <c r="P71"/>
  <c r="R71"/>
  <c r="P69"/>
  <c r="R69"/>
  <c r="P67"/>
  <c r="R67"/>
  <c r="P65"/>
  <c r="R65"/>
  <c r="P63"/>
  <c r="R63"/>
  <c r="P61"/>
  <c r="R61"/>
  <c r="P59"/>
  <c r="R59"/>
  <c r="P57"/>
  <c r="R57"/>
  <c r="P55"/>
  <c r="R55"/>
  <c r="P53"/>
  <c r="R53"/>
  <c r="P51"/>
  <c r="R51"/>
  <c r="P49"/>
  <c r="R49"/>
  <c r="P47"/>
  <c r="R47"/>
  <c r="P45"/>
  <c r="R45"/>
  <c r="P43"/>
  <c r="R43"/>
  <c r="P41"/>
  <c r="R41"/>
  <c r="P39"/>
  <c r="R39"/>
  <c r="P37"/>
  <c r="R37"/>
  <c r="P35"/>
  <c r="R35"/>
  <c r="P33"/>
  <c r="R33"/>
  <c r="P31"/>
  <c r="R31"/>
  <c r="P29"/>
  <c r="R29"/>
  <c r="P27"/>
  <c r="R27"/>
  <c r="P25"/>
  <c r="R25"/>
  <c r="P23"/>
  <c r="R23"/>
  <c r="P21"/>
  <c r="R21"/>
  <c r="P19"/>
  <c r="R19"/>
  <c r="P17"/>
  <c r="R17"/>
  <c r="P15"/>
  <c r="R15"/>
  <c r="F28"/>
  <c r="P13"/>
  <c r="P100"/>
  <c r="R100"/>
  <c r="P98"/>
  <c r="R98"/>
  <c r="P96"/>
  <c r="R96"/>
  <c r="P94"/>
  <c r="R94"/>
  <c r="P92"/>
  <c r="R92"/>
  <c r="P90"/>
  <c r="R90"/>
  <c r="P88"/>
  <c r="R88"/>
  <c r="P86"/>
  <c r="R86"/>
  <c r="P84"/>
  <c r="R84"/>
  <c r="P82"/>
  <c r="R82"/>
  <c r="P80"/>
  <c r="R80"/>
  <c r="P78"/>
  <c r="R78"/>
  <c r="P76"/>
  <c r="R76"/>
  <c r="P74"/>
  <c r="R74"/>
  <c r="P72"/>
  <c r="R72"/>
  <c r="P70"/>
  <c r="R70"/>
  <c r="P68"/>
  <c r="R68"/>
  <c r="P66"/>
  <c r="R66"/>
  <c r="P64"/>
  <c r="R64"/>
  <c r="P62"/>
  <c r="R62"/>
  <c r="P60"/>
  <c r="R60"/>
  <c r="P58"/>
  <c r="R58"/>
  <c r="P56"/>
  <c r="R56"/>
  <c r="P54"/>
  <c r="R54"/>
  <c r="P52"/>
  <c r="R52"/>
  <c r="P50"/>
  <c r="R50"/>
  <c r="P48"/>
  <c r="R48"/>
  <c r="P46"/>
  <c r="R46"/>
  <c r="P44"/>
  <c r="R44"/>
  <c r="P42"/>
  <c r="R42"/>
  <c r="P40"/>
  <c r="R40"/>
  <c r="P38"/>
  <c r="R38"/>
  <c r="P36"/>
  <c r="R36"/>
  <c r="P34"/>
  <c r="R34"/>
  <c r="P32"/>
  <c r="R32"/>
  <c r="P30"/>
  <c r="R30"/>
  <c r="P28"/>
  <c r="R28"/>
  <c r="P26"/>
  <c r="R26"/>
  <c r="P24"/>
  <c r="R24"/>
  <c r="P22"/>
  <c r="R22"/>
  <c r="P20"/>
  <c r="R20"/>
  <c r="P18"/>
  <c r="R18"/>
  <c r="P16"/>
  <c r="R16"/>
  <c r="P14"/>
  <c r="R14"/>
  <c r="N101" i="14"/>
  <c r="N75"/>
  <c r="N67"/>
  <c r="N87"/>
  <c r="L87" s="1"/>
  <c r="N71"/>
  <c r="N79"/>
  <c r="N82"/>
  <c r="L82"/>
  <c r="N85"/>
  <c r="N89"/>
  <c r="N91"/>
  <c r="Q105" i="13"/>
  <c r="M105" s="1"/>
  <c r="N63" i="14"/>
  <c r="N73"/>
  <c r="L73" s="1"/>
  <c r="N76"/>
  <c r="N81"/>
  <c r="L81" s="1"/>
  <c r="N92"/>
  <c r="N93"/>
  <c r="L93" s="1"/>
  <c r="N94"/>
  <c r="N95"/>
  <c r="N96"/>
  <c r="Q105" i="16"/>
  <c r="P105" i="26"/>
  <c r="L105" s="1"/>
  <c r="M64"/>
  <c r="L64"/>
  <c r="M66"/>
  <c r="L66"/>
  <c r="M68"/>
  <c r="L68"/>
  <c r="M72"/>
  <c r="L72"/>
  <c r="M74"/>
  <c r="M76"/>
  <c r="L76"/>
  <c r="M78"/>
  <c r="M80"/>
  <c r="L80"/>
  <c r="M82"/>
  <c r="M83"/>
  <c r="L83"/>
  <c r="M84"/>
  <c r="N64" i="14"/>
  <c r="N66"/>
  <c r="N68"/>
  <c r="N70"/>
  <c r="N72"/>
  <c r="N74"/>
  <c r="L75"/>
  <c r="L84"/>
  <c r="N100"/>
  <c r="N104"/>
  <c r="M70" i="26"/>
  <c r="L70"/>
  <c r="M85"/>
  <c r="L85"/>
  <c r="M86"/>
  <c r="L86"/>
  <c r="M87"/>
  <c r="L87"/>
  <c r="M88"/>
  <c r="L88"/>
  <c r="M89"/>
  <c r="L89"/>
  <c r="M90"/>
  <c r="L90"/>
  <c r="M91"/>
  <c r="L91"/>
  <c r="M94"/>
  <c r="L94"/>
  <c r="Q105" i="20"/>
  <c r="E55" i="73"/>
  <c r="I5"/>
  <c r="F25" i="71"/>
  <c r="E8" i="44"/>
  <c r="L8"/>
  <c r="F38" i="31"/>
  <c r="J105" i="37"/>
  <c r="F38"/>
  <c r="F58" i="41"/>
  <c r="P55"/>
  <c r="R13"/>
  <c r="R21"/>
  <c r="D58"/>
  <c r="R25" i="34"/>
  <c r="R26"/>
  <c r="R27"/>
  <c r="R21"/>
  <c r="R23"/>
  <c r="P55"/>
  <c r="R5"/>
  <c r="R8"/>
  <c r="F43"/>
  <c r="F38"/>
  <c r="F28"/>
  <c r="F18"/>
  <c r="E58"/>
  <c r="O7"/>
  <c r="D58"/>
  <c r="O5"/>
  <c r="O8"/>
  <c r="F13"/>
  <c r="E23"/>
  <c r="I7"/>
  <c r="D25"/>
  <c r="F25"/>
  <c r="V63"/>
  <c r="V65"/>
  <c r="V67"/>
  <c r="V89"/>
  <c r="V91"/>
  <c r="V93"/>
  <c r="V95"/>
  <c r="V97"/>
  <c r="V99"/>
  <c r="V101"/>
  <c r="V103"/>
  <c r="G105"/>
  <c r="R14"/>
  <c r="R16"/>
  <c r="R18"/>
  <c r="R20"/>
  <c r="R22"/>
  <c r="D24"/>
  <c r="R24"/>
  <c r="R28"/>
  <c r="R30"/>
  <c r="R32"/>
  <c r="R34"/>
  <c r="R36"/>
  <c r="R38"/>
  <c r="R54"/>
  <c r="F13" i="27"/>
  <c r="D24"/>
  <c r="P55" i="15"/>
  <c r="I103"/>
  <c r="E53"/>
  <c r="R5"/>
  <c r="R13"/>
  <c r="R14"/>
  <c r="R15"/>
  <c r="R16"/>
  <c r="R17"/>
  <c r="R18"/>
  <c r="R19"/>
  <c r="R20"/>
  <c r="R21"/>
  <c r="R22"/>
  <c r="R24"/>
  <c r="R25"/>
  <c r="R27"/>
  <c r="R28"/>
  <c r="R29"/>
  <c r="R30"/>
  <c r="R31"/>
  <c r="R32"/>
  <c r="R40"/>
  <c r="R41"/>
  <c r="R42"/>
  <c r="R48"/>
  <c r="R49"/>
  <c r="R50"/>
  <c r="R51"/>
  <c r="R52"/>
  <c r="R53"/>
  <c r="R7"/>
  <c r="R23"/>
  <c r="R26"/>
  <c r="R33"/>
  <c r="R34"/>
  <c r="R35"/>
  <c r="R36"/>
  <c r="R37"/>
  <c r="R38"/>
  <c r="R43"/>
  <c r="R44"/>
  <c r="R45"/>
  <c r="R46"/>
  <c r="R47"/>
  <c r="R54"/>
  <c r="F13" i="8"/>
  <c r="D24"/>
  <c r="F14" i="59"/>
  <c r="D25" i="70"/>
  <c r="E25"/>
  <c r="I7"/>
  <c r="O9" i="89"/>
  <c r="O9" i="84"/>
  <c r="F40" i="70"/>
  <c r="F14"/>
  <c r="F20"/>
  <c r="I7" i="59"/>
  <c r="D30"/>
  <c r="O10" i="86"/>
  <c r="N9" i="85"/>
  <c r="O9"/>
  <c r="O10" i="79"/>
  <c r="O9" i="81"/>
  <c r="N9" i="80"/>
  <c r="O9" i="68"/>
  <c r="F43" i="73"/>
  <c r="F38"/>
  <c r="Q5"/>
  <c r="D55"/>
  <c r="F24"/>
  <c r="F23"/>
  <c r="F55"/>
  <c r="F43" i="62"/>
  <c r="F13"/>
  <c r="F24"/>
  <c r="F23"/>
  <c r="F33"/>
  <c r="F38"/>
  <c r="F55"/>
  <c r="E55"/>
  <c r="I5"/>
  <c r="D55"/>
  <c r="O10" i="77"/>
  <c r="N11" i="66"/>
  <c r="N9"/>
  <c r="O11"/>
  <c r="N11" i="76"/>
  <c r="O11"/>
  <c r="O9"/>
  <c r="N12" i="75"/>
  <c r="J12"/>
  <c r="I12"/>
  <c r="H12"/>
  <c r="G12"/>
  <c r="F12"/>
  <c r="E12"/>
  <c r="O9"/>
  <c r="O11"/>
  <c r="N11" i="65"/>
  <c r="O11"/>
  <c r="O9"/>
  <c r="E19" i="43"/>
  <c r="E21" s="1"/>
  <c r="Q105" i="42"/>
  <c r="R105" i="29"/>
  <c r="Q105"/>
  <c r="M105" s="1"/>
  <c r="M95" i="26"/>
  <c r="M98"/>
  <c r="L98"/>
  <c r="M99"/>
  <c r="M102"/>
  <c r="L102"/>
  <c r="M103"/>
  <c r="L65"/>
  <c r="L73"/>
  <c r="M75"/>
  <c r="L75"/>
  <c r="L77"/>
  <c r="M79"/>
  <c r="L79"/>
  <c r="L81"/>
  <c r="M93"/>
  <c r="L93"/>
  <c r="L67" i="14"/>
  <c r="L71"/>
  <c r="L92"/>
  <c r="L96"/>
  <c r="L100"/>
  <c r="L104"/>
  <c r="M63"/>
  <c r="L89"/>
  <c r="M103"/>
  <c r="L103"/>
  <c r="L6" i="57"/>
  <c r="L9"/>
  <c r="P44" i="6" s="1"/>
  <c r="E32" i="43"/>
  <c r="F34" i="61"/>
  <c r="O9" i="64"/>
  <c r="F17" i="72"/>
  <c r="F27"/>
  <c r="F37"/>
  <c r="D60"/>
  <c r="E60"/>
  <c r="F22"/>
  <c r="F32"/>
  <c r="F42"/>
  <c r="F53"/>
  <c r="D57" i="60"/>
  <c r="D57" i="61"/>
  <c r="F44"/>
  <c r="F19"/>
  <c r="F29"/>
  <c r="F39"/>
  <c r="F50"/>
  <c r="F14"/>
  <c r="E57"/>
  <c r="E36" i="53"/>
  <c r="E48"/>
  <c r="C48"/>
  <c r="E39" i="55"/>
  <c r="E23"/>
  <c r="E25"/>
  <c r="E27"/>
  <c r="E51"/>
  <c r="E36" i="46"/>
  <c r="C44"/>
  <c r="E44"/>
  <c r="E36" i="44"/>
  <c r="C49"/>
  <c r="E49"/>
  <c r="L8" i="50"/>
  <c r="E40"/>
  <c r="E55"/>
  <c r="F29" i="71"/>
  <c r="Q5"/>
  <c r="F39"/>
  <c r="F24"/>
  <c r="F34"/>
  <c r="F45"/>
  <c r="E57"/>
  <c r="F14"/>
  <c r="F19"/>
  <c r="F50"/>
  <c r="D57"/>
  <c r="F19" i="60"/>
  <c r="F39"/>
  <c r="E57"/>
  <c r="Q5"/>
  <c r="F50"/>
  <c r="F14"/>
  <c r="F24"/>
  <c r="F29"/>
  <c r="F45"/>
  <c r="F34"/>
  <c r="E8" i="52"/>
  <c r="E8" i="51"/>
  <c r="C39"/>
  <c r="C36" i="52"/>
  <c r="L8" i="55"/>
  <c r="E44" i="52"/>
  <c r="E17"/>
  <c r="E16"/>
  <c r="D46"/>
  <c r="E20" i="51"/>
  <c r="E19"/>
  <c r="E43" i="49"/>
  <c r="L6"/>
  <c r="L8" i="46"/>
  <c r="L6"/>
  <c r="L6" i="45"/>
  <c r="L8"/>
  <c r="P32" i="6" s="1"/>
  <c r="H29" i="5" s="1"/>
  <c r="E25" i="43"/>
  <c r="E16"/>
  <c r="R71" i="41"/>
  <c r="Q71"/>
  <c r="Q68"/>
  <c r="R68"/>
  <c r="Q66"/>
  <c r="R66"/>
  <c r="R63"/>
  <c r="Q63"/>
  <c r="R69"/>
  <c r="Q69"/>
  <c r="R67"/>
  <c r="Q67"/>
  <c r="R65"/>
  <c r="Q65"/>
  <c r="V4"/>
  <c r="G8"/>
  <c r="I103" i="40"/>
  <c r="I101"/>
  <c r="I97"/>
  <c r="I93"/>
  <c r="I91"/>
  <c r="I87"/>
  <c r="I85"/>
  <c r="I82"/>
  <c r="I80"/>
  <c r="I75"/>
  <c r="I67"/>
  <c r="I65"/>
  <c r="R8"/>
  <c r="Q74"/>
  <c r="R74"/>
  <c r="R81"/>
  <c r="Q81"/>
  <c r="R77"/>
  <c r="Q77"/>
  <c r="R67"/>
  <c r="Q67"/>
  <c r="R65"/>
  <c r="Q65"/>
  <c r="R63"/>
  <c r="Q63"/>
  <c r="I63"/>
  <c r="I104"/>
  <c r="I99"/>
  <c r="I94"/>
  <c r="I89"/>
  <c r="I79"/>
  <c r="I76"/>
  <c r="I72"/>
  <c r="I70"/>
  <c r="I68"/>
  <c r="Q82"/>
  <c r="R82"/>
  <c r="Q80"/>
  <c r="R80"/>
  <c r="R75"/>
  <c r="Q75"/>
  <c r="Q66"/>
  <c r="R66"/>
  <c r="Q64"/>
  <c r="R64"/>
  <c r="I100"/>
  <c r="I95"/>
  <c r="I90"/>
  <c r="I83"/>
  <c r="I78"/>
  <c r="I74"/>
  <c r="I71"/>
  <c r="I69"/>
  <c r="H105"/>
  <c r="F53"/>
  <c r="E53"/>
  <c r="F25"/>
  <c r="R55" i="38"/>
  <c r="J105"/>
  <c r="R7"/>
  <c r="V4"/>
  <c r="U4"/>
  <c r="T4"/>
  <c r="S4"/>
  <c r="G8"/>
  <c r="R63" i="39"/>
  <c r="R105" s="1"/>
  <c r="Q63"/>
  <c r="Q105" s="1"/>
  <c r="R55"/>
  <c r="Q55"/>
  <c r="P55"/>
  <c r="P105" i="36"/>
  <c r="N105"/>
  <c r="O105"/>
  <c r="M105"/>
  <c r="Q8"/>
  <c r="V5"/>
  <c r="U5"/>
  <c r="T5"/>
  <c r="S5"/>
  <c r="Q67" i="33"/>
  <c r="R67"/>
  <c r="Q63"/>
  <c r="R63"/>
  <c r="R55"/>
  <c r="P55"/>
  <c r="F24"/>
  <c r="J105"/>
  <c r="R105"/>
  <c r="N105" s="1"/>
  <c r="Q105"/>
  <c r="G8"/>
  <c r="G8" i="34"/>
  <c r="J105" i="32"/>
  <c r="F24"/>
  <c r="Q96" i="15"/>
  <c r="R96"/>
  <c r="Q94"/>
  <c r="R94"/>
  <c r="Q88"/>
  <c r="R88"/>
  <c r="Q86"/>
  <c r="R86"/>
  <c r="Q84"/>
  <c r="R84"/>
  <c r="Q76"/>
  <c r="R76"/>
  <c r="Q98"/>
  <c r="R98"/>
  <c r="R91"/>
  <c r="Q91"/>
  <c r="Q82"/>
  <c r="R82"/>
  <c r="Q80"/>
  <c r="R80"/>
  <c r="Q78"/>
  <c r="R78"/>
  <c r="R75"/>
  <c r="Q75"/>
  <c r="Q72"/>
  <c r="R72"/>
  <c r="Q70"/>
  <c r="R70"/>
  <c r="Q68"/>
  <c r="R68"/>
  <c r="Q66"/>
  <c r="R66"/>
  <c r="Q64"/>
  <c r="R64"/>
  <c r="R89"/>
  <c r="Q89"/>
  <c r="R97"/>
  <c r="Q97"/>
  <c r="R95"/>
  <c r="Q95"/>
  <c r="R93"/>
  <c r="Q93"/>
  <c r="R87"/>
  <c r="Q87"/>
  <c r="R85"/>
  <c r="Q85"/>
  <c r="R83"/>
  <c r="Q83"/>
  <c r="R73"/>
  <c r="Q73"/>
  <c r="Q92"/>
  <c r="R92"/>
  <c r="Q90"/>
  <c r="R90"/>
  <c r="R81"/>
  <c r="Q81"/>
  <c r="R79"/>
  <c r="Q79"/>
  <c r="R77"/>
  <c r="Q77"/>
  <c r="Q74"/>
  <c r="R74"/>
  <c r="R71"/>
  <c r="Q71"/>
  <c r="R69"/>
  <c r="Q69"/>
  <c r="R67"/>
  <c r="Q67"/>
  <c r="R65"/>
  <c r="Q65"/>
  <c r="R63"/>
  <c r="Q63"/>
  <c r="I102"/>
  <c r="I100"/>
  <c r="I98"/>
  <c r="I91"/>
  <c r="I89"/>
  <c r="I82"/>
  <c r="I80"/>
  <c r="I78"/>
  <c r="I74"/>
  <c r="I71"/>
  <c r="I69"/>
  <c r="I104"/>
  <c r="I101"/>
  <c r="I99"/>
  <c r="I96"/>
  <c r="I94"/>
  <c r="I87"/>
  <c r="I85"/>
  <c r="I83"/>
  <c r="I75"/>
  <c r="I67"/>
  <c r="I65"/>
  <c r="I63"/>
  <c r="I92"/>
  <c r="I90"/>
  <c r="I88"/>
  <c r="I81"/>
  <c r="I79"/>
  <c r="I76"/>
  <c r="I72"/>
  <c r="I70"/>
  <c r="J8"/>
  <c r="R8"/>
  <c r="R64" i="31"/>
  <c r="Q64"/>
  <c r="Q66"/>
  <c r="R66"/>
  <c r="R63"/>
  <c r="Q63"/>
  <c r="H105"/>
  <c r="F53"/>
  <c r="E53"/>
  <c r="R55"/>
  <c r="Q55"/>
  <c r="R55" i="29"/>
  <c r="J105"/>
  <c r="Q55"/>
  <c r="P55"/>
  <c r="F24"/>
  <c r="E58" i="27"/>
  <c r="O7"/>
  <c r="N7" i="7" s="1"/>
  <c r="O8" i="27"/>
  <c r="F53"/>
  <c r="R55" i="20"/>
  <c r="Q55"/>
  <c r="P55"/>
  <c r="F24"/>
  <c r="R105" i="25"/>
  <c r="Q105"/>
  <c r="M105" s="1"/>
  <c r="R55"/>
  <c r="F24"/>
  <c r="F24" i="23"/>
  <c r="Q105" i="22"/>
  <c r="F24" i="21"/>
  <c r="V4"/>
  <c r="U4"/>
  <c r="G8"/>
  <c r="R55" i="17"/>
  <c r="H8"/>
  <c r="G59" i="19"/>
  <c r="P105"/>
  <c r="N105"/>
  <c r="O104"/>
  <c r="M104"/>
  <c r="P103"/>
  <c r="N103"/>
  <c r="O102"/>
  <c r="M102"/>
  <c r="P101"/>
  <c r="N101"/>
  <c r="O100"/>
  <c r="M100"/>
  <c r="P99"/>
  <c r="N99"/>
  <c r="O98"/>
  <c r="M98"/>
  <c r="P97"/>
  <c r="N97"/>
  <c r="O96"/>
  <c r="M96"/>
  <c r="P95"/>
  <c r="N95"/>
  <c r="O94"/>
  <c r="M94"/>
  <c r="P93"/>
  <c r="N93"/>
  <c r="O92"/>
  <c r="M92"/>
  <c r="P91"/>
  <c r="N91"/>
  <c r="O90"/>
  <c r="M90"/>
  <c r="P89"/>
  <c r="N89"/>
  <c r="O88"/>
  <c r="M88"/>
  <c r="P87"/>
  <c r="N87"/>
  <c r="O86"/>
  <c r="M86"/>
  <c r="P85"/>
  <c r="N85"/>
  <c r="O84"/>
  <c r="M84"/>
  <c r="P83"/>
  <c r="N83"/>
  <c r="P82"/>
  <c r="N82"/>
  <c r="P81"/>
  <c r="N81"/>
  <c r="P80"/>
  <c r="N80"/>
  <c r="P79"/>
  <c r="N79"/>
  <c r="P78"/>
  <c r="N78"/>
  <c r="P77"/>
  <c r="N77"/>
  <c r="P76"/>
  <c r="N76"/>
  <c r="P75"/>
  <c r="N75"/>
  <c r="P74"/>
  <c r="N74"/>
  <c r="P73"/>
  <c r="N73"/>
  <c r="P72"/>
  <c r="N72"/>
  <c r="AA71"/>
  <c r="O71"/>
  <c r="M71"/>
  <c r="P70"/>
  <c r="N70"/>
  <c r="AA69"/>
  <c r="O69"/>
  <c r="M69"/>
  <c r="P68"/>
  <c r="N68"/>
  <c r="AA67"/>
  <c r="O67"/>
  <c r="M67"/>
  <c r="P66"/>
  <c r="N66"/>
  <c r="AA65"/>
  <c r="O65"/>
  <c r="M65"/>
  <c r="P64"/>
  <c r="O105"/>
  <c r="M105"/>
  <c r="P104"/>
  <c r="N104"/>
  <c r="O103"/>
  <c r="M103"/>
  <c r="P102"/>
  <c r="N102"/>
  <c r="O101"/>
  <c r="M101"/>
  <c r="P100"/>
  <c r="N100"/>
  <c r="O99"/>
  <c r="M99"/>
  <c r="P98"/>
  <c r="N98"/>
  <c r="O97"/>
  <c r="M97"/>
  <c r="P96"/>
  <c r="N96"/>
  <c r="O95"/>
  <c r="M95"/>
  <c r="P94"/>
  <c r="N94"/>
  <c r="O93"/>
  <c r="M93"/>
  <c r="P92"/>
  <c r="N92"/>
  <c r="O91"/>
  <c r="M91"/>
  <c r="P90"/>
  <c r="N90"/>
  <c r="O89"/>
  <c r="M89"/>
  <c r="P88"/>
  <c r="N88"/>
  <c r="O87"/>
  <c r="M87"/>
  <c r="P86"/>
  <c r="N86"/>
  <c r="O85"/>
  <c r="M85"/>
  <c r="P84"/>
  <c r="N84"/>
  <c r="O83"/>
  <c r="M83"/>
  <c r="O82"/>
  <c r="M82"/>
  <c r="O81"/>
  <c r="M81"/>
  <c r="O80"/>
  <c r="M80"/>
  <c r="O79"/>
  <c r="M79"/>
  <c r="O78"/>
  <c r="M78"/>
  <c r="O77"/>
  <c r="M77"/>
  <c r="O76"/>
  <c r="M76"/>
  <c r="O75"/>
  <c r="M75"/>
  <c r="O74"/>
  <c r="M74"/>
  <c r="O73"/>
  <c r="M73"/>
  <c r="O72"/>
  <c r="M72"/>
  <c r="P71"/>
  <c r="N71"/>
  <c r="AA70"/>
  <c r="O70"/>
  <c r="M70"/>
  <c r="P69"/>
  <c r="N69"/>
  <c r="AA68"/>
  <c r="O68"/>
  <c r="M68"/>
  <c r="P67"/>
  <c r="N67"/>
  <c r="AA66"/>
  <c r="O66"/>
  <c r="M66"/>
  <c r="P65"/>
  <c r="N65"/>
  <c r="AA64"/>
  <c r="O64"/>
  <c r="Y81"/>
  <c r="Y79"/>
  <c r="Y77"/>
  <c r="Y75"/>
  <c r="Y73"/>
  <c r="Y70"/>
  <c r="Y66"/>
  <c r="Y71"/>
  <c r="Y67"/>
  <c r="W68"/>
  <c r="W69"/>
  <c r="W73"/>
  <c r="W76"/>
  <c r="W80"/>
  <c r="W65"/>
  <c r="W71"/>
  <c r="W74"/>
  <c r="W79"/>
  <c r="Y82"/>
  <c r="Y80"/>
  <c r="Y78"/>
  <c r="Y76"/>
  <c r="Y74"/>
  <c r="Y72"/>
  <c r="Y68"/>
  <c r="Y69"/>
  <c r="Y65"/>
  <c r="W67"/>
  <c r="W70"/>
  <c r="W75"/>
  <c r="W78"/>
  <c r="W81"/>
  <c r="W66"/>
  <c r="W72"/>
  <c r="W77"/>
  <c r="W82"/>
  <c r="X71"/>
  <c r="X67"/>
  <c r="X82"/>
  <c r="X80"/>
  <c r="X78"/>
  <c r="X76"/>
  <c r="X74"/>
  <c r="X72"/>
  <c r="X68"/>
  <c r="X64"/>
  <c r="W64"/>
  <c r="Y64"/>
  <c r="X69"/>
  <c r="X65"/>
  <c r="X81"/>
  <c r="X79"/>
  <c r="X77"/>
  <c r="X75"/>
  <c r="X73"/>
  <c r="X70"/>
  <c r="X66"/>
  <c r="F24" i="13"/>
  <c r="H7"/>
  <c r="J105"/>
  <c r="Q79" i="12"/>
  <c r="R79"/>
  <c r="R105" s="1"/>
  <c r="N105" s="1"/>
  <c r="Q81"/>
  <c r="R81"/>
  <c r="L8"/>
  <c r="V4"/>
  <c r="U4"/>
  <c r="T4"/>
  <c r="S4"/>
  <c r="G8"/>
  <c r="J105" i="11"/>
  <c r="E58" i="8"/>
  <c r="J8"/>
  <c r="D53"/>
  <c r="R55" i="16"/>
  <c r="J105"/>
  <c r="F24"/>
  <c r="G8"/>
  <c r="F24" i="10"/>
  <c r="U63"/>
  <c r="Q105"/>
  <c r="R63"/>
  <c r="R105" s="1"/>
  <c r="N105" s="1"/>
  <c r="R55"/>
  <c r="I63"/>
  <c r="L99" i="14"/>
  <c r="L95"/>
  <c r="L70"/>
  <c r="N12" i="76"/>
  <c r="Q8" i="73"/>
  <c r="I8"/>
  <c r="Q8" i="71"/>
  <c r="Q7" i="70"/>
  <c r="I5"/>
  <c r="I8"/>
  <c r="N12" i="66"/>
  <c r="N12" i="65"/>
  <c r="I8" i="62"/>
  <c r="Q7" i="59"/>
  <c r="I5"/>
  <c r="I8"/>
  <c r="L6" i="55"/>
  <c r="L9"/>
  <c r="E6" i="52"/>
  <c r="E9"/>
  <c r="E6" i="51"/>
  <c r="E9"/>
  <c r="L9" i="50"/>
  <c r="L9" i="46"/>
  <c r="L9" i="45"/>
  <c r="E9" i="44"/>
  <c r="L9"/>
  <c r="Q7" i="34"/>
  <c r="U7"/>
  <c r="Y79" i="18"/>
  <c r="G58"/>
  <c r="W75"/>
  <c r="W71"/>
  <c r="W67"/>
  <c r="W63"/>
  <c r="W78"/>
  <c r="W74"/>
  <c r="W70"/>
  <c r="W66"/>
  <c r="W77"/>
  <c r="W73"/>
  <c r="W69"/>
  <c r="W65"/>
  <c r="W76"/>
  <c r="W72"/>
  <c r="W68"/>
  <c r="W64"/>
  <c r="Y70"/>
  <c r="Y63"/>
  <c r="Y64"/>
  <c r="Y73"/>
  <c r="Y66"/>
  <c r="Y77"/>
  <c r="W81"/>
  <c r="Y78"/>
  <c r="Y71"/>
  <c r="Y72"/>
  <c r="Y65"/>
  <c r="Y74"/>
  <c r="Y67"/>
  <c r="Y68"/>
  <c r="Y75"/>
  <c r="Y76"/>
  <c r="Y69"/>
  <c r="X72"/>
  <c r="X71"/>
  <c r="X74"/>
  <c r="X73"/>
  <c r="X80"/>
  <c r="X81"/>
  <c r="X76"/>
  <c r="X75"/>
  <c r="X78"/>
  <c r="X77"/>
  <c r="X64"/>
  <c r="X63"/>
  <c r="X66"/>
  <c r="X65"/>
  <c r="W79"/>
  <c r="Y80"/>
  <c r="Y81"/>
  <c r="X68"/>
  <c r="X67"/>
  <c r="X70"/>
  <c r="X69"/>
  <c r="W80"/>
  <c r="I8"/>
  <c r="Q5"/>
  <c r="X79"/>
  <c r="E44" i="45"/>
  <c r="E46"/>
  <c r="E58" i="41"/>
  <c r="R23" i="40"/>
  <c r="F24"/>
  <c r="D23"/>
  <c r="R5" i="38"/>
  <c r="R8"/>
  <c r="H105" i="17"/>
  <c r="R13" i="8"/>
  <c r="P102"/>
  <c r="L79" i="14"/>
  <c r="L91"/>
  <c r="L63"/>
  <c r="L94"/>
  <c r="L72"/>
  <c r="L68"/>
  <c r="L64"/>
  <c r="L76"/>
  <c r="E58" i="15"/>
  <c r="H105"/>
  <c r="V7" i="34"/>
  <c r="T7"/>
  <c r="F24"/>
  <c r="D23"/>
  <c r="E55"/>
  <c r="E57"/>
  <c r="I105"/>
  <c r="R105"/>
  <c r="V105"/>
  <c r="R55"/>
  <c r="S7"/>
  <c r="F24" i="27"/>
  <c r="D23"/>
  <c r="R7" i="17"/>
  <c r="J105"/>
  <c r="D53" i="15"/>
  <c r="O7"/>
  <c r="R55"/>
  <c r="D23" i="8"/>
  <c r="F24"/>
  <c r="E57" i="70"/>
  <c r="E59"/>
  <c r="F26"/>
  <c r="F25"/>
  <c r="F57"/>
  <c r="F59"/>
  <c r="D57"/>
  <c r="D59"/>
  <c r="F30" i="59"/>
  <c r="Q5"/>
  <c r="F62"/>
  <c r="E62"/>
  <c r="D62"/>
  <c r="O9" i="80"/>
  <c r="O9" i="66"/>
  <c r="O11" i="64"/>
  <c r="P9" i="56"/>
  <c r="F60" i="72"/>
  <c r="F57" i="61"/>
  <c r="L8" i="51"/>
  <c r="F57" i="71"/>
  <c r="F57" i="60"/>
  <c r="E39" i="51"/>
  <c r="E36" i="52"/>
  <c r="L6"/>
  <c r="E44" i="43"/>
  <c r="E46" s="1"/>
  <c r="C52" i="51"/>
  <c r="C46" i="52"/>
  <c r="E46"/>
  <c r="L8"/>
  <c r="P31" i="7" s="1"/>
  <c r="J29" i="5" s="1"/>
  <c r="Q105" i="41"/>
  <c r="R105"/>
  <c r="O8"/>
  <c r="R73" i="40"/>
  <c r="Q73"/>
  <c r="I105"/>
  <c r="D53"/>
  <c r="D55"/>
  <c r="D57"/>
  <c r="O7"/>
  <c r="E58"/>
  <c r="J105" i="39"/>
  <c r="V8" i="36"/>
  <c r="T8"/>
  <c r="U8"/>
  <c r="S8"/>
  <c r="I105" i="15"/>
  <c r="R105"/>
  <c r="Q105"/>
  <c r="P55" i="31"/>
  <c r="I69"/>
  <c r="I70"/>
  <c r="I66"/>
  <c r="I72"/>
  <c r="J105"/>
  <c r="D53"/>
  <c r="O7"/>
  <c r="E58"/>
  <c r="J105" i="20"/>
  <c r="I105" i="17"/>
  <c r="O106" i="19"/>
  <c r="M106"/>
  <c r="M64"/>
  <c r="P106"/>
  <c r="N106"/>
  <c r="N64"/>
  <c r="H8" i="13"/>
  <c r="Q105" i="12"/>
  <c r="M105" s="1"/>
  <c r="O5" i="8"/>
  <c r="D58"/>
  <c r="F53"/>
  <c r="Q55" i="10"/>
  <c r="P55"/>
  <c r="J105"/>
  <c r="I65"/>
  <c r="I105"/>
  <c r="Q5" i="70"/>
  <c r="Q8"/>
  <c r="Q8" i="59"/>
  <c r="L9" i="52"/>
  <c r="L6" i="51"/>
  <c r="L9"/>
  <c r="O105" i="18"/>
  <c r="M105"/>
  <c r="Q8"/>
  <c r="U5"/>
  <c r="V5"/>
  <c r="T5"/>
  <c r="S5"/>
  <c r="R22" i="40"/>
  <c r="I5"/>
  <c r="E53" i="17"/>
  <c r="R5" i="8"/>
  <c r="R8"/>
  <c r="R102"/>
  <c r="J105" i="15"/>
  <c r="H105" i="34"/>
  <c r="F53"/>
  <c r="F58"/>
  <c r="F23"/>
  <c r="I5"/>
  <c r="I8"/>
  <c r="D55"/>
  <c r="D57"/>
  <c r="J105"/>
  <c r="Q105"/>
  <c r="I5" i="27"/>
  <c r="D55"/>
  <c r="O5" i="15"/>
  <c r="O8"/>
  <c r="D55"/>
  <c r="D57"/>
  <c r="D58"/>
  <c r="I5" i="8"/>
  <c r="D55"/>
  <c r="Q5" i="62"/>
  <c r="R55" i="40"/>
  <c r="J105"/>
  <c r="Q72"/>
  <c r="R72"/>
  <c r="D58"/>
  <c r="O5"/>
  <c r="O8"/>
  <c r="D58" i="31"/>
  <c r="O5"/>
  <c r="D55"/>
  <c r="J105" i="23"/>
  <c r="V8" i="18"/>
  <c r="U8"/>
  <c r="S8"/>
  <c r="T8"/>
  <c r="E23" i="40"/>
  <c r="Q5"/>
  <c r="D53" i="17"/>
  <c r="O7"/>
  <c r="E58"/>
  <c r="Q5" i="34"/>
  <c r="Q8"/>
  <c r="F55"/>
  <c r="F57"/>
  <c r="G58"/>
  <c r="Q5" i="27"/>
  <c r="Q5" i="15"/>
  <c r="S5"/>
  <c r="E23" i="8"/>
  <c r="D57"/>
  <c r="Q5"/>
  <c r="R105" i="40"/>
  <c r="Q105"/>
  <c r="O8" i="31"/>
  <c r="Q5"/>
  <c r="S5"/>
  <c r="R5"/>
  <c r="I105" i="23"/>
  <c r="Q8" i="62"/>
  <c r="I7" i="40"/>
  <c r="E55"/>
  <c r="E57"/>
  <c r="F23"/>
  <c r="F55"/>
  <c r="F57"/>
  <c r="T5"/>
  <c r="S5"/>
  <c r="U5"/>
  <c r="V5"/>
  <c r="D58" i="17"/>
  <c r="O5"/>
  <c r="O8"/>
  <c r="D55"/>
  <c r="D57"/>
  <c r="V8" i="34"/>
  <c r="U8"/>
  <c r="S8"/>
  <c r="O104"/>
  <c r="M104"/>
  <c r="P103"/>
  <c r="N103"/>
  <c r="O102"/>
  <c r="M102"/>
  <c r="P101"/>
  <c r="N101"/>
  <c r="O100"/>
  <c r="M100"/>
  <c r="P99"/>
  <c r="N99"/>
  <c r="O98"/>
  <c r="M98"/>
  <c r="P97"/>
  <c r="N97"/>
  <c r="O96"/>
  <c r="M96"/>
  <c r="P95"/>
  <c r="N95"/>
  <c r="O94"/>
  <c r="M94"/>
  <c r="P93"/>
  <c r="N93"/>
  <c r="O92"/>
  <c r="M92"/>
  <c r="P91"/>
  <c r="N91"/>
  <c r="O90"/>
  <c r="M90"/>
  <c r="P89"/>
  <c r="N89"/>
  <c r="O88"/>
  <c r="M88"/>
  <c r="P87"/>
  <c r="N87"/>
  <c r="O86"/>
  <c r="M86"/>
  <c r="P85"/>
  <c r="N85"/>
  <c r="O84"/>
  <c r="M84"/>
  <c r="P83"/>
  <c r="N83"/>
  <c r="O82"/>
  <c r="M82"/>
  <c r="O81"/>
  <c r="M81"/>
  <c r="O80"/>
  <c r="M80"/>
  <c r="O79"/>
  <c r="M79"/>
  <c r="O78"/>
  <c r="M78"/>
  <c r="P104"/>
  <c r="N104"/>
  <c r="O103"/>
  <c r="M103"/>
  <c r="P102"/>
  <c r="N102"/>
  <c r="O101"/>
  <c r="M101"/>
  <c r="P100"/>
  <c r="N100"/>
  <c r="O99"/>
  <c r="M99"/>
  <c r="P98"/>
  <c r="N98"/>
  <c r="O97"/>
  <c r="M97"/>
  <c r="P96"/>
  <c r="N96"/>
  <c r="O95"/>
  <c r="M95"/>
  <c r="P94"/>
  <c r="N94"/>
  <c r="O93"/>
  <c r="M93"/>
  <c r="P92"/>
  <c r="N92"/>
  <c r="O91"/>
  <c r="M91"/>
  <c r="P90"/>
  <c r="N90"/>
  <c r="O89"/>
  <c r="M89"/>
  <c r="P88"/>
  <c r="N88"/>
  <c r="O87"/>
  <c r="M87"/>
  <c r="P86"/>
  <c r="N86"/>
  <c r="O85"/>
  <c r="M85"/>
  <c r="P84"/>
  <c r="N84"/>
  <c r="O83"/>
  <c r="M83"/>
  <c r="P82"/>
  <c r="N82"/>
  <c r="P81"/>
  <c r="N81"/>
  <c r="P80"/>
  <c r="N80"/>
  <c r="P79"/>
  <c r="N79"/>
  <c r="P78"/>
  <c r="N78"/>
  <c r="X81"/>
  <c r="X79"/>
  <c r="X77"/>
  <c r="X75"/>
  <c r="X73"/>
  <c r="X71"/>
  <c r="X69"/>
  <c r="W72"/>
  <c r="W76"/>
  <c r="W78"/>
  <c r="Y81"/>
  <c r="Y79"/>
  <c r="Y77"/>
  <c r="Y75"/>
  <c r="Y73"/>
  <c r="Y71"/>
  <c r="Y69"/>
  <c r="W71"/>
  <c r="W74"/>
  <c r="W81"/>
  <c r="X80"/>
  <c r="X78"/>
  <c r="X76"/>
  <c r="X74"/>
  <c r="X72"/>
  <c r="X70"/>
  <c r="W69"/>
  <c r="W75"/>
  <c r="W77"/>
  <c r="W79"/>
  <c r="Y80"/>
  <c r="Y78"/>
  <c r="Y76"/>
  <c r="Y74"/>
  <c r="Y72"/>
  <c r="Y70"/>
  <c r="W70"/>
  <c r="W73"/>
  <c r="W80"/>
  <c r="Y63"/>
  <c r="X68"/>
  <c r="Y68"/>
  <c r="X64"/>
  <c r="Y64"/>
  <c r="X66"/>
  <c r="Y66"/>
  <c r="W63"/>
  <c r="W67"/>
  <c r="X65"/>
  <c r="W68"/>
  <c r="X67"/>
  <c r="X63"/>
  <c r="W66"/>
  <c r="W65"/>
  <c r="W64"/>
  <c r="Y65"/>
  <c r="Y67"/>
  <c r="V5"/>
  <c r="U5"/>
  <c r="T5"/>
  <c r="S5"/>
  <c r="U5" i="27"/>
  <c r="S5"/>
  <c r="T5"/>
  <c r="T5" i="15"/>
  <c r="U5"/>
  <c r="V5"/>
  <c r="I7" i="8"/>
  <c r="E55"/>
  <c r="F23"/>
  <c r="F55"/>
  <c r="F57" s="1"/>
  <c r="U5"/>
  <c r="S5"/>
  <c r="T5"/>
  <c r="V5"/>
  <c r="F3" i="5"/>
  <c r="O103" i="40"/>
  <c r="M103"/>
  <c r="O101"/>
  <c r="M101"/>
  <c r="O97"/>
  <c r="M97"/>
  <c r="O93"/>
  <c r="M93"/>
  <c r="O91"/>
  <c r="M91"/>
  <c r="O87"/>
  <c r="M87"/>
  <c r="O85"/>
  <c r="M85"/>
  <c r="P82"/>
  <c r="N82"/>
  <c r="P80"/>
  <c r="N80"/>
  <c r="O75"/>
  <c r="M75"/>
  <c r="O67"/>
  <c r="M67"/>
  <c r="O65"/>
  <c r="M65"/>
  <c r="O102"/>
  <c r="M102"/>
  <c r="O98"/>
  <c r="M98"/>
  <c r="O96"/>
  <c r="M96"/>
  <c r="O92"/>
  <c r="M92"/>
  <c r="O88"/>
  <c r="M88"/>
  <c r="O86"/>
  <c r="M86"/>
  <c r="O84"/>
  <c r="M84"/>
  <c r="P81"/>
  <c r="N81"/>
  <c r="P77"/>
  <c r="N77"/>
  <c r="P73"/>
  <c r="N73"/>
  <c r="O66"/>
  <c r="M66"/>
  <c r="O64"/>
  <c r="M64"/>
  <c r="P103"/>
  <c r="N103"/>
  <c r="P101"/>
  <c r="N101"/>
  <c r="P97"/>
  <c r="N97"/>
  <c r="P93"/>
  <c r="N93"/>
  <c r="P91"/>
  <c r="N91"/>
  <c r="P87"/>
  <c r="N87"/>
  <c r="P85"/>
  <c r="N85"/>
  <c r="O82"/>
  <c r="M82"/>
  <c r="O80"/>
  <c r="M80"/>
  <c r="P75"/>
  <c r="N75"/>
  <c r="P67"/>
  <c r="N67"/>
  <c r="P65"/>
  <c r="N65"/>
  <c r="P102"/>
  <c r="N102"/>
  <c r="P98"/>
  <c r="N98"/>
  <c r="P96"/>
  <c r="N96"/>
  <c r="P92"/>
  <c r="N92"/>
  <c r="P88"/>
  <c r="N88"/>
  <c r="P86"/>
  <c r="N86"/>
  <c r="P84"/>
  <c r="N84"/>
  <c r="O81"/>
  <c r="M81"/>
  <c r="O77"/>
  <c r="M77"/>
  <c r="O73"/>
  <c r="M73"/>
  <c r="P66"/>
  <c r="N66"/>
  <c r="P64"/>
  <c r="N64"/>
  <c r="O71"/>
  <c r="M71"/>
  <c r="P78"/>
  <c r="N78"/>
  <c r="P90"/>
  <c r="N90"/>
  <c r="P100"/>
  <c r="N100"/>
  <c r="P68"/>
  <c r="N68"/>
  <c r="P72"/>
  <c r="N72"/>
  <c r="O79"/>
  <c r="M79"/>
  <c r="P94"/>
  <c r="N94"/>
  <c r="P104"/>
  <c r="N104"/>
  <c r="O69"/>
  <c r="M69"/>
  <c r="P74"/>
  <c r="N74"/>
  <c r="O83"/>
  <c r="M83"/>
  <c r="O95"/>
  <c r="M95"/>
  <c r="P70"/>
  <c r="N70"/>
  <c r="P76"/>
  <c r="N76"/>
  <c r="O89"/>
  <c r="M89"/>
  <c r="O99"/>
  <c r="M99"/>
  <c r="O63"/>
  <c r="M63"/>
  <c r="P71"/>
  <c r="N71"/>
  <c r="O78"/>
  <c r="M78"/>
  <c r="O90"/>
  <c r="M90"/>
  <c r="O100"/>
  <c r="M100"/>
  <c r="O68"/>
  <c r="M68"/>
  <c r="O72"/>
  <c r="M72"/>
  <c r="P79"/>
  <c r="N79"/>
  <c r="O94"/>
  <c r="M94"/>
  <c r="O104"/>
  <c r="M104"/>
  <c r="P69"/>
  <c r="N69"/>
  <c r="O74"/>
  <c r="M74"/>
  <c r="P83"/>
  <c r="N83"/>
  <c r="P95"/>
  <c r="N95"/>
  <c r="O70"/>
  <c r="M70"/>
  <c r="O76"/>
  <c r="M76"/>
  <c r="P89"/>
  <c r="N89"/>
  <c r="P99"/>
  <c r="N99"/>
  <c r="P63"/>
  <c r="N63"/>
  <c r="Y67"/>
  <c r="X75"/>
  <c r="X72"/>
  <c r="Y64"/>
  <c r="X78"/>
  <c r="Y70"/>
  <c r="W67"/>
  <c r="Y77"/>
  <c r="W70"/>
  <c r="Y80"/>
  <c r="W73"/>
  <c r="X65"/>
  <c r="W76"/>
  <c r="X64"/>
  <c r="Y69"/>
  <c r="W75"/>
  <c r="X80"/>
  <c r="X67"/>
  <c r="Y72"/>
  <c r="W78"/>
  <c r="W65"/>
  <c r="X70"/>
  <c r="Y75"/>
  <c r="W81"/>
  <c r="W68"/>
  <c r="X73"/>
  <c r="X81"/>
  <c r="W63"/>
  <c r="Y65"/>
  <c r="X68"/>
  <c r="W71"/>
  <c r="Y73"/>
  <c r="X76"/>
  <c r="W79"/>
  <c r="Y81"/>
  <c r="X63"/>
  <c r="W66"/>
  <c r="Y68"/>
  <c r="X71"/>
  <c r="W74"/>
  <c r="Y76"/>
  <c r="X79"/>
  <c r="Y63"/>
  <c r="X66"/>
  <c r="W69"/>
  <c r="Y71"/>
  <c r="X74"/>
  <c r="W77"/>
  <c r="Y79"/>
  <c r="W64"/>
  <c r="Y66"/>
  <c r="X69"/>
  <c r="W72"/>
  <c r="Y74"/>
  <c r="X77"/>
  <c r="Y78"/>
  <c r="W80"/>
  <c r="U5" i="31"/>
  <c r="T5"/>
  <c r="V5"/>
  <c r="I8" i="40"/>
  <c r="I8" i="8"/>
  <c r="Q7" i="40"/>
  <c r="Q5" i="17"/>
  <c r="T8" i="34"/>
  <c r="O105"/>
  <c r="M105"/>
  <c r="P105"/>
  <c r="N105"/>
  <c r="H7" i="8"/>
  <c r="E57"/>
  <c r="K54" i="5"/>
  <c r="K73" i="4" s="1"/>
  <c r="K52" i="5"/>
  <c r="K71" i="4" s="1"/>
  <c r="K50" i="5"/>
  <c r="K69" i="4" s="1"/>
  <c r="K53" i="5"/>
  <c r="K72" i="4" s="1"/>
  <c r="P105" i="40"/>
  <c r="N105"/>
  <c r="O105"/>
  <c r="M105"/>
  <c r="H8" i="8"/>
  <c r="Q8" i="40"/>
  <c r="V8"/>
  <c r="V7"/>
  <c r="T7"/>
  <c r="S7"/>
  <c r="U7"/>
  <c r="T5" i="17"/>
  <c r="S5"/>
  <c r="R5"/>
  <c r="R8"/>
  <c r="S8" i="40"/>
  <c r="U8"/>
  <c r="T8"/>
  <c r="V5" i="17"/>
  <c r="U5"/>
  <c r="D52" i="51"/>
  <c r="E52"/>
  <c r="N12" i="77"/>
  <c r="P47" i="7" s="1"/>
  <c r="O12" i="77"/>
  <c r="N11" i="68"/>
  <c r="P58" i="6" s="1"/>
  <c r="H58" i="5" s="1"/>
  <c r="N11" i="80"/>
  <c r="N12"/>
  <c r="O11"/>
  <c r="N11" i="81"/>
  <c r="O11" s="1"/>
  <c r="N12" i="79"/>
  <c r="P49" i="7" s="1"/>
  <c r="J58" i="5" s="1"/>
  <c r="N11" i="85"/>
  <c r="N12"/>
  <c r="O11"/>
  <c r="N12" i="86"/>
  <c r="O12" s="1"/>
  <c r="O11" i="84"/>
  <c r="O11" i="89"/>
  <c r="N12"/>
  <c r="N12" i="84"/>
  <c r="F58" i="15"/>
  <c r="F58" i="17"/>
  <c r="P73" i="27"/>
  <c r="R5"/>
  <c r="Q73"/>
  <c r="H146"/>
  <c r="R73"/>
  <c r="V5"/>
  <c r="R7"/>
  <c r="I86"/>
  <c r="I96"/>
  <c r="I105"/>
  <c r="I106"/>
  <c r="I107"/>
  <c r="I110"/>
  <c r="I115"/>
  <c r="I116"/>
  <c r="I125"/>
  <c r="I128"/>
  <c r="I132"/>
  <c r="I136"/>
  <c r="I140"/>
  <c r="I91"/>
  <c r="I92"/>
  <c r="I95"/>
  <c r="I108"/>
  <c r="I109"/>
  <c r="I126"/>
  <c r="I127"/>
  <c r="I131"/>
  <c r="I135"/>
  <c r="I139"/>
  <c r="I143"/>
  <c r="I88"/>
  <c r="I89"/>
  <c r="I90"/>
  <c r="I93"/>
  <c r="I94"/>
  <c r="I120"/>
  <c r="I121"/>
  <c r="I130"/>
  <c r="I134"/>
  <c r="I138"/>
  <c r="I142"/>
  <c r="I87"/>
  <c r="I97"/>
  <c r="I98"/>
  <c r="I99"/>
  <c r="I100"/>
  <c r="I101"/>
  <c r="I102"/>
  <c r="I103"/>
  <c r="I104"/>
  <c r="I111"/>
  <c r="I112"/>
  <c r="I113"/>
  <c r="I114"/>
  <c r="I117"/>
  <c r="I118"/>
  <c r="I119"/>
  <c r="I122"/>
  <c r="I123"/>
  <c r="I124"/>
  <c r="I129"/>
  <c r="I133"/>
  <c r="I137"/>
  <c r="I141"/>
  <c r="I85"/>
  <c r="R8"/>
  <c r="I146"/>
  <c r="D24" i="41"/>
  <c r="E23"/>
  <c r="R23"/>
  <c r="R55"/>
  <c r="R5"/>
  <c r="I72"/>
  <c r="I70"/>
  <c r="I64"/>
  <c r="I71"/>
  <c r="I68"/>
  <c r="I63"/>
  <c r="I67"/>
  <c r="I66"/>
  <c r="I69"/>
  <c r="I65"/>
  <c r="J105"/>
  <c r="F24"/>
  <c r="I7"/>
  <c r="E55"/>
  <c r="E57"/>
  <c r="I105"/>
  <c r="R8"/>
  <c r="T7"/>
  <c r="U7"/>
  <c r="S7"/>
  <c r="V7"/>
  <c r="Q5" i="37"/>
  <c r="U63"/>
  <c r="U64"/>
  <c r="U65"/>
  <c r="U66"/>
  <c r="U67"/>
  <c r="U68"/>
  <c r="U69"/>
  <c r="U70"/>
  <c r="U71"/>
  <c r="U72"/>
  <c r="U73"/>
  <c r="U74"/>
  <c r="U75"/>
  <c r="U76"/>
  <c r="U77"/>
  <c r="U78"/>
  <c r="U79"/>
  <c r="U80"/>
  <c r="U81"/>
  <c r="U82"/>
  <c r="U84"/>
  <c r="U86"/>
  <c r="U88"/>
  <c r="U90"/>
  <c r="U92"/>
  <c r="U94"/>
  <c r="U96"/>
  <c r="U98"/>
  <c r="U100"/>
  <c r="U102"/>
  <c r="U105"/>
  <c r="F53"/>
  <c r="D55"/>
  <c r="D57"/>
  <c r="F58"/>
  <c r="U5"/>
  <c r="V5"/>
  <c r="T5"/>
  <c r="S5"/>
  <c r="E58"/>
  <c r="D58"/>
  <c r="H105"/>
  <c r="R7" i="31"/>
  <c r="R8"/>
  <c r="I75"/>
  <c r="I105"/>
  <c r="F58"/>
  <c r="F58" i="8"/>
  <c r="F58" i="27"/>
  <c r="E18"/>
  <c r="E25"/>
  <c r="F18"/>
  <c r="E23"/>
  <c r="F23"/>
  <c r="H7"/>
  <c r="D57"/>
  <c r="F25"/>
  <c r="H8"/>
  <c r="F55"/>
  <c r="F57" s="1"/>
  <c r="E55"/>
  <c r="E57" s="1"/>
  <c r="I7"/>
  <c r="I8"/>
  <c r="Q7"/>
  <c r="P7" i="7" s="1"/>
  <c r="J6" i="5" s="1"/>
  <c r="S7" i="27"/>
  <c r="V7"/>
  <c r="F58" i="40"/>
  <c r="G58"/>
  <c r="I7" i="12"/>
  <c r="E53"/>
  <c r="O7"/>
  <c r="I5"/>
  <c r="D53"/>
  <c r="O5"/>
  <c r="R22"/>
  <c r="R55"/>
  <c r="J105"/>
  <c r="Q55"/>
  <c r="R7"/>
  <c r="F58"/>
  <c r="R5"/>
  <c r="F24"/>
  <c r="D58"/>
  <c r="E58"/>
  <c r="Q5"/>
  <c r="T5"/>
  <c r="F25"/>
  <c r="E55"/>
  <c r="E57"/>
  <c r="O8"/>
  <c r="R8"/>
  <c r="H105"/>
  <c r="D55"/>
  <c r="D57"/>
  <c r="I8"/>
  <c r="Q7"/>
  <c r="V5"/>
  <c r="S5"/>
  <c r="U5"/>
  <c r="M81"/>
  <c r="N85"/>
  <c r="N89"/>
  <c r="I97"/>
  <c r="P97"/>
  <c r="N97"/>
  <c r="M82"/>
  <c r="N86"/>
  <c r="N90"/>
  <c r="I96"/>
  <c r="P96"/>
  <c r="N96"/>
  <c r="I98"/>
  <c r="O98"/>
  <c r="M98"/>
  <c r="M92"/>
  <c r="N95"/>
  <c r="O100"/>
  <c r="M100"/>
  <c r="O102"/>
  <c r="M102"/>
  <c r="O104"/>
  <c r="M104"/>
  <c r="N84"/>
  <c r="N94"/>
  <c r="P99"/>
  <c r="N99"/>
  <c r="P101"/>
  <c r="N101"/>
  <c r="P103"/>
  <c r="N103"/>
  <c r="X80"/>
  <c r="Y77"/>
  <c r="Y66"/>
  <c r="X68"/>
  <c r="X72"/>
  <c r="X76"/>
  <c r="X63"/>
  <c r="X67"/>
  <c r="X71"/>
  <c r="X75"/>
  <c r="Y64"/>
  <c r="X64"/>
  <c r="Y76"/>
  <c r="Y73"/>
  <c r="Y74"/>
  <c r="W65"/>
  <c r="W69"/>
  <c r="W73"/>
  <c r="W77"/>
  <c r="W66"/>
  <c r="W70"/>
  <c r="W74"/>
  <c r="W78"/>
  <c r="Y63"/>
  <c r="Y75"/>
  <c r="W79"/>
  <c r="Y79"/>
  <c r="O99"/>
  <c r="M99"/>
  <c r="O101"/>
  <c r="M101"/>
  <c r="O103"/>
  <c r="M103"/>
  <c r="P98"/>
  <c r="N98"/>
  <c r="N82"/>
  <c r="N91"/>
  <c r="P100"/>
  <c r="N100"/>
  <c r="P102"/>
  <c r="N102"/>
  <c r="P104"/>
  <c r="N104"/>
  <c r="G58"/>
  <c r="Y81"/>
  <c r="Y72"/>
  <c r="Y78"/>
  <c r="X66"/>
  <c r="X70"/>
  <c r="X74"/>
  <c r="X78"/>
  <c r="X65"/>
  <c r="X69"/>
  <c r="X73"/>
  <c r="X77"/>
  <c r="Y69"/>
  <c r="Y70"/>
  <c r="Y68"/>
  <c r="Y65"/>
  <c r="W63"/>
  <c r="W67"/>
  <c r="W71"/>
  <c r="W75"/>
  <c r="W64"/>
  <c r="W68"/>
  <c r="W72"/>
  <c r="W76"/>
  <c r="Y67"/>
  <c r="Y71"/>
  <c r="W80"/>
  <c r="X79"/>
  <c r="Q8"/>
  <c r="U7"/>
  <c r="V7"/>
  <c r="S7"/>
  <c r="T7"/>
  <c r="M94"/>
  <c r="N80"/>
  <c r="N87"/>
  <c r="Y80"/>
  <c r="M80"/>
  <c r="M84"/>
  <c r="M88"/>
  <c r="M87"/>
  <c r="M91"/>
  <c r="M95"/>
  <c r="W81"/>
  <c r="N93"/>
  <c r="O97"/>
  <c r="M97"/>
  <c r="O96"/>
  <c r="M96"/>
  <c r="M86"/>
  <c r="M85"/>
  <c r="M90"/>
  <c r="I105"/>
  <c r="X81"/>
  <c r="N81"/>
  <c r="U8"/>
  <c r="T8"/>
  <c r="V8"/>
  <c r="S8"/>
  <c r="M79"/>
  <c r="O105"/>
  <c r="P105"/>
  <c r="T8" i="14"/>
  <c r="U8"/>
  <c r="S8"/>
  <c r="V8"/>
  <c r="S8" i="26"/>
  <c r="T8"/>
  <c r="U8"/>
  <c r="V8"/>
  <c r="P8" i="30"/>
  <c r="R8"/>
  <c r="E23" i="10"/>
  <c r="I7"/>
  <c r="V100"/>
  <c r="V98"/>
  <c r="V90"/>
  <c r="V82"/>
  <c r="V99"/>
  <c r="V94"/>
  <c r="V86"/>
  <c r="V102"/>
  <c r="V96"/>
  <c r="V92"/>
  <c r="V88"/>
  <c r="V84"/>
  <c r="V66"/>
  <c r="V68"/>
  <c r="V70"/>
  <c r="V72"/>
  <c r="V74"/>
  <c r="V76"/>
  <c r="V78"/>
  <c r="V80"/>
  <c r="V64"/>
  <c r="V65"/>
  <c r="V67"/>
  <c r="V69"/>
  <c r="V71"/>
  <c r="V73"/>
  <c r="V75"/>
  <c r="V77"/>
  <c r="V79"/>
  <c r="V81"/>
  <c r="R7"/>
  <c r="V105"/>
  <c r="U105"/>
  <c r="T105"/>
  <c r="H105"/>
  <c r="F53"/>
  <c r="E53"/>
  <c r="F58"/>
  <c r="E23" i="11"/>
  <c r="I7"/>
  <c r="V103"/>
  <c r="V101"/>
  <c r="V99"/>
  <c r="V97"/>
  <c r="V95"/>
  <c r="V93"/>
  <c r="V91"/>
  <c r="V89"/>
  <c r="V87"/>
  <c r="V85"/>
  <c r="V83"/>
  <c r="V102"/>
  <c r="V100"/>
  <c r="V98"/>
  <c r="V96"/>
  <c r="V94"/>
  <c r="V92"/>
  <c r="V90"/>
  <c r="V88"/>
  <c r="V86"/>
  <c r="V84"/>
  <c r="V82"/>
  <c r="V65"/>
  <c r="V66"/>
  <c r="V68"/>
  <c r="V70"/>
  <c r="V72"/>
  <c r="V74"/>
  <c r="V76"/>
  <c r="V78"/>
  <c r="V80"/>
  <c r="V64"/>
  <c r="V67"/>
  <c r="V69"/>
  <c r="V71"/>
  <c r="V73"/>
  <c r="V75"/>
  <c r="V77"/>
  <c r="V79"/>
  <c r="V81"/>
  <c r="R7"/>
  <c r="I8"/>
  <c r="F23"/>
  <c r="D53" i="10"/>
  <c r="E58"/>
  <c r="O7"/>
  <c r="E55"/>
  <c r="E57"/>
  <c r="D58"/>
  <c r="O5"/>
  <c r="O8"/>
  <c r="Q7"/>
  <c r="T7"/>
  <c r="U7"/>
  <c r="V7"/>
  <c r="S7"/>
  <c r="I7" i="13"/>
  <c r="R7"/>
  <c r="H105"/>
  <c r="E53"/>
  <c r="F58"/>
  <c r="E23" i="15"/>
  <c r="I7"/>
  <c r="Q7"/>
  <c r="F23"/>
  <c r="F55"/>
  <c r="F57"/>
  <c r="E55"/>
  <c r="E57"/>
  <c r="P68"/>
  <c r="N68"/>
  <c r="O103"/>
  <c r="M103"/>
  <c r="O97"/>
  <c r="M97"/>
  <c r="O95"/>
  <c r="M95"/>
  <c r="O93"/>
  <c r="M93"/>
  <c r="P86"/>
  <c r="N86"/>
  <c r="P84"/>
  <c r="N84"/>
  <c r="O77"/>
  <c r="M77"/>
  <c r="O73"/>
  <c r="M73"/>
  <c r="P66"/>
  <c r="N66"/>
  <c r="P64"/>
  <c r="N64"/>
  <c r="O68"/>
  <c r="M68"/>
  <c r="P103"/>
  <c r="N103"/>
  <c r="P97"/>
  <c r="N97"/>
  <c r="P95"/>
  <c r="N95"/>
  <c r="P93"/>
  <c r="N93"/>
  <c r="O86"/>
  <c r="M86"/>
  <c r="O84"/>
  <c r="M84"/>
  <c r="P77"/>
  <c r="N77"/>
  <c r="P73"/>
  <c r="N73"/>
  <c r="O66"/>
  <c r="M66"/>
  <c r="O64"/>
  <c r="M64"/>
  <c r="P70"/>
  <c r="N70"/>
  <c r="P76"/>
  <c r="N76"/>
  <c r="O81"/>
  <c r="M81"/>
  <c r="P90"/>
  <c r="N90"/>
  <c r="O63"/>
  <c r="M63"/>
  <c r="P67"/>
  <c r="N67"/>
  <c r="P83"/>
  <c r="N83"/>
  <c r="P87"/>
  <c r="N87"/>
  <c r="O96"/>
  <c r="M96"/>
  <c r="P101"/>
  <c r="N101"/>
  <c r="P69"/>
  <c r="N69"/>
  <c r="O74"/>
  <c r="M74"/>
  <c r="O80"/>
  <c r="M80"/>
  <c r="P89"/>
  <c r="N89"/>
  <c r="O98"/>
  <c r="M98"/>
  <c r="O102"/>
  <c r="M102"/>
  <c r="P72"/>
  <c r="N72"/>
  <c r="O79"/>
  <c r="M79"/>
  <c r="P88"/>
  <c r="N88"/>
  <c r="P92"/>
  <c r="N92"/>
  <c r="O65"/>
  <c r="M65"/>
  <c r="O75"/>
  <c r="M75"/>
  <c r="O85"/>
  <c r="M85"/>
  <c r="P94"/>
  <c r="N94"/>
  <c r="O99"/>
  <c r="M99"/>
  <c r="P104"/>
  <c r="N104"/>
  <c r="O71"/>
  <c r="M71"/>
  <c r="P78"/>
  <c r="N78"/>
  <c r="P82"/>
  <c r="N82"/>
  <c r="O91"/>
  <c r="M91"/>
  <c r="P100"/>
  <c r="N100"/>
  <c r="O70"/>
  <c r="M70"/>
  <c r="O76"/>
  <c r="M76"/>
  <c r="P81"/>
  <c r="N81"/>
  <c r="O90"/>
  <c r="M90"/>
  <c r="P63"/>
  <c r="N63"/>
  <c r="O67"/>
  <c r="M67"/>
  <c r="O83"/>
  <c r="M83"/>
  <c r="O87"/>
  <c r="M87"/>
  <c r="P96"/>
  <c r="N96"/>
  <c r="O101"/>
  <c r="M101"/>
  <c r="O69"/>
  <c r="M69"/>
  <c r="P74"/>
  <c r="N74"/>
  <c r="P80"/>
  <c r="N80"/>
  <c r="O89"/>
  <c r="M89"/>
  <c r="P98"/>
  <c r="N98"/>
  <c r="P102"/>
  <c r="N102"/>
  <c r="O72"/>
  <c r="M72"/>
  <c r="P79"/>
  <c r="N79"/>
  <c r="O88"/>
  <c r="M88"/>
  <c r="O92"/>
  <c r="M92"/>
  <c r="P65"/>
  <c r="N65"/>
  <c r="P75"/>
  <c r="N75"/>
  <c r="P85"/>
  <c r="N85"/>
  <c r="O94"/>
  <c r="M94"/>
  <c r="P99"/>
  <c r="N99"/>
  <c r="O104"/>
  <c r="M104"/>
  <c r="P71"/>
  <c r="N71"/>
  <c r="O78"/>
  <c r="M78"/>
  <c r="O82"/>
  <c r="M82"/>
  <c r="P91"/>
  <c r="N91"/>
  <c r="O100"/>
  <c r="M100"/>
  <c r="I8"/>
  <c r="D53" i="13"/>
  <c r="O7"/>
  <c r="E58"/>
  <c r="Q8" i="15"/>
  <c r="S7"/>
  <c r="V7"/>
  <c r="T7"/>
  <c r="U7"/>
  <c r="Y79"/>
  <c r="W69"/>
  <c r="W81"/>
  <c r="Y75"/>
  <c r="X70"/>
  <c r="W65"/>
  <c r="Y80"/>
  <c r="X75"/>
  <c r="Y64"/>
  <c r="X64"/>
  <c r="W72"/>
  <c r="W76"/>
  <c r="X76"/>
  <c r="X79"/>
  <c r="Y68"/>
  <c r="X72"/>
  <c r="W80"/>
  <c r="W63"/>
  <c r="Y78"/>
  <c r="G58"/>
  <c r="X74"/>
  <c r="Y63"/>
  <c r="X78"/>
  <c r="W73"/>
  <c r="Y67"/>
  <c r="W78"/>
  <c r="Y72"/>
  <c r="X67"/>
  <c r="X80"/>
  <c r="Y69"/>
  <c r="X77"/>
  <c r="Y66"/>
  <c r="W79"/>
  <c r="X65"/>
  <c r="W68"/>
  <c r="W77"/>
  <c r="X66"/>
  <c r="Y76"/>
  <c r="X71"/>
  <c r="W66"/>
  <c r="Y77"/>
  <c r="W67"/>
  <c r="Y74"/>
  <c r="W64"/>
  <c r="Y73"/>
  <c r="X81"/>
  <c r="Y65"/>
  <c r="W70"/>
  <c r="W75"/>
  <c r="X68"/>
  <c r="Y81"/>
  <c r="W71"/>
  <c r="Y71"/>
  <c r="W74"/>
  <c r="X63"/>
  <c r="X69"/>
  <c r="Y70"/>
  <c r="X73"/>
  <c r="D58" i="13"/>
  <c r="O5"/>
  <c r="Q7"/>
  <c r="S7"/>
  <c r="O105" i="15"/>
  <c r="M105"/>
  <c r="P105"/>
  <c r="N105"/>
  <c r="U8"/>
  <c r="V8"/>
  <c r="S8"/>
  <c r="T8"/>
  <c r="O8" i="13"/>
  <c r="T7"/>
  <c r="V7"/>
  <c r="U7"/>
  <c r="E23" i="16"/>
  <c r="I7"/>
  <c r="F23"/>
  <c r="V98"/>
  <c r="V94"/>
  <c r="V96"/>
  <c r="V88"/>
  <c r="V100"/>
  <c r="V87"/>
  <c r="V85"/>
  <c r="V83"/>
  <c r="V102"/>
  <c r="V90"/>
  <c r="V92"/>
  <c r="V86"/>
  <c r="V84"/>
  <c r="V82"/>
  <c r="V73"/>
  <c r="V75"/>
  <c r="V77"/>
  <c r="V79"/>
  <c r="V81"/>
  <c r="V72"/>
  <c r="V74"/>
  <c r="V76"/>
  <c r="V78"/>
  <c r="V80"/>
  <c r="R7"/>
  <c r="V105"/>
  <c r="I8"/>
  <c r="U105"/>
  <c r="T105"/>
  <c r="H105"/>
  <c r="F53"/>
  <c r="I7" i="17"/>
  <c r="E53" i="16"/>
  <c r="F58"/>
  <c r="I8" i="17"/>
  <c r="D53" i="16"/>
  <c r="E58"/>
  <c r="O7"/>
  <c r="O5"/>
  <c r="D58"/>
  <c r="D55"/>
  <c r="D57"/>
  <c r="O8"/>
  <c r="Q5"/>
  <c r="S5"/>
  <c r="R5"/>
  <c r="R8"/>
  <c r="V5"/>
  <c r="U5"/>
  <c r="T5"/>
  <c r="I7" i="21"/>
  <c r="E55"/>
  <c r="E57"/>
  <c r="U7"/>
  <c r="V7"/>
  <c r="T7"/>
  <c r="S7"/>
  <c r="E23" i="22"/>
  <c r="I7"/>
  <c r="F23"/>
  <c r="V102"/>
  <c r="V100"/>
  <c r="V98"/>
  <c r="V96"/>
  <c r="V94"/>
  <c r="V92"/>
  <c r="V90"/>
  <c r="V88"/>
  <c r="V86"/>
  <c r="V84"/>
  <c r="V82"/>
  <c r="V103"/>
  <c r="V101"/>
  <c r="V99"/>
  <c r="V97"/>
  <c r="V95"/>
  <c r="V93"/>
  <c r="V91"/>
  <c r="V89"/>
  <c r="V87"/>
  <c r="V85"/>
  <c r="V83"/>
  <c r="V65"/>
  <c r="V67"/>
  <c r="V69"/>
  <c r="V71"/>
  <c r="V73"/>
  <c r="V75"/>
  <c r="V77"/>
  <c r="V79"/>
  <c r="V81"/>
  <c r="V64"/>
  <c r="V66"/>
  <c r="V68"/>
  <c r="V70"/>
  <c r="V72"/>
  <c r="V74"/>
  <c r="V76"/>
  <c r="V78"/>
  <c r="V80"/>
  <c r="R7"/>
  <c r="I8"/>
  <c r="I7" i="23"/>
  <c r="R7"/>
  <c r="U105"/>
  <c r="T105"/>
  <c r="H105"/>
  <c r="E53"/>
  <c r="F58"/>
  <c r="D53"/>
  <c r="O5"/>
  <c r="E58"/>
  <c r="D58"/>
  <c r="O7"/>
  <c r="E55"/>
  <c r="E57"/>
  <c r="I7" i="25"/>
  <c r="J105"/>
  <c r="Q7" i="23"/>
  <c r="S7"/>
  <c r="O8"/>
  <c r="T105" i="25"/>
  <c r="H105"/>
  <c r="U7" i="23"/>
  <c r="T7"/>
  <c r="V7"/>
  <c r="F58" i="25"/>
  <c r="I7" i="20"/>
  <c r="V86"/>
  <c r="V92"/>
  <c r="V88"/>
  <c r="V94"/>
  <c r="V102"/>
  <c r="V98"/>
  <c r="V82"/>
  <c r="V96"/>
  <c r="V84"/>
  <c r="V90"/>
  <c r="V63"/>
  <c r="V64"/>
  <c r="V66"/>
  <c r="V68"/>
  <c r="V70"/>
  <c r="V72"/>
  <c r="V74"/>
  <c r="V76"/>
  <c r="V78"/>
  <c r="V80"/>
  <c r="V65"/>
  <c r="V67"/>
  <c r="V69"/>
  <c r="V71"/>
  <c r="V73"/>
  <c r="V75"/>
  <c r="V77"/>
  <c r="V79"/>
  <c r="V81"/>
  <c r="V100"/>
  <c r="R7"/>
  <c r="V105"/>
  <c r="D53" i="25"/>
  <c r="E58"/>
  <c r="E55"/>
  <c r="E57"/>
  <c r="T105" i="20"/>
  <c r="H105"/>
  <c r="F53"/>
  <c r="D58" i="25"/>
  <c r="O5"/>
  <c r="O8"/>
  <c r="F58" i="20"/>
  <c r="V7" i="25"/>
  <c r="T7"/>
  <c r="U7"/>
  <c r="S7"/>
  <c r="D53" i="20"/>
  <c r="E58"/>
  <c r="O7"/>
  <c r="E57"/>
  <c r="E23" i="30"/>
  <c r="I7"/>
  <c r="I8"/>
  <c r="G8"/>
  <c r="H8"/>
  <c r="Q8"/>
  <c r="F23"/>
  <c r="F55"/>
  <c r="F57"/>
  <c r="E55"/>
  <c r="F58"/>
  <c r="E57"/>
  <c r="D57"/>
  <c r="Q7" i="20"/>
  <c r="S7"/>
  <c r="O5"/>
  <c r="D58"/>
  <c r="T8" i="30"/>
  <c r="S8"/>
  <c r="V8"/>
  <c r="U8"/>
  <c r="O64"/>
  <c r="M64"/>
  <c r="O66"/>
  <c r="M66"/>
  <c r="O68"/>
  <c r="M68"/>
  <c r="O71"/>
  <c r="M71"/>
  <c r="O74"/>
  <c r="M74"/>
  <c r="O76"/>
  <c r="M76"/>
  <c r="O79"/>
  <c r="M79"/>
  <c r="O82"/>
  <c r="M82"/>
  <c r="O84"/>
  <c r="M84"/>
  <c r="O86"/>
  <c r="M86"/>
  <c r="O88"/>
  <c r="M88"/>
  <c r="O90"/>
  <c r="M90"/>
  <c r="O92"/>
  <c r="M92"/>
  <c r="O94"/>
  <c r="M94"/>
  <c r="O96"/>
  <c r="M96"/>
  <c r="O98"/>
  <c r="M98"/>
  <c r="O100"/>
  <c r="M100"/>
  <c r="O102"/>
  <c r="M102"/>
  <c r="O104"/>
  <c r="M104"/>
  <c r="N64"/>
  <c r="N66"/>
  <c r="L66"/>
  <c r="N68"/>
  <c r="L68"/>
  <c r="N71"/>
  <c r="L71"/>
  <c r="N74"/>
  <c r="L74"/>
  <c r="N76"/>
  <c r="L76"/>
  <c r="N79"/>
  <c r="N82"/>
  <c r="L82"/>
  <c r="N84"/>
  <c r="L84"/>
  <c r="N86"/>
  <c r="L86"/>
  <c r="N88"/>
  <c r="L88"/>
  <c r="N90"/>
  <c r="L90"/>
  <c r="N92"/>
  <c r="L92"/>
  <c r="N94"/>
  <c r="L94"/>
  <c r="N96"/>
  <c r="L96"/>
  <c r="N98"/>
  <c r="L98"/>
  <c r="N100"/>
  <c r="L100"/>
  <c r="N102"/>
  <c r="L102"/>
  <c r="N104"/>
  <c r="L104"/>
  <c r="I58"/>
  <c r="X63"/>
  <c r="W65"/>
  <c r="W67"/>
  <c r="W69"/>
  <c r="W71"/>
  <c r="W73"/>
  <c r="W75"/>
  <c r="W77"/>
  <c r="W79"/>
  <c r="W81"/>
  <c r="W63"/>
  <c r="V65"/>
  <c r="X65"/>
  <c r="V67"/>
  <c r="X67"/>
  <c r="V69"/>
  <c r="X69"/>
  <c r="V71"/>
  <c r="X71"/>
  <c r="V73"/>
  <c r="X73"/>
  <c r="V75"/>
  <c r="X75"/>
  <c r="V77"/>
  <c r="X77"/>
  <c r="V79"/>
  <c r="X79"/>
  <c r="V81"/>
  <c r="X81"/>
  <c r="O81"/>
  <c r="M81"/>
  <c r="N81"/>
  <c r="L81"/>
  <c r="O77"/>
  <c r="M77"/>
  <c r="N77"/>
  <c r="L77"/>
  <c r="O73"/>
  <c r="M73"/>
  <c r="N73"/>
  <c r="L73"/>
  <c r="O69"/>
  <c r="M69"/>
  <c r="N69"/>
  <c r="L69"/>
  <c r="O63"/>
  <c r="O65"/>
  <c r="O67"/>
  <c r="M67"/>
  <c r="O70"/>
  <c r="M70"/>
  <c r="O72"/>
  <c r="M72"/>
  <c r="O75"/>
  <c r="M75"/>
  <c r="O78"/>
  <c r="M78"/>
  <c r="O80"/>
  <c r="M80"/>
  <c r="O83"/>
  <c r="M83"/>
  <c r="O85"/>
  <c r="M85"/>
  <c r="O87"/>
  <c r="M87"/>
  <c r="O89"/>
  <c r="M89"/>
  <c r="O91"/>
  <c r="M91"/>
  <c r="O93"/>
  <c r="M93"/>
  <c r="O95"/>
  <c r="M95"/>
  <c r="O97"/>
  <c r="M97"/>
  <c r="O99"/>
  <c r="M99"/>
  <c r="O101"/>
  <c r="M101"/>
  <c r="O103"/>
  <c r="M103"/>
  <c r="N63"/>
  <c r="N65"/>
  <c r="L65"/>
  <c r="N67"/>
  <c r="N70"/>
  <c r="L70"/>
  <c r="N72"/>
  <c r="L72"/>
  <c r="N75"/>
  <c r="L75"/>
  <c r="N78"/>
  <c r="L78"/>
  <c r="N80"/>
  <c r="L80"/>
  <c r="N83"/>
  <c r="N85"/>
  <c r="L85"/>
  <c r="N87"/>
  <c r="N89"/>
  <c r="L89"/>
  <c r="N91"/>
  <c r="N93"/>
  <c r="L93"/>
  <c r="N95"/>
  <c r="N97"/>
  <c r="L97"/>
  <c r="N99"/>
  <c r="N101"/>
  <c r="L101"/>
  <c r="N103"/>
  <c r="I57"/>
  <c r="V63"/>
  <c r="W64"/>
  <c r="V66"/>
  <c r="X66"/>
  <c r="V68"/>
  <c r="X68"/>
  <c r="V70"/>
  <c r="X70"/>
  <c r="V72"/>
  <c r="X72"/>
  <c r="V74"/>
  <c r="X74"/>
  <c r="V76"/>
  <c r="X76"/>
  <c r="V78"/>
  <c r="X78"/>
  <c r="V80"/>
  <c r="X80"/>
  <c r="G58"/>
  <c r="I59"/>
  <c r="V64"/>
  <c r="X64"/>
  <c r="W66"/>
  <c r="W68"/>
  <c r="W70"/>
  <c r="W72"/>
  <c r="W74"/>
  <c r="W76"/>
  <c r="W78"/>
  <c r="W80"/>
  <c r="Q7"/>
  <c r="O8" i="20"/>
  <c r="T7"/>
  <c r="V7"/>
  <c r="U7"/>
  <c r="O105" i="30"/>
  <c r="M63"/>
  <c r="S7"/>
  <c r="U7"/>
  <c r="V7"/>
  <c r="T7"/>
  <c r="N105"/>
  <c r="L63"/>
  <c r="E23" i="31"/>
  <c r="I7"/>
  <c r="E55"/>
  <c r="E57"/>
  <c r="D57"/>
  <c r="F23"/>
  <c r="F55"/>
  <c r="F57"/>
  <c r="Q7"/>
  <c r="I8"/>
  <c r="O73"/>
  <c r="M73"/>
  <c r="O89"/>
  <c r="M89"/>
  <c r="P80"/>
  <c r="N80"/>
  <c r="P96"/>
  <c r="N96"/>
  <c r="W69"/>
  <c r="Z64"/>
  <c r="W67"/>
  <c r="O74"/>
  <c r="M74"/>
  <c r="O90"/>
  <c r="M90"/>
  <c r="P73"/>
  <c r="N73"/>
  <c r="P89"/>
  <c r="N89"/>
  <c r="G58"/>
  <c r="Y78"/>
  <c r="Z71"/>
  <c r="W65"/>
  <c r="X68"/>
  <c r="W73"/>
  <c r="O75"/>
  <c r="M75"/>
  <c r="O71"/>
  <c r="M71"/>
  <c r="O68"/>
  <c r="M68"/>
  <c r="O67"/>
  <c r="M67"/>
  <c r="P65"/>
  <c r="N65"/>
  <c r="P64"/>
  <c r="N64"/>
  <c r="P63"/>
  <c r="N63"/>
  <c r="P71"/>
  <c r="N71"/>
  <c r="P68"/>
  <c r="N68"/>
  <c r="P67"/>
  <c r="N67"/>
  <c r="O65"/>
  <c r="M65"/>
  <c r="O64"/>
  <c r="M64"/>
  <c r="O63"/>
  <c r="M63"/>
  <c r="P72"/>
  <c r="N72"/>
  <c r="P70"/>
  <c r="N70"/>
  <c r="P66"/>
  <c r="N66"/>
  <c r="O69"/>
  <c r="M69"/>
  <c r="O72"/>
  <c r="M72"/>
  <c r="O70"/>
  <c r="M70"/>
  <c r="O66"/>
  <c r="M66"/>
  <c r="P69"/>
  <c r="N69"/>
  <c r="X71"/>
  <c r="X74"/>
  <c r="X79"/>
  <c r="X78"/>
  <c r="Z63"/>
  <c r="W72"/>
  <c r="P97"/>
  <c r="N97"/>
  <c r="P81"/>
  <c r="N81"/>
  <c r="O98"/>
  <c r="M98"/>
  <c r="O82"/>
  <c r="M82"/>
  <c r="X69"/>
  <c r="X72"/>
  <c r="Y74"/>
  <c r="P104"/>
  <c r="N104"/>
  <c r="P88"/>
  <c r="N88"/>
  <c r="O97"/>
  <c r="M97"/>
  <c r="O81"/>
  <c r="M81"/>
  <c r="X65"/>
  <c r="Y69"/>
  <c r="Z72"/>
  <c r="X64"/>
  <c r="X75"/>
  <c r="Y65"/>
  <c r="Z75"/>
  <c r="Z67"/>
  <c r="W66"/>
  <c r="Y68"/>
  <c r="Y73"/>
  <c r="P101"/>
  <c r="N101"/>
  <c r="P93"/>
  <c r="N93"/>
  <c r="P85"/>
  <c r="N85"/>
  <c r="P77"/>
  <c r="N77"/>
  <c r="O102"/>
  <c r="M102"/>
  <c r="O94"/>
  <c r="M94"/>
  <c r="O86"/>
  <c r="M86"/>
  <c r="O78"/>
  <c r="M78"/>
  <c r="W75"/>
  <c r="W80"/>
  <c r="W77"/>
  <c r="Z68"/>
  <c r="W64"/>
  <c r="Y66"/>
  <c r="Y71"/>
  <c r="P100"/>
  <c r="N100"/>
  <c r="P92"/>
  <c r="N92"/>
  <c r="P84"/>
  <c r="N84"/>
  <c r="P76"/>
  <c r="N76"/>
  <c r="O101"/>
  <c r="M101"/>
  <c r="O93"/>
  <c r="M93"/>
  <c r="O85"/>
  <c r="M85"/>
  <c r="O77"/>
  <c r="M77"/>
  <c r="X67"/>
  <c r="W78"/>
  <c r="Y79"/>
  <c r="W79"/>
  <c r="Z74"/>
  <c r="X70"/>
  <c r="X66"/>
  <c r="X81"/>
  <c r="X77"/>
  <c r="W71"/>
  <c r="Y76"/>
  <c r="X80"/>
  <c r="X76"/>
  <c r="Z73"/>
  <c r="Z69"/>
  <c r="Z65"/>
  <c r="W70"/>
  <c r="Y81"/>
  <c r="Y72"/>
  <c r="Y64"/>
  <c r="W63"/>
  <c r="Y67"/>
  <c r="P103"/>
  <c r="N103"/>
  <c r="P99"/>
  <c r="P95"/>
  <c r="N95"/>
  <c r="P91"/>
  <c r="P87"/>
  <c r="N87"/>
  <c r="P83"/>
  <c r="P79"/>
  <c r="N79"/>
  <c r="P75"/>
  <c r="O104"/>
  <c r="M104"/>
  <c r="O100"/>
  <c r="O96"/>
  <c r="M96"/>
  <c r="O92"/>
  <c r="O88"/>
  <c r="M88"/>
  <c r="O84"/>
  <c r="O80"/>
  <c r="M80"/>
  <c r="O76"/>
  <c r="X73"/>
  <c r="X63"/>
  <c r="W76"/>
  <c r="W81"/>
  <c r="Y75"/>
  <c r="Z70"/>
  <c r="Z66"/>
  <c r="W68"/>
  <c r="Y77"/>
  <c r="Y70"/>
  <c r="W74"/>
  <c r="Y80"/>
  <c r="Y63"/>
  <c r="P102"/>
  <c r="N102"/>
  <c r="P98"/>
  <c r="N98"/>
  <c r="P94"/>
  <c r="N94"/>
  <c r="P90"/>
  <c r="N90"/>
  <c r="P86"/>
  <c r="N86"/>
  <c r="P82"/>
  <c r="N82"/>
  <c r="P78"/>
  <c r="N78"/>
  <c r="P74"/>
  <c r="N74"/>
  <c r="O103"/>
  <c r="M103"/>
  <c r="O99"/>
  <c r="M99"/>
  <c r="O95"/>
  <c r="M95"/>
  <c r="O91"/>
  <c r="M91"/>
  <c r="O87"/>
  <c r="M87"/>
  <c r="O83"/>
  <c r="M83"/>
  <c r="O79"/>
  <c r="M79"/>
  <c r="Q8"/>
  <c r="U7"/>
  <c r="V7"/>
  <c r="S7"/>
  <c r="T7"/>
  <c r="O105"/>
  <c r="P105"/>
  <c r="S8"/>
  <c r="T8"/>
  <c r="U8"/>
  <c r="V8"/>
  <c r="I7" i="32"/>
  <c r="R7"/>
  <c r="H105"/>
  <c r="E53"/>
  <c r="F58"/>
  <c r="E23" i="33"/>
  <c r="I7"/>
  <c r="V96"/>
  <c r="V88"/>
  <c r="V90"/>
  <c r="V102"/>
  <c r="V98"/>
  <c r="V92"/>
  <c r="V87"/>
  <c r="V94"/>
  <c r="V64"/>
  <c r="V68"/>
  <c r="V70"/>
  <c r="V72"/>
  <c r="V74"/>
  <c r="V76"/>
  <c r="V78"/>
  <c r="V80"/>
  <c r="V66"/>
  <c r="V69"/>
  <c r="V71"/>
  <c r="V73"/>
  <c r="V75"/>
  <c r="V77"/>
  <c r="V79"/>
  <c r="V81"/>
  <c r="V82"/>
  <c r="V83"/>
  <c r="V84"/>
  <c r="V85"/>
  <c r="V86"/>
  <c r="V100"/>
  <c r="I105"/>
  <c r="V105"/>
  <c r="F23"/>
  <c r="I8"/>
  <c r="D53" i="32"/>
  <c r="O7"/>
  <c r="E58"/>
  <c r="E55"/>
  <c r="E57"/>
  <c r="U105" i="33"/>
  <c r="T105"/>
  <c r="H105"/>
  <c r="F53"/>
  <c r="Q7" i="32"/>
  <c r="D58"/>
  <c r="O5"/>
  <c r="E53" i="33"/>
  <c r="F58"/>
  <c r="T7" i="32"/>
  <c r="U7"/>
  <c r="V7"/>
  <c r="O8"/>
  <c r="S7"/>
  <c r="D53" i="33"/>
  <c r="E58"/>
  <c r="O7"/>
  <c r="E23" i="38"/>
  <c r="I7"/>
  <c r="V100"/>
  <c r="V96"/>
  <c r="V88"/>
  <c r="V84"/>
  <c r="V98"/>
  <c r="V92"/>
  <c r="V86"/>
  <c r="V73"/>
  <c r="V77"/>
  <c r="V81"/>
  <c r="V76"/>
  <c r="V80"/>
  <c r="V75"/>
  <c r="V79"/>
  <c r="V82"/>
  <c r="V90"/>
  <c r="V94"/>
  <c r="V102"/>
  <c r="V74"/>
  <c r="V78"/>
  <c r="V105"/>
  <c r="D58" i="33"/>
  <c r="O5"/>
  <c r="D55"/>
  <c r="D57"/>
  <c r="H105" i="38"/>
  <c r="F53"/>
  <c r="O8" i="33"/>
  <c r="Q5"/>
  <c r="S5"/>
  <c r="R5"/>
  <c r="R8"/>
  <c r="E53" i="38"/>
  <c r="F58"/>
  <c r="V5" i="33"/>
  <c r="U5"/>
  <c r="T5"/>
  <c r="V102" i="39"/>
  <c r="V90"/>
  <c r="V96"/>
  <c r="V88"/>
  <c r="V94"/>
  <c r="V86"/>
  <c r="V98"/>
  <c r="V100"/>
  <c r="V92"/>
  <c r="V84"/>
  <c r="V63"/>
  <c r="V65"/>
  <c r="V67"/>
  <c r="V69"/>
  <c r="V71"/>
  <c r="V73"/>
  <c r="V75"/>
  <c r="V77"/>
  <c r="V79"/>
  <c r="V81"/>
  <c r="V64"/>
  <c r="V66"/>
  <c r="V68"/>
  <c r="V70"/>
  <c r="V72"/>
  <c r="V74"/>
  <c r="V76"/>
  <c r="V78"/>
  <c r="V80"/>
  <c r="V82"/>
  <c r="R7"/>
  <c r="Q18" i="7" s="1"/>
  <c r="D53" i="38"/>
  <c r="O7"/>
  <c r="E58"/>
  <c r="E55"/>
  <c r="E57"/>
  <c r="V105" i="39"/>
  <c r="H105" s="1"/>
  <c r="Q7" i="38"/>
  <c r="D58"/>
  <c r="O5"/>
  <c r="O8"/>
  <c r="U105" i="39"/>
  <c r="T105"/>
  <c r="F53"/>
  <c r="V7" i="38"/>
  <c r="T7"/>
  <c r="U7"/>
  <c r="S7"/>
  <c r="F58" i="39"/>
  <c r="D53"/>
  <c r="E58"/>
  <c r="O7"/>
  <c r="N18" i="7" s="1"/>
  <c r="E23" i="42"/>
  <c r="I7"/>
  <c r="Q7"/>
  <c r="F23"/>
  <c r="F55"/>
  <c r="F57"/>
  <c r="E55"/>
  <c r="F58"/>
  <c r="E57"/>
  <c r="D57"/>
  <c r="I8"/>
  <c r="O5" i="39"/>
  <c r="D58"/>
  <c r="O63" i="42"/>
  <c r="O65"/>
  <c r="M65"/>
  <c r="O67"/>
  <c r="M67"/>
  <c r="O69"/>
  <c r="M69"/>
  <c r="O71"/>
  <c r="M71"/>
  <c r="O73"/>
  <c r="M73"/>
  <c r="O75"/>
  <c r="M75"/>
  <c r="O77"/>
  <c r="M77"/>
  <c r="O79"/>
  <c r="M79"/>
  <c r="O81"/>
  <c r="M81"/>
  <c r="O83"/>
  <c r="M83"/>
  <c r="O85"/>
  <c r="M85"/>
  <c r="O87"/>
  <c r="M87"/>
  <c r="O89"/>
  <c r="M89"/>
  <c r="O91"/>
  <c r="M91"/>
  <c r="O93"/>
  <c r="M93"/>
  <c r="O95"/>
  <c r="M95"/>
  <c r="O97"/>
  <c r="M97"/>
  <c r="O99"/>
  <c r="M99"/>
  <c r="O101"/>
  <c r="M101"/>
  <c r="O103"/>
  <c r="M103"/>
  <c r="N63"/>
  <c r="N65"/>
  <c r="N67"/>
  <c r="N69"/>
  <c r="N71"/>
  <c r="N73"/>
  <c r="N75"/>
  <c r="N77"/>
  <c r="N79"/>
  <c r="N81"/>
  <c r="N83"/>
  <c r="N85"/>
  <c r="N87"/>
  <c r="N89"/>
  <c r="N91"/>
  <c r="N93"/>
  <c r="N95"/>
  <c r="N97"/>
  <c r="N99"/>
  <c r="N101"/>
  <c r="N103"/>
  <c r="W64"/>
  <c r="W66"/>
  <c r="W68"/>
  <c r="W70"/>
  <c r="W72"/>
  <c r="W74"/>
  <c r="W76"/>
  <c r="W78"/>
  <c r="W80"/>
  <c r="W63"/>
  <c r="W65"/>
  <c r="W69"/>
  <c r="W71"/>
  <c r="W75"/>
  <c r="W81"/>
  <c r="O64"/>
  <c r="M64"/>
  <c r="O66"/>
  <c r="M66"/>
  <c r="O68"/>
  <c r="M68"/>
  <c r="O70"/>
  <c r="M70"/>
  <c r="O72"/>
  <c r="M72"/>
  <c r="O74"/>
  <c r="M74"/>
  <c r="O76"/>
  <c r="M76"/>
  <c r="O78"/>
  <c r="M78"/>
  <c r="O80"/>
  <c r="M80"/>
  <c r="O82"/>
  <c r="M82"/>
  <c r="O84"/>
  <c r="M84"/>
  <c r="O86"/>
  <c r="M86"/>
  <c r="O88"/>
  <c r="M88"/>
  <c r="O90"/>
  <c r="M90"/>
  <c r="O92"/>
  <c r="M92"/>
  <c r="O94"/>
  <c r="M94"/>
  <c r="O96"/>
  <c r="M96"/>
  <c r="O98"/>
  <c r="M98"/>
  <c r="O100"/>
  <c r="M100"/>
  <c r="O102"/>
  <c r="M102"/>
  <c r="O104"/>
  <c r="M104"/>
  <c r="N64"/>
  <c r="L64"/>
  <c r="N66"/>
  <c r="L66"/>
  <c r="N68"/>
  <c r="L68"/>
  <c r="N70"/>
  <c r="L70"/>
  <c r="N72"/>
  <c r="L72"/>
  <c r="N74"/>
  <c r="L74"/>
  <c r="N76"/>
  <c r="L76"/>
  <c r="N78"/>
  <c r="L78"/>
  <c r="N80"/>
  <c r="L80"/>
  <c r="N82"/>
  <c r="L82"/>
  <c r="N84"/>
  <c r="L84"/>
  <c r="N86"/>
  <c r="L86"/>
  <c r="N88"/>
  <c r="L88"/>
  <c r="N90"/>
  <c r="L90"/>
  <c r="N92"/>
  <c r="L92"/>
  <c r="N94"/>
  <c r="L94"/>
  <c r="N96"/>
  <c r="L96"/>
  <c r="N98"/>
  <c r="L98"/>
  <c r="N100"/>
  <c r="L100"/>
  <c r="N102"/>
  <c r="L102"/>
  <c r="N104"/>
  <c r="L104"/>
  <c r="V63"/>
  <c r="X63"/>
  <c r="V65"/>
  <c r="X65"/>
  <c r="V67"/>
  <c r="X67"/>
  <c r="V69"/>
  <c r="X69"/>
  <c r="V71"/>
  <c r="X71"/>
  <c r="V73"/>
  <c r="X73"/>
  <c r="V75"/>
  <c r="X75"/>
  <c r="V77"/>
  <c r="X77"/>
  <c r="V79"/>
  <c r="X79"/>
  <c r="V81"/>
  <c r="X81"/>
  <c r="V64"/>
  <c r="X64"/>
  <c r="V66"/>
  <c r="X66"/>
  <c r="V68"/>
  <c r="X68"/>
  <c r="V70"/>
  <c r="X70"/>
  <c r="V72"/>
  <c r="X72"/>
  <c r="V74"/>
  <c r="X74"/>
  <c r="V76"/>
  <c r="X76"/>
  <c r="V78"/>
  <c r="X78"/>
  <c r="V80"/>
  <c r="X80"/>
  <c r="G58"/>
  <c r="W67"/>
  <c r="W73"/>
  <c r="W77"/>
  <c r="W79"/>
  <c r="Q8"/>
  <c r="U7"/>
  <c r="T7"/>
  <c r="S7"/>
  <c r="V7"/>
  <c r="O8" i="39"/>
  <c r="O105" i="42"/>
  <c r="M105"/>
  <c r="M63"/>
  <c r="T8"/>
  <c r="U8"/>
  <c r="V8"/>
  <c r="S8"/>
  <c r="N105"/>
  <c r="E23" i="37"/>
  <c r="I7"/>
  <c r="F23"/>
  <c r="F55"/>
  <c r="F57"/>
  <c r="E55"/>
  <c r="E57"/>
  <c r="N88"/>
  <c r="N86"/>
  <c r="L86"/>
  <c r="N82"/>
  <c r="L82"/>
  <c r="N80"/>
  <c r="L80"/>
  <c r="N78"/>
  <c r="L78"/>
  <c r="N76"/>
  <c r="L76"/>
  <c r="N74"/>
  <c r="L74"/>
  <c r="N72"/>
  <c r="L72"/>
  <c r="N70"/>
  <c r="L70"/>
  <c r="N101"/>
  <c r="L101"/>
  <c r="O92"/>
  <c r="M92"/>
  <c r="O90"/>
  <c r="M90"/>
  <c r="O88"/>
  <c r="M88"/>
  <c r="O86"/>
  <c r="M86"/>
  <c r="O84"/>
  <c r="M84"/>
  <c r="O82"/>
  <c r="M82"/>
  <c r="O81"/>
  <c r="M81"/>
  <c r="O80"/>
  <c r="M80"/>
  <c r="O79"/>
  <c r="M79"/>
  <c r="O78"/>
  <c r="M78"/>
  <c r="O77"/>
  <c r="M77"/>
  <c r="O76"/>
  <c r="M76"/>
  <c r="O75"/>
  <c r="M75"/>
  <c r="O74"/>
  <c r="M74"/>
  <c r="O73"/>
  <c r="M73"/>
  <c r="O72"/>
  <c r="M72"/>
  <c r="O71"/>
  <c r="M71"/>
  <c r="O70"/>
  <c r="M70"/>
  <c r="N103"/>
  <c r="O101"/>
  <c r="M101"/>
  <c r="N99"/>
  <c r="O97"/>
  <c r="M97"/>
  <c r="O89"/>
  <c r="M89"/>
  <c r="O68"/>
  <c r="M68"/>
  <c r="N98"/>
  <c r="L98"/>
  <c r="O65"/>
  <c r="O67"/>
  <c r="M67"/>
  <c r="O83"/>
  <c r="M83"/>
  <c r="O87"/>
  <c r="M87"/>
  <c r="O93"/>
  <c r="M93"/>
  <c r="O95"/>
  <c r="M95"/>
  <c r="O98"/>
  <c r="M98"/>
  <c r="O100"/>
  <c r="M100"/>
  <c r="O103"/>
  <c r="M103"/>
  <c r="N67"/>
  <c r="N94"/>
  <c r="L94"/>
  <c r="N68"/>
  <c r="L68"/>
  <c r="N69"/>
  <c r="N73"/>
  <c r="N77"/>
  <c r="N81"/>
  <c r="N85"/>
  <c r="L85"/>
  <c r="N90"/>
  <c r="L90"/>
  <c r="N93"/>
  <c r="L93"/>
  <c r="N97"/>
  <c r="L97"/>
  <c r="W63"/>
  <c r="V77"/>
  <c r="X63"/>
  <c r="V79"/>
  <c r="V75"/>
  <c r="V71"/>
  <c r="V67"/>
  <c r="X70"/>
  <c r="X71"/>
  <c r="V80"/>
  <c r="V76"/>
  <c r="V72"/>
  <c r="V68"/>
  <c r="X80"/>
  <c r="X81"/>
  <c r="X65"/>
  <c r="G58"/>
  <c r="W78"/>
  <c r="W70"/>
  <c r="W66"/>
  <c r="X74"/>
  <c r="X75"/>
  <c r="W79"/>
  <c r="W75"/>
  <c r="W71"/>
  <c r="W67"/>
  <c r="X76"/>
  <c r="X77"/>
  <c r="W64"/>
  <c r="W73"/>
  <c r="W65"/>
  <c r="V64"/>
  <c r="W74"/>
  <c r="V65"/>
  <c r="X66"/>
  <c r="V78"/>
  <c r="V70"/>
  <c r="X68"/>
  <c r="O66"/>
  <c r="M66"/>
  <c r="O69"/>
  <c r="M69"/>
  <c r="O85"/>
  <c r="M85"/>
  <c r="O91"/>
  <c r="M91"/>
  <c r="O94"/>
  <c r="M94"/>
  <c r="O96"/>
  <c r="M96"/>
  <c r="O99"/>
  <c r="M99"/>
  <c r="O102"/>
  <c r="M102"/>
  <c r="O104"/>
  <c r="M104"/>
  <c r="N100"/>
  <c r="N102"/>
  <c r="L102"/>
  <c r="N83"/>
  <c r="N87"/>
  <c r="N91"/>
  <c r="N95"/>
  <c r="N65"/>
  <c r="N66"/>
  <c r="L66"/>
  <c r="N71"/>
  <c r="N75"/>
  <c r="L75"/>
  <c r="N79"/>
  <c r="N84"/>
  <c r="L84"/>
  <c r="N89"/>
  <c r="L89"/>
  <c r="N92"/>
  <c r="L92"/>
  <c r="N96"/>
  <c r="N104"/>
  <c r="L104"/>
  <c r="V81"/>
  <c r="V73"/>
  <c r="W80"/>
  <c r="W76"/>
  <c r="W72"/>
  <c r="W68"/>
  <c r="X78"/>
  <c r="X79"/>
  <c r="W81"/>
  <c r="W77"/>
  <c r="W69"/>
  <c r="X72"/>
  <c r="X73"/>
  <c r="V63"/>
  <c r="V69"/>
  <c r="X67"/>
  <c r="V74"/>
  <c r="V66"/>
  <c r="X69"/>
  <c r="X64"/>
  <c r="Q7"/>
  <c r="I8"/>
  <c r="T7"/>
  <c r="V7"/>
  <c r="U7"/>
  <c r="Q8"/>
  <c r="S7"/>
  <c r="L65"/>
  <c r="N105"/>
  <c r="O105"/>
  <c r="M105"/>
  <c r="M65"/>
  <c r="V8"/>
  <c r="S8"/>
  <c r="U8"/>
  <c r="T8"/>
  <c r="N11" i="82"/>
  <c r="O11" s="1"/>
  <c r="N11" i="87"/>
  <c r="P57" i="7" s="1"/>
  <c r="J64" i="5" s="1"/>
  <c r="O12" i="93"/>
  <c r="N13"/>
  <c r="R5" i="10"/>
  <c r="R8"/>
  <c r="D23"/>
  <c r="D55"/>
  <c r="D57"/>
  <c r="F23"/>
  <c r="F55"/>
  <c r="F57"/>
  <c r="I5"/>
  <c r="F25"/>
  <c r="P65"/>
  <c r="O64"/>
  <c r="P63"/>
  <c r="O65"/>
  <c r="P64"/>
  <c r="O63"/>
  <c r="W71"/>
  <c r="Y80"/>
  <c r="W63"/>
  <c r="X80"/>
  <c r="Y72"/>
  <c r="Y78"/>
  <c r="W70"/>
  <c r="O95"/>
  <c r="M95"/>
  <c r="O73"/>
  <c r="M73"/>
  <c r="P93"/>
  <c r="N93"/>
  <c r="P72"/>
  <c r="N72"/>
  <c r="O104"/>
  <c r="M104"/>
  <c r="O76"/>
  <c r="M76"/>
  <c r="O101"/>
  <c r="M101"/>
  <c r="X76"/>
  <c r="X81"/>
  <c r="X65"/>
  <c r="P67"/>
  <c r="N67"/>
  <c r="P75"/>
  <c r="N75"/>
  <c r="P84"/>
  <c r="N84"/>
  <c r="P92"/>
  <c r="N92"/>
  <c r="P102"/>
  <c r="N102"/>
  <c r="P70"/>
  <c r="N70"/>
  <c r="P78"/>
  <c r="N78"/>
  <c r="P86"/>
  <c r="N86"/>
  <c r="P94"/>
  <c r="N94"/>
  <c r="P83"/>
  <c r="N83"/>
  <c r="Y71"/>
  <c r="W67"/>
  <c r="W76"/>
  <c r="Y66"/>
  <c r="X70"/>
  <c r="X75"/>
  <c r="O93"/>
  <c r="M93"/>
  <c r="O72"/>
  <c r="M72"/>
  <c r="P89"/>
  <c r="N89"/>
  <c r="P69"/>
  <c r="N69"/>
  <c r="O67"/>
  <c r="M67"/>
  <c r="O75"/>
  <c r="M75"/>
  <c r="O84"/>
  <c r="M84"/>
  <c r="O92"/>
  <c r="M92"/>
  <c r="O102"/>
  <c r="M102"/>
  <c r="O70"/>
  <c r="M70"/>
  <c r="O78"/>
  <c r="M78"/>
  <c r="O86"/>
  <c r="M86"/>
  <c r="O94"/>
  <c r="M94"/>
  <c r="O83"/>
  <c r="M83"/>
  <c r="Y81"/>
  <c r="Y73"/>
  <c r="G58"/>
  <c r="Y76"/>
  <c r="O85"/>
  <c r="M85"/>
  <c r="P81"/>
  <c r="N81"/>
  <c r="O100"/>
  <c r="M100"/>
  <c r="O68"/>
  <c r="M68"/>
  <c r="O91"/>
  <c r="M91"/>
  <c r="X72"/>
  <c r="X77"/>
  <c r="O97"/>
  <c r="M97"/>
  <c r="O77"/>
  <c r="M77"/>
  <c r="P95"/>
  <c r="N95"/>
  <c r="P73"/>
  <c r="N73"/>
  <c r="N64"/>
  <c r="P71"/>
  <c r="N71"/>
  <c r="P79"/>
  <c r="N79"/>
  <c r="P88"/>
  <c r="N88"/>
  <c r="P96"/>
  <c r="N96"/>
  <c r="P66"/>
  <c r="N66"/>
  <c r="P74"/>
  <c r="N74"/>
  <c r="P82"/>
  <c r="N82"/>
  <c r="P90"/>
  <c r="N90"/>
  <c r="P98"/>
  <c r="N98"/>
  <c r="P99"/>
  <c r="N99"/>
  <c r="Y75"/>
  <c r="W65"/>
  <c r="W74"/>
  <c r="X64"/>
  <c r="X66"/>
  <c r="X71"/>
  <c r="O81"/>
  <c r="M81"/>
  <c r="P103"/>
  <c r="N103"/>
  <c r="P80"/>
  <c r="N80"/>
  <c r="M64"/>
  <c r="O71"/>
  <c r="M71"/>
  <c r="O79"/>
  <c r="M79"/>
  <c r="O88"/>
  <c r="M88"/>
  <c r="O96"/>
  <c r="M96"/>
  <c r="O66"/>
  <c r="M66"/>
  <c r="O74"/>
  <c r="M74"/>
  <c r="O82"/>
  <c r="M82"/>
  <c r="O90"/>
  <c r="M90"/>
  <c r="O98"/>
  <c r="M98"/>
  <c r="O99"/>
  <c r="M99"/>
  <c r="W81"/>
  <c r="W73"/>
  <c r="W79"/>
  <c r="W72"/>
  <c r="W75"/>
  <c r="X63"/>
  <c r="Y74"/>
  <c r="W66"/>
  <c r="X68"/>
  <c r="X73"/>
  <c r="O87"/>
  <c r="M87"/>
  <c r="M65"/>
  <c r="P85"/>
  <c r="N85"/>
  <c r="Y79"/>
  <c r="W80"/>
  <c r="Y70"/>
  <c r="O103"/>
  <c r="M103"/>
  <c r="O80"/>
  <c r="M80"/>
  <c r="P97"/>
  <c r="N97"/>
  <c r="P77"/>
  <c r="N77"/>
  <c r="P100"/>
  <c r="N100"/>
  <c r="P68"/>
  <c r="N68"/>
  <c r="P91"/>
  <c r="N91"/>
  <c r="X78"/>
  <c r="W64"/>
  <c r="X67"/>
  <c r="Y77"/>
  <c r="Y69"/>
  <c r="Y65"/>
  <c r="W68"/>
  <c r="Y64"/>
  <c r="X69"/>
  <c r="Y67"/>
  <c r="W78"/>
  <c r="Y68"/>
  <c r="O89"/>
  <c r="M89"/>
  <c r="O69"/>
  <c r="M69"/>
  <c r="P87"/>
  <c r="N87"/>
  <c r="N65"/>
  <c r="P104"/>
  <c r="N104"/>
  <c r="P76"/>
  <c r="N76"/>
  <c r="P101"/>
  <c r="N101"/>
  <c r="X74"/>
  <c r="X79"/>
  <c r="Y63"/>
  <c r="W77"/>
  <c r="W69"/>
  <c r="Q5"/>
  <c r="I8"/>
  <c r="V5"/>
  <c r="Q8"/>
  <c r="S5"/>
  <c r="T5"/>
  <c r="U5"/>
  <c r="P105"/>
  <c r="O105"/>
  <c r="M105"/>
  <c r="M63"/>
  <c r="T8"/>
  <c r="V8"/>
  <c r="U8"/>
  <c r="S8"/>
  <c r="E38" i="16"/>
  <c r="L7"/>
  <c r="Q7"/>
  <c r="L8"/>
  <c r="F38"/>
  <c r="F55"/>
  <c r="F57"/>
  <c r="P71"/>
  <c r="P70"/>
  <c r="P69"/>
  <c r="P68"/>
  <c r="P67"/>
  <c r="P66"/>
  <c r="P65"/>
  <c r="P64"/>
  <c r="P63"/>
  <c r="O71"/>
  <c r="O70"/>
  <c r="O69"/>
  <c r="O68"/>
  <c r="O67"/>
  <c r="O66"/>
  <c r="O65"/>
  <c r="O64"/>
  <c r="O63"/>
  <c r="V7"/>
  <c r="S7"/>
  <c r="U7"/>
  <c r="T7"/>
  <c r="Q8"/>
  <c r="T8"/>
  <c r="P74"/>
  <c r="N74"/>
  <c r="P76"/>
  <c r="N76"/>
  <c r="P78"/>
  <c r="N78"/>
  <c r="P80"/>
  <c r="N80"/>
  <c r="P82"/>
  <c r="N82"/>
  <c r="P84"/>
  <c r="N84"/>
  <c r="P86"/>
  <c r="N86"/>
  <c r="P88"/>
  <c r="N88"/>
  <c r="P90"/>
  <c r="N90"/>
  <c r="P92"/>
  <c r="N92"/>
  <c r="P94"/>
  <c r="N94"/>
  <c r="P96"/>
  <c r="N96"/>
  <c r="P98"/>
  <c r="N98"/>
  <c r="P100"/>
  <c r="N100"/>
  <c r="P102"/>
  <c r="N102"/>
  <c r="P104"/>
  <c r="N104"/>
  <c r="O74"/>
  <c r="M74"/>
  <c r="O76"/>
  <c r="M76"/>
  <c r="O78"/>
  <c r="M78"/>
  <c r="O80"/>
  <c r="M80"/>
  <c r="O82"/>
  <c r="M82"/>
  <c r="O84"/>
  <c r="M84"/>
  <c r="O86"/>
  <c r="M86"/>
  <c r="O88"/>
  <c r="M88"/>
  <c r="O90"/>
  <c r="M90"/>
  <c r="O92"/>
  <c r="M92"/>
  <c r="O94"/>
  <c r="M94"/>
  <c r="O96"/>
  <c r="M96"/>
  <c r="O98"/>
  <c r="M98"/>
  <c r="O100"/>
  <c r="M100"/>
  <c r="O102"/>
  <c r="M102"/>
  <c r="O104"/>
  <c r="M104"/>
  <c r="Y68"/>
  <c r="Y64"/>
  <c r="Y78"/>
  <c r="Y74"/>
  <c r="Y81"/>
  <c r="Y77"/>
  <c r="Y73"/>
  <c r="Y69"/>
  <c r="Y65"/>
  <c r="X79"/>
  <c r="X63"/>
  <c r="W68"/>
  <c r="X77"/>
  <c r="X80"/>
  <c r="W69"/>
  <c r="G58"/>
  <c r="W78"/>
  <c r="W74"/>
  <c r="X68"/>
  <c r="W81"/>
  <c r="W77"/>
  <c r="W73"/>
  <c r="X75"/>
  <c r="X78"/>
  <c r="W65"/>
  <c r="X73"/>
  <c r="X76"/>
  <c r="W67"/>
  <c r="X70"/>
  <c r="P72"/>
  <c r="P73"/>
  <c r="N73"/>
  <c r="P75"/>
  <c r="N75"/>
  <c r="P77"/>
  <c r="N77"/>
  <c r="P79"/>
  <c r="N79"/>
  <c r="P81"/>
  <c r="N81"/>
  <c r="P83"/>
  <c r="N83"/>
  <c r="P85"/>
  <c r="N85"/>
  <c r="P87"/>
  <c r="N87"/>
  <c r="P89"/>
  <c r="N89"/>
  <c r="P91"/>
  <c r="N91"/>
  <c r="P93"/>
  <c r="N93"/>
  <c r="P95"/>
  <c r="N95"/>
  <c r="P97"/>
  <c r="N97"/>
  <c r="P99"/>
  <c r="N99"/>
  <c r="P101"/>
  <c r="N101"/>
  <c r="P103"/>
  <c r="N103"/>
  <c r="O72"/>
  <c r="O73"/>
  <c r="M73"/>
  <c r="O75"/>
  <c r="M75"/>
  <c r="O77"/>
  <c r="M77"/>
  <c r="O79"/>
  <c r="M79"/>
  <c r="O81"/>
  <c r="M81"/>
  <c r="O83"/>
  <c r="M83"/>
  <c r="O85"/>
  <c r="M85"/>
  <c r="O87"/>
  <c r="M87"/>
  <c r="O89"/>
  <c r="M89"/>
  <c r="O91"/>
  <c r="M91"/>
  <c r="O93"/>
  <c r="M93"/>
  <c r="O95"/>
  <c r="M95"/>
  <c r="O97"/>
  <c r="M97"/>
  <c r="O99"/>
  <c r="M99"/>
  <c r="O101"/>
  <c r="M101"/>
  <c r="O103"/>
  <c r="M103"/>
  <c r="Y70"/>
  <c r="Y66"/>
  <c r="Y80"/>
  <c r="Y76"/>
  <c r="Y72"/>
  <c r="Y79"/>
  <c r="Y75"/>
  <c r="Y71"/>
  <c r="Y67"/>
  <c r="Y63"/>
  <c r="X71"/>
  <c r="X72"/>
  <c r="W63"/>
  <c r="X69"/>
  <c r="X74"/>
  <c r="W66"/>
  <c r="W80"/>
  <c r="W76"/>
  <c r="W72"/>
  <c r="X64"/>
  <c r="W79"/>
  <c r="W75"/>
  <c r="X67"/>
  <c r="W70"/>
  <c r="X81"/>
  <c r="X65"/>
  <c r="W71"/>
  <c r="W64"/>
  <c r="X66"/>
  <c r="U8"/>
  <c r="V8"/>
  <c r="S8"/>
  <c r="N72"/>
  <c r="P105"/>
  <c r="O105"/>
  <c r="M105"/>
  <c r="U105" i="11"/>
  <c r="E53"/>
  <c r="V104"/>
  <c r="V105"/>
  <c r="F53"/>
  <c r="T105"/>
  <c r="D53"/>
  <c r="R5"/>
  <c r="R8"/>
  <c r="G105"/>
  <c r="F55"/>
  <c r="F57"/>
  <c r="F58"/>
  <c r="E55"/>
  <c r="E57"/>
  <c r="O7"/>
  <c r="E58"/>
  <c r="O5"/>
  <c r="O8"/>
  <c r="D55"/>
  <c r="D57"/>
  <c r="D58"/>
  <c r="H105"/>
  <c r="Q5"/>
  <c r="S5"/>
  <c r="O63"/>
  <c r="M63"/>
  <c r="O70"/>
  <c r="M70"/>
  <c r="O78"/>
  <c r="M78"/>
  <c r="O86"/>
  <c r="M86"/>
  <c r="O94"/>
  <c r="M94"/>
  <c r="O102"/>
  <c r="M102"/>
  <c r="P64"/>
  <c r="N64"/>
  <c r="P66"/>
  <c r="P68"/>
  <c r="N68"/>
  <c r="P70"/>
  <c r="N70"/>
  <c r="P72"/>
  <c r="N72"/>
  <c r="P74"/>
  <c r="N74"/>
  <c r="P76"/>
  <c r="N76"/>
  <c r="P78"/>
  <c r="N78"/>
  <c r="P80"/>
  <c r="N80"/>
  <c r="P82"/>
  <c r="N82"/>
  <c r="P84"/>
  <c r="N84"/>
  <c r="P86"/>
  <c r="N86"/>
  <c r="P88"/>
  <c r="N88"/>
  <c r="P90"/>
  <c r="N90"/>
  <c r="P92"/>
  <c r="N92"/>
  <c r="P94"/>
  <c r="N94"/>
  <c r="P96"/>
  <c r="N96"/>
  <c r="P98"/>
  <c r="N98"/>
  <c r="P100"/>
  <c r="N100"/>
  <c r="P102"/>
  <c r="N102"/>
  <c r="P104"/>
  <c r="N104"/>
  <c r="G58"/>
  <c r="X81"/>
  <c r="W79"/>
  <c r="W71"/>
  <c r="W63"/>
  <c r="W74"/>
  <c r="W68"/>
  <c r="X72"/>
  <c r="X79"/>
  <c r="Y81"/>
  <c r="Y77"/>
  <c r="Y73"/>
  <c r="Y69"/>
  <c r="Z65"/>
  <c r="Y80"/>
  <c r="Y76"/>
  <c r="Y72"/>
  <c r="Y68"/>
  <c r="Z64"/>
  <c r="X78"/>
  <c r="Y63"/>
  <c r="X67"/>
  <c r="X68"/>
  <c r="W81"/>
  <c r="W73"/>
  <c r="Y64"/>
  <c r="W76"/>
  <c r="W66"/>
  <c r="X66"/>
  <c r="X71"/>
  <c r="X63"/>
  <c r="O66"/>
  <c r="M66"/>
  <c r="O74"/>
  <c r="M74"/>
  <c r="O82"/>
  <c r="M82"/>
  <c r="O90"/>
  <c r="M90"/>
  <c r="O98"/>
  <c r="M98"/>
  <c r="P63"/>
  <c r="P65"/>
  <c r="N65"/>
  <c r="P67"/>
  <c r="N67"/>
  <c r="P69"/>
  <c r="N69"/>
  <c r="P71"/>
  <c r="N71"/>
  <c r="P73"/>
  <c r="N73"/>
  <c r="P75"/>
  <c r="N75"/>
  <c r="P77"/>
  <c r="N77"/>
  <c r="P79"/>
  <c r="N79"/>
  <c r="P81"/>
  <c r="N81"/>
  <c r="P83"/>
  <c r="N83"/>
  <c r="P85"/>
  <c r="N85"/>
  <c r="P87"/>
  <c r="N87"/>
  <c r="P89"/>
  <c r="N89"/>
  <c r="P91"/>
  <c r="N91"/>
  <c r="P93"/>
  <c r="N93"/>
  <c r="P95"/>
  <c r="N95"/>
  <c r="P97"/>
  <c r="N97"/>
  <c r="P99"/>
  <c r="N99"/>
  <c r="P101"/>
  <c r="N101"/>
  <c r="P103"/>
  <c r="N103"/>
  <c r="X76"/>
  <c r="Y65"/>
  <c r="W75"/>
  <c r="W67"/>
  <c r="W78"/>
  <c r="W72"/>
  <c r="X80"/>
  <c r="X65"/>
  <c r="X69"/>
  <c r="Y79"/>
  <c r="Y75"/>
  <c r="Y71"/>
  <c r="Y67"/>
  <c r="W64"/>
  <c r="Y78"/>
  <c r="Y74"/>
  <c r="Y70"/>
  <c r="Y66"/>
  <c r="X70"/>
  <c r="X75"/>
  <c r="X64"/>
  <c r="X73"/>
  <c r="W77"/>
  <c r="W69"/>
  <c r="W80"/>
  <c r="W70"/>
  <c r="Z63"/>
  <c r="X74"/>
  <c r="X77"/>
  <c r="W65"/>
  <c r="O104"/>
  <c r="M104"/>
  <c r="O100"/>
  <c r="M100"/>
  <c r="O96"/>
  <c r="M96"/>
  <c r="O92"/>
  <c r="M92"/>
  <c r="O88"/>
  <c r="M88"/>
  <c r="O84"/>
  <c r="M84"/>
  <c r="O80"/>
  <c r="M80"/>
  <c r="O76"/>
  <c r="M76"/>
  <c r="O72"/>
  <c r="M72"/>
  <c r="O68"/>
  <c r="M68"/>
  <c r="O64"/>
  <c r="M64"/>
  <c r="P105"/>
  <c r="O103"/>
  <c r="M103"/>
  <c r="O101"/>
  <c r="M101"/>
  <c r="O99"/>
  <c r="M99"/>
  <c r="O97"/>
  <c r="M97"/>
  <c r="O95"/>
  <c r="M95"/>
  <c r="O93"/>
  <c r="M93"/>
  <c r="O91"/>
  <c r="M91"/>
  <c r="O89"/>
  <c r="M89"/>
  <c r="O87"/>
  <c r="M87"/>
  <c r="O85"/>
  <c r="M85"/>
  <c r="O83"/>
  <c r="M83"/>
  <c r="O81"/>
  <c r="M81"/>
  <c r="O79"/>
  <c r="M79"/>
  <c r="O77"/>
  <c r="M77"/>
  <c r="O75"/>
  <c r="M75"/>
  <c r="O73"/>
  <c r="M73"/>
  <c r="O71"/>
  <c r="M71"/>
  <c r="O69"/>
  <c r="M69"/>
  <c r="O67"/>
  <c r="O65"/>
  <c r="M65"/>
  <c r="Q7"/>
  <c r="T5"/>
  <c r="V5"/>
  <c r="Q8"/>
  <c r="U5"/>
  <c r="O105"/>
  <c r="T7"/>
  <c r="V7"/>
  <c r="U7"/>
  <c r="S7"/>
  <c r="T8"/>
  <c r="V8"/>
  <c r="S8"/>
  <c r="U8"/>
  <c r="R5" i="13"/>
  <c r="R8"/>
  <c r="F25"/>
  <c r="D55"/>
  <c r="D57"/>
  <c r="I5"/>
  <c r="O71"/>
  <c r="O73"/>
  <c r="M73"/>
  <c r="O75"/>
  <c r="M75"/>
  <c r="O77"/>
  <c r="M77"/>
  <c r="O79"/>
  <c r="M79"/>
  <c r="O81"/>
  <c r="M81"/>
  <c r="O83"/>
  <c r="M83"/>
  <c r="O85"/>
  <c r="M85"/>
  <c r="O87"/>
  <c r="M87"/>
  <c r="O89"/>
  <c r="M89"/>
  <c r="O91"/>
  <c r="M91"/>
  <c r="O93"/>
  <c r="M93"/>
  <c r="O95"/>
  <c r="M95"/>
  <c r="O97"/>
  <c r="M97"/>
  <c r="O99"/>
  <c r="M99"/>
  <c r="O101"/>
  <c r="M101"/>
  <c r="O103"/>
  <c r="M103"/>
  <c r="P71"/>
  <c r="P72"/>
  <c r="N72"/>
  <c r="P74"/>
  <c r="N74"/>
  <c r="P76"/>
  <c r="N76"/>
  <c r="P78"/>
  <c r="N78"/>
  <c r="P80"/>
  <c r="N80"/>
  <c r="P82"/>
  <c r="N82"/>
  <c r="P84"/>
  <c r="N84"/>
  <c r="P86"/>
  <c r="N86"/>
  <c r="P88"/>
  <c r="N88"/>
  <c r="P90"/>
  <c r="N90"/>
  <c r="P92"/>
  <c r="N92"/>
  <c r="P94"/>
  <c r="N94"/>
  <c r="P96"/>
  <c r="N96"/>
  <c r="P98"/>
  <c r="N98"/>
  <c r="P100"/>
  <c r="N100"/>
  <c r="P102"/>
  <c r="N102"/>
  <c r="P104"/>
  <c r="N104"/>
  <c r="Y80"/>
  <c r="Y72"/>
  <c r="X79"/>
  <c r="X71"/>
  <c r="X67"/>
  <c r="X63"/>
  <c r="X74"/>
  <c r="Y68"/>
  <c r="Y64"/>
  <c r="Y78"/>
  <c r="AA70"/>
  <c r="AA64"/>
  <c r="Y79"/>
  <c r="Y75"/>
  <c r="Y71"/>
  <c r="W68"/>
  <c r="W64"/>
  <c r="Y74"/>
  <c r="X81"/>
  <c r="X73"/>
  <c r="X68"/>
  <c r="X64"/>
  <c r="X76"/>
  <c r="Y69"/>
  <c r="Y65"/>
  <c r="W76"/>
  <c r="AA68"/>
  <c r="AA63"/>
  <c r="W79"/>
  <c r="W75"/>
  <c r="W71"/>
  <c r="W67"/>
  <c r="W63"/>
  <c r="O72"/>
  <c r="M72"/>
  <c r="O74"/>
  <c r="M74"/>
  <c r="O76"/>
  <c r="M76"/>
  <c r="O78"/>
  <c r="M78"/>
  <c r="O80"/>
  <c r="M80"/>
  <c r="O82"/>
  <c r="M82"/>
  <c r="O84"/>
  <c r="M84"/>
  <c r="O86"/>
  <c r="M86"/>
  <c r="O88"/>
  <c r="M88"/>
  <c r="O90"/>
  <c r="M90"/>
  <c r="O92"/>
  <c r="M92"/>
  <c r="O94"/>
  <c r="M94"/>
  <c r="O96"/>
  <c r="M96"/>
  <c r="O98"/>
  <c r="M98"/>
  <c r="O100"/>
  <c r="M100"/>
  <c r="O102"/>
  <c r="M102"/>
  <c r="O104"/>
  <c r="M104"/>
  <c r="P73"/>
  <c r="N73"/>
  <c r="P75"/>
  <c r="N75"/>
  <c r="P77"/>
  <c r="N77"/>
  <c r="P79"/>
  <c r="N79"/>
  <c r="P81"/>
  <c r="N81"/>
  <c r="P83"/>
  <c r="N83"/>
  <c r="P85"/>
  <c r="N85"/>
  <c r="P87"/>
  <c r="N87"/>
  <c r="P89"/>
  <c r="N89"/>
  <c r="P91"/>
  <c r="N91"/>
  <c r="P93"/>
  <c r="N93"/>
  <c r="P95"/>
  <c r="N95"/>
  <c r="P97"/>
  <c r="N97"/>
  <c r="P99"/>
  <c r="N99"/>
  <c r="P101"/>
  <c r="N101"/>
  <c r="P103"/>
  <c r="N103"/>
  <c r="G58"/>
  <c r="Y76"/>
  <c r="AA67"/>
  <c r="X75"/>
  <c r="X69"/>
  <c r="X65"/>
  <c r="X78"/>
  <c r="Y70"/>
  <c r="Y66"/>
  <c r="W74"/>
  <c r="AA66"/>
  <c r="Y81"/>
  <c r="Y77"/>
  <c r="Y73"/>
  <c r="W70"/>
  <c r="W66"/>
  <c r="W78"/>
  <c r="AA69"/>
  <c r="X77"/>
  <c r="X70"/>
  <c r="X66"/>
  <c r="X80"/>
  <c r="X72"/>
  <c r="Y67"/>
  <c r="Y63"/>
  <c r="W80"/>
  <c r="W72"/>
  <c r="AA65"/>
  <c r="W81"/>
  <c r="W77"/>
  <c r="W73"/>
  <c r="W69"/>
  <c r="W65"/>
  <c r="I8"/>
  <c r="Q5"/>
  <c r="O105"/>
  <c r="N71"/>
  <c r="P105"/>
  <c r="N105"/>
  <c r="Q8"/>
  <c r="T5"/>
  <c r="V5"/>
  <c r="S5"/>
  <c r="U5"/>
  <c r="S8"/>
  <c r="T8"/>
  <c r="U8"/>
  <c r="V8"/>
  <c r="L7" i="17"/>
  <c r="Q7"/>
  <c r="L8"/>
  <c r="Q8"/>
  <c r="U8"/>
  <c r="V7"/>
  <c r="T7"/>
  <c r="S7"/>
  <c r="E55"/>
  <c r="E57"/>
  <c r="U7"/>
  <c r="V8"/>
  <c r="S8"/>
  <c r="N76"/>
  <c r="O78"/>
  <c r="M78"/>
  <c r="O82"/>
  <c r="M82"/>
  <c r="O84"/>
  <c r="M84"/>
  <c r="O86"/>
  <c r="M86"/>
  <c r="O88"/>
  <c r="M88"/>
  <c r="O90"/>
  <c r="M90"/>
  <c r="O92"/>
  <c r="M92"/>
  <c r="O94"/>
  <c r="M94"/>
  <c r="O96"/>
  <c r="M96"/>
  <c r="O98"/>
  <c r="M98"/>
  <c r="O100"/>
  <c r="M100"/>
  <c r="O102"/>
  <c r="M102"/>
  <c r="O104"/>
  <c r="M104"/>
  <c r="P77"/>
  <c r="N77"/>
  <c r="P79"/>
  <c r="P81"/>
  <c r="N81"/>
  <c r="P83"/>
  <c r="P85"/>
  <c r="N85"/>
  <c r="P87"/>
  <c r="P89"/>
  <c r="N89"/>
  <c r="P91"/>
  <c r="P93"/>
  <c r="N93"/>
  <c r="P95"/>
  <c r="P97"/>
  <c r="N97"/>
  <c r="P99"/>
  <c r="P101"/>
  <c r="N101"/>
  <c r="P103"/>
  <c r="Y81"/>
  <c r="Y68"/>
  <c r="Y74"/>
  <c r="Y75"/>
  <c r="Y77"/>
  <c r="Y71"/>
  <c r="Y65"/>
  <c r="Y78"/>
  <c r="Y72"/>
  <c r="Y69"/>
  <c r="X69"/>
  <c r="W70"/>
  <c r="W73"/>
  <c r="X63"/>
  <c r="W71"/>
  <c r="W67"/>
  <c r="W64"/>
  <c r="X73"/>
  <c r="G58"/>
  <c r="X79"/>
  <c r="W76"/>
  <c r="X76"/>
  <c r="X67"/>
  <c r="W80"/>
  <c r="X78"/>
  <c r="X64"/>
  <c r="X70"/>
  <c r="X66"/>
  <c r="X81"/>
  <c r="W74"/>
  <c r="O80"/>
  <c r="M80"/>
  <c r="O83"/>
  <c r="M83"/>
  <c r="O85"/>
  <c r="M85"/>
  <c r="O87"/>
  <c r="M87"/>
  <c r="O89"/>
  <c r="M89"/>
  <c r="O91"/>
  <c r="M91"/>
  <c r="O93"/>
  <c r="M93"/>
  <c r="O95"/>
  <c r="M95"/>
  <c r="O97"/>
  <c r="M97"/>
  <c r="O99"/>
  <c r="M99"/>
  <c r="O101"/>
  <c r="M101"/>
  <c r="O103"/>
  <c r="M103"/>
  <c r="P78"/>
  <c r="N78"/>
  <c r="P80"/>
  <c r="N80"/>
  <c r="P82"/>
  <c r="N82"/>
  <c r="P84"/>
  <c r="N84"/>
  <c r="P86"/>
  <c r="N86"/>
  <c r="P88"/>
  <c r="N88"/>
  <c r="P90"/>
  <c r="N90"/>
  <c r="P92"/>
  <c r="N92"/>
  <c r="P94"/>
  <c r="N94"/>
  <c r="P96"/>
  <c r="N96"/>
  <c r="P98"/>
  <c r="N98"/>
  <c r="P100"/>
  <c r="N100"/>
  <c r="P102"/>
  <c r="N102"/>
  <c r="P104"/>
  <c r="N104"/>
  <c r="Y70"/>
  <c r="Y63"/>
  <c r="Y73"/>
  <c r="Y64"/>
  <c r="Y67"/>
  <c r="Y66"/>
  <c r="Y76"/>
  <c r="Y79"/>
  <c r="Y80"/>
  <c r="W69"/>
  <c r="X68"/>
  <c r="W81"/>
  <c r="X72"/>
  <c r="W72"/>
  <c r="W65"/>
  <c r="X74"/>
  <c r="W63"/>
  <c r="X75"/>
  <c r="X65"/>
  <c r="W77"/>
  <c r="W78"/>
  <c r="X77"/>
  <c r="W66"/>
  <c r="X71"/>
  <c r="W79"/>
  <c r="W75"/>
  <c r="X80"/>
  <c r="W68"/>
  <c r="T8"/>
  <c r="M76"/>
  <c r="O81"/>
  <c r="M81"/>
  <c r="O79"/>
  <c r="M79"/>
  <c r="O77"/>
  <c r="M77"/>
  <c r="P105"/>
  <c r="N105"/>
  <c r="O105"/>
  <c r="M105"/>
  <c r="I5" i="21"/>
  <c r="Q5"/>
  <c r="R5"/>
  <c r="R8"/>
  <c r="D55"/>
  <c r="D57"/>
  <c r="I8"/>
  <c r="F2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105"/>
  <c r="N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3"/>
  <c r="O105"/>
  <c r="M105"/>
  <c r="Y78"/>
  <c r="W68"/>
  <c r="X76"/>
  <c r="W67"/>
  <c r="W78"/>
  <c r="Y72"/>
  <c r="X67"/>
  <c r="Y79"/>
  <c r="X74"/>
  <c r="W69"/>
  <c r="Y63"/>
  <c r="W72"/>
  <c r="W79"/>
  <c r="Y65"/>
  <c r="Y66"/>
  <c r="Y73"/>
  <c r="Y76"/>
  <c r="W66"/>
  <c r="W73"/>
  <c r="W63"/>
  <c r="W75"/>
  <c r="X73"/>
  <c r="X80"/>
  <c r="W71"/>
  <c r="Y80"/>
  <c r="X75"/>
  <c r="W70"/>
  <c r="Y64"/>
  <c r="W77"/>
  <c r="Y71"/>
  <c r="X66"/>
  <c r="X77"/>
  <c r="X65"/>
  <c r="X72"/>
  <c r="W80"/>
  <c r="Y70"/>
  <c r="Y77"/>
  <c r="Y69"/>
  <c r="X79"/>
  <c r="W74"/>
  <c r="Y68"/>
  <c r="X63"/>
  <c r="Y75"/>
  <c r="X70"/>
  <c r="W65"/>
  <c r="Y74"/>
  <c r="W64"/>
  <c r="X68"/>
  <c r="W76"/>
  <c r="X64"/>
  <c r="X71"/>
  <c r="X78"/>
  <c r="Y67"/>
  <c r="X69"/>
  <c r="G58"/>
  <c r="Q8"/>
  <c r="U5"/>
  <c r="S5"/>
  <c r="V5"/>
  <c r="T5"/>
  <c r="S8"/>
  <c r="V8"/>
  <c r="U8"/>
  <c r="T8"/>
  <c r="U105" i="22"/>
  <c r="E53"/>
  <c r="O7"/>
  <c r="Q7"/>
  <c r="V104"/>
  <c r="V105"/>
  <c r="F53"/>
  <c r="T105"/>
  <c r="D53"/>
  <c r="O5"/>
  <c r="R5"/>
  <c r="R8"/>
  <c r="U7"/>
  <c r="T7"/>
  <c r="V7"/>
  <c r="E55"/>
  <c r="E57"/>
  <c r="H105"/>
  <c r="G105"/>
  <c r="E58"/>
  <c r="D58"/>
  <c r="S7"/>
  <c r="Q5"/>
  <c r="S5"/>
  <c r="O8"/>
  <c r="F58"/>
  <c r="F55"/>
  <c r="F57"/>
  <c r="D55"/>
  <c r="D57"/>
  <c r="P63"/>
  <c r="P64"/>
  <c r="N64"/>
  <c r="P66"/>
  <c r="N66"/>
  <c r="P68"/>
  <c r="N68"/>
  <c r="P70"/>
  <c r="N70"/>
  <c r="P72"/>
  <c r="N72"/>
  <c r="P74"/>
  <c r="N74"/>
  <c r="P76"/>
  <c r="N76"/>
  <c r="P78"/>
  <c r="N78"/>
  <c r="P80"/>
  <c r="N80"/>
  <c r="P82"/>
  <c r="N82"/>
  <c r="P84"/>
  <c r="N84"/>
  <c r="P86"/>
  <c r="N86"/>
  <c r="P88"/>
  <c r="N88"/>
  <c r="P90"/>
  <c r="N90"/>
  <c r="P92"/>
  <c r="N92"/>
  <c r="P94"/>
  <c r="N94"/>
  <c r="P96"/>
  <c r="N96"/>
  <c r="P98"/>
  <c r="N98"/>
  <c r="P100"/>
  <c r="N100"/>
  <c r="P102"/>
  <c r="N102"/>
  <c r="P104"/>
  <c r="N104"/>
  <c r="O65"/>
  <c r="M65"/>
  <c r="O67"/>
  <c r="M67"/>
  <c r="O69"/>
  <c r="M69"/>
  <c r="O71"/>
  <c r="M71"/>
  <c r="O73"/>
  <c r="M73"/>
  <c r="O75"/>
  <c r="M75"/>
  <c r="O77"/>
  <c r="M77"/>
  <c r="O79"/>
  <c r="M79"/>
  <c r="O81"/>
  <c r="M81"/>
  <c r="O83"/>
  <c r="M83"/>
  <c r="O85"/>
  <c r="M85"/>
  <c r="O87"/>
  <c r="M87"/>
  <c r="O89"/>
  <c r="M89"/>
  <c r="O91"/>
  <c r="M91"/>
  <c r="O93"/>
  <c r="M93"/>
  <c r="O95"/>
  <c r="M95"/>
  <c r="O97"/>
  <c r="M97"/>
  <c r="O99"/>
  <c r="M99"/>
  <c r="O101"/>
  <c r="M101"/>
  <c r="O103"/>
  <c r="M103"/>
  <c r="Y74"/>
  <c r="Y79"/>
  <c r="Y69"/>
  <c r="Y72"/>
  <c r="W66"/>
  <c r="Y77"/>
  <c r="W73"/>
  <c r="W69"/>
  <c r="W65"/>
  <c r="X77"/>
  <c r="X69"/>
  <c r="X78"/>
  <c r="X70"/>
  <c r="Y80"/>
  <c r="W74"/>
  <c r="Y64"/>
  <c r="W75"/>
  <c r="W64"/>
  <c r="Y71"/>
  <c r="X63"/>
  <c r="X79"/>
  <c r="X71"/>
  <c r="Y63"/>
  <c r="X76"/>
  <c r="X68"/>
  <c r="Y78"/>
  <c r="W72"/>
  <c r="W63"/>
  <c r="P65"/>
  <c r="P67"/>
  <c r="N67"/>
  <c r="P69"/>
  <c r="N69"/>
  <c r="P71"/>
  <c r="N71"/>
  <c r="P73"/>
  <c r="N73"/>
  <c r="P75"/>
  <c r="N75"/>
  <c r="P77"/>
  <c r="N77"/>
  <c r="P79"/>
  <c r="N79"/>
  <c r="P81"/>
  <c r="N81"/>
  <c r="P83"/>
  <c r="N83"/>
  <c r="P85"/>
  <c r="N85"/>
  <c r="P87"/>
  <c r="N87"/>
  <c r="P89"/>
  <c r="N89"/>
  <c r="P91"/>
  <c r="N91"/>
  <c r="P93"/>
  <c r="N93"/>
  <c r="P95"/>
  <c r="N95"/>
  <c r="P97"/>
  <c r="N97"/>
  <c r="P99"/>
  <c r="N99"/>
  <c r="P101"/>
  <c r="N101"/>
  <c r="P103"/>
  <c r="N103"/>
  <c r="O63"/>
  <c r="O64"/>
  <c r="M64"/>
  <c r="O66"/>
  <c r="M66"/>
  <c r="O68"/>
  <c r="M68"/>
  <c r="O70"/>
  <c r="M70"/>
  <c r="O72"/>
  <c r="M72"/>
  <c r="O74"/>
  <c r="M74"/>
  <c r="O76"/>
  <c r="M76"/>
  <c r="O78"/>
  <c r="M78"/>
  <c r="O80"/>
  <c r="M80"/>
  <c r="O82"/>
  <c r="M82"/>
  <c r="O84"/>
  <c r="M84"/>
  <c r="O86"/>
  <c r="M86"/>
  <c r="O88"/>
  <c r="M88"/>
  <c r="O90"/>
  <c r="M90"/>
  <c r="O92"/>
  <c r="M92"/>
  <c r="O94"/>
  <c r="M94"/>
  <c r="O96"/>
  <c r="M96"/>
  <c r="O98"/>
  <c r="M98"/>
  <c r="O100"/>
  <c r="M100"/>
  <c r="O102"/>
  <c r="M102"/>
  <c r="O104"/>
  <c r="M104"/>
  <c r="G58"/>
  <c r="W80"/>
  <c r="Y66"/>
  <c r="Y73"/>
  <c r="Y65"/>
  <c r="Y76"/>
  <c r="Y68"/>
  <c r="Y81"/>
  <c r="Y75"/>
  <c r="W71"/>
  <c r="W67"/>
  <c r="X81"/>
  <c r="X73"/>
  <c r="X65"/>
  <c r="X74"/>
  <c r="X66"/>
  <c r="W78"/>
  <c r="W70"/>
  <c r="W81"/>
  <c r="Y70"/>
  <c r="W77"/>
  <c r="Y67"/>
  <c r="X75"/>
  <c r="X67"/>
  <c r="X80"/>
  <c r="X72"/>
  <c r="X64"/>
  <c r="W76"/>
  <c r="W68"/>
  <c r="W79"/>
  <c r="U5"/>
  <c r="Q8"/>
  <c r="T5"/>
  <c r="V5"/>
  <c r="M63"/>
  <c r="O105"/>
  <c r="M105"/>
  <c r="N63"/>
  <c r="P105"/>
  <c r="S8"/>
  <c r="T8"/>
  <c r="V8"/>
  <c r="U8"/>
  <c r="I5" i="23"/>
  <c r="R5"/>
  <c r="R8"/>
  <c r="F25"/>
  <c r="Q5"/>
  <c r="I8"/>
  <c r="D55"/>
  <c r="D57"/>
  <c r="O83"/>
  <c r="L83"/>
  <c r="O85"/>
  <c r="L85"/>
  <c r="O87"/>
  <c r="L87"/>
  <c r="O89"/>
  <c r="L89"/>
  <c r="O91"/>
  <c r="L91"/>
  <c r="O93"/>
  <c r="L93"/>
  <c r="O95"/>
  <c r="L95"/>
  <c r="O97"/>
  <c r="L97"/>
  <c r="O99"/>
  <c r="L99"/>
  <c r="O101"/>
  <c r="L101"/>
  <c r="O103"/>
  <c r="L103"/>
  <c r="P84"/>
  <c r="P86"/>
  <c r="P88"/>
  <c r="P90"/>
  <c r="P92"/>
  <c r="P94"/>
  <c r="P96"/>
  <c r="P98"/>
  <c r="P100"/>
  <c r="P102"/>
  <c r="P104"/>
  <c r="Y101"/>
  <c r="W92"/>
  <c r="W81"/>
  <c r="X71"/>
  <c r="W65"/>
  <c r="W104"/>
  <c r="Y98"/>
  <c r="X93"/>
  <c r="X88"/>
  <c r="Y82"/>
  <c r="X77"/>
  <c r="X72"/>
  <c r="Y66"/>
  <c r="Y92"/>
  <c r="X82"/>
  <c r="Y69"/>
  <c r="X99"/>
  <c r="X94"/>
  <c r="Y88"/>
  <c r="X83"/>
  <c r="X78"/>
  <c r="Y72"/>
  <c r="X67"/>
  <c r="Y104"/>
  <c r="X100"/>
  <c r="Y94"/>
  <c r="X89"/>
  <c r="X84"/>
  <c r="Y78"/>
  <c r="X73"/>
  <c r="X68"/>
  <c r="W100"/>
  <c r="W89"/>
  <c r="Y77"/>
  <c r="Y68"/>
  <c r="Y64"/>
  <c r="Y99"/>
  <c r="W95"/>
  <c r="W90"/>
  <c r="Y83"/>
  <c r="W79"/>
  <c r="W74"/>
  <c r="Y67"/>
  <c r="X95"/>
  <c r="Y85"/>
  <c r="X74"/>
  <c r="W101"/>
  <c r="W96"/>
  <c r="Y89"/>
  <c r="W85"/>
  <c r="W80"/>
  <c r="Y73"/>
  <c r="W69"/>
  <c r="Y63"/>
  <c r="W102"/>
  <c r="Y95"/>
  <c r="W91"/>
  <c r="W86"/>
  <c r="Y79"/>
  <c r="W75"/>
  <c r="W70"/>
  <c r="W64"/>
  <c r="O82"/>
  <c r="O84"/>
  <c r="L84"/>
  <c r="O86"/>
  <c r="L86"/>
  <c r="O88"/>
  <c r="L88"/>
  <c r="O90"/>
  <c r="L90"/>
  <c r="O92"/>
  <c r="L92"/>
  <c r="O94"/>
  <c r="L94"/>
  <c r="O96"/>
  <c r="L96"/>
  <c r="O98"/>
  <c r="L98"/>
  <c r="O100"/>
  <c r="L100"/>
  <c r="O102"/>
  <c r="L102"/>
  <c r="O104"/>
  <c r="L104"/>
  <c r="P82"/>
  <c r="P83"/>
  <c r="P85"/>
  <c r="P87"/>
  <c r="P89"/>
  <c r="P91"/>
  <c r="P93"/>
  <c r="P95"/>
  <c r="P97"/>
  <c r="P99"/>
  <c r="P101"/>
  <c r="P103"/>
  <c r="G58"/>
  <c r="W97"/>
  <c r="Y84"/>
  <c r="W76"/>
  <c r="W68"/>
  <c r="W63"/>
  <c r="X101"/>
  <c r="X96"/>
  <c r="Y90"/>
  <c r="X85"/>
  <c r="X80"/>
  <c r="Y74"/>
  <c r="X69"/>
  <c r="X63"/>
  <c r="X98"/>
  <c r="X87"/>
  <c r="Y76"/>
  <c r="X102"/>
  <c r="Y96"/>
  <c r="X91"/>
  <c r="X86"/>
  <c r="Y80"/>
  <c r="X75"/>
  <c r="X70"/>
  <c r="X64"/>
  <c r="Y102"/>
  <c r="X97"/>
  <c r="X92"/>
  <c r="Y86"/>
  <c r="X81"/>
  <c r="X76"/>
  <c r="Y70"/>
  <c r="X65"/>
  <c r="X103"/>
  <c r="Y93"/>
  <c r="W84"/>
  <c r="W73"/>
  <c r="X66"/>
  <c r="W103"/>
  <c r="W98"/>
  <c r="Y91"/>
  <c r="W87"/>
  <c r="W82"/>
  <c r="Y75"/>
  <c r="W71"/>
  <c r="W66"/>
  <c r="Y100"/>
  <c r="X90"/>
  <c r="X79"/>
  <c r="X104"/>
  <c r="Y97"/>
  <c r="W93"/>
  <c r="W88"/>
  <c r="Y81"/>
  <c r="W77"/>
  <c r="W72"/>
  <c r="Y65"/>
  <c r="Y103"/>
  <c r="W99"/>
  <c r="W94"/>
  <c r="Y87"/>
  <c r="W83"/>
  <c r="W78"/>
  <c r="Y71"/>
  <c r="W67"/>
  <c r="Q8"/>
  <c r="S5"/>
  <c r="T5"/>
  <c r="U5"/>
  <c r="V5"/>
  <c r="P105"/>
  <c r="O105"/>
  <c r="L82"/>
  <c r="V8"/>
  <c r="U8"/>
  <c r="S8"/>
  <c r="T8"/>
  <c r="R5" i="25"/>
  <c r="R8"/>
  <c r="I5"/>
  <c r="D55"/>
  <c r="D57"/>
  <c r="F25"/>
  <c r="P88"/>
  <c r="N88"/>
  <c r="W66"/>
  <c r="G58"/>
  <c r="O87"/>
  <c r="M87"/>
  <c r="Y65"/>
  <c r="X74"/>
  <c r="W73"/>
  <c r="O92"/>
  <c r="M92"/>
  <c r="P102"/>
  <c r="N102"/>
  <c r="X80"/>
  <c r="P84"/>
  <c r="N84"/>
  <c r="P92"/>
  <c r="N92"/>
  <c r="Y78"/>
  <c r="Y72"/>
  <c r="Y76"/>
  <c r="W65"/>
  <c r="X67"/>
  <c r="O100"/>
  <c r="M100"/>
  <c r="O84"/>
  <c r="M84"/>
  <c r="P94"/>
  <c r="N94"/>
  <c r="Y77"/>
  <c r="P86"/>
  <c r="N86"/>
  <c r="P90"/>
  <c r="N90"/>
  <c r="W80"/>
  <c r="W69"/>
  <c r="X68"/>
  <c r="X78"/>
  <c r="O99"/>
  <c r="M99"/>
  <c r="X73"/>
  <c r="W74"/>
  <c r="W77"/>
  <c r="X65"/>
  <c r="Y74"/>
  <c r="Y70"/>
  <c r="O104"/>
  <c r="M104"/>
  <c r="O96"/>
  <c r="M96"/>
  <c r="O88"/>
  <c r="M88"/>
  <c r="P98"/>
  <c r="N98"/>
  <c r="P87"/>
  <c r="N87"/>
  <c r="Y66"/>
  <c r="O91"/>
  <c r="M91"/>
  <c r="P99"/>
  <c r="N99"/>
  <c r="X71"/>
  <c r="X76"/>
  <c r="X70"/>
  <c r="O97"/>
  <c r="M97"/>
  <c r="P89"/>
  <c r="N89"/>
  <c r="W70"/>
  <c r="W81"/>
  <c r="Y75"/>
  <c r="Y73"/>
  <c r="Y79"/>
  <c r="Y68"/>
  <c r="X72"/>
  <c r="W68"/>
  <c r="O101"/>
  <c r="M101"/>
  <c r="O95"/>
  <c r="M95"/>
  <c r="W67"/>
  <c r="X66"/>
  <c r="Y67"/>
  <c r="X79"/>
  <c r="W72"/>
  <c r="W75"/>
  <c r="W76"/>
  <c r="Y71"/>
  <c r="X69"/>
  <c r="X81"/>
  <c r="X75"/>
  <c r="Y80"/>
  <c r="Y81"/>
  <c r="O102"/>
  <c r="M102"/>
  <c r="O98"/>
  <c r="M98"/>
  <c r="O94"/>
  <c r="M94"/>
  <c r="O90"/>
  <c r="M90"/>
  <c r="O86"/>
  <c r="M86"/>
  <c r="P104"/>
  <c r="N104"/>
  <c r="P100"/>
  <c r="N100"/>
  <c r="P96"/>
  <c r="N96"/>
  <c r="P91"/>
  <c r="N91"/>
  <c r="W71"/>
  <c r="Y69"/>
  <c r="W79"/>
  <c r="X77"/>
  <c r="W78"/>
  <c r="O103"/>
  <c r="M103"/>
  <c r="O93"/>
  <c r="M93"/>
  <c r="O85"/>
  <c r="M85"/>
  <c r="P103"/>
  <c r="N103"/>
  <c r="P95"/>
  <c r="N95"/>
  <c r="O89"/>
  <c r="M89"/>
  <c r="P101"/>
  <c r="N101"/>
  <c r="P97"/>
  <c r="N97"/>
  <c r="P93"/>
  <c r="N93"/>
  <c r="P85"/>
  <c r="N85"/>
  <c r="Q5"/>
  <c r="I8"/>
  <c r="P105"/>
  <c r="N105"/>
  <c r="O105"/>
  <c r="X64"/>
  <c r="Y64"/>
  <c r="W64"/>
  <c r="I105"/>
  <c r="Y63"/>
  <c r="X63"/>
  <c r="W63"/>
  <c r="Q8"/>
  <c r="T5"/>
  <c r="S5"/>
  <c r="U5"/>
  <c r="V5"/>
  <c r="T8"/>
  <c r="U8"/>
  <c r="S8"/>
  <c r="V8"/>
  <c r="D25" i="20"/>
  <c r="D23"/>
  <c r="F23"/>
  <c r="F55"/>
  <c r="F57"/>
  <c r="O63"/>
  <c r="I5"/>
  <c r="Q5"/>
  <c r="Q8"/>
  <c r="R5"/>
  <c r="R8"/>
  <c r="D55"/>
  <c r="D57"/>
  <c r="F25"/>
  <c r="I8"/>
  <c r="U5"/>
  <c r="V5"/>
  <c r="T5"/>
  <c r="S5"/>
  <c r="O64"/>
  <c r="M64"/>
  <c r="O66"/>
  <c r="M66"/>
  <c r="O68"/>
  <c r="M68"/>
  <c r="O70"/>
  <c r="M70"/>
  <c r="O72"/>
  <c r="M72"/>
  <c r="O74"/>
  <c r="M74"/>
  <c r="O76"/>
  <c r="M76"/>
  <c r="O78"/>
  <c r="M78"/>
  <c r="O80"/>
  <c r="M80"/>
  <c r="O82"/>
  <c r="M82"/>
  <c r="O84"/>
  <c r="M84"/>
  <c r="O86"/>
  <c r="M86"/>
  <c r="O88"/>
  <c r="M88"/>
  <c r="O90"/>
  <c r="M90"/>
  <c r="O92"/>
  <c r="M92"/>
  <c r="O94"/>
  <c r="M94"/>
  <c r="O96"/>
  <c r="M96"/>
  <c r="O98"/>
  <c r="M98"/>
  <c r="O100"/>
  <c r="M100"/>
  <c r="O102"/>
  <c r="M102"/>
  <c r="O104"/>
  <c r="M104"/>
  <c r="P65"/>
  <c r="N65"/>
  <c r="P67"/>
  <c r="N67"/>
  <c r="P69"/>
  <c r="N69"/>
  <c r="P71"/>
  <c r="N71"/>
  <c r="P73"/>
  <c r="N73"/>
  <c r="P75"/>
  <c r="N75"/>
  <c r="P77"/>
  <c r="N77"/>
  <c r="P79"/>
  <c r="N79"/>
  <c r="P81"/>
  <c r="N81"/>
  <c r="P83"/>
  <c r="N83"/>
  <c r="P85"/>
  <c r="N85"/>
  <c r="P87"/>
  <c r="N87"/>
  <c r="P89"/>
  <c r="N89"/>
  <c r="P91"/>
  <c r="N91"/>
  <c r="P93"/>
  <c r="N93"/>
  <c r="P95"/>
  <c r="N95"/>
  <c r="P97"/>
  <c r="N97"/>
  <c r="P99"/>
  <c r="N99"/>
  <c r="P101"/>
  <c r="N101"/>
  <c r="P103"/>
  <c r="N103"/>
  <c r="G58"/>
  <c r="X81"/>
  <c r="X73"/>
  <c r="X65"/>
  <c r="W79"/>
  <c r="W75"/>
  <c r="W71"/>
  <c r="W67"/>
  <c r="Y80"/>
  <c r="Y76"/>
  <c r="Y72"/>
  <c r="Y68"/>
  <c r="Y64"/>
  <c r="X74"/>
  <c r="X80"/>
  <c r="X79"/>
  <c r="X71"/>
  <c r="Y63"/>
  <c r="Y81"/>
  <c r="Y77"/>
  <c r="Y73"/>
  <c r="Y69"/>
  <c r="Y65"/>
  <c r="W80"/>
  <c r="W76"/>
  <c r="W72"/>
  <c r="W68"/>
  <c r="W64"/>
  <c r="X72"/>
  <c r="O65"/>
  <c r="M65"/>
  <c r="O67"/>
  <c r="M67"/>
  <c r="O69"/>
  <c r="M69"/>
  <c r="O71"/>
  <c r="M71"/>
  <c r="O73"/>
  <c r="M73"/>
  <c r="O75"/>
  <c r="M75"/>
  <c r="O77"/>
  <c r="M77"/>
  <c r="O79"/>
  <c r="M79"/>
  <c r="O81"/>
  <c r="M81"/>
  <c r="O83"/>
  <c r="M83"/>
  <c r="O85"/>
  <c r="M85"/>
  <c r="O87"/>
  <c r="M87"/>
  <c r="O89"/>
  <c r="M89"/>
  <c r="O91"/>
  <c r="M91"/>
  <c r="O93"/>
  <c r="M93"/>
  <c r="O95"/>
  <c r="M95"/>
  <c r="O97"/>
  <c r="M97"/>
  <c r="O99"/>
  <c r="M99"/>
  <c r="O101"/>
  <c r="M101"/>
  <c r="O103"/>
  <c r="M103"/>
  <c r="P63"/>
  <c r="P64"/>
  <c r="N64"/>
  <c r="P66"/>
  <c r="N66"/>
  <c r="P68"/>
  <c r="N68"/>
  <c r="P70"/>
  <c r="N70"/>
  <c r="P72"/>
  <c r="N72"/>
  <c r="P74"/>
  <c r="N74"/>
  <c r="P76"/>
  <c r="N76"/>
  <c r="P78"/>
  <c r="N78"/>
  <c r="P80"/>
  <c r="N80"/>
  <c r="P82"/>
  <c r="N82"/>
  <c r="P84"/>
  <c r="N84"/>
  <c r="P86"/>
  <c r="N86"/>
  <c r="P88"/>
  <c r="N88"/>
  <c r="P90"/>
  <c r="N90"/>
  <c r="P92"/>
  <c r="N92"/>
  <c r="P94"/>
  <c r="N94"/>
  <c r="P96"/>
  <c r="N96"/>
  <c r="P98"/>
  <c r="N98"/>
  <c r="P100"/>
  <c r="N100"/>
  <c r="P102"/>
  <c r="N102"/>
  <c r="P104"/>
  <c r="N104"/>
  <c r="X70"/>
  <c r="X77"/>
  <c r="X69"/>
  <c r="W63"/>
  <c r="W81"/>
  <c r="W77"/>
  <c r="W73"/>
  <c r="W69"/>
  <c r="W65"/>
  <c r="Y78"/>
  <c r="Y74"/>
  <c r="Y70"/>
  <c r="Y66"/>
  <c r="X66"/>
  <c r="X64"/>
  <c r="X75"/>
  <c r="X67"/>
  <c r="Y79"/>
  <c r="Y75"/>
  <c r="Y71"/>
  <c r="Y67"/>
  <c r="X63"/>
  <c r="W78"/>
  <c r="W74"/>
  <c r="W70"/>
  <c r="W66"/>
  <c r="X76"/>
  <c r="X68"/>
  <c r="X78"/>
  <c r="S8"/>
  <c r="V8"/>
  <c r="U8"/>
  <c r="T8"/>
  <c r="M63"/>
  <c r="O105"/>
  <c r="M105"/>
  <c r="P105"/>
  <c r="U105" i="29"/>
  <c r="E53"/>
  <c r="O7"/>
  <c r="Q7"/>
  <c r="T105"/>
  <c r="D53"/>
  <c r="O5"/>
  <c r="O8"/>
  <c r="D25"/>
  <c r="D23"/>
  <c r="I5"/>
  <c r="Q5"/>
  <c r="Q8"/>
  <c r="S8"/>
  <c r="R5"/>
  <c r="R7"/>
  <c r="R8"/>
  <c r="V8"/>
  <c r="T8"/>
  <c r="U8"/>
  <c r="F23"/>
  <c r="V63"/>
  <c r="V64"/>
  <c r="V65"/>
  <c r="V66"/>
  <c r="V67"/>
  <c r="V68"/>
  <c r="V69"/>
  <c r="V70"/>
  <c r="V71"/>
  <c r="V72"/>
  <c r="V73"/>
  <c r="V74"/>
  <c r="V75"/>
  <c r="V76"/>
  <c r="V77"/>
  <c r="V78"/>
  <c r="V79"/>
  <c r="V80"/>
  <c r="V81"/>
  <c r="V82"/>
  <c r="V84"/>
  <c r="V86"/>
  <c r="V88"/>
  <c r="V90"/>
  <c r="V92"/>
  <c r="V94"/>
  <c r="V96"/>
  <c r="V98"/>
  <c r="V100"/>
  <c r="V102"/>
  <c r="V105"/>
  <c r="F53"/>
  <c r="F55"/>
  <c r="F57"/>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M82"/>
  <c r="M83"/>
  <c r="M94"/>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N105"/>
  <c r="N63"/>
  <c r="M103"/>
  <c r="M72"/>
  <c r="F58"/>
  <c r="G58"/>
  <c r="E55"/>
  <c r="E57"/>
  <c r="D55"/>
  <c r="D57"/>
  <c r="X66"/>
  <c r="Y66"/>
  <c r="W66"/>
  <c r="Y70"/>
  <c r="X70"/>
  <c r="W70"/>
  <c r="X74"/>
  <c r="Y74"/>
  <c r="W74"/>
  <c r="X78"/>
  <c r="Y78"/>
  <c r="W78"/>
  <c r="W64"/>
  <c r="Y64"/>
  <c r="X64"/>
  <c r="Y65"/>
  <c r="X65"/>
  <c r="W65"/>
  <c r="X67"/>
  <c r="W67"/>
  <c r="Y67"/>
  <c r="W68"/>
  <c r="Y68"/>
  <c r="X68"/>
  <c r="Y69"/>
  <c r="X69"/>
  <c r="W69"/>
  <c r="W71"/>
  <c r="X71"/>
  <c r="Y71"/>
  <c r="W72"/>
  <c r="Y72"/>
  <c r="X72"/>
  <c r="Y73"/>
  <c r="X73"/>
  <c r="W73"/>
  <c r="X75"/>
  <c r="W75"/>
  <c r="Y75"/>
  <c r="W76"/>
  <c r="Y76"/>
  <c r="X76"/>
  <c r="Y77"/>
  <c r="X77"/>
  <c r="W77"/>
  <c r="X79"/>
  <c r="W79"/>
  <c r="Y79"/>
  <c r="W80"/>
  <c r="Y80"/>
  <c r="X80"/>
  <c r="Y81"/>
  <c r="X81"/>
  <c r="W81"/>
  <c r="N69"/>
  <c r="N74"/>
  <c r="M74"/>
  <c r="N77"/>
  <c r="N81"/>
  <c r="M81"/>
  <c r="N84"/>
  <c r="N88"/>
  <c r="M88"/>
  <c r="N92"/>
  <c r="N96"/>
  <c r="M96"/>
  <c r="N100"/>
  <c r="N72"/>
  <c r="N76"/>
  <c r="N80"/>
  <c r="N83"/>
  <c r="N87"/>
  <c r="N91"/>
  <c r="N95"/>
  <c r="N99"/>
  <c r="N103"/>
  <c r="N65"/>
  <c r="N73"/>
  <c r="N78"/>
  <c r="N86"/>
  <c r="N90"/>
  <c r="N104"/>
  <c r="N64"/>
  <c r="N67"/>
  <c r="N68"/>
  <c r="M68"/>
  <c r="N71"/>
  <c r="N75"/>
  <c r="M75"/>
  <c r="N79"/>
  <c r="N85"/>
  <c r="M85"/>
  <c r="N89"/>
  <c r="N93"/>
  <c r="M93"/>
  <c r="N97"/>
  <c r="N101"/>
  <c r="M101"/>
  <c r="N66"/>
  <c r="N70"/>
  <c r="N82"/>
  <c r="N94"/>
  <c r="N98"/>
  <c r="N102"/>
  <c r="T7"/>
  <c r="V7"/>
  <c r="U7"/>
  <c r="W63"/>
  <c r="X63"/>
  <c r="Y63"/>
  <c r="I8"/>
  <c r="H105"/>
  <c r="D58"/>
  <c r="T5"/>
  <c r="U5"/>
  <c r="V5"/>
  <c r="F25"/>
  <c r="E58"/>
  <c r="S5"/>
  <c r="S7"/>
  <c r="I5" i="32"/>
  <c r="Q5"/>
  <c r="R5"/>
  <c r="R8"/>
  <c r="D55"/>
  <c r="D57"/>
  <c r="I8"/>
  <c r="F25"/>
  <c r="O68"/>
  <c r="O69"/>
  <c r="O71"/>
  <c r="O73"/>
  <c r="O75"/>
  <c r="O77"/>
  <c r="O79"/>
  <c r="O81"/>
  <c r="O83"/>
  <c r="O85"/>
  <c r="O87"/>
  <c r="O89"/>
  <c r="O91"/>
  <c r="O93"/>
  <c r="O95"/>
  <c r="O97"/>
  <c r="O99"/>
  <c r="O101"/>
  <c r="O103"/>
  <c r="P68"/>
  <c r="P69"/>
  <c r="N69"/>
  <c r="P71"/>
  <c r="N71"/>
  <c r="P73"/>
  <c r="N73"/>
  <c r="P75"/>
  <c r="N75"/>
  <c r="P77"/>
  <c r="N77"/>
  <c r="P79"/>
  <c r="N79"/>
  <c r="P81"/>
  <c r="N81"/>
  <c r="P83"/>
  <c r="N83"/>
  <c r="P85"/>
  <c r="N85"/>
  <c r="P87"/>
  <c r="N87"/>
  <c r="P89"/>
  <c r="N89"/>
  <c r="P91"/>
  <c r="N91"/>
  <c r="P93"/>
  <c r="N93"/>
  <c r="P95"/>
  <c r="N95"/>
  <c r="P97"/>
  <c r="N97"/>
  <c r="P99"/>
  <c r="N99"/>
  <c r="P101"/>
  <c r="N101"/>
  <c r="P103"/>
  <c r="N103"/>
  <c r="G58"/>
  <c r="W76"/>
  <c r="W70"/>
  <c r="Y81"/>
  <c r="Y73"/>
  <c r="W65"/>
  <c r="X67"/>
  <c r="Y78"/>
  <c r="Y74"/>
  <c r="Y70"/>
  <c r="Y66"/>
  <c r="W81"/>
  <c r="W77"/>
  <c r="W73"/>
  <c r="W69"/>
  <c r="Y63"/>
  <c r="X77"/>
  <c r="X69"/>
  <c r="X63"/>
  <c r="X76"/>
  <c r="X68"/>
  <c r="W63"/>
  <c r="W74"/>
  <c r="Y79"/>
  <c r="Y71"/>
  <c r="X79"/>
  <c r="Y64"/>
  <c r="X74"/>
  <c r="W67"/>
  <c r="O70"/>
  <c r="O72"/>
  <c r="O74"/>
  <c r="O76"/>
  <c r="O78"/>
  <c r="O80"/>
  <c r="O82"/>
  <c r="O84"/>
  <c r="O86"/>
  <c r="O88"/>
  <c r="O90"/>
  <c r="O92"/>
  <c r="O94"/>
  <c r="O96"/>
  <c r="O98"/>
  <c r="O100"/>
  <c r="O102"/>
  <c r="O104"/>
  <c r="P70"/>
  <c r="N70"/>
  <c r="P72"/>
  <c r="N72"/>
  <c r="P74"/>
  <c r="N74"/>
  <c r="P76"/>
  <c r="N76"/>
  <c r="P78"/>
  <c r="N78"/>
  <c r="P80"/>
  <c r="N80"/>
  <c r="P82"/>
  <c r="N82"/>
  <c r="P84"/>
  <c r="N84"/>
  <c r="P86"/>
  <c r="N86"/>
  <c r="P88"/>
  <c r="N88"/>
  <c r="P90"/>
  <c r="N90"/>
  <c r="P92"/>
  <c r="N92"/>
  <c r="P94"/>
  <c r="N94"/>
  <c r="P96"/>
  <c r="N96"/>
  <c r="P98"/>
  <c r="N98"/>
  <c r="P100"/>
  <c r="N100"/>
  <c r="P102"/>
  <c r="P104"/>
  <c r="W78"/>
  <c r="W72"/>
  <c r="W68"/>
  <c r="Y77"/>
  <c r="Y69"/>
  <c r="X75"/>
  <c r="Y80"/>
  <c r="Y76"/>
  <c r="Y72"/>
  <c r="Y68"/>
  <c r="W64"/>
  <c r="W79"/>
  <c r="W75"/>
  <c r="W71"/>
  <c r="X66"/>
  <c r="X81"/>
  <c r="X73"/>
  <c r="W66"/>
  <c r="X80"/>
  <c r="X72"/>
  <c r="Y65"/>
  <c r="W80"/>
  <c r="X65"/>
  <c r="Y75"/>
  <c r="Y67"/>
  <c r="X71"/>
  <c r="X78"/>
  <c r="X70"/>
  <c r="X64"/>
  <c r="Q8"/>
  <c r="S5"/>
  <c r="U5"/>
  <c r="T5"/>
  <c r="V5"/>
  <c r="U8"/>
  <c r="V8"/>
  <c r="S8"/>
  <c r="T8"/>
  <c r="O105"/>
  <c r="M68"/>
  <c r="P105"/>
  <c r="N68"/>
  <c r="E38" i="33"/>
  <c r="L7"/>
  <c r="Q7"/>
  <c r="V7"/>
  <c r="F38"/>
  <c r="F55"/>
  <c r="F57"/>
  <c r="W71"/>
  <c r="E55"/>
  <c r="E57"/>
  <c r="U7"/>
  <c r="W74"/>
  <c r="X66"/>
  <c r="P65"/>
  <c r="N65"/>
  <c r="O68"/>
  <c r="M68"/>
  <c r="P63"/>
  <c r="N63"/>
  <c r="O64"/>
  <c r="M64"/>
  <c r="O66"/>
  <c r="M66"/>
  <c r="P67"/>
  <c r="N67"/>
  <c r="P69"/>
  <c r="N69"/>
  <c r="O65"/>
  <c r="M65"/>
  <c r="P68"/>
  <c r="N68"/>
  <c r="O63"/>
  <c r="M63"/>
  <c r="P64"/>
  <c r="N64"/>
  <c r="P66"/>
  <c r="N66"/>
  <c r="O67"/>
  <c r="M67"/>
  <c r="O69"/>
  <c r="M69"/>
  <c r="O71"/>
  <c r="M71"/>
  <c r="O73"/>
  <c r="M73"/>
  <c r="O75"/>
  <c r="M75"/>
  <c r="O77"/>
  <c r="M77"/>
  <c r="O79"/>
  <c r="M79"/>
  <c r="O81"/>
  <c r="M81"/>
  <c r="O83"/>
  <c r="M83"/>
  <c r="O85"/>
  <c r="M85"/>
  <c r="O87"/>
  <c r="M87"/>
  <c r="O89"/>
  <c r="M89"/>
  <c r="O91"/>
  <c r="M91"/>
  <c r="O93"/>
  <c r="M93"/>
  <c r="O95"/>
  <c r="M95"/>
  <c r="O97"/>
  <c r="M97"/>
  <c r="O99"/>
  <c r="M99"/>
  <c r="O101"/>
  <c r="M101"/>
  <c r="O103"/>
  <c r="M103"/>
  <c r="P71"/>
  <c r="P73"/>
  <c r="N73"/>
  <c r="P75"/>
  <c r="P77"/>
  <c r="N77"/>
  <c r="P79"/>
  <c r="P81"/>
  <c r="N81"/>
  <c r="P83"/>
  <c r="P85"/>
  <c r="N85"/>
  <c r="P87"/>
  <c r="P89"/>
  <c r="N89"/>
  <c r="P91"/>
  <c r="P93"/>
  <c r="N93"/>
  <c r="P95"/>
  <c r="P97"/>
  <c r="N97"/>
  <c r="P99"/>
  <c r="P101"/>
  <c r="N101"/>
  <c r="P103"/>
  <c r="Y75"/>
  <c r="Y67"/>
  <c r="Y73"/>
  <c r="Y78"/>
  <c r="Y74"/>
  <c r="Y70"/>
  <c r="Y64"/>
  <c r="Y66"/>
  <c r="Y79"/>
  <c r="W69"/>
  <c r="X67"/>
  <c r="X76"/>
  <c r="X68"/>
  <c r="X64"/>
  <c r="X75"/>
  <c r="W77"/>
  <c r="W67"/>
  <c r="X78"/>
  <c r="X70"/>
  <c r="X81"/>
  <c r="X73"/>
  <c r="X65"/>
  <c r="W75"/>
  <c r="W80"/>
  <c r="W76"/>
  <c r="W72"/>
  <c r="W68"/>
  <c r="W64"/>
  <c r="O70"/>
  <c r="M70"/>
  <c r="O72"/>
  <c r="M72"/>
  <c r="O74"/>
  <c r="M74"/>
  <c r="O76"/>
  <c r="M76"/>
  <c r="O78"/>
  <c r="M78"/>
  <c r="O80"/>
  <c r="M80"/>
  <c r="O82"/>
  <c r="M82"/>
  <c r="O84"/>
  <c r="M84"/>
  <c r="O86"/>
  <c r="M86"/>
  <c r="O88"/>
  <c r="M88"/>
  <c r="O90"/>
  <c r="M90"/>
  <c r="O92"/>
  <c r="M92"/>
  <c r="O94"/>
  <c r="M94"/>
  <c r="O96"/>
  <c r="M96"/>
  <c r="O98"/>
  <c r="M98"/>
  <c r="O100"/>
  <c r="M100"/>
  <c r="O102"/>
  <c r="M102"/>
  <c r="O104"/>
  <c r="M104"/>
  <c r="P70"/>
  <c r="N70"/>
  <c r="P72"/>
  <c r="P74"/>
  <c r="N74"/>
  <c r="P76"/>
  <c r="P78"/>
  <c r="N78"/>
  <c r="P80"/>
  <c r="P82"/>
  <c r="N82"/>
  <c r="P84"/>
  <c r="P86"/>
  <c r="N86"/>
  <c r="P88"/>
  <c r="P90"/>
  <c r="N90"/>
  <c r="P92"/>
  <c r="P94"/>
  <c r="N94"/>
  <c r="P96"/>
  <c r="P98"/>
  <c r="N98"/>
  <c r="P100"/>
  <c r="P102"/>
  <c r="N102"/>
  <c r="P104"/>
  <c r="Y77"/>
  <c r="Y71"/>
  <c r="Y63"/>
  <c r="Y69"/>
  <c r="Y76"/>
  <c r="Y72"/>
  <c r="Y68"/>
  <c r="Y80"/>
  <c r="Y81"/>
  <c r="Y65"/>
  <c r="W79"/>
  <c r="X80"/>
  <c r="X72"/>
  <c r="W66"/>
  <c r="X79"/>
  <c r="X71"/>
  <c r="W81"/>
  <c r="X63"/>
  <c r="W63"/>
  <c r="W73"/>
  <c r="X74"/>
  <c r="W65"/>
  <c r="X77"/>
  <c r="X69"/>
  <c r="S7"/>
  <c r="Q8"/>
  <c r="T7"/>
  <c r="G58"/>
  <c r="W70"/>
  <c r="W78"/>
  <c r="L8"/>
  <c r="U8"/>
  <c r="O105"/>
  <c r="M105"/>
  <c r="S8"/>
  <c r="V8"/>
  <c r="T8"/>
  <c r="P105"/>
  <c r="D23" i="39"/>
  <c r="R5"/>
  <c r="R8"/>
  <c r="D55"/>
  <c r="D57"/>
  <c r="F25"/>
  <c r="I5"/>
  <c r="Q5"/>
  <c r="V5"/>
  <c r="S5"/>
  <c r="U5"/>
  <c r="T5"/>
  <c r="D25" i="38"/>
  <c r="D23"/>
  <c r="I5"/>
  <c r="D55"/>
  <c r="D57"/>
  <c r="F25"/>
  <c r="Q5"/>
  <c r="I8"/>
  <c r="F23"/>
  <c r="F55"/>
  <c r="F57"/>
  <c r="Y80"/>
  <c r="W70"/>
  <c r="W79"/>
  <c r="W69"/>
  <c r="Y74"/>
  <c r="X80"/>
  <c r="W67"/>
  <c r="W78"/>
  <c r="Y68"/>
  <c r="X74"/>
  <c r="Y78"/>
  <c r="Y66"/>
  <c r="W77"/>
  <c r="X68"/>
  <c r="G58"/>
  <c r="X67"/>
  <c r="Y77"/>
  <c r="W65"/>
  <c r="Y70"/>
  <c r="X76"/>
  <c r="X64"/>
  <c r="W66"/>
  <c r="X75"/>
  <c r="Y75"/>
  <c r="Y72"/>
  <c r="W74"/>
  <c r="Y64"/>
  <c r="W75"/>
  <c r="X79"/>
  <c r="W68"/>
  <c r="X72"/>
  <c r="Y71"/>
  <c r="X73"/>
  <c r="X63"/>
  <c r="X66"/>
  <c r="W72"/>
  <c r="W81"/>
  <c r="W73"/>
  <c r="W63"/>
  <c r="X77"/>
  <c r="Y81"/>
  <c r="Y73"/>
  <c r="W76"/>
  <c r="X65"/>
  <c r="Y69"/>
  <c r="Y63"/>
  <c r="X81"/>
  <c r="X71"/>
  <c r="X78"/>
  <c r="W80"/>
  <c r="X69"/>
  <c r="Y79"/>
  <c r="W71"/>
  <c r="Y67"/>
  <c r="Y76"/>
  <c r="X70"/>
  <c r="W64"/>
  <c r="Y65"/>
  <c r="O104"/>
  <c r="M104"/>
  <c r="O103"/>
  <c r="M103"/>
  <c r="O102"/>
  <c r="M102"/>
  <c r="O101"/>
  <c r="M101"/>
  <c r="O100"/>
  <c r="M100"/>
  <c r="O99"/>
  <c r="M99"/>
  <c r="O98"/>
  <c r="M98"/>
  <c r="O97"/>
  <c r="M97"/>
  <c r="O96"/>
  <c r="M96"/>
  <c r="O95"/>
  <c r="M95"/>
  <c r="O94"/>
  <c r="M94"/>
  <c r="O93"/>
  <c r="M93"/>
  <c r="O92"/>
  <c r="M92"/>
  <c r="O91"/>
  <c r="M91"/>
  <c r="O90"/>
  <c r="M90"/>
  <c r="O89"/>
  <c r="M89"/>
  <c r="O88"/>
  <c r="M88"/>
  <c r="O87"/>
  <c r="M87"/>
  <c r="O86"/>
  <c r="M86"/>
  <c r="O85"/>
  <c r="M85"/>
  <c r="O84"/>
  <c r="M84"/>
  <c r="O83"/>
  <c r="M83"/>
  <c r="O82"/>
  <c r="M82"/>
  <c r="O81"/>
  <c r="M81"/>
  <c r="O80"/>
  <c r="M80"/>
  <c r="O79"/>
  <c r="M79"/>
  <c r="O78"/>
  <c r="M78"/>
  <c r="O77"/>
  <c r="M77"/>
  <c r="O76"/>
  <c r="M76"/>
  <c r="O75"/>
  <c r="M75"/>
  <c r="O74"/>
  <c r="M74"/>
  <c r="O73"/>
  <c r="M73"/>
  <c r="O72"/>
  <c r="M72"/>
  <c r="O71"/>
  <c r="M71"/>
  <c r="O70"/>
  <c r="M70"/>
  <c r="O69"/>
  <c r="M69"/>
  <c r="O68"/>
  <c r="M68"/>
  <c r="O67"/>
  <c r="M67"/>
  <c r="O66"/>
  <c r="M66"/>
  <c r="O65"/>
  <c r="M65"/>
  <c r="O64"/>
  <c r="M64"/>
  <c r="O63"/>
  <c r="M63"/>
  <c r="P104"/>
  <c r="N104"/>
  <c r="P103"/>
  <c r="N103"/>
  <c r="P102"/>
  <c r="N102"/>
  <c r="P101"/>
  <c r="N101"/>
  <c r="P100"/>
  <c r="N100"/>
  <c r="P99"/>
  <c r="N99"/>
  <c r="P98"/>
  <c r="N98"/>
  <c r="P97"/>
  <c r="N97"/>
  <c r="P96"/>
  <c r="N96"/>
  <c r="P95"/>
  <c r="N95"/>
  <c r="P94"/>
  <c r="N94"/>
  <c r="P93"/>
  <c r="N93"/>
  <c r="P92"/>
  <c r="N92"/>
  <c r="P91"/>
  <c r="N91"/>
  <c r="P90"/>
  <c r="N90"/>
  <c r="P89"/>
  <c r="N89"/>
  <c r="P88"/>
  <c r="N88"/>
  <c r="P87"/>
  <c r="N87"/>
  <c r="P86"/>
  <c r="N86"/>
  <c r="P85"/>
  <c r="N85"/>
  <c r="P84"/>
  <c r="N84"/>
  <c r="P83"/>
  <c r="N83"/>
  <c r="P82"/>
  <c r="N82"/>
  <c r="P81"/>
  <c r="N81"/>
  <c r="P80"/>
  <c r="N80"/>
  <c r="P79"/>
  <c r="N79"/>
  <c r="P78"/>
  <c r="N78"/>
  <c r="P77"/>
  <c r="N77"/>
  <c r="P76"/>
  <c r="N76"/>
  <c r="P75"/>
  <c r="N75"/>
  <c r="P74"/>
  <c r="N74"/>
  <c r="P73"/>
  <c r="N73"/>
  <c r="P72"/>
  <c r="N72"/>
  <c r="P71"/>
  <c r="N71"/>
  <c r="P70"/>
  <c r="N70"/>
  <c r="P69"/>
  <c r="N69"/>
  <c r="P68"/>
  <c r="N68"/>
  <c r="P67"/>
  <c r="N67"/>
  <c r="P66"/>
  <c r="N66"/>
  <c r="P65"/>
  <c r="N65"/>
  <c r="P64"/>
  <c r="N64"/>
  <c r="P63"/>
  <c r="N63"/>
  <c r="Q8"/>
  <c r="S5"/>
  <c r="U5"/>
  <c r="V5"/>
  <c r="T5"/>
  <c r="O105"/>
  <c r="M105"/>
  <c r="P105"/>
  <c r="N105"/>
  <c r="T8"/>
  <c r="S8"/>
  <c r="U8"/>
  <c r="V8"/>
  <c r="D25" i="41"/>
  <c r="D23"/>
  <c r="F25"/>
  <c r="I5"/>
  <c r="F23"/>
  <c r="F55"/>
  <c r="F57"/>
  <c r="D55"/>
  <c r="D57"/>
  <c r="O104"/>
  <c r="M104"/>
  <c r="O103"/>
  <c r="M103"/>
  <c r="O102"/>
  <c r="M102"/>
  <c r="O101"/>
  <c r="M101"/>
  <c r="O100"/>
  <c r="M100"/>
  <c r="O99"/>
  <c r="M99"/>
  <c r="O98"/>
  <c r="M98"/>
  <c r="O97"/>
  <c r="M97"/>
  <c r="O96"/>
  <c r="M96"/>
  <c r="O95"/>
  <c r="M95"/>
  <c r="O94"/>
  <c r="M94"/>
  <c r="O93"/>
  <c r="M93"/>
  <c r="O92"/>
  <c r="M92"/>
  <c r="O91"/>
  <c r="M91"/>
  <c r="O90"/>
  <c r="M90"/>
  <c r="O89"/>
  <c r="M89"/>
  <c r="O88"/>
  <c r="M88"/>
  <c r="O87"/>
  <c r="M87"/>
  <c r="O86"/>
  <c r="M86"/>
  <c r="O85"/>
  <c r="M85"/>
  <c r="O84"/>
  <c r="M84"/>
  <c r="O83"/>
  <c r="M83"/>
  <c r="O82"/>
  <c r="M82"/>
  <c r="O81"/>
  <c r="M81"/>
  <c r="O80"/>
  <c r="M80"/>
  <c r="O79"/>
  <c r="M79"/>
  <c r="O78"/>
  <c r="M78"/>
  <c r="O77"/>
  <c r="M77"/>
  <c r="O76"/>
  <c r="M76"/>
  <c r="O75"/>
  <c r="M75"/>
  <c r="O74"/>
  <c r="M74"/>
  <c r="O73"/>
  <c r="M73"/>
  <c r="P104"/>
  <c r="N104"/>
  <c r="P103"/>
  <c r="N103"/>
  <c r="P102"/>
  <c r="N102"/>
  <c r="P101"/>
  <c r="N101"/>
  <c r="P100"/>
  <c r="N100"/>
  <c r="P99"/>
  <c r="N99"/>
  <c r="P98"/>
  <c r="N98"/>
  <c r="P97"/>
  <c r="N97"/>
  <c r="P96"/>
  <c r="N96"/>
  <c r="P95"/>
  <c r="N95"/>
  <c r="P94"/>
  <c r="N94"/>
  <c r="P93"/>
  <c r="N93"/>
  <c r="P92"/>
  <c r="N92"/>
  <c r="P91"/>
  <c r="N91"/>
  <c r="P90"/>
  <c r="N90"/>
  <c r="P89"/>
  <c r="N89"/>
  <c r="P88"/>
  <c r="N88"/>
  <c r="P87"/>
  <c r="N87"/>
  <c r="P86"/>
  <c r="N86"/>
  <c r="P85"/>
  <c r="N85"/>
  <c r="P84"/>
  <c r="N84"/>
  <c r="P83"/>
  <c r="N83"/>
  <c r="P82"/>
  <c r="N82"/>
  <c r="P81"/>
  <c r="N81"/>
  <c r="P80"/>
  <c r="N80"/>
  <c r="P79"/>
  <c r="N79"/>
  <c r="P78"/>
  <c r="N78"/>
  <c r="P77"/>
  <c r="N77"/>
  <c r="P76"/>
  <c r="N76"/>
  <c r="P75"/>
  <c r="N75"/>
  <c r="P74"/>
  <c r="N74"/>
  <c r="P73"/>
  <c r="N73"/>
  <c r="O69"/>
  <c r="M69"/>
  <c r="O67"/>
  <c r="M67"/>
  <c r="P68"/>
  <c r="N68"/>
  <c r="P64"/>
  <c r="N64"/>
  <c r="P72"/>
  <c r="N72"/>
  <c r="O65"/>
  <c r="M65"/>
  <c r="O63"/>
  <c r="M63"/>
  <c r="O70"/>
  <c r="M70"/>
  <c r="P69"/>
  <c r="N69"/>
  <c r="P67"/>
  <c r="N67"/>
  <c r="O68"/>
  <c r="M68"/>
  <c r="O64"/>
  <c r="M64"/>
  <c r="O72"/>
  <c r="M72"/>
  <c r="P65"/>
  <c r="N65"/>
  <c r="O66"/>
  <c r="M66"/>
  <c r="P63"/>
  <c r="N63"/>
  <c r="O71"/>
  <c r="M71"/>
  <c r="P70"/>
  <c r="N70"/>
  <c r="P66"/>
  <c r="N66"/>
  <c r="P71"/>
  <c r="N71"/>
  <c r="Y64"/>
  <c r="W71"/>
  <c r="W63"/>
  <c r="X69"/>
  <c r="W80"/>
  <c r="Y71"/>
  <c r="X63"/>
  <c r="Y80"/>
  <c r="W76"/>
  <c r="X78"/>
  <c r="W75"/>
  <c r="Y72"/>
  <c r="X76"/>
  <c r="W70"/>
  <c r="Y66"/>
  <c r="X77"/>
  <c r="W69"/>
  <c r="Y79"/>
  <c r="Y76"/>
  <c r="Y77"/>
  <c r="Y70"/>
  <c r="X64"/>
  <c r="G58"/>
  <c r="X70"/>
  <c r="X75"/>
  <c r="X79"/>
  <c r="Y81"/>
  <c r="W64"/>
  <c r="Y74"/>
  <c r="X66"/>
  <c r="W77"/>
  <c r="X71"/>
  <c r="X72"/>
  <c r="X65"/>
  <c r="Y67"/>
  <c r="W74"/>
  <c r="Y65"/>
  <c r="Y73"/>
  <c r="W72"/>
  <c r="Y63"/>
  <c r="X74"/>
  <c r="X67"/>
  <c r="W67"/>
  <c r="X81"/>
  <c r="W66"/>
  <c r="Y69"/>
  <c r="Y75"/>
  <c r="X73"/>
  <c r="W79"/>
  <c r="X80"/>
  <c r="W81"/>
  <c r="Y78"/>
  <c r="X68"/>
  <c r="W73"/>
  <c r="Y68"/>
  <c r="W65"/>
  <c r="W78"/>
  <c r="W68"/>
  <c r="I8"/>
  <c r="Q5"/>
  <c r="O105"/>
  <c r="M105"/>
  <c r="P105"/>
  <c r="N105"/>
  <c r="Q8"/>
  <c r="S5"/>
  <c r="U5"/>
  <c r="V5"/>
  <c r="T5"/>
  <c r="S8"/>
  <c r="U8"/>
  <c r="T8"/>
  <c r="V8"/>
  <c r="J105" i="14"/>
  <c r="R105"/>
  <c r="N105" s="1"/>
  <c r="L105" s="1"/>
  <c r="J105" i="26"/>
  <c r="J105" i="42"/>
  <c r="G105" i="37"/>
  <c r="G110" i="24"/>
  <c r="I13" i="5" l="1"/>
  <c r="I14" i="4" s="1"/>
  <c r="I22" i="5"/>
  <c r="I22" i="4" s="1"/>
  <c r="J14" i="5"/>
  <c r="J15" i="4" s="1"/>
  <c r="J18" i="5"/>
  <c r="J18" i="4" s="1"/>
  <c r="I28" i="5"/>
  <c r="I28" i="4" s="1"/>
  <c r="J55" i="5"/>
  <c r="J74" i="4" s="1"/>
  <c r="G9" i="5"/>
  <c r="G10" i="4" s="1"/>
  <c r="G11" i="5"/>
  <c r="G12" i="4" s="1"/>
  <c r="G13" i="5"/>
  <c r="G14" i="4" s="1"/>
  <c r="G18" i="5"/>
  <c r="G18" i="4" s="1"/>
  <c r="G20" i="5"/>
  <c r="G20" i="4" s="1"/>
  <c r="G29" i="5"/>
  <c r="G29" i="4" s="1"/>
  <c r="G31" i="5"/>
  <c r="G31" i="4" s="1"/>
  <c r="J76"/>
  <c r="J66"/>
  <c r="J64"/>
  <c r="J33"/>
  <c r="J22"/>
  <c r="I18"/>
  <c r="I15"/>
  <c r="H17"/>
  <c r="I12" i="5"/>
  <c r="I13" i="4" s="1"/>
  <c r="I14" i="5"/>
  <c r="I21"/>
  <c r="I21" i="4" s="1"/>
  <c r="J13" i="5"/>
  <c r="J14" i="4" s="1"/>
  <c r="J16" i="5"/>
  <c r="J16" i="4" s="1"/>
  <c r="J21" i="5"/>
  <c r="J21" i="4" s="1"/>
  <c r="I33" i="5"/>
  <c r="I33" i="4" s="1"/>
  <c r="J28" i="5"/>
  <c r="J28" i="4" s="1"/>
  <c r="J46" i="5"/>
  <c r="J65" i="4" s="1"/>
  <c r="J56" i="5"/>
  <c r="J75" i="4" s="1"/>
  <c r="J66" i="5"/>
  <c r="J84" i="4" s="1"/>
  <c r="G10" i="5"/>
  <c r="G11" i="4" s="1"/>
  <c r="G12" i="5"/>
  <c r="G13" i="4" s="1"/>
  <c r="G17" i="5"/>
  <c r="G17" i="4" s="1"/>
  <c r="G19" i="5"/>
  <c r="G19" i="4" s="1"/>
  <c r="G22" i="5"/>
  <c r="G22" i="4" s="1"/>
  <c r="G28" i="5"/>
  <c r="G28" i="4" s="1"/>
  <c r="G30" i="5"/>
  <c r="G30" i="4" s="1"/>
  <c r="G33" i="5"/>
  <c r="G33" i="4" s="1"/>
  <c r="G38" i="5"/>
  <c r="G38" i="4" s="1"/>
  <c r="U110" i="24"/>
  <c r="E53" s="1"/>
  <c r="V107"/>
  <c r="V105"/>
  <c r="V104"/>
  <c r="V91"/>
  <c r="V89"/>
  <c r="V88"/>
  <c r="V75"/>
  <c r="V73"/>
  <c r="V72"/>
  <c r="T110"/>
  <c r="D53" s="1"/>
  <c r="F33"/>
  <c r="E24"/>
  <c r="F18"/>
  <c r="D58"/>
  <c r="O5"/>
  <c r="T109"/>
  <c r="V108"/>
  <c r="V101"/>
  <c r="V100"/>
  <c r="V93"/>
  <c r="V92"/>
  <c r="V85"/>
  <c r="V84"/>
  <c r="V77"/>
  <c r="V76"/>
  <c r="V69"/>
  <c r="V68"/>
  <c r="F43"/>
  <c r="F38"/>
  <c r="D23"/>
  <c r="F24"/>
  <c r="R106"/>
  <c r="Q106"/>
  <c r="R104"/>
  <c r="Q104"/>
  <c r="R102"/>
  <c r="Q102"/>
  <c r="R100"/>
  <c r="Q100"/>
  <c r="R98"/>
  <c r="Q98"/>
  <c r="R96"/>
  <c r="Q96"/>
  <c r="R94"/>
  <c r="Q94"/>
  <c r="R92"/>
  <c r="Q92"/>
  <c r="R90"/>
  <c r="Q90"/>
  <c r="R88"/>
  <c r="Q88"/>
  <c r="R86"/>
  <c r="Q86"/>
  <c r="R84"/>
  <c r="Q84"/>
  <c r="R82"/>
  <c r="Q82"/>
  <c r="R80"/>
  <c r="Q80"/>
  <c r="R78"/>
  <c r="Q78"/>
  <c r="R76"/>
  <c r="Q76"/>
  <c r="R74"/>
  <c r="Q74"/>
  <c r="R72"/>
  <c r="Q72"/>
  <c r="R70"/>
  <c r="Q70"/>
  <c r="R68"/>
  <c r="Q68"/>
  <c r="R66"/>
  <c r="Q66"/>
  <c r="R64"/>
  <c r="Q64"/>
  <c r="Q107"/>
  <c r="R107"/>
  <c r="Q105"/>
  <c r="R105"/>
  <c r="Q103"/>
  <c r="R103"/>
  <c r="Q101"/>
  <c r="R101"/>
  <c r="Q99"/>
  <c r="R99"/>
  <c r="Q97"/>
  <c r="R97"/>
  <c r="Q95"/>
  <c r="R95"/>
  <c r="Q93"/>
  <c r="R93"/>
  <c r="Q91"/>
  <c r="R91"/>
  <c r="Q89"/>
  <c r="R89"/>
  <c r="Q87"/>
  <c r="R87"/>
  <c r="Q85"/>
  <c r="R85"/>
  <c r="Q83"/>
  <c r="R83"/>
  <c r="Q81"/>
  <c r="R81"/>
  <c r="Q79"/>
  <c r="R79"/>
  <c r="Q77"/>
  <c r="R77"/>
  <c r="Q75"/>
  <c r="R75"/>
  <c r="Q73"/>
  <c r="R73"/>
  <c r="Q71"/>
  <c r="R71"/>
  <c r="Q69"/>
  <c r="R69"/>
  <c r="Q67"/>
  <c r="R67"/>
  <c r="Q65"/>
  <c r="R65"/>
  <c r="R59"/>
  <c r="I104" s="1"/>
  <c r="Q63"/>
  <c r="Q109" s="1"/>
  <c r="R63"/>
  <c r="Q59"/>
  <c r="R7" s="1"/>
  <c r="Q22" i="6" s="1"/>
  <c r="V106" i="24"/>
  <c r="V102"/>
  <c r="V98"/>
  <c r="V94"/>
  <c r="V90"/>
  <c r="V86"/>
  <c r="V82"/>
  <c r="V78"/>
  <c r="V74"/>
  <c r="V70"/>
  <c r="V110" s="1"/>
  <c r="F53" s="1"/>
  <c r="F58" s="1"/>
  <c r="V66"/>
  <c r="F48"/>
  <c r="F28"/>
  <c r="E25"/>
  <c r="I63"/>
  <c r="I65"/>
  <c r="I67"/>
  <c r="I69"/>
  <c r="I71"/>
  <c r="I73"/>
  <c r="I75"/>
  <c r="I77"/>
  <c r="I79"/>
  <c r="I81"/>
  <c r="I83"/>
  <c r="I85"/>
  <c r="I87"/>
  <c r="I89"/>
  <c r="I91"/>
  <c r="I93"/>
  <c r="I95"/>
  <c r="I97"/>
  <c r="I99"/>
  <c r="I101"/>
  <c r="I103"/>
  <c r="I105"/>
  <c r="I107"/>
  <c r="J110"/>
  <c r="J109"/>
  <c r="I19" i="5"/>
  <c r="J49"/>
  <c r="J48" s="1"/>
  <c r="J67" i="4" s="1"/>
  <c r="Q25" i="6"/>
  <c r="Q27" s="1"/>
  <c r="G39" i="5"/>
  <c r="H49"/>
  <c r="H48" s="1"/>
  <c r="N13" i="77"/>
  <c r="Q30" i="6"/>
  <c r="M9" i="43"/>
  <c r="K25" i="6"/>
  <c r="K27" s="1"/>
  <c r="J43" i="5"/>
  <c r="H43"/>
  <c r="I34"/>
  <c r="K62"/>
  <c r="K69" i="6"/>
  <c r="K71" s="1"/>
  <c r="O11" i="68"/>
  <c r="N80" i="14"/>
  <c r="M68"/>
  <c r="M72"/>
  <c r="M74"/>
  <c r="M76"/>
  <c r="M78"/>
  <c r="M86"/>
  <c r="N88"/>
  <c r="L88" s="1"/>
  <c r="L80"/>
  <c r="N97"/>
  <c r="L97" s="1"/>
  <c r="Q105" i="31"/>
  <c r="M105" s="1"/>
  <c r="R105"/>
  <c r="N105" s="1"/>
  <c r="Q105" i="32"/>
  <c r="M105" s="1"/>
  <c r="O105" i="14"/>
  <c r="M105" s="1"/>
  <c r="M91"/>
  <c r="M95"/>
  <c r="M98"/>
  <c r="M65"/>
  <c r="L66"/>
  <c r="L74"/>
  <c r="M75"/>
  <c r="M84"/>
  <c r="L85"/>
  <c r="R105" i="11"/>
  <c r="N105" s="1"/>
  <c r="Q105"/>
  <c r="M105" s="1"/>
  <c r="N83" i="14"/>
  <c r="L83" s="1"/>
  <c r="M94"/>
  <c r="M97"/>
  <c r="L101"/>
  <c r="M99"/>
  <c r="M100"/>
  <c r="P105" i="30"/>
  <c r="L105" s="1"/>
  <c r="M82" i="23"/>
  <c r="N65" i="22"/>
  <c r="M67" i="11"/>
  <c r="N63"/>
  <c r="N75" i="31"/>
  <c r="N79" i="12"/>
  <c r="C63" i="43"/>
  <c r="L98" i="14"/>
  <c r="M101"/>
  <c r="M85"/>
  <c r="M80"/>
  <c r="P105" i="42"/>
  <c r="L105" s="1"/>
  <c r="Q105" i="30"/>
  <c r="M105" s="1"/>
  <c r="L90" i="14"/>
  <c r="N65"/>
  <c r="L65" s="1"/>
  <c r="N77"/>
  <c r="L77" s="1"/>
  <c r="N78"/>
  <c r="L78" s="1"/>
  <c r="N86"/>
  <c r="L86" s="1"/>
  <c r="N102"/>
  <c r="L102" s="1"/>
  <c r="N102" i="32"/>
  <c r="M65" i="26"/>
  <c r="N69" i="14"/>
  <c r="L69" s="1"/>
  <c r="F6" i="43"/>
  <c r="N104" i="32"/>
  <c r="N63" i="20"/>
  <c r="N63" i="10"/>
  <c r="E42" i="43"/>
  <c r="L59" i="6"/>
  <c r="L61" s="1"/>
  <c r="O59"/>
  <c r="O61" s="1"/>
  <c r="K50" i="7"/>
  <c r="K52" s="1"/>
  <c r="M50"/>
  <c r="M52" s="1"/>
  <c r="O25" i="6"/>
  <c r="O27" s="1"/>
  <c r="J34" i="7"/>
  <c r="L50"/>
  <c r="L52" s="1"/>
  <c r="J12" i="56"/>
  <c r="F50" i="7"/>
  <c r="F52" s="1"/>
  <c r="F59" i="6"/>
  <c r="F61" s="1"/>
  <c r="K23" i="7"/>
  <c r="K25" s="1"/>
  <c r="M23"/>
  <c r="M25" s="1"/>
  <c r="H50"/>
  <c r="H52" s="1"/>
  <c r="Q45" i="6"/>
  <c r="L60" i="7"/>
  <c r="L62" s="1"/>
  <c r="M60"/>
  <c r="M62" s="1"/>
  <c r="N60"/>
  <c r="N62" s="1"/>
  <c r="N50"/>
  <c r="N52" s="1"/>
  <c r="Q34"/>
  <c r="Q36" s="1"/>
  <c r="K8" i="39"/>
  <c r="J18" i="7"/>
  <c r="J23" s="1"/>
  <c r="J8" i="39"/>
  <c r="I18" i="7"/>
  <c r="H7" i="39"/>
  <c r="F18" i="7"/>
  <c r="F23" s="1"/>
  <c r="F25" s="1"/>
  <c r="G8" i="39"/>
  <c r="E24"/>
  <c r="J78" i="6"/>
  <c r="J80" s="1"/>
  <c r="K78"/>
  <c r="K80" s="1"/>
  <c r="M11" i="56"/>
  <c r="N11" s="1"/>
  <c r="I78" i="6"/>
  <c r="I80" s="1"/>
  <c r="N30"/>
  <c r="K9" i="43"/>
  <c r="E63"/>
  <c r="D63"/>
  <c r="C8"/>
  <c r="G7" i="5"/>
  <c r="H7"/>
  <c r="N59" i="6"/>
  <c r="N61" s="1"/>
  <c r="M25"/>
  <c r="M27" s="1"/>
  <c r="G59"/>
  <c r="G61" s="1"/>
  <c r="L25"/>
  <c r="L27" s="1"/>
  <c r="N69"/>
  <c r="N71" s="1"/>
  <c r="I50" i="7"/>
  <c r="I52" s="1"/>
  <c r="I34"/>
  <c r="F25" i="6"/>
  <c r="F27" s="1"/>
  <c r="G38"/>
  <c r="G40" s="1"/>
  <c r="M59"/>
  <c r="M61" s="1"/>
  <c r="G50" i="7"/>
  <c r="G52" s="1"/>
  <c r="J50"/>
  <c r="J52" s="1"/>
  <c r="E32" i="49"/>
  <c r="L8"/>
  <c r="L36" i="6"/>
  <c r="L38" s="1"/>
  <c r="I9" i="49"/>
  <c r="J29" i="4"/>
  <c r="P34" i="7"/>
  <c r="P36" s="1"/>
  <c r="F78" i="6"/>
  <c r="F80" s="1"/>
  <c r="G78"/>
  <c r="G80" s="1"/>
  <c r="G69"/>
  <c r="G71" s="1"/>
  <c r="G25"/>
  <c r="H78"/>
  <c r="H80" s="1"/>
  <c r="I59"/>
  <c r="I61" s="1"/>
  <c r="I38"/>
  <c r="I40" s="1"/>
  <c r="J59"/>
  <c r="J61" s="1"/>
  <c r="J25"/>
  <c r="J27" s="1"/>
  <c r="M78"/>
  <c r="M80" s="1"/>
  <c r="M69"/>
  <c r="M71" s="1"/>
  <c r="G60" i="7"/>
  <c r="G62" s="1"/>
  <c r="I60"/>
  <c r="I62" s="1"/>
  <c r="O23"/>
  <c r="O25" s="1"/>
  <c r="G15" i="4"/>
  <c r="I69" i="6"/>
  <c r="I71" s="1"/>
  <c r="I25"/>
  <c r="I27" s="1"/>
  <c r="J69"/>
  <c r="J71" s="1"/>
  <c r="J38"/>
  <c r="J40" s="1"/>
  <c r="K59"/>
  <c r="K61" s="1"/>
  <c r="K38"/>
  <c r="L78"/>
  <c r="L80" s="1"/>
  <c r="L69"/>
  <c r="L71" s="1"/>
  <c r="M38"/>
  <c r="M40" s="1"/>
  <c r="N78"/>
  <c r="N80" s="1"/>
  <c r="N38"/>
  <c r="N40" s="1"/>
  <c r="Q38"/>
  <c r="Q40" s="1"/>
  <c r="F34" i="7"/>
  <c r="F36" s="1"/>
  <c r="G34"/>
  <c r="G36" s="1"/>
  <c r="H34"/>
  <c r="H36" s="1"/>
  <c r="J60"/>
  <c r="J62" s="1"/>
  <c r="K34"/>
  <c r="L34"/>
  <c r="L36" s="1"/>
  <c r="M34"/>
  <c r="M64" s="1"/>
  <c r="M67" s="1"/>
  <c r="N34"/>
  <c r="N36" s="1"/>
  <c r="O50"/>
  <c r="O52" s="1"/>
  <c r="I19" i="4"/>
  <c r="H38" i="6"/>
  <c r="H40" s="1"/>
  <c r="U70" i="35"/>
  <c r="U69"/>
  <c r="U65"/>
  <c r="Q55"/>
  <c r="R7" s="1"/>
  <c r="Q11" i="7" s="1"/>
  <c r="I17" i="4" s="1"/>
  <c r="E58" i="35"/>
  <c r="O7"/>
  <c r="N11" i="7" s="1"/>
  <c r="N23" s="1"/>
  <c r="R55" i="35"/>
  <c r="J105" s="1"/>
  <c r="S105"/>
  <c r="D53" s="1"/>
  <c r="N8"/>
  <c r="F48"/>
  <c r="I11" i="7"/>
  <c r="I23" s="1"/>
  <c r="I25" s="1"/>
  <c r="J8" i="35"/>
  <c r="F28"/>
  <c r="E23"/>
  <c r="F24"/>
  <c r="J77" i="4"/>
  <c r="P50" i="7"/>
  <c r="P52" s="1"/>
  <c r="O12" i="79"/>
  <c r="N13"/>
  <c r="K58" i="5"/>
  <c r="K77" i="4" s="1"/>
  <c r="P59" i="6"/>
  <c r="P61" s="1"/>
  <c r="N12" i="68"/>
  <c r="H59" i="6"/>
  <c r="H61" s="1"/>
  <c r="N12" i="82"/>
  <c r="P66" i="6"/>
  <c r="H64" i="5" s="1"/>
  <c r="N12" i="81"/>
  <c r="F69" i="6"/>
  <c r="F71" s="1"/>
  <c r="H69"/>
  <c r="H71" s="1"/>
  <c r="P65"/>
  <c r="H63" i="5" s="1"/>
  <c r="G58" i="27"/>
  <c r="U7"/>
  <c r="T7"/>
  <c r="Q8"/>
  <c r="N7" i="6"/>
  <c r="O8" i="8"/>
  <c r="Q7"/>
  <c r="S7" s="1"/>
  <c r="G82"/>
  <c r="G58"/>
  <c r="N13" i="86"/>
  <c r="P56" i="7"/>
  <c r="K60"/>
  <c r="K62" s="1"/>
  <c r="J83" i="4"/>
  <c r="N12" i="87"/>
  <c r="F60" i="7"/>
  <c r="F62" s="1"/>
  <c r="H60"/>
  <c r="H62" s="1"/>
  <c r="O11" i="87"/>
  <c r="G27" i="6"/>
  <c r="J27" i="4"/>
  <c r="K75" i="5"/>
  <c r="K93" i="4" s="1"/>
  <c r="H93"/>
  <c r="K66" i="5"/>
  <c r="K84" i="4" s="1"/>
  <c r="H84"/>
  <c r="H81"/>
  <c r="K81"/>
  <c r="K55" i="5"/>
  <c r="K74" i="4" s="1"/>
  <c r="H74"/>
  <c r="K44" i="5"/>
  <c r="K63" i="4" s="1"/>
  <c r="H63"/>
  <c r="H31"/>
  <c r="K31" i="5"/>
  <c r="K31" i="4" s="1"/>
  <c r="H13"/>
  <c r="K12" i="5"/>
  <c r="K13" i="4" s="1"/>
  <c r="H9"/>
  <c r="K8" i="5"/>
  <c r="K9" i="4" s="1"/>
  <c r="G7"/>
  <c r="J81"/>
  <c r="J63"/>
  <c r="I7"/>
  <c r="H90"/>
  <c r="K72" i="5"/>
  <c r="K90" i="4" s="1"/>
  <c r="H76" i="5"/>
  <c r="H75" i="4"/>
  <c r="K56" i="5"/>
  <c r="K75" i="4" s="1"/>
  <c r="H64"/>
  <c r="K45" i="5"/>
  <c r="K64" i="4" s="1"/>
  <c r="H28"/>
  <c r="K28" i="5"/>
  <c r="K28" i="4" s="1"/>
  <c r="H19"/>
  <c r="K18" i="5"/>
  <c r="K18" i="4" s="1"/>
  <c r="H18"/>
  <c r="K13" i="5"/>
  <c r="K14" i="4" s="1"/>
  <c r="H14"/>
  <c r="K9" i="5"/>
  <c r="K10" i="4" s="1"/>
  <c r="H10"/>
  <c r="K40" i="6"/>
  <c r="I36" i="7"/>
  <c r="J36"/>
  <c r="K36"/>
  <c r="L64"/>
  <c r="L67" s="1"/>
  <c r="M36"/>
  <c r="G39" i="4"/>
  <c r="G37"/>
  <c r="G9"/>
  <c r="G8"/>
  <c r="J7"/>
  <c r="I34"/>
  <c r="I27"/>
  <c r="I7" i="5"/>
  <c r="I10" i="4"/>
  <c r="K73" i="5"/>
  <c r="K91" i="4" s="1"/>
  <c r="H91"/>
  <c r="H76"/>
  <c r="K57" i="5"/>
  <c r="K76" i="4" s="1"/>
  <c r="H65"/>
  <c r="K46" i="5"/>
  <c r="K65" i="4" s="1"/>
  <c r="K33" i="5"/>
  <c r="K33" i="4" s="1"/>
  <c r="H33"/>
  <c r="H29"/>
  <c r="H22"/>
  <c r="K22" i="5"/>
  <c r="K22" i="4" s="1"/>
  <c r="H15"/>
  <c r="K14" i="5"/>
  <c r="K15" i="4" s="1"/>
  <c r="K10" i="5"/>
  <c r="K11" i="4" s="1"/>
  <c r="H11"/>
  <c r="J68"/>
  <c r="J32"/>
  <c r="J10"/>
  <c r="K74" i="5"/>
  <c r="K92" i="4" s="1"/>
  <c r="H92"/>
  <c r="H66"/>
  <c r="K47" i="5"/>
  <c r="K66" i="4" s="1"/>
  <c r="H30"/>
  <c r="K30" i="5"/>
  <c r="K30" i="4" s="1"/>
  <c r="K23" i="5"/>
  <c r="K23" i="4" s="1"/>
  <c r="H23"/>
  <c r="K20" i="5"/>
  <c r="K20" i="4" s="1"/>
  <c r="H20"/>
  <c r="K11" i="5"/>
  <c r="K12" i="4" s="1"/>
  <c r="H12"/>
  <c r="K49" i="5"/>
  <c r="K68" i="4" s="1"/>
  <c r="L40" i="6" l="1"/>
  <c r="L82"/>
  <c r="L85" s="1"/>
  <c r="J63" i="5"/>
  <c r="J82" i="4" s="1"/>
  <c r="G27" i="5"/>
  <c r="G27" i="4" s="1"/>
  <c r="J82" i="6"/>
  <c r="J85" s="1"/>
  <c r="O7" i="24"/>
  <c r="N22" i="6" s="1"/>
  <c r="E58" i="24"/>
  <c r="N25" i="6"/>
  <c r="N27" s="1"/>
  <c r="O8" i="24"/>
  <c r="G21" i="5"/>
  <c r="G21" i="4" s="1"/>
  <c r="H68"/>
  <c r="R110" i="24"/>
  <c r="R109"/>
  <c r="D55"/>
  <c r="D57" s="1"/>
  <c r="I5"/>
  <c r="Q5" s="1"/>
  <c r="T5" s="1"/>
  <c r="R8"/>
  <c r="I66"/>
  <c r="I70"/>
  <c r="I74"/>
  <c r="I78"/>
  <c r="I82"/>
  <c r="I86"/>
  <c r="I90"/>
  <c r="I94"/>
  <c r="I98"/>
  <c r="I102"/>
  <c r="I106"/>
  <c r="E23"/>
  <c r="F25"/>
  <c r="I64"/>
  <c r="I68"/>
  <c r="I72"/>
  <c r="I76"/>
  <c r="I80"/>
  <c r="I84"/>
  <c r="Q110"/>
  <c r="I88"/>
  <c r="I92"/>
  <c r="I96"/>
  <c r="I100"/>
  <c r="V5"/>
  <c r="U5"/>
  <c r="S5"/>
  <c r="I82" i="6"/>
  <c r="I85" s="1"/>
  <c r="K43" i="5"/>
  <c r="K62" i="4" s="1"/>
  <c r="O64" i="7"/>
  <c r="O67" s="1"/>
  <c r="K48" i="5"/>
  <c r="O82" i="6"/>
  <c r="O85" s="1"/>
  <c r="L6" i="43"/>
  <c r="F9"/>
  <c r="H59" i="5"/>
  <c r="H83" i="4"/>
  <c r="K64" i="5"/>
  <c r="J67"/>
  <c r="J85" i="4" s="1"/>
  <c r="J59" i="5"/>
  <c r="J34"/>
  <c r="J34" i="4" s="1"/>
  <c r="I8"/>
  <c r="I24" i="5"/>
  <c r="J25" i="7"/>
  <c r="J64"/>
  <c r="J67" s="1"/>
  <c r="G18"/>
  <c r="G23" s="1"/>
  <c r="H8" i="39"/>
  <c r="F24"/>
  <c r="E23"/>
  <c r="K64" i="7"/>
  <c r="K67" s="1"/>
  <c r="I64"/>
  <c r="I67" s="1"/>
  <c r="M12" i="56"/>
  <c r="N43" i="6"/>
  <c r="N45" s="1"/>
  <c r="H77" i="4"/>
  <c r="F64" i="7"/>
  <c r="F67" s="1"/>
  <c r="K29" i="5"/>
  <c r="K29" i="4" s="1"/>
  <c r="K82" i="6"/>
  <c r="K85" s="1"/>
  <c r="M82"/>
  <c r="M85" s="1"/>
  <c r="G82"/>
  <c r="G85" s="1"/>
  <c r="N12" i="56"/>
  <c r="P11"/>
  <c r="P43" i="6"/>
  <c r="H37" i="5" s="1"/>
  <c r="F30" i="6"/>
  <c r="F38" s="1"/>
  <c r="F40" s="1"/>
  <c r="C9" i="43"/>
  <c r="L8"/>
  <c r="Q82" i="6"/>
  <c r="P36"/>
  <c r="H32" i="5" s="1"/>
  <c r="L9" i="49"/>
  <c r="N82" i="6"/>
  <c r="N85" s="1"/>
  <c r="Q23" i="7"/>
  <c r="R8" i="35"/>
  <c r="I75" s="1"/>
  <c r="I105" s="1"/>
  <c r="N25" i="7"/>
  <c r="N64"/>
  <c r="N67" s="1"/>
  <c r="U105" i="35"/>
  <c r="F53" s="1"/>
  <c r="F58" s="1"/>
  <c r="D58"/>
  <c r="D55"/>
  <c r="D57" s="1"/>
  <c r="O5"/>
  <c r="H105"/>
  <c r="E55"/>
  <c r="E57" s="1"/>
  <c r="F23"/>
  <c r="I7"/>
  <c r="K83" i="4"/>
  <c r="H67" i="5"/>
  <c r="P69" i="6"/>
  <c r="P71" s="1"/>
  <c r="U8" i="27"/>
  <c r="V8"/>
  <c r="T8"/>
  <c r="S8"/>
  <c r="P7" i="6"/>
  <c r="H6" i="5" s="1"/>
  <c r="V7" i="8"/>
  <c r="T7"/>
  <c r="U7"/>
  <c r="Q8"/>
  <c r="S8" s="1"/>
  <c r="P60" i="7"/>
  <c r="P62" s="1"/>
  <c r="H67" i="4"/>
  <c r="K67"/>
  <c r="J62"/>
  <c r="K76" i="5"/>
  <c r="K94" i="4" s="1"/>
  <c r="H94"/>
  <c r="H8"/>
  <c r="H62"/>
  <c r="G34" i="5" l="1"/>
  <c r="G34" i="4" s="1"/>
  <c r="I110" i="24"/>
  <c r="I109"/>
  <c r="G24" i="5"/>
  <c r="I7" i="24"/>
  <c r="F23"/>
  <c r="F55" s="1"/>
  <c r="F57" s="1"/>
  <c r="W76" s="1"/>
  <c r="E55"/>
  <c r="E57" s="1"/>
  <c r="F82" i="6"/>
  <c r="F85" s="1"/>
  <c r="K67" i="5"/>
  <c r="K59"/>
  <c r="G25" i="7"/>
  <c r="G64"/>
  <c r="G67" s="1"/>
  <c r="E55" i="39"/>
  <c r="E57" s="1"/>
  <c r="I7"/>
  <c r="F23"/>
  <c r="F55" s="1"/>
  <c r="F57" s="1"/>
  <c r="H39" i="5"/>
  <c r="K39" s="1"/>
  <c r="P45" i="6"/>
  <c r="P30"/>
  <c r="H27" i="5" s="1"/>
  <c r="L9" i="43"/>
  <c r="Q85" i="6"/>
  <c r="Q83"/>
  <c r="Q25" i="7"/>
  <c r="Q64"/>
  <c r="Q67" s="1"/>
  <c r="F55" i="35"/>
  <c r="F57" s="1"/>
  <c r="O8"/>
  <c r="Q5"/>
  <c r="N86"/>
  <c r="L86" s="1"/>
  <c r="W77"/>
  <c r="N93"/>
  <c r="L93" s="1"/>
  <c r="X73"/>
  <c r="O95"/>
  <c r="M95" s="1"/>
  <c r="N102"/>
  <c r="L102" s="1"/>
  <c r="N76"/>
  <c r="L76" s="1"/>
  <c r="X65"/>
  <c r="W80"/>
  <c r="Y73"/>
  <c r="N101"/>
  <c r="L101" s="1"/>
  <c r="N85"/>
  <c r="L85" s="1"/>
  <c r="N94"/>
  <c r="L94" s="1"/>
  <c r="N80"/>
  <c r="L80" s="1"/>
  <c r="Y63"/>
  <c r="V78"/>
  <c r="V80"/>
  <c r="W64"/>
  <c r="O103"/>
  <c r="M103" s="1"/>
  <c r="O87"/>
  <c r="M87" s="1"/>
  <c r="Y69"/>
  <c r="O96"/>
  <c r="M96" s="1"/>
  <c r="O88"/>
  <c r="M88" s="1"/>
  <c r="Y68"/>
  <c r="O97"/>
  <c r="M97" s="1"/>
  <c r="O89"/>
  <c r="M89" s="1"/>
  <c r="N81"/>
  <c r="L81" s="1"/>
  <c r="N77"/>
  <c r="L77" s="1"/>
  <c r="Y67"/>
  <c r="V75"/>
  <c r="V69"/>
  <c r="V81"/>
  <c r="V63"/>
  <c r="W63"/>
  <c r="W78"/>
  <c r="W68"/>
  <c r="N104"/>
  <c r="L104" s="1"/>
  <c r="N96"/>
  <c r="L96" s="1"/>
  <c r="N88"/>
  <c r="L88" s="1"/>
  <c r="O74"/>
  <c r="M74" s="1"/>
  <c r="Y64"/>
  <c r="V64"/>
  <c r="N99"/>
  <c r="L99" s="1"/>
  <c r="N95"/>
  <c r="L95" s="1"/>
  <c r="N91"/>
  <c r="L91" s="1"/>
  <c r="N87"/>
  <c r="L87" s="1"/>
  <c r="N83"/>
  <c r="L83" s="1"/>
  <c r="O81"/>
  <c r="M81" s="1"/>
  <c r="O79"/>
  <c r="M79" s="1"/>
  <c r="O77"/>
  <c r="M77" s="1"/>
  <c r="N74"/>
  <c r="L74" s="1"/>
  <c r="Y72"/>
  <c r="V70"/>
  <c r="X79"/>
  <c r="V66"/>
  <c r="X72"/>
  <c r="V77"/>
  <c r="X77"/>
  <c r="X70"/>
  <c r="X76"/>
  <c r="W65"/>
  <c r="W69"/>
  <c r="W70"/>
  <c r="G58"/>
  <c r="O100"/>
  <c r="M100" s="1"/>
  <c r="O92"/>
  <c r="M92" s="1"/>
  <c r="O84"/>
  <c r="M84" s="1"/>
  <c r="O101"/>
  <c r="M101" s="1"/>
  <c r="O93"/>
  <c r="M93" s="1"/>
  <c r="O85"/>
  <c r="M85" s="1"/>
  <c r="N79"/>
  <c r="L79" s="1"/>
  <c r="V74"/>
  <c r="Y70"/>
  <c r="X71"/>
  <c r="V67"/>
  <c r="X81"/>
  <c r="X80"/>
  <c r="O75"/>
  <c r="M75" s="1"/>
  <c r="W71"/>
  <c r="W74"/>
  <c r="N100"/>
  <c r="L100" s="1"/>
  <c r="N92"/>
  <c r="L92" s="1"/>
  <c r="N84"/>
  <c r="L84" s="1"/>
  <c r="Y65"/>
  <c r="O72"/>
  <c r="O102"/>
  <c r="M102" s="1"/>
  <c r="O98"/>
  <c r="M98" s="1"/>
  <c r="O94"/>
  <c r="M94" s="1"/>
  <c r="O90"/>
  <c r="M90" s="1"/>
  <c r="O86"/>
  <c r="M86" s="1"/>
  <c r="O82"/>
  <c r="M82" s="1"/>
  <c r="O80"/>
  <c r="M80" s="1"/>
  <c r="O78"/>
  <c r="M78" s="1"/>
  <c r="O76"/>
  <c r="M76" s="1"/>
  <c r="O73"/>
  <c r="M73" s="1"/>
  <c r="Y66"/>
  <c r="V79"/>
  <c r="X68"/>
  <c r="V71"/>
  <c r="X74"/>
  <c r="V73"/>
  <c r="X63"/>
  <c r="V76"/>
  <c r="X78"/>
  <c r="W81"/>
  <c r="W66"/>
  <c r="X75"/>
  <c r="W73"/>
  <c r="W72"/>
  <c r="W75"/>
  <c r="X64"/>
  <c r="N75"/>
  <c r="L75" s="1"/>
  <c r="W76"/>
  <c r="Q7"/>
  <c r="H11" i="7"/>
  <c r="I8" i="35"/>
  <c r="O104"/>
  <c r="M104" s="1"/>
  <c r="N97"/>
  <c r="L97" s="1"/>
  <c r="N89"/>
  <c r="L89" s="1"/>
  <c r="Y74"/>
  <c r="N98"/>
  <c r="L98" s="1"/>
  <c r="N90"/>
  <c r="L90" s="1"/>
  <c r="N82"/>
  <c r="L82" s="1"/>
  <c r="N78"/>
  <c r="L78" s="1"/>
  <c r="Y71"/>
  <c r="X66"/>
  <c r="X69"/>
  <c r="V65"/>
  <c r="V72"/>
  <c r="X67"/>
  <c r="W67"/>
  <c r="W79"/>
  <c r="Y75"/>
  <c r="O99"/>
  <c r="M99" s="1"/>
  <c r="O91"/>
  <c r="M91" s="1"/>
  <c r="O83"/>
  <c r="M83" s="1"/>
  <c r="N72"/>
  <c r="V68"/>
  <c r="H82" i="4"/>
  <c r="K63" i="5"/>
  <c r="K82" i="4" s="1"/>
  <c r="U8" i="8"/>
  <c r="T8"/>
  <c r="V8"/>
  <c r="G24" i="4"/>
  <c r="G69" i="5"/>
  <c r="G80" s="1"/>
  <c r="I69"/>
  <c r="I24" i="4"/>
  <c r="I41" s="1"/>
  <c r="I59" s="1"/>
  <c r="H78"/>
  <c r="K78"/>
  <c r="J78"/>
  <c r="P108" i="24" l="1"/>
  <c r="N108" s="1"/>
  <c r="W64"/>
  <c r="W68"/>
  <c r="O104"/>
  <c r="M104" s="1"/>
  <c r="O100"/>
  <c r="M100" s="1"/>
  <c r="O96"/>
  <c r="M96" s="1"/>
  <c r="O92"/>
  <c r="M92" s="1"/>
  <c r="O88"/>
  <c r="M88" s="1"/>
  <c r="O84"/>
  <c r="M84" s="1"/>
  <c r="Y80"/>
  <c r="Y78"/>
  <c r="Y76"/>
  <c r="Y74"/>
  <c r="X72"/>
  <c r="Y70"/>
  <c r="X68"/>
  <c r="X66"/>
  <c r="X64"/>
  <c r="W78"/>
  <c r="W80"/>
  <c r="P106"/>
  <c r="N106" s="1"/>
  <c r="P102"/>
  <c r="N102" s="1"/>
  <c r="P98"/>
  <c r="N98" s="1"/>
  <c r="P94"/>
  <c r="N94" s="1"/>
  <c r="P90"/>
  <c r="N90" s="1"/>
  <c r="P86"/>
  <c r="N86" s="1"/>
  <c r="P82"/>
  <c r="N82" s="1"/>
  <c r="X80"/>
  <c r="X78"/>
  <c r="X76"/>
  <c r="X74"/>
  <c r="Y72"/>
  <c r="X70"/>
  <c r="Y68"/>
  <c r="Y66"/>
  <c r="Y64"/>
  <c r="W66"/>
  <c r="P107"/>
  <c r="N107" s="1"/>
  <c r="P103"/>
  <c r="N103" s="1"/>
  <c r="P99"/>
  <c r="N99" s="1"/>
  <c r="P95"/>
  <c r="N95" s="1"/>
  <c r="P91"/>
  <c r="N91" s="1"/>
  <c r="P87"/>
  <c r="N87" s="1"/>
  <c r="P83"/>
  <c r="N83" s="1"/>
  <c r="Y79"/>
  <c r="X79"/>
  <c r="O75"/>
  <c r="M75" s="1"/>
  <c r="X75"/>
  <c r="P75"/>
  <c r="N75" s="1"/>
  <c r="Y71"/>
  <c r="W71"/>
  <c r="O67"/>
  <c r="M67" s="1"/>
  <c r="X67"/>
  <c r="P67"/>
  <c r="N67" s="1"/>
  <c r="W63"/>
  <c r="P105"/>
  <c r="N105" s="1"/>
  <c r="P101"/>
  <c r="N101" s="1"/>
  <c r="P97"/>
  <c r="N97" s="1"/>
  <c r="P93"/>
  <c r="N93" s="1"/>
  <c r="P89"/>
  <c r="N89" s="1"/>
  <c r="P85"/>
  <c r="N85" s="1"/>
  <c r="X81"/>
  <c r="Y81"/>
  <c r="W77"/>
  <c r="P77"/>
  <c r="N77" s="1"/>
  <c r="Y73"/>
  <c r="Y69"/>
  <c r="X65"/>
  <c r="O108"/>
  <c r="M108" s="1"/>
  <c r="O102"/>
  <c r="M102" s="1"/>
  <c r="O94"/>
  <c r="M94" s="1"/>
  <c r="O90"/>
  <c r="M90" s="1"/>
  <c r="O86"/>
  <c r="M86" s="1"/>
  <c r="O82"/>
  <c r="M82" s="1"/>
  <c r="O80"/>
  <c r="M80" s="1"/>
  <c r="O78"/>
  <c r="M78" s="1"/>
  <c r="O76"/>
  <c r="M76" s="1"/>
  <c r="O74"/>
  <c r="M74" s="1"/>
  <c r="O72"/>
  <c r="M72" s="1"/>
  <c r="O70"/>
  <c r="M70" s="1"/>
  <c r="O68"/>
  <c r="M68" s="1"/>
  <c r="O66"/>
  <c r="M66" s="1"/>
  <c r="O64"/>
  <c r="M64" s="1"/>
  <c r="W70"/>
  <c r="W72"/>
  <c r="P104"/>
  <c r="N104" s="1"/>
  <c r="P100"/>
  <c r="N100" s="1"/>
  <c r="P96"/>
  <c r="N96" s="1"/>
  <c r="P92"/>
  <c r="N92" s="1"/>
  <c r="P88"/>
  <c r="N88" s="1"/>
  <c r="P84"/>
  <c r="N84" s="1"/>
  <c r="P80"/>
  <c r="N80" s="1"/>
  <c r="P78"/>
  <c r="N78" s="1"/>
  <c r="P76"/>
  <c r="N76" s="1"/>
  <c r="P74"/>
  <c r="N74" s="1"/>
  <c r="P72"/>
  <c r="N72" s="1"/>
  <c r="P70"/>
  <c r="N70" s="1"/>
  <c r="P68"/>
  <c r="N68" s="1"/>
  <c r="P66"/>
  <c r="N66" s="1"/>
  <c r="P64"/>
  <c r="N64" s="1"/>
  <c r="W74"/>
  <c r="O107"/>
  <c r="M107" s="1"/>
  <c r="O103"/>
  <c r="M103" s="1"/>
  <c r="O99"/>
  <c r="M99" s="1"/>
  <c r="O95"/>
  <c r="M95" s="1"/>
  <c r="O91"/>
  <c r="M91" s="1"/>
  <c r="O87"/>
  <c r="M87" s="1"/>
  <c r="O83"/>
  <c r="M83" s="1"/>
  <c r="O79"/>
  <c r="M79" s="1"/>
  <c r="W79"/>
  <c r="P79"/>
  <c r="N79" s="1"/>
  <c r="Y75"/>
  <c r="W75"/>
  <c r="O71"/>
  <c r="M71" s="1"/>
  <c r="X71"/>
  <c r="P71"/>
  <c r="N71" s="1"/>
  <c r="Y67"/>
  <c r="W67"/>
  <c r="O63"/>
  <c r="Y63"/>
  <c r="P63"/>
  <c r="X63"/>
  <c r="G58"/>
  <c r="O105"/>
  <c r="M105" s="1"/>
  <c r="O101"/>
  <c r="M101" s="1"/>
  <c r="O97"/>
  <c r="M97" s="1"/>
  <c r="O93"/>
  <c r="M93" s="1"/>
  <c r="O89"/>
  <c r="M89" s="1"/>
  <c r="O85"/>
  <c r="M85" s="1"/>
  <c r="O81"/>
  <c r="M81" s="1"/>
  <c r="W81"/>
  <c r="P81"/>
  <c r="N81" s="1"/>
  <c r="Y77"/>
  <c r="X77"/>
  <c r="O73"/>
  <c r="M73" s="1"/>
  <c r="X73"/>
  <c r="P73"/>
  <c r="N73" s="1"/>
  <c r="X69"/>
  <c r="W69"/>
  <c r="O65"/>
  <c r="M65" s="1"/>
  <c r="W65"/>
  <c r="Y65"/>
  <c r="O77"/>
  <c r="M77" s="1"/>
  <c r="W73"/>
  <c r="O69"/>
  <c r="M69" s="1"/>
  <c r="P69"/>
  <c r="N69" s="1"/>
  <c r="P65"/>
  <c r="N65" s="1"/>
  <c r="O98"/>
  <c r="M98" s="1"/>
  <c r="O106"/>
  <c r="M106" s="1"/>
  <c r="H22" i="6"/>
  <c r="H25" s="1"/>
  <c r="I8" i="24"/>
  <c r="Q7"/>
  <c r="H34" i="5"/>
  <c r="K34" s="1"/>
  <c r="P38" i="6"/>
  <c r="P40" s="1"/>
  <c r="H18" i="7"/>
  <c r="H23" s="1"/>
  <c r="H64" s="1"/>
  <c r="H67" s="1"/>
  <c r="I8" i="39"/>
  <c r="Q7"/>
  <c r="O67"/>
  <c r="M67" s="1"/>
  <c r="O71"/>
  <c r="M71" s="1"/>
  <c r="O75"/>
  <c r="M75" s="1"/>
  <c r="O79"/>
  <c r="M79" s="1"/>
  <c r="O83"/>
  <c r="M83" s="1"/>
  <c r="O87"/>
  <c r="M87" s="1"/>
  <c r="O91"/>
  <c r="M91" s="1"/>
  <c r="O95"/>
  <c r="M95" s="1"/>
  <c r="O99"/>
  <c r="M99" s="1"/>
  <c r="O103"/>
  <c r="M103" s="1"/>
  <c r="Y68"/>
  <c r="X78"/>
  <c r="Y77"/>
  <c r="Y76"/>
  <c r="X67"/>
  <c r="W80"/>
  <c r="O64"/>
  <c r="M64" s="1"/>
  <c r="O68"/>
  <c r="M68" s="1"/>
  <c r="O72"/>
  <c r="M72" s="1"/>
  <c r="O76"/>
  <c r="M76" s="1"/>
  <c r="O80"/>
  <c r="M80" s="1"/>
  <c r="O84"/>
  <c r="M84" s="1"/>
  <c r="O88"/>
  <c r="M88" s="1"/>
  <c r="O92"/>
  <c r="M92" s="1"/>
  <c r="O96"/>
  <c r="M96" s="1"/>
  <c r="O100"/>
  <c r="M100" s="1"/>
  <c r="O104"/>
  <c r="M104" s="1"/>
  <c r="P66"/>
  <c r="N66" s="1"/>
  <c r="P70"/>
  <c r="N70" s="1"/>
  <c r="P74"/>
  <c r="N74" s="1"/>
  <c r="P78"/>
  <c r="N78" s="1"/>
  <c r="P82"/>
  <c r="N82" s="1"/>
  <c r="P86"/>
  <c r="N86" s="1"/>
  <c r="P90"/>
  <c r="N90" s="1"/>
  <c r="P94"/>
  <c r="N94" s="1"/>
  <c r="P98"/>
  <c r="N98" s="1"/>
  <c r="P102"/>
  <c r="N102" s="1"/>
  <c r="G58"/>
  <c r="X73"/>
  <c r="Y78"/>
  <c r="Y71"/>
  <c r="W72"/>
  <c r="X63"/>
  <c r="W70"/>
  <c r="W67"/>
  <c r="W69"/>
  <c r="P65"/>
  <c r="N65" s="1"/>
  <c r="P69"/>
  <c r="N69" s="1"/>
  <c r="P73"/>
  <c r="N73" s="1"/>
  <c r="P77"/>
  <c r="N77" s="1"/>
  <c r="P81"/>
  <c r="N81" s="1"/>
  <c r="P85"/>
  <c r="N85" s="1"/>
  <c r="P89"/>
  <c r="N89" s="1"/>
  <c r="P93"/>
  <c r="N93" s="1"/>
  <c r="P97"/>
  <c r="N97" s="1"/>
  <c r="P101"/>
  <c r="N101" s="1"/>
  <c r="W78"/>
  <c r="X69"/>
  <c r="W68"/>
  <c r="Y65"/>
  <c r="X75"/>
  <c r="X64"/>
  <c r="W65"/>
  <c r="X81"/>
  <c r="X66"/>
  <c r="Y75"/>
  <c r="Y80"/>
  <c r="X71"/>
  <c r="W76"/>
  <c r="W71"/>
  <c r="W77"/>
  <c r="O65"/>
  <c r="M65" s="1"/>
  <c r="O69"/>
  <c r="M69" s="1"/>
  <c r="O73"/>
  <c r="M73" s="1"/>
  <c r="O77"/>
  <c r="M77" s="1"/>
  <c r="O81"/>
  <c r="M81" s="1"/>
  <c r="O85"/>
  <c r="M85" s="1"/>
  <c r="O89"/>
  <c r="M89" s="1"/>
  <c r="O93"/>
  <c r="M93" s="1"/>
  <c r="O97"/>
  <c r="M97" s="1"/>
  <c r="O101"/>
  <c r="M101" s="1"/>
  <c r="P63"/>
  <c r="X77"/>
  <c r="Y74"/>
  <c r="Y69"/>
  <c r="W79"/>
  <c r="X72"/>
  <c r="W73"/>
  <c r="O66"/>
  <c r="M66" s="1"/>
  <c r="O70"/>
  <c r="M70" s="1"/>
  <c r="O74"/>
  <c r="M74" s="1"/>
  <c r="O78"/>
  <c r="M78" s="1"/>
  <c r="O82"/>
  <c r="M82" s="1"/>
  <c r="O86"/>
  <c r="M86" s="1"/>
  <c r="O90"/>
  <c r="M90" s="1"/>
  <c r="O94"/>
  <c r="M94" s="1"/>
  <c r="O98"/>
  <c r="M98" s="1"/>
  <c r="O102"/>
  <c r="M102" s="1"/>
  <c r="P64"/>
  <c r="N64" s="1"/>
  <c r="P68"/>
  <c r="N68" s="1"/>
  <c r="P72"/>
  <c r="N72" s="1"/>
  <c r="P76"/>
  <c r="N76" s="1"/>
  <c r="P80"/>
  <c r="N80" s="1"/>
  <c r="P84"/>
  <c r="N84" s="1"/>
  <c r="P88"/>
  <c r="N88" s="1"/>
  <c r="P92"/>
  <c r="N92" s="1"/>
  <c r="P96"/>
  <c r="N96" s="1"/>
  <c r="P100"/>
  <c r="N100" s="1"/>
  <c r="P104"/>
  <c r="N104" s="1"/>
  <c r="W66"/>
  <c r="X74"/>
  <c r="W81"/>
  <c r="Y63"/>
  <c r="X79"/>
  <c r="X68"/>
  <c r="W75"/>
  <c r="Y72"/>
  <c r="O63"/>
  <c r="P67"/>
  <c r="N67" s="1"/>
  <c r="P71"/>
  <c r="N71" s="1"/>
  <c r="P75"/>
  <c r="N75" s="1"/>
  <c r="P79"/>
  <c r="N79" s="1"/>
  <c r="P83"/>
  <c r="N83" s="1"/>
  <c r="P87"/>
  <c r="N87" s="1"/>
  <c r="P91"/>
  <c r="N91" s="1"/>
  <c r="P95"/>
  <c r="N95" s="1"/>
  <c r="P99"/>
  <c r="N99" s="1"/>
  <c r="P103"/>
  <c r="N103" s="1"/>
  <c r="Y81"/>
  <c r="X70"/>
  <c r="Y73"/>
  <c r="Y66"/>
  <c r="X80"/>
  <c r="Y64"/>
  <c r="W74"/>
  <c r="X65"/>
  <c r="Y70"/>
  <c r="Y67"/>
  <c r="W64"/>
  <c r="X76"/>
  <c r="Y79"/>
  <c r="W63"/>
  <c r="K37" i="5"/>
  <c r="K37" i="4" s="1"/>
  <c r="H37"/>
  <c r="H27"/>
  <c r="K27" i="5"/>
  <c r="K27" i="4" s="1"/>
  <c r="H32"/>
  <c r="K32" i="5"/>
  <c r="K32" i="4" s="1"/>
  <c r="N73" i="35"/>
  <c r="L73" s="1"/>
  <c r="N103"/>
  <c r="L103" s="1"/>
  <c r="S5"/>
  <c r="V5"/>
  <c r="T5"/>
  <c r="U5"/>
  <c r="P11" i="7"/>
  <c r="J15" i="5" s="1"/>
  <c r="K15" s="1"/>
  <c r="T7" i="35"/>
  <c r="U7"/>
  <c r="Q8"/>
  <c r="S7"/>
  <c r="V7"/>
  <c r="L72"/>
  <c r="O105"/>
  <c r="M105" s="1"/>
  <c r="M72"/>
  <c r="H85" i="4"/>
  <c r="K85"/>
  <c r="K6" i="5"/>
  <c r="K7" i="4" s="1"/>
  <c r="H7"/>
  <c r="G41"/>
  <c r="G59" s="1"/>
  <c r="G87"/>
  <c r="G84" i="5"/>
  <c r="G98" i="4"/>
  <c r="G101" s="1"/>
  <c r="I87"/>
  <c r="I80" i="5"/>
  <c r="P109" i="24" l="1"/>
  <c r="N109" s="1"/>
  <c r="P110"/>
  <c r="N110" s="1"/>
  <c r="N63"/>
  <c r="M63"/>
  <c r="O110"/>
  <c r="M110" s="1"/>
  <c r="O109"/>
  <c r="M109" s="1"/>
  <c r="Q8"/>
  <c r="U7"/>
  <c r="S7"/>
  <c r="P22" i="6"/>
  <c r="H21" i="5" s="1"/>
  <c r="V7" i="24"/>
  <c r="T7"/>
  <c r="H27" i="6"/>
  <c r="H82"/>
  <c r="H85" s="1"/>
  <c r="P18" i="7"/>
  <c r="J19" i="5" s="1"/>
  <c r="U7" i="39"/>
  <c r="V7"/>
  <c r="Q8"/>
  <c r="S7"/>
  <c r="T7"/>
  <c r="O105"/>
  <c r="M105" s="1"/>
  <c r="M63"/>
  <c r="P105"/>
  <c r="N105" s="1"/>
  <c r="N63"/>
  <c r="H25" i="7"/>
  <c r="H39" i="4"/>
  <c r="K39"/>
  <c r="H34"/>
  <c r="K34"/>
  <c r="N105" i="35"/>
  <c r="L105" s="1"/>
  <c r="S8"/>
  <c r="V8"/>
  <c r="T8"/>
  <c r="U8"/>
  <c r="J17" i="5"/>
  <c r="J17" i="4" s="1"/>
  <c r="I84" i="5"/>
  <c r="I98" i="4"/>
  <c r="I101" s="1"/>
  <c r="T8" i="24" l="1"/>
  <c r="U8"/>
  <c r="V8"/>
  <c r="S8"/>
  <c r="P25" i="6"/>
  <c r="P23" i="7"/>
  <c r="P25" s="1"/>
  <c r="T8" i="39"/>
  <c r="S8"/>
  <c r="U8"/>
  <c r="V8"/>
  <c r="J19" i="4"/>
  <c r="K19" i="5"/>
  <c r="K19" i="4" s="1"/>
  <c r="J7" i="5"/>
  <c r="J24" s="1"/>
  <c r="K17"/>
  <c r="K17" i="4" s="1"/>
  <c r="P27" i="6" l="1"/>
  <c r="P82"/>
  <c r="P85" s="1"/>
  <c r="H24" i="5"/>
  <c r="K24" s="1"/>
  <c r="H21" i="4"/>
  <c r="K21" i="5"/>
  <c r="K21" i="4" s="1"/>
  <c r="P64" i="7"/>
  <c r="P67" s="1"/>
  <c r="J69" i="5"/>
  <c r="J80" s="1"/>
  <c r="J8" i="4"/>
  <c r="K7" i="5"/>
  <c r="K8" i="4" s="1"/>
  <c r="H24" l="1"/>
  <c r="H69" i="5"/>
  <c r="H92"/>
  <c r="J24" i="4"/>
  <c r="J92" i="5"/>
  <c r="K24" i="4"/>
  <c r="K41" s="1"/>
  <c r="K59" s="1"/>
  <c r="H80" i="5" l="1"/>
  <c r="H88"/>
  <c r="H87" i="4"/>
  <c r="H106" s="1"/>
  <c r="H110"/>
  <c r="H41"/>
  <c r="H59" s="1"/>
  <c r="K69" i="5"/>
  <c r="K87" i="4" s="1"/>
  <c r="J110"/>
  <c r="J41"/>
  <c r="J59" s="1"/>
  <c r="J88" i="5"/>
  <c r="J87" i="4"/>
  <c r="J106" s="1"/>
  <c r="H84" i="5" l="1"/>
  <c r="H98" i="4"/>
  <c r="H101" s="1"/>
  <c r="K80" i="5"/>
  <c r="J98" i="4"/>
  <c r="J101" s="1"/>
  <c r="J84" i="5"/>
  <c r="K84" l="1"/>
  <c r="K98" i="4"/>
  <c r="K101" s="1"/>
</calcChain>
</file>

<file path=xl/comments1.xml><?xml version="1.0" encoding="utf-8"?>
<comments xmlns="http://schemas.openxmlformats.org/spreadsheetml/2006/main">
  <authors>
    <author>Andy Hemstreet</author>
  </authors>
  <commentList>
    <comment ref="E53" authorId="0">
      <text>
        <r>
          <rPr>
            <sz val="10"/>
            <color indexed="81"/>
            <rFont val="Tahoma"/>
            <family val="2"/>
          </rPr>
          <t>Andy Hemstreet:
Please reference Exhibit 1, Supplement 5 (Low Income Weatherization 2013 Cost Effectiveness workbook.
Total equals:
1) Total program incentives (cell F180) +
2) Total agency overhead (cell C12)</t>
        </r>
      </text>
    </comment>
  </commentList>
</comments>
</file>

<file path=xl/comments2.xml><?xml version="1.0" encoding="utf-8"?>
<comments xmlns="http://schemas.openxmlformats.org/spreadsheetml/2006/main">
  <authors>
    <author>Dave Henson</author>
  </authors>
  <commentList>
    <comment ref="E49" authorId="0">
      <text>
        <r>
          <rPr>
            <sz val="10"/>
            <color indexed="81"/>
            <rFont val="Tahoma"/>
            <family val="2"/>
          </rPr>
          <t>Malcolm McCulloch:
$5/assessment kit</t>
        </r>
      </text>
    </comment>
  </commentList>
</comments>
</file>

<file path=xl/comments3.xml><?xml version="1.0" encoding="utf-8"?>
<comments xmlns="http://schemas.openxmlformats.org/spreadsheetml/2006/main">
  <authors>
    <author>Malcolm McCulloch</author>
  </authors>
  <commentList>
    <comment ref="E39" authorId="0">
      <text>
        <r>
          <rPr>
            <b/>
            <sz val="10"/>
            <color indexed="81"/>
            <rFont val="Tahoma"/>
            <family val="2"/>
          </rPr>
          <t>Malcolm McCulloch:</t>
        </r>
        <r>
          <rPr>
            <sz val="10"/>
            <color indexed="81"/>
            <rFont val="Tahoma"/>
            <family val="2"/>
          </rPr>
          <t xml:space="preserve">
$225/unit MHDS
</t>
        </r>
      </text>
    </comment>
  </commentList>
</comments>
</file>

<file path=xl/comments4.xml><?xml version="1.0" encoding="utf-8"?>
<comments xmlns="http://schemas.openxmlformats.org/spreadsheetml/2006/main">
  <authors>
    <author>Malcolm McCulloch</author>
  </authors>
  <commentList>
    <comment ref="D39" authorId="0">
      <text>
        <r>
          <rPr>
            <b/>
            <sz val="10"/>
            <color indexed="81"/>
            <rFont val="Tahoma"/>
            <family val="2"/>
          </rPr>
          <t>Malcolm McCulloch:</t>
        </r>
        <r>
          <rPr>
            <sz val="10"/>
            <color indexed="81"/>
            <rFont val="Tahoma"/>
            <family val="2"/>
          </rPr>
          <t xml:space="preserve">
$225/unit MHDS
</t>
        </r>
        <r>
          <rPr>
            <b/>
            <sz val="10"/>
            <color indexed="81"/>
            <rFont val="Tahoma"/>
            <family val="2"/>
          </rPr>
          <t>lgiust:</t>
        </r>
        <r>
          <rPr>
            <sz val="10"/>
            <color indexed="81"/>
            <rFont val="Tahoma"/>
            <family val="2"/>
          </rPr>
          <t xml:space="preserve">
Revised to $375/unit
</t>
        </r>
      </text>
    </comment>
    <comment ref="E39" authorId="0">
      <text>
        <r>
          <rPr>
            <b/>
            <sz val="10"/>
            <color indexed="81"/>
            <rFont val="Tahoma"/>
            <family val="2"/>
          </rPr>
          <t>Malcolm McCulloch:</t>
        </r>
        <r>
          <rPr>
            <sz val="10"/>
            <color indexed="81"/>
            <rFont val="Tahoma"/>
            <family val="2"/>
          </rPr>
          <t xml:space="preserve">
$225/unit MHDS
</t>
        </r>
      </text>
    </comment>
  </commentList>
</comments>
</file>

<file path=xl/comments5.xml><?xml version="1.0" encoding="utf-8"?>
<comments xmlns="http://schemas.openxmlformats.org/spreadsheetml/2006/main">
  <authors>
    <author>Andy Hemstreet</author>
  </authors>
  <commentList>
    <comment ref="E53" authorId="0">
      <text>
        <r>
          <rPr>
            <sz val="10"/>
            <color indexed="81"/>
            <rFont val="Tahoma"/>
            <family val="2"/>
          </rPr>
          <t>Andy Hemstreet:
Please reference Exhibit 1, Supplement 5 (Low Income Weatherization 2013 Cost Effectiveness workbook.
Total equals:
1) Total program incentives (cell F106) +
2) Total agency overhead (cell C12)</t>
        </r>
      </text>
    </comment>
  </commentList>
</comments>
</file>

<file path=xl/comments6.xml><?xml version="1.0" encoding="utf-8"?>
<comments xmlns="http://schemas.openxmlformats.org/spreadsheetml/2006/main">
  <authors>
    <author>Malcolm McCulloch</author>
    <author>Dave Henson</author>
  </authors>
  <commentList>
    <comment ref="E39" authorId="0">
      <text>
        <r>
          <rPr>
            <b/>
            <sz val="10"/>
            <color indexed="81"/>
            <rFont val="Tahoma"/>
            <family val="2"/>
          </rPr>
          <t>Malcolm McCulloch:</t>
        </r>
        <r>
          <rPr>
            <sz val="10"/>
            <color indexed="81"/>
            <rFont val="Tahoma"/>
            <family val="2"/>
          </rPr>
          <t xml:space="preserve">
$125/MH
</t>
        </r>
      </text>
    </comment>
    <comment ref="E44" authorId="1">
      <text>
        <r>
          <rPr>
            <sz val="10"/>
            <color indexed="81"/>
            <rFont val="Tahoma"/>
            <family val="2"/>
          </rPr>
          <t>Malcolm McCulloch:
5000 CO monitors @ $40/ea</t>
        </r>
      </text>
    </comment>
  </commentList>
</comments>
</file>

<file path=xl/comments7.xml><?xml version="1.0" encoding="utf-8"?>
<comments xmlns="http://schemas.openxmlformats.org/spreadsheetml/2006/main">
  <authors>
    <author>Malcolm McCulloch</author>
    <author>Dave Henson</author>
  </authors>
  <commentList>
    <comment ref="E39" authorId="0">
      <text>
        <r>
          <rPr>
            <b/>
            <sz val="10"/>
            <color indexed="81"/>
            <rFont val="Tahoma"/>
            <family val="2"/>
          </rPr>
          <t>Malcolm McCulloch:</t>
        </r>
        <r>
          <rPr>
            <sz val="10"/>
            <color indexed="81"/>
            <rFont val="Tahoma"/>
            <family val="2"/>
          </rPr>
          <t xml:space="preserve">
$125/MH
</t>
        </r>
      </text>
    </comment>
    <comment ref="E44" authorId="1">
      <text>
        <r>
          <rPr>
            <sz val="10"/>
            <color indexed="81"/>
            <rFont val="Tahoma"/>
            <family val="2"/>
          </rPr>
          <t>Malcolm McCulloch:
5000 CO monitors @ $40/ea</t>
        </r>
      </text>
    </comment>
  </commentList>
</comments>
</file>

<file path=xl/comments8.xml><?xml version="1.0" encoding="utf-8"?>
<comments xmlns="http://schemas.openxmlformats.org/spreadsheetml/2006/main">
  <authors>
    <author>Malcolm McCulloch</author>
  </authors>
  <commentList>
    <comment ref="E39" authorId="0">
      <text>
        <r>
          <rPr>
            <b/>
            <sz val="10"/>
            <color indexed="81"/>
            <rFont val="Tahoma"/>
            <family val="2"/>
          </rPr>
          <t>Malcolm McCulloch:</t>
        </r>
        <r>
          <rPr>
            <sz val="10"/>
            <color indexed="81"/>
            <rFont val="Tahoma"/>
            <family val="2"/>
          </rPr>
          <t xml:space="preserve">
$225/unit MHDS
</t>
        </r>
      </text>
    </comment>
  </commentList>
</comments>
</file>

<file path=xl/sharedStrings.xml><?xml version="1.0" encoding="utf-8"?>
<sst xmlns="http://schemas.openxmlformats.org/spreadsheetml/2006/main" count="15011" uniqueCount="1455">
  <si>
    <t>May need more tabs to break out details</t>
  </si>
  <si>
    <t>This is only a tab title for Customer Engagement &amp; Education</t>
  </si>
  <si>
    <t>This is only a tab title for Web Experience</t>
  </si>
  <si>
    <t>Net Metering</t>
  </si>
  <si>
    <t>Schedule 150</t>
  </si>
  <si>
    <t>Electric</t>
  </si>
  <si>
    <t>Order Number</t>
  </si>
  <si>
    <t xml:space="preserve"> </t>
  </si>
  <si>
    <t>Do not input to this table!</t>
  </si>
  <si>
    <t>Labor</t>
  </si>
  <si>
    <t>Marketing Labor</t>
  </si>
  <si>
    <t>Overhead</t>
  </si>
  <si>
    <t>Marketing</t>
  </si>
  <si>
    <t>Employee Expense</t>
  </si>
  <si>
    <t>Outside Services</t>
  </si>
  <si>
    <t>Materials</t>
  </si>
  <si>
    <t>Miscellaneous</t>
  </si>
  <si>
    <t>Direct Benefit to Customer</t>
  </si>
  <si>
    <t>Total Budget</t>
  </si>
  <si>
    <t>Percent Budget Change from Previous Year</t>
  </si>
  <si>
    <t>2010 Total</t>
  </si>
  <si>
    <t>n/a</t>
  </si>
  <si>
    <t>2011 Budget</t>
  </si>
  <si>
    <t>Requires Budget team</t>
  </si>
  <si>
    <t>approval to use.</t>
  </si>
  <si>
    <t>Cost Element Detail</t>
  </si>
  <si>
    <t>Dollars</t>
  </si>
  <si>
    <t>Description</t>
  </si>
  <si>
    <t>Total</t>
  </si>
  <si>
    <t>Please insert each year separately</t>
  </si>
  <si>
    <t>Insert pertinent comments below</t>
  </si>
  <si>
    <t>No Input!  Spreadsheet will calculate</t>
  </si>
  <si>
    <r>
      <t xml:space="preserve">FTE </t>
    </r>
    <r>
      <rPr>
        <sz val="10"/>
        <rFont val="Arial"/>
        <family val="2"/>
      </rPr>
      <t>(Insert each below):</t>
    </r>
  </si>
  <si>
    <t>Program Manager</t>
  </si>
  <si>
    <t>Implementer</t>
  </si>
  <si>
    <t>0.25 Manager</t>
  </si>
  <si>
    <t>Direct Assesments</t>
  </si>
  <si>
    <t>63% of direct labor</t>
  </si>
  <si>
    <t>Information Services</t>
  </si>
  <si>
    <t>Marketing--Third Party</t>
  </si>
  <si>
    <t>Local Travel</t>
  </si>
  <si>
    <t>Meals</t>
  </si>
  <si>
    <t>Training</t>
  </si>
  <si>
    <t>Conference Attendance (2,000 ea.)</t>
  </si>
  <si>
    <t>Etc.</t>
  </si>
  <si>
    <t>Engineering Services</t>
  </si>
  <si>
    <t>Includes tools, office equipment,</t>
  </si>
  <si>
    <t>presentation materials (excluding</t>
  </si>
  <si>
    <t>brochures, etc.)</t>
  </si>
  <si>
    <t>Please use a separate line for</t>
  </si>
  <si>
    <t>each.  Please insert additional</t>
  </si>
  <si>
    <t>lines as necessary.</t>
  </si>
  <si>
    <t>SEPA Membership</t>
  </si>
  <si>
    <t>Best Practices Workshop</t>
  </si>
  <si>
    <t>This field will not apply unless your program provides incentives, remuneration or</t>
  </si>
  <si>
    <t xml:space="preserve">a service that has a monetary value.  This will be based on consultation with the </t>
  </si>
  <si>
    <t>budget team.</t>
  </si>
  <si>
    <t>Renewable Energy Education (Demonstration Projects)</t>
  </si>
  <si>
    <t>Schedule  248</t>
  </si>
  <si>
    <t>Direct Assessment</t>
  </si>
  <si>
    <t>Travel in Territory</t>
  </si>
  <si>
    <t>Conference Attendance</t>
  </si>
  <si>
    <t>Brochures</t>
  </si>
  <si>
    <t>Grants to Schools and education</t>
  </si>
  <si>
    <t>C/I Load Control</t>
  </si>
  <si>
    <t>Schedule 249A</t>
  </si>
  <si>
    <t>Order #</t>
  </si>
  <si>
    <t>(incl est assmts; not incl OH)</t>
  </si>
  <si>
    <t>BEM, Major Accts &amp; Meter</t>
  </si>
  <si>
    <t>Svcs Support</t>
  </si>
  <si>
    <t>Travel</t>
  </si>
  <si>
    <t>Participant Meters changeout</t>
  </si>
  <si>
    <t>(Capital only)</t>
  </si>
  <si>
    <t>Participant Incentives</t>
  </si>
  <si>
    <t>Demand Response Pilot (Res.)</t>
  </si>
  <si>
    <t>Order#</t>
  </si>
  <si>
    <t>Energy Efficient Communities</t>
  </si>
  <si>
    <t>Travel ("Fleet vehicles")</t>
  </si>
  <si>
    <t>Conservation Supply Curves</t>
  </si>
  <si>
    <t>1.5 FTE in Resource Planning</t>
  </si>
  <si>
    <t>Conserv. Potential - Cadmus</t>
  </si>
  <si>
    <t>Program Evaluation</t>
  </si>
  <si>
    <t>insert pertinent comments below</t>
  </si>
  <si>
    <t>RTF - PSE Support commitment</t>
  </si>
  <si>
    <t>MARKET INTEGRATION / ELECTRIC</t>
  </si>
  <si>
    <t>Aerotek temp support</t>
  </si>
  <si>
    <t>3rd Party Demographic Data Sets</t>
  </si>
  <si>
    <t>GIS/Geo-targeting software &amp; support</t>
  </si>
  <si>
    <t>Material, tool &amp; office supply assessments</t>
  </si>
  <si>
    <t>Phone, software, misc assessments</t>
  </si>
  <si>
    <t>Conservation Strategic Planning</t>
  </si>
  <si>
    <t>CBSA Supplement</t>
  </si>
  <si>
    <t>REUS Supplement</t>
  </si>
  <si>
    <t>Web development</t>
  </si>
  <si>
    <t>Web content &amp; maintenance</t>
  </si>
  <si>
    <t>Web analytics mining, analysis</t>
  </si>
  <si>
    <t>Aclara online tools</t>
  </si>
  <si>
    <t>Misc applications</t>
  </si>
  <si>
    <t>Supply Curves</t>
  </si>
  <si>
    <t>Gas</t>
  </si>
  <si>
    <t>Marketing Research</t>
  </si>
  <si>
    <t>Strategic Planning</t>
  </si>
  <si>
    <t xml:space="preserve">MARKET INTEGRATION </t>
  </si>
  <si>
    <t>Web analytics mining</t>
  </si>
  <si>
    <t>Aclara</t>
  </si>
  <si>
    <t>no description</t>
  </si>
  <si>
    <t>This is a placeholder tab for Gas Schedule 214</t>
  </si>
  <si>
    <t>This is a placeholder tab for Electric Schedule 214</t>
  </si>
  <si>
    <t>Back to Rollup</t>
  </si>
  <si>
    <t>Tariff</t>
  </si>
  <si>
    <t>Ratios</t>
  </si>
  <si>
    <t>Acquisition Cost</t>
  </si>
  <si>
    <t>DBtC</t>
  </si>
  <si>
    <t>Revenue</t>
  </si>
  <si>
    <t>Total Savings</t>
  </si>
  <si>
    <t>DBTC</t>
  </si>
  <si>
    <t>Outside Svcs</t>
  </si>
  <si>
    <t>Order Name</t>
  </si>
  <si>
    <t>PROVIDE BUDGET DETAILS</t>
  </si>
  <si>
    <t>FILL THESE TWO COLUMNS</t>
  </si>
  <si>
    <t xml:space="preserve"> Do not fill in !  Measure Information prefills from below</t>
  </si>
  <si>
    <t>CURRENT</t>
  </si>
  <si>
    <t>BUDGET</t>
  </si>
  <si>
    <t>Measures</t>
  </si>
  <si>
    <t>Unit Totals</t>
  </si>
  <si>
    <t>Projected Savings</t>
  </si>
  <si>
    <t>Current Target</t>
  </si>
  <si>
    <t>Budget Category</t>
  </si>
  <si>
    <t>12-13 Total</t>
  </si>
  <si>
    <t>MeasureName</t>
  </si>
  <si>
    <t>MeasureSavings</t>
  </si>
  <si>
    <t>2012 UNITS</t>
  </si>
  <si>
    <t>2013 UNITS</t>
  </si>
  <si>
    <t>TOTAL UNITS</t>
  </si>
  <si>
    <t>2012 SAVINGS</t>
  </si>
  <si>
    <t>2013 SAVINGS</t>
  </si>
  <si>
    <t>TOTAL SAVINGS</t>
  </si>
  <si>
    <t>2011 SAVINGS</t>
  </si>
  <si>
    <t>LABOR</t>
  </si>
  <si>
    <t>Detail 1</t>
  </si>
  <si>
    <t>Detail 2</t>
  </si>
  <si>
    <t>Detail 3</t>
  </si>
  <si>
    <t>Detail 4</t>
  </si>
  <si>
    <t>MARKETING LABOR</t>
  </si>
  <si>
    <t>OVERHEAD</t>
  </si>
  <si>
    <t>MARKETING</t>
  </si>
  <si>
    <t>EMPLOYEE EXPENSES</t>
  </si>
  <si>
    <t>OUTSIDE SERVICES</t>
  </si>
  <si>
    <t>MATERIALS</t>
  </si>
  <si>
    <t>MISCELLANEOUS</t>
  </si>
  <si>
    <t>DIRECT BENEFIT TO CUSTOMER</t>
  </si>
  <si>
    <t>linked to measure incentives below</t>
  </si>
  <si>
    <t>REVENUE</t>
  </si>
  <si>
    <t>TOTAL</t>
  </si>
  <si>
    <t>Total Program Admin</t>
  </si>
  <si>
    <t>Total Program Incentives</t>
  </si>
  <si>
    <t>DBTC Ratio</t>
  </si>
  <si>
    <t>SAVINGS</t>
  </si>
  <si>
    <t>COMPLETE ALL COLUMNS OF THIS TABLE</t>
  </si>
  <si>
    <t>Measure Metrics</t>
  </si>
  <si>
    <t>Cost Effectiveness (based on two year total)</t>
  </si>
  <si>
    <t>Incentive Totals</t>
  </si>
  <si>
    <t>ID</t>
  </si>
  <si>
    <t>SavingsUOM</t>
  </si>
  <si>
    <t>UnitType</t>
  </si>
  <si>
    <t>Measure Cost</t>
  </si>
  <si>
    <t>Incentive</t>
  </si>
  <si>
    <t>Admin %</t>
  </si>
  <si>
    <t>Measure Life</t>
  </si>
  <si>
    <t>End Use</t>
  </si>
  <si>
    <t>UC Ratio</t>
  </si>
  <si>
    <t>TRC Ratio</t>
  </si>
  <si>
    <t>PV UC</t>
  </si>
  <si>
    <t>PV TRC</t>
  </si>
  <si>
    <t>CE Std UC</t>
  </si>
  <si>
    <t>CE Std -TRC</t>
  </si>
  <si>
    <t>EOY Adj</t>
  </si>
  <si>
    <t>2012 INCENTIVES</t>
  </si>
  <si>
    <t>2013 INCENTIVES</t>
  </si>
  <si>
    <t>TOTAL INCENTIVES</t>
  </si>
  <si>
    <t>CFL bulbs -DI</t>
  </si>
  <si>
    <t>kwh</t>
  </si>
  <si>
    <t>unit</t>
  </si>
  <si>
    <t>Res Lighting</t>
  </si>
  <si>
    <t>HomePrint Assessment</t>
  </si>
  <si>
    <t>showerhead - leave behind</t>
  </si>
  <si>
    <t>per unit</t>
  </si>
  <si>
    <t>Res water heat</t>
  </si>
  <si>
    <t>Measure 4</t>
  </si>
  <si>
    <t>Measure 5</t>
  </si>
  <si>
    <t>Measure 6</t>
  </si>
  <si>
    <t>Measure 7</t>
  </si>
  <si>
    <t>Measure 8</t>
  </si>
  <si>
    <t>Measure 9</t>
  </si>
  <si>
    <t>Measure 10</t>
  </si>
  <si>
    <t>Measure 11</t>
  </si>
  <si>
    <t>Measure 12</t>
  </si>
  <si>
    <t>Measure 13</t>
  </si>
  <si>
    <t>Measure 14</t>
  </si>
  <si>
    <t>Measure 15</t>
  </si>
  <si>
    <t>Measure 16</t>
  </si>
  <si>
    <t>Measure 17</t>
  </si>
  <si>
    <t>Measure 18</t>
  </si>
  <si>
    <t>Measure 19</t>
  </si>
  <si>
    <t>Measure 20</t>
  </si>
  <si>
    <t>Measure 21</t>
  </si>
  <si>
    <t>Measure 22</t>
  </si>
  <si>
    <t>Measure 23</t>
  </si>
  <si>
    <t>Measure 24</t>
  </si>
  <si>
    <t>Measure 25</t>
  </si>
  <si>
    <t>Measure 26</t>
  </si>
  <si>
    <t>Measure 27</t>
  </si>
  <si>
    <t>Measure 28</t>
  </si>
  <si>
    <t>Measure 29</t>
  </si>
  <si>
    <t>Measure 30</t>
  </si>
  <si>
    <t>Measure 31</t>
  </si>
  <si>
    <t>Measure 32</t>
  </si>
  <si>
    <t>Measure 33</t>
  </si>
  <si>
    <t>Measure 34</t>
  </si>
  <si>
    <t>Measure 35</t>
  </si>
  <si>
    <t>Measure 36</t>
  </si>
  <si>
    <t>Measure 37</t>
  </si>
  <si>
    <t>Measure 38</t>
  </si>
  <si>
    <t>Measure 39</t>
  </si>
  <si>
    <t>Measure 40</t>
  </si>
  <si>
    <t>Measure 41</t>
  </si>
  <si>
    <t>Measure 42</t>
  </si>
  <si>
    <t>E214</t>
  </si>
  <si>
    <t>HomePrint - Electric</t>
  </si>
  <si>
    <t>Malcolm McCulloch</t>
  </si>
  <si>
    <t>Dealer Channel</t>
  </si>
  <si>
    <t>admin</t>
  </si>
  <si>
    <t>per home</t>
  </si>
  <si>
    <t>Res Water Heat</t>
  </si>
  <si>
    <t>High Efficiency Electric Water Heater (=&gt; .94 EF)</t>
  </si>
  <si>
    <t>Waste Water Heat Recovery (models with an efficiency of 42% or greater)</t>
  </si>
  <si>
    <t>New: Direct Install Showerhead</t>
  </si>
  <si>
    <t>SF Existing Water Heat - Electric</t>
  </si>
  <si>
    <t>Dennis Rominger</t>
  </si>
  <si>
    <t>Market Manager</t>
  </si>
  <si>
    <t>Program Coordinator</t>
  </si>
  <si>
    <t>QA Staff (???)</t>
  </si>
  <si>
    <t>Market Analyst</t>
  </si>
  <si>
    <t>Autonetics Solutions</t>
  </si>
  <si>
    <t>Other: MF Air Sealing, thermostats</t>
  </si>
  <si>
    <t>General Needs</t>
  </si>
  <si>
    <t>too high</t>
  </si>
  <si>
    <t>is this a measure yet?</t>
  </si>
  <si>
    <t>LIW Electric Program Repairs</t>
  </si>
  <si>
    <t>RISE Wx Pilot</t>
  </si>
  <si>
    <t>program level</t>
  </si>
  <si>
    <t>na</t>
  </si>
  <si>
    <t>Refrigerator Replacement - MF</t>
  </si>
  <si>
    <t>Res Refrigerator</t>
  </si>
  <si>
    <t>Refrigerator Replacement - MH</t>
  </si>
  <si>
    <t>Refrigerator Replacement - SF</t>
  </si>
  <si>
    <t>Insulation-Attic R0 to R38 - MF</t>
  </si>
  <si>
    <t>sq.ft.</t>
  </si>
  <si>
    <t>MF Space Heat</t>
  </si>
  <si>
    <t>Insulation-Attic R0 to R38 - SF</t>
  </si>
  <si>
    <t>SF Space Heat</t>
  </si>
  <si>
    <t>Insulation-Attic R11 to R38 - MF</t>
  </si>
  <si>
    <t>Insulation-Attic R11 to R38 - SF</t>
  </si>
  <si>
    <t>Insulation-Attic R19 to R38 - MF</t>
  </si>
  <si>
    <t>Insulation-Attic R19 to R38 - SF</t>
  </si>
  <si>
    <t>Insulation-Attic R0 to R19 - MF</t>
  </si>
  <si>
    <t>Insulation-Attic R0 to R19 - MH</t>
  </si>
  <si>
    <t>Insulation-Attic R0 to R19 - SF</t>
  </si>
  <si>
    <t>Insulation-Attic R11 to R33 - MH</t>
  </si>
  <si>
    <t>Insulation-Attic R0 to R49 - MF</t>
  </si>
  <si>
    <t>Insulation-Attic R0 to R49 - SF</t>
  </si>
  <si>
    <t>Insulation-Attic R0 to R30 - MH</t>
  </si>
  <si>
    <t>Insulation-Attic R0 to R33 - MH</t>
  </si>
  <si>
    <t>Insulation-Attic R0 to R22 - MH</t>
  </si>
  <si>
    <t>Insulation-Duct R0 to R11 - MF</t>
  </si>
  <si>
    <t>Insulation-Duct R0 to R11 - SF</t>
  </si>
  <si>
    <t>Insulation-Floor R0 to R19 - MF</t>
  </si>
  <si>
    <t>Insulation-Floor R0 to R19 - SF</t>
  </si>
  <si>
    <t>Insulation-Floor R0 to R30 - MF</t>
  </si>
  <si>
    <t>Insulation-Floor R0 to R30 - SF</t>
  </si>
  <si>
    <t>Insulation-Floor R0 to R30 - MH</t>
  </si>
  <si>
    <t>Insulation-Floor R0 to R22 - MH</t>
  </si>
  <si>
    <t>Insulation-Floor R11 to R22 - MH</t>
  </si>
  <si>
    <t>Insulation-Floor R11 to R30 - MF</t>
  </si>
  <si>
    <t>Insulation-Floor R11 to R30 - SF</t>
  </si>
  <si>
    <t>Insulation-TaperedRoof R5 to R38 - MF</t>
  </si>
  <si>
    <t>Insulation-Wall R0 to R11 - MF</t>
  </si>
  <si>
    <t>Insulation-Wall R0 to R11 - SF</t>
  </si>
  <si>
    <t>Insulation-Wall R0 to R11 - MH</t>
  </si>
  <si>
    <t>Insulation-Wall R0 to R15 - SF</t>
  </si>
  <si>
    <t>Showerhead - MF</t>
  </si>
  <si>
    <t>Showerhead - MH</t>
  </si>
  <si>
    <t>Showerhead - SF</t>
  </si>
  <si>
    <t>CF Fixture - MH</t>
  </si>
  <si>
    <t>CF Fixture - SF</t>
  </si>
  <si>
    <t>CF Fixture - MF</t>
  </si>
  <si>
    <t>CFL  - MF</t>
  </si>
  <si>
    <t>CFL  - MH</t>
  </si>
  <si>
    <t>CFL  - SF</t>
  </si>
  <si>
    <t>Light Socket Conversion - MF</t>
  </si>
  <si>
    <t>Light Socket Conversion - MH</t>
  </si>
  <si>
    <t>Light Socket Conversion - SF</t>
  </si>
  <si>
    <t>Common Area Lighting - MF</t>
  </si>
  <si>
    <t>Calc.</t>
  </si>
  <si>
    <t>Duct Sealing - MH</t>
  </si>
  <si>
    <t>Duct Sealing - SF</t>
  </si>
  <si>
    <t>Structure Sealing - MH</t>
  </si>
  <si>
    <t>Structure Sealing - SF</t>
  </si>
  <si>
    <t>Structure Sealing - MF</t>
  </si>
  <si>
    <t>Solar Pool - MF</t>
  </si>
  <si>
    <t>Plug Load</t>
  </si>
  <si>
    <t>Thermostat-Electric Setback - MH</t>
  </si>
  <si>
    <t>Thermostat-Electric Setback - SF</t>
  </si>
  <si>
    <t>Water Heater (.95 EF) - MF</t>
  </si>
  <si>
    <t>Water Heater (.95 EF) - MH</t>
  </si>
  <si>
    <t>Water Heater (.95 EF) - SF</t>
  </si>
  <si>
    <t>Ductless Heat Pump - SF</t>
  </si>
  <si>
    <t>Ductless Heat Pump - MF</t>
  </si>
  <si>
    <t>Ductless Heat Pump - MH</t>
  </si>
  <si>
    <t>Water Heater Pipe Wrap - MF</t>
  </si>
  <si>
    <t>Water Heater Pipe Wrap - MH</t>
  </si>
  <si>
    <t>Water Heater Pipe Wrap - SF</t>
  </si>
  <si>
    <t>Windows-Double to Double - MF</t>
  </si>
  <si>
    <t>Windows-Double to Double - MH</t>
  </si>
  <si>
    <t>Windows-Double to Double - SF</t>
  </si>
  <si>
    <t>Windows-Single to Double - MF</t>
  </si>
  <si>
    <t>Windows-Single to Double - MH</t>
  </si>
  <si>
    <t>Windows-Single to Double - SF</t>
  </si>
  <si>
    <t>Windows-Single to Triple - MF</t>
  </si>
  <si>
    <t>Windows-Single to Triple - SF</t>
  </si>
  <si>
    <t>Windows-Double to Triple - MF</t>
  </si>
  <si>
    <t>Windows-Double to Triple - SF</t>
  </si>
  <si>
    <t>Smart Strips - MF</t>
  </si>
  <si>
    <t>Smart Strips - SF</t>
  </si>
  <si>
    <t>Smart Strips - MH</t>
  </si>
  <si>
    <t>LED Lamp (Incandescent) - MF</t>
  </si>
  <si>
    <t>LED Lamp (Incandescent) - SF</t>
  </si>
  <si>
    <t>LED Lamp (Incandescent) - MH</t>
  </si>
  <si>
    <t>Shareholder Repairs</t>
  </si>
  <si>
    <t>E201</t>
  </si>
  <si>
    <t>Low Income Weatherization TE</t>
  </si>
  <si>
    <t>Sandy Sieg</t>
  </si>
  <si>
    <t>Low Income</t>
  </si>
  <si>
    <t>Attic Insulation R-0 to R-49 - Average</t>
  </si>
  <si>
    <t>Floor Insulation R-0 to R-30 - Average</t>
  </si>
  <si>
    <t>Wall Insulation R-0 to R-11 - Average</t>
  </si>
  <si>
    <t>Duct Insulation R-2 to R-11</t>
  </si>
  <si>
    <t>PTCS Duct Sealing</t>
  </si>
  <si>
    <t>Air Sealing- Average</t>
  </si>
  <si>
    <t>Windows- Single Pane to U.30- Average</t>
  </si>
  <si>
    <t>Windows- Double Pane to U.30- Average</t>
  </si>
  <si>
    <t>MH Duct Sealing L1</t>
  </si>
  <si>
    <t>MH Duct Sealing L2</t>
  </si>
  <si>
    <t>MH Duct Sealing L3</t>
  </si>
  <si>
    <t>MH CFL (DI )</t>
  </si>
  <si>
    <t>MH Showerheads (Leave Behind)</t>
  </si>
  <si>
    <t>Home Performance with Energy Star</t>
  </si>
  <si>
    <t>SF Existing Wx - Electric</t>
  </si>
  <si>
    <t>Energy Star Geothermal Heat Pump</t>
  </si>
  <si>
    <t>SF Heat Pump</t>
  </si>
  <si>
    <t>Ductless Heat Pump</t>
  </si>
  <si>
    <t>Energy Star Heat Pump - Tier 1 = 8.5 HSPF, 14 SEER</t>
  </si>
  <si>
    <t>Energy Star Heat Pump - Tier 2 = 9.0 HSPF, 14 SEER</t>
  </si>
  <si>
    <t>Forced-air-furnace to Heat Pump Conversion (greater than or equal to 8.5 HSPF, 14 SEER)</t>
  </si>
  <si>
    <t>Heat Pump Sizing &amp; Lock out Controls</t>
  </si>
  <si>
    <t>NEW Energy Star Heat Pump - Tier 3 = 10.0 HSPF, 16 SEER</t>
  </si>
  <si>
    <t>NEW Web Enabled T-Stats (Programmable)</t>
  </si>
  <si>
    <t>SF Existing Space Heat - Electric</t>
  </si>
  <si>
    <t>Measure 1</t>
  </si>
  <si>
    <t>Measure 2</t>
  </si>
  <si>
    <t>Measure 3</t>
  </si>
  <si>
    <t>MFSH</t>
  </si>
  <si>
    <t>Refrigerator Replacement Program</t>
  </si>
  <si>
    <t>Laura Wilson</t>
  </si>
  <si>
    <t>Retail Channel</t>
  </si>
  <si>
    <t>Home Appliances</t>
  </si>
  <si>
    <t xml:space="preserve">Sr. Market Analyst </t>
  </si>
  <si>
    <t xml:space="preserve">Program Manager </t>
  </si>
  <si>
    <t xml:space="preserve">Program Coordinator &amp; Program Implementor </t>
  </si>
  <si>
    <t xml:space="preserve">Marketing Manager </t>
  </si>
  <si>
    <t xml:space="preserve">Marketing Support </t>
  </si>
  <si>
    <t>Incentive Processing</t>
  </si>
  <si>
    <t>Field Services</t>
  </si>
  <si>
    <t xml:space="preserve">Refrigerators CEE Tier 2 </t>
  </si>
  <si>
    <t>Refrigerators CEE Tier 3</t>
  </si>
  <si>
    <t>Energy Star Freezers</t>
  </si>
  <si>
    <t>Retail Refrigerator Decomm</t>
  </si>
  <si>
    <t>Retail Freezer Decomm</t>
  </si>
  <si>
    <t>Refrigerator Decomm</t>
  </si>
  <si>
    <t>Freezer Decomm</t>
  </si>
  <si>
    <t>Clothes Washers 2.2-2.45 (Any WH-Dryer)</t>
  </si>
  <si>
    <t>Clothes Washers 2.46-2.69 (Any WH-Dryer)</t>
  </si>
  <si>
    <t>Clothes Washers 2.7 and above (Any WH-Dryer)</t>
  </si>
  <si>
    <t>Clothes Washers 2.2-2.45 (E WH-E Dryer)</t>
  </si>
  <si>
    <t>Clothes Washers 2.46-2.69 (E WH-E Dryer)</t>
  </si>
  <si>
    <t>Clothes Washers 2.7 and above (E WH-E Dryer)</t>
  </si>
  <si>
    <t>Clothes Washers 2.2-2.45 (E WH-G Dryer)</t>
  </si>
  <si>
    <t>Clothes Washers 2.46-2.69 (E WH-G Dryer)</t>
  </si>
  <si>
    <t>Clothes Washers 2.7 and above (E WH-G Dryer)</t>
  </si>
  <si>
    <t>Clothes Washers 2.2-2.45 (G WH-E Dryer)</t>
  </si>
  <si>
    <t>Clothes Washers 2.46-2.69 (G WH-E Dryer)</t>
  </si>
  <si>
    <t>Clothes Washers 2.7 and above (G WH-E Dryer)</t>
  </si>
  <si>
    <t>Clothes Washers 2.2-2.45 (G WH-G Dryer)</t>
  </si>
  <si>
    <t>Clothes Washers 2.46-2.69 (G WH-G Dryer)</t>
  </si>
  <si>
    <t>Clothes Washers 2.7 and above (G WH-G Dryer)</t>
  </si>
  <si>
    <t>Refrigerator Replacement</t>
  </si>
  <si>
    <t>Showerheads E</t>
  </si>
  <si>
    <t xml:space="preserve">2.0 - 1.76 gpm Showerheads - Mail-in </t>
  </si>
  <si>
    <t>1.75 - 1.51 gpm Showerheads - Mail-in</t>
  </si>
  <si>
    <t>1.50 and less Showerheads - Mail-in</t>
  </si>
  <si>
    <t>2.0 - 1.76 gpm Showerheads - Retail_Electric WH_Any Shower</t>
  </si>
  <si>
    <t>1.75 - 1.51 gpm Showerheads - Retail_Electric WH_Any Shower</t>
  </si>
  <si>
    <t>1.50 and less Showerheads - Retail_Electric WH_Any Shower</t>
  </si>
  <si>
    <t>Lighting</t>
  </si>
  <si>
    <t xml:space="preserve">Materials &amp; Campaign </t>
  </si>
  <si>
    <t>ENERGY STAR Indoor CFL Fixtures</t>
  </si>
  <si>
    <t>ENERGY STAR Outdoor CFL Fixtures</t>
  </si>
  <si>
    <t>ENERGY STAR Spiral CFL Bulbs</t>
  </si>
  <si>
    <t>ENERGY STAR Specialty CFL Bulbs</t>
  </si>
  <si>
    <t>ENERGY STAR LED Bulbs_Downlight_Incan Baseline</t>
  </si>
  <si>
    <t>ENERGY STAR LED Fixtures</t>
  </si>
  <si>
    <t>ENERGY STAR Engagement Bulbs</t>
  </si>
  <si>
    <t>ENERGY STAR LED Bulbs_A-line_Incan Baseline</t>
  </si>
  <si>
    <t>Retail Promo CFL Spirals</t>
  </si>
  <si>
    <t>Retail Promo CFL Specialty</t>
  </si>
  <si>
    <t>Marketing Manager/Coordinator</t>
  </si>
  <si>
    <t xml:space="preserve">OVERHEAD LABOR </t>
  </si>
  <si>
    <t>Marketing Communications Budget</t>
  </si>
  <si>
    <t xml:space="preserve">Trainings, Bus Passes, Travel, Fleet, etc. </t>
  </si>
  <si>
    <t xml:space="preserve">New Home Trends Database </t>
  </si>
  <si>
    <t>Office Supplies, Printing, Phones, etc.</t>
  </si>
  <si>
    <t>ENERGY STAR Refrigerator (CEE Tier 3)</t>
  </si>
  <si>
    <t>ENERGY STAR Refrigerator (CEE Tier 2 )</t>
  </si>
  <si>
    <t>ENERGY STAR Whole House Ventilation</t>
  </si>
  <si>
    <t>Air-Source Heat Pump Tier #1</t>
  </si>
  <si>
    <t>Air-Source Heat Pump Tier #2</t>
  </si>
  <si>
    <t xml:space="preserve">Ductless Mini-Split Heat Pump </t>
  </si>
  <si>
    <t xml:space="preserve">ENERGY STAR Heat Pump Water Heater </t>
  </si>
  <si>
    <t>ENERGY STAR LED Lamp (Pilot)</t>
  </si>
  <si>
    <t>ENERGY STAR LED Fixture (Pilot)</t>
  </si>
  <si>
    <t>ENERGY STAR Homes Bonus (Electric)</t>
  </si>
  <si>
    <t>ENERGY STAR Homes Verifier Bonus</t>
  </si>
  <si>
    <t>E215</t>
  </si>
  <si>
    <t>Single Family New Construction - Electric</t>
  </si>
  <si>
    <t>Megan Doyle</t>
  </si>
  <si>
    <t>New Construction</t>
  </si>
  <si>
    <t xml:space="preserve">Program Coordinator </t>
  </si>
  <si>
    <t xml:space="preserve">Rebate Analyst </t>
  </si>
  <si>
    <t xml:space="preserve">Marketing Manager/Coordinator </t>
  </si>
  <si>
    <t xml:space="preserve">Marketing Communications Budget </t>
  </si>
  <si>
    <t>Heating Zone 1 / cooling zone n/a - FAF</t>
  </si>
  <si>
    <t>Heating Zone 2 / cooling zone 2 -  HP</t>
  </si>
  <si>
    <t>Energy Star Manufactured Home Elect</t>
  </si>
  <si>
    <t>E2G Fuel Conv - Space &amp; WH - BB - 19-20K</t>
  </si>
  <si>
    <t>each</t>
  </si>
  <si>
    <t>E2G Fuel Conv - Space &amp; WH - BB - 20-22.5K</t>
  </si>
  <si>
    <t>E2G Fuel Conv - Space &amp; WH - BB - 22.5-25K</t>
  </si>
  <si>
    <t>E2G Fuel Conv - Space &amp; WH - BB - 25K+</t>
  </si>
  <si>
    <t>E2G Fuel Conv - Space &amp; WH - FA - 19-20K</t>
  </si>
  <si>
    <t>E2G Fuel Conv - Space &amp; WH - FA - 20-22.5K</t>
  </si>
  <si>
    <t>E2G Fuel Conv - Space &amp; WH - FA - 22.5-25K</t>
  </si>
  <si>
    <t>E2G Fuel Conv - Space &amp; WH - FA - 25K+</t>
  </si>
  <si>
    <t>E2G Fuel Conv - Space Heat Only - BB - 20-22.5K</t>
  </si>
  <si>
    <t>E2G Fuel Conv - Space Heat Only - BB - 25K+</t>
  </si>
  <si>
    <t>E2G Fuel Conv - Space Heat Only - FA - 20-22.5K</t>
  </si>
  <si>
    <t>E2G Fuel Conv - Space Heat Only - FA - 22.5-25K</t>
  </si>
  <si>
    <t>E2G Fuel Conv - WH Only - Storage</t>
  </si>
  <si>
    <t>Res Water heat</t>
  </si>
  <si>
    <t>E2G Fuel Conv - WH Only - Tankless</t>
  </si>
  <si>
    <t>E2G Fuel Conv - Space Heat Only - BB - 19-20K</t>
  </si>
  <si>
    <t>E2G Fuel Conv - Space Heat Only - BB - 22.5-25K</t>
  </si>
  <si>
    <t>E2G Fuel Conv - Space Heat Only - FA - 19-20K</t>
  </si>
  <si>
    <t>E2G Fuel Conv - Space Heat Only - FA - 25K+</t>
  </si>
  <si>
    <t>E2G Fuel Conv - Boilers</t>
  </si>
  <si>
    <t>E216</t>
  </si>
  <si>
    <t>Fuel Conversion Rebate</t>
  </si>
  <si>
    <t>Kyle Webley</t>
  </si>
  <si>
    <t>Program Staff</t>
  </si>
  <si>
    <t>Marketing Lead</t>
  </si>
  <si>
    <t>Marketing Support</t>
  </si>
  <si>
    <t>Marketing Events, material, mailings etc.</t>
  </si>
  <si>
    <t>Employee Expenses</t>
  </si>
  <si>
    <t>Direct Install Program</t>
  </si>
  <si>
    <t>Printing</t>
  </si>
  <si>
    <t>PSE Assessed Charges</t>
  </si>
  <si>
    <t>Contingency</t>
  </si>
  <si>
    <t>Showerhead - Max 1.5 gpm EWH</t>
  </si>
  <si>
    <t>Solar Pool Heater (Calculated)</t>
  </si>
  <si>
    <t>per project</t>
  </si>
  <si>
    <t>Water Heater Pipewrap</t>
  </si>
  <si>
    <t>Attic Insulation R-0 to R-38 MF</t>
  </si>
  <si>
    <t>Attic Insulation R-11 to R-38 MF</t>
  </si>
  <si>
    <t>Attic Insulation R-19 to R-38 MF</t>
  </si>
  <si>
    <t>Floor Insulation R-0 to R-30 MF</t>
  </si>
  <si>
    <t>Floor Insulation R-0 to R-19 MF</t>
  </si>
  <si>
    <t>Floor Insulation R-11 to R-30 MF</t>
  </si>
  <si>
    <t>Wall Insulation R-0 to R-11 MF</t>
  </si>
  <si>
    <t>Windows (single to double paned) U= 1.2 to 0.30</t>
  </si>
  <si>
    <t>Windows (single to triple paned) U= 1.2 to 0.22</t>
  </si>
  <si>
    <t>Windows (double to double paned) U= 0.6 to 0.30</t>
  </si>
  <si>
    <t>Windows (double to triple paned) U= 0.6 to 0.22</t>
  </si>
  <si>
    <t>Common Area Lighting (Calculated)</t>
  </si>
  <si>
    <t>Clothes Washer Tier 1 MEF 2.2-2.45 (EWH/Edryer)</t>
  </si>
  <si>
    <t>Energy Star CFL - Direct Install</t>
  </si>
  <si>
    <t>Water Heater (0.95)</t>
  </si>
  <si>
    <t>Energy Star Refrigerator Upgrade</t>
  </si>
  <si>
    <t>Smart Strips</t>
  </si>
  <si>
    <t>LED Lamps</t>
  </si>
  <si>
    <t>Energy Star Whole House Ventilation</t>
  </si>
  <si>
    <t>Parking Garage CO Sensors</t>
  </si>
  <si>
    <t>E217</t>
  </si>
  <si>
    <t>Multi-Family Retrofit Elect</t>
  </si>
  <si>
    <t>John Forde</t>
  </si>
  <si>
    <t>Multi-Family</t>
  </si>
  <si>
    <t>Program Labor</t>
  </si>
  <si>
    <t>Marketing - Advertising</t>
  </si>
  <si>
    <t>Assesses Charges</t>
  </si>
  <si>
    <t>L UC</t>
  </si>
  <si>
    <t>L TRC</t>
  </si>
  <si>
    <t>U-PV Esave</t>
  </si>
  <si>
    <t>Clothes Washer MEF 2.2 - 2.45 WF 4.5 - EWH/Edryer</t>
  </si>
  <si>
    <t>Clothes Washer MEF 2.46+ WF 4- EWH/Edryer</t>
  </si>
  <si>
    <t>Energy Star Refrigerator</t>
  </si>
  <si>
    <t>Windows U-0.30 or better ESH High Rise Metal Frame</t>
  </si>
  <si>
    <t>sqft</t>
  </si>
  <si>
    <t>Heat Recovery - Elec Res no Cooling-HighRise</t>
  </si>
  <si>
    <t>Comm Space Heat</t>
  </si>
  <si>
    <t>Heat Recovery - Elec Res no Cooling-LowRise</t>
  </si>
  <si>
    <t>Air-to-Air Heat Pump 2011</t>
  </si>
  <si>
    <t>Package Terminal Heat Pump Low Rise</t>
  </si>
  <si>
    <t>Package Terminal Heat Pump Low Rise Townhome</t>
  </si>
  <si>
    <t>Energy Star hard-wired CFL fixture - TCt 69</t>
  </si>
  <si>
    <t xml:space="preserve">Corridor Lighting Reduction </t>
  </si>
  <si>
    <t>sqft/%</t>
  </si>
  <si>
    <t>Comm Lighting</t>
  </si>
  <si>
    <t>Stairwell bi-level &gt;= 10 floors</t>
  </si>
  <si>
    <t>fixture</t>
  </si>
  <si>
    <t>Stairwell bi-level &gt;3 &lt;10 floors</t>
  </si>
  <si>
    <t>Garage Lighting Reduction 2011</t>
  </si>
  <si>
    <t>Drain Water Heat Recovery</t>
  </si>
  <si>
    <t>Showerhead - Max 2.0 gpm EWH</t>
  </si>
  <si>
    <t>E218</t>
  </si>
  <si>
    <t>Multi-Family New Construction Elect</t>
  </si>
  <si>
    <t>OPOWER</t>
  </si>
  <si>
    <t>Home Energy Reports - OPOWER</t>
  </si>
  <si>
    <t>Personal Energy Efficiency Rewards - Efficiency 2.0</t>
  </si>
  <si>
    <t>E249</t>
  </si>
  <si>
    <t>Home Energy Reports E</t>
  </si>
  <si>
    <t>Pilots</t>
  </si>
  <si>
    <t>Pilot Management</t>
  </si>
  <si>
    <t>SF Existing Pilots - Electric</t>
  </si>
  <si>
    <t>Joel Smith</t>
  </si>
  <si>
    <t>Residential Energy Management</t>
  </si>
  <si>
    <t>Schedule</t>
  </si>
  <si>
    <t>Residential Showerheads Elect</t>
  </si>
  <si>
    <t>Energy Efficient Lighting Services</t>
  </si>
  <si>
    <t>2012 / 2013</t>
  </si>
  <si>
    <t>QA (???)</t>
  </si>
  <si>
    <t>Furnace Replacement (90% AFUE) - MF</t>
  </si>
  <si>
    <t>therms</t>
  </si>
  <si>
    <t>Res Space Heat</t>
  </si>
  <si>
    <t>Furnace Replacement (90% AFUE) - MH</t>
  </si>
  <si>
    <t>Furnace Replacement (90% AFUE) - SF</t>
  </si>
  <si>
    <t>Boiler Space Heat Replacement - MF</t>
  </si>
  <si>
    <t>Boiler Water Heat Replacement - MF</t>
  </si>
  <si>
    <t>Tankless Water Heater (.90 EF) - MF</t>
  </si>
  <si>
    <t>Tankless Water Heater (.90 EF) - MH</t>
  </si>
  <si>
    <t>Tankless Water Heater (.90 EF) - SF</t>
  </si>
  <si>
    <t>Water Heater (.67 EF) - MF</t>
  </si>
  <si>
    <t>Water Heater (.67 EF) - MH</t>
  </si>
  <si>
    <t>Water Heater (.67 EF) - SF</t>
  </si>
  <si>
    <t>Insulation-Tapered Roof R5 to R38 - MF</t>
  </si>
  <si>
    <t>G203</t>
  </si>
  <si>
    <t>Low Income Weatherization TG</t>
  </si>
  <si>
    <t>G214</t>
  </si>
  <si>
    <t>HomePrint - Gas</t>
  </si>
  <si>
    <t>Tier 1 Energy Star Tankless Water Heater  (&gt;= 0.82 EF)</t>
  </si>
  <si>
    <t>Tier 2 Energy Star Tankless Water Heater  (&gt;= 0.90 EF)</t>
  </si>
  <si>
    <t>Energy Star Gas Water Heater  (&gt;= 0.67 EF)</t>
  </si>
  <si>
    <t>SF Existing Water Heat - Gas</t>
  </si>
  <si>
    <t>Attic Insulation R-0 to R-49 - Gas</t>
  </si>
  <si>
    <t>Floor insulation R-0 to R-30 - Gas</t>
  </si>
  <si>
    <t>Wall Insulation R-0 to R-11 - Gas</t>
  </si>
  <si>
    <t>Duct Insulation FAF Gas R-2 to R-11</t>
  </si>
  <si>
    <t>PTCS Duct Sealing -Gas</t>
  </si>
  <si>
    <t>Air Sealing</t>
  </si>
  <si>
    <t>SF Existing Wx - Gas</t>
  </si>
  <si>
    <t>Efficient 95% Gas Furnace (Note:  Raised from 90%)</t>
  </si>
  <si>
    <t>Energy Star qualified Boilers (95% AFUE)</t>
  </si>
  <si>
    <t xml:space="preserve">High Efficiency Natural Gas Fireplace </t>
  </si>
  <si>
    <t>NEW Integrated Space &amp; Water Heating</t>
  </si>
  <si>
    <t>SF Existing Space Heat - Gas</t>
  </si>
  <si>
    <t>Materials &amp; Campaign</t>
  </si>
  <si>
    <t>2.0 - 1.76 gpm Showerheads - Retail_Gas WH_Any Shower</t>
  </si>
  <si>
    <t>1.75 - 1.51 gpm Showerheads - Retail_Gas WH_Any Shower</t>
  </si>
  <si>
    <t>1.50 and less Showerheads - Retail_Gas WH_Any Shower</t>
  </si>
  <si>
    <t>Residential Showerheads Gas</t>
  </si>
  <si>
    <t>Rebate Analyst</t>
  </si>
  <si>
    <t>Manufactured Home Gas</t>
  </si>
  <si>
    <t>G215</t>
  </si>
  <si>
    <t>Energy Star Manufactured Home Gas</t>
  </si>
  <si>
    <t>Labor Consolidated</t>
  </si>
  <si>
    <t>New Home Trends Database</t>
  </si>
  <si>
    <t>ENERGY STAR Gas Furnace Tier 2 (95% AFUE)</t>
  </si>
  <si>
    <t>ENERGY STAR Gas Water Heater Tier 1 (.62-.66 EF)</t>
  </si>
  <si>
    <t>ENERGY STAR Gas Water Heater Tier 2 (.67 +)</t>
  </si>
  <si>
    <t>ES Homes Ducts in Conditioned Space w/ PT</t>
  </si>
  <si>
    <t xml:space="preserve">ENERGY STAR Tankless Water Heater </t>
  </si>
  <si>
    <t>ENERGY STAR Gas Boiler/Hydronic (95% AFUE)</t>
  </si>
  <si>
    <t xml:space="preserve">High Efficiency Gas Fireplace </t>
  </si>
  <si>
    <t>ENERGY STAR Gas Furnace Tier 1 (90%-94.9% AFUE)</t>
  </si>
  <si>
    <t>ENERGY STAR Homes Bonus (Gas)</t>
  </si>
  <si>
    <t xml:space="preserve">ENERGY STAR Homes Verifier Bonus </t>
  </si>
  <si>
    <t>SH</t>
  </si>
  <si>
    <t>Single Family New Construction - Gas</t>
  </si>
  <si>
    <t>Showerhead - Max 1.50 gpm GWH</t>
  </si>
  <si>
    <t>Boiler (Domestic Water) Replacement (Calculated)</t>
  </si>
  <si>
    <t>Boiler (Pool Heating ) (Calculated)</t>
  </si>
  <si>
    <t>Tankless Water Heater Gas In-unit (.82 EF)</t>
  </si>
  <si>
    <t>Gas Water Heater (.67 EF)</t>
  </si>
  <si>
    <t xml:space="preserve">Furnaces .90 + In Unit </t>
  </si>
  <si>
    <t>Boiler (Space Heating ) Replacement (Calculated)</t>
  </si>
  <si>
    <t>Boiler (Space Heating - Steam ) Replacement (Calculated)</t>
  </si>
  <si>
    <t>Boiler (Domestic Water + Space Heating) Replacement (Calculated)</t>
  </si>
  <si>
    <t>G217</t>
  </si>
  <si>
    <t>Multi-Family Retrofit Gas</t>
  </si>
  <si>
    <t>Assessed Charges</t>
  </si>
  <si>
    <t>Hydronic w/ Condensing Boiler w/ ext tank</t>
  </si>
  <si>
    <t>Hydronic w/ Condensing Water Heater</t>
  </si>
  <si>
    <t>Heat Recovery with hydronic no cooling High Rise</t>
  </si>
  <si>
    <t>Heat Recovery with hydronic no cooling Low Rise</t>
  </si>
  <si>
    <t>Condensing Boiler w/ ext tank EF .93 2011</t>
  </si>
  <si>
    <t>Condensing Water Heater EF .93 2011</t>
  </si>
  <si>
    <t>Showerhead - Max 2.0 gpm GWH 2010-2011</t>
  </si>
  <si>
    <t>G218</t>
  </si>
  <si>
    <t>Multi-Family New Construction Gas</t>
  </si>
  <si>
    <t>G249</t>
  </si>
  <si>
    <t>SF Existing Pilots - Gas</t>
  </si>
  <si>
    <t>Home Energy Reports G</t>
  </si>
  <si>
    <t>C/I Retrofit - Sch 250 Electric</t>
  </si>
  <si>
    <t xml:space="preserve">Overhead </t>
  </si>
  <si>
    <t>Direct Benefit to Customer (Incentives)</t>
  </si>
  <si>
    <t>2010 
(Total--budget was not broken out into CE groups)</t>
  </si>
  <si>
    <t>2011 budget</t>
  </si>
  <si>
    <t>Order Number: 18230711</t>
  </si>
  <si>
    <t>Conservation Incentives</t>
  </si>
  <si>
    <t>In-House Programs</t>
  </si>
  <si>
    <t>Contracted Programs</t>
  </si>
  <si>
    <t>Labor (Incl Mgr, Dir, VP, and Budget &amp; Admin Assessments)</t>
  </si>
  <si>
    <t>Miscellaneous Expenses</t>
  </si>
  <si>
    <t xml:space="preserve">     EES Staff, Maj Accts, CSY Support</t>
  </si>
  <si>
    <t>Full Time Equivalent</t>
  </si>
  <si>
    <t>Materials Expenses</t>
  </si>
  <si>
    <t xml:space="preserve">     Information Services (Energy Advisors)</t>
  </si>
  <si>
    <t>Marketing Expenses</t>
  </si>
  <si>
    <t xml:space="preserve">     Marketing</t>
  </si>
  <si>
    <t xml:space="preserve">     Meals (Staff Mtgs, Contractor Trainings, Travel, etc.)</t>
  </si>
  <si>
    <t xml:space="preserve">     Travel Expenses (Mileage, Airfare, Lodging)</t>
  </si>
  <si>
    <t xml:space="preserve">     Training Expenses, Employee Memberships, Seminars</t>
  </si>
  <si>
    <t>/kWh</t>
  </si>
  <si>
    <t xml:space="preserve">     Other</t>
  </si>
  <si>
    <t xml:space="preserve">     Materials - Direct Purchase</t>
  </si>
  <si>
    <t xml:space="preserve">     Office Supplies/Svcs</t>
  </si>
  <si>
    <t xml:space="preserve">     Other/Miscellaneous</t>
  </si>
  <si>
    <t xml:space="preserve">     Total Materials Expenses</t>
  </si>
  <si>
    <t>Bradson Technologies - CSY Support</t>
  </si>
  <si>
    <t>Itron (Energy Interval Service)</t>
  </si>
  <si>
    <t>Cellnet (Meter Data Collection Fees)</t>
  </si>
  <si>
    <t>Lighting Design Lab (Training &amp; Cust Consultations)</t>
  </si>
  <si>
    <t>Software Development (CMS - Tracking/Forecasting)</t>
  </si>
  <si>
    <t>Other (Misc Small Contracts)</t>
  </si>
  <si>
    <t>Energy Smart Grocer (PECI)</t>
  </si>
  <si>
    <t xml:space="preserve">     Total Outside Services</t>
  </si>
  <si>
    <t>TOTAL PROGRAM EXPENSES</t>
  </si>
  <si>
    <t>Annual Energy Savings (kWh)</t>
  </si>
  <si>
    <t>kWh</t>
  </si>
  <si>
    <t>Industrial</t>
  </si>
  <si>
    <t>Building Energy Optimization (BEOP)</t>
  </si>
  <si>
    <t>Other</t>
  </si>
  <si>
    <t xml:space="preserve">     Total Savings</t>
  </si>
  <si>
    <t>Percent of 2-Year Total</t>
  </si>
  <si>
    <t>Supporting Notes</t>
  </si>
  <si>
    <t>C/I New Construction - Sch 251 Electric</t>
  </si>
  <si>
    <t>Order Number: 18230715</t>
  </si>
  <si>
    <t>Conservation Incentives (In-House)</t>
  </si>
  <si>
    <t xml:space="preserve">     DSE (Alan Kakaley) - Energy Modeling</t>
  </si>
  <si>
    <t xml:space="preserve">     Bradson Technologies - CSY Support</t>
  </si>
  <si>
    <t xml:space="preserve">     Itron (Energy Interval Service)</t>
  </si>
  <si>
    <t xml:space="preserve">     Cellnet (Meter Data Collection Fees)</t>
  </si>
  <si>
    <t xml:space="preserve">     Lighting Design Lab (Training &amp; Cust Consultations)</t>
  </si>
  <si>
    <t>Resource Conservation Manager - Sch 253 Electric</t>
  </si>
  <si>
    <t>Order Number: 18230723</t>
  </si>
  <si>
    <t>*Direct benefits to customer also include RCM employee labor (3-for-free audits, etc.) and</t>
  </si>
  <si>
    <t xml:space="preserve">  energy information via Itron, Utility Mgr Software, and database support from BEM employees.</t>
  </si>
  <si>
    <t xml:space="preserve">     LPB Energy or Alternate (Utility Mgr Software)</t>
  </si>
  <si>
    <t xml:space="preserve">     Software Development (RCM Software Support)</t>
  </si>
  <si>
    <t>Small Business Energy Efficiency (Lighting) - Sch 255 Electric</t>
  </si>
  <si>
    <t>Order Number: 18230725</t>
  </si>
  <si>
    <t xml:space="preserve">     Software Development (CMS - Tracking/Forecasting)</t>
  </si>
  <si>
    <t xml:space="preserve">     Other (Misc Small Contracts)</t>
  </si>
  <si>
    <t>LED Traffic Signals - Sch 257 Electric</t>
  </si>
  <si>
    <t>Order Number: 18230728</t>
  </si>
  <si>
    <t>RETIRED</t>
  </si>
  <si>
    <t>Large Power User Self-Directed Program - Sch 258 Electric</t>
  </si>
  <si>
    <t xml:space="preserve">       via journal entry transfer credit to E250 C/I Retro Order #18230711 &amp; debit to E258 Self-Directed Order #18230729</t>
  </si>
  <si>
    <t xml:space="preserve">       NOTE: Labor charges not reported directly to Order #18230729; program operating costs are reported</t>
  </si>
  <si>
    <t xml:space="preserve">       based on 7.5% of Sch 120 collections for Rate Sch 449/459 customers.</t>
  </si>
  <si>
    <t xml:space="preserve">     NEEA Contribution (10% of Sch 120 Collections)</t>
  </si>
  <si>
    <t>Energy Efficiency Technology Evaluation - Sch 261 Electric</t>
  </si>
  <si>
    <t>Order Number: 18230448</t>
  </si>
  <si>
    <t>Commercial Rebates - Sch 262 Electric</t>
  </si>
  <si>
    <t>Order Number: 18230449</t>
  </si>
  <si>
    <t xml:space="preserve">     Other Small Misc Contracts</t>
  </si>
  <si>
    <t xml:space="preserve">     SPIF Payments (Comm Kitchen, Ltg Buydowns)</t>
  </si>
  <si>
    <t xml:space="preserve">Premium HVAC Service </t>
  </si>
  <si>
    <t>Pre Rinse LFSH Spray Head- Elec</t>
  </si>
  <si>
    <t xml:space="preserve">Green Motor Rewind </t>
  </si>
  <si>
    <t>RFP:  Outreach - SB Direct Install (Wilden/SBW)</t>
  </si>
  <si>
    <t>RFP: CoolerMiser Installation</t>
  </si>
  <si>
    <t>PC Power Management Rebate</t>
  </si>
  <si>
    <t>HE Heat Pump &amp; Air Conditioner</t>
  </si>
  <si>
    <t>Portable Classroom Controls</t>
  </si>
  <si>
    <t xml:space="preserve">ECM Motors </t>
  </si>
  <si>
    <t>Variable Speed Drives</t>
  </si>
  <si>
    <t>Comml. Light. Rebate/Lighting Control Rebates</t>
  </si>
  <si>
    <t>Hospitality Rebates</t>
  </si>
  <si>
    <t>LED Traffic Signals</t>
  </si>
  <si>
    <t>Commercial Kitchen Equip.</t>
  </si>
  <si>
    <t>Commercial Washer/dryer rebate</t>
  </si>
  <si>
    <t>Totals:</t>
  </si>
  <si>
    <t>Order Number: 18230731</t>
  </si>
  <si>
    <t>Therms</t>
  </si>
  <si>
    <t>Annual Energy Savings (therms)</t>
  </si>
  <si>
    <t>Order Number: 18230691</t>
  </si>
  <si>
    <t xml:space="preserve">     LPB Energy (Utility Mgr Software)</t>
  </si>
  <si>
    <t>C/I New Construction - Sch 251 Natural Gas</t>
  </si>
  <si>
    <t>Order Number: 18230706</t>
  </si>
  <si>
    <t xml:space="preserve">     Aerotek (Al Dunlap &amp; Steve Jack -- Contract EMEs)</t>
  </si>
  <si>
    <t>Energy Efficiency Technology Evaluation - Sch 261 Natural Gas</t>
  </si>
  <si>
    <t>Order Number: 18230694</t>
  </si>
  <si>
    <t>Commercial Rebates - Sch 262 Natural Gas</t>
  </si>
  <si>
    <t>Order Number: 18230697</t>
  </si>
  <si>
    <t xml:space="preserve">     SPIF Payments (Comm Kitchen)</t>
  </si>
  <si>
    <t>Commercial Laundry Water Heating</t>
  </si>
  <si>
    <t>Total Energy Savings:</t>
  </si>
  <si>
    <t>E251</t>
  </si>
  <si>
    <t>E253</t>
  </si>
  <si>
    <t>E255</t>
  </si>
  <si>
    <t>E257</t>
  </si>
  <si>
    <t>E258</t>
  </si>
  <si>
    <t>E261</t>
  </si>
  <si>
    <t>E262</t>
  </si>
  <si>
    <t>Commercial/Industrial Retrofit</t>
  </si>
  <si>
    <t>Commercial/Industrial New Construction</t>
  </si>
  <si>
    <t>Resource Conservation Manager</t>
  </si>
  <si>
    <t>Small Business Lighting</t>
  </si>
  <si>
    <t>LED Traffic Signals (RETIRED)</t>
  </si>
  <si>
    <t>High Voltage, Self-Directed</t>
  </si>
  <si>
    <t>Technology Evaluation</t>
  </si>
  <si>
    <t>Business Rebates</t>
  </si>
  <si>
    <t>G251</t>
  </si>
  <si>
    <t>G261</t>
  </si>
  <si>
    <t>G262</t>
  </si>
  <si>
    <t>Total, Residential Energy Management</t>
  </si>
  <si>
    <t>Total, Business Energy Management</t>
  </si>
  <si>
    <t>Business Energy Management</t>
  </si>
  <si>
    <t>Regional Efficiency Programs</t>
  </si>
  <si>
    <t>Northwest Energy Efficiency Alliance</t>
  </si>
  <si>
    <t>Transmission &amp; Distribution</t>
  </si>
  <si>
    <t>E254</t>
  </si>
  <si>
    <t>Total, Regional Efficiency Programs</t>
  </si>
  <si>
    <t>Portfolio Support</t>
  </si>
  <si>
    <t>Customer Engagement &amp; Education</t>
  </si>
  <si>
    <t xml:space="preserve">     Energy Advisors</t>
  </si>
  <si>
    <t xml:space="preserve">     Events</t>
  </si>
  <si>
    <t xml:space="preserve">     Brochures</t>
  </si>
  <si>
    <t xml:space="preserve">     Education</t>
  </si>
  <si>
    <t>Web Experience</t>
  </si>
  <si>
    <t xml:space="preserve">     Market Integration</t>
  </si>
  <si>
    <t>Trade Ally Support</t>
  </si>
  <si>
    <t>Total, Portfolio Support</t>
  </si>
  <si>
    <t>Research &amp; Compliance</t>
  </si>
  <si>
    <t>Program Support</t>
  </si>
  <si>
    <t>Total, Research &amp; Compliance</t>
  </si>
  <si>
    <t>Other Electric Programs</t>
  </si>
  <si>
    <t>Renewable Energy Education</t>
  </si>
  <si>
    <t>Residential Demand Response</t>
  </si>
  <si>
    <t>Total, Other Electric Programs</t>
  </si>
  <si>
    <t>Schedule 270</t>
  </si>
  <si>
    <t>GRAND TOTAL, ELECTRIC PROGRAMS</t>
  </si>
  <si>
    <t>GRAND TOTAL, GAS PROGRAMS</t>
  </si>
  <si>
    <t xml:space="preserve">Energy Advisors Electric                </t>
  </si>
  <si>
    <t>E200</t>
  </si>
  <si>
    <t>Stacey Nyman</t>
  </si>
  <si>
    <t>Consumer Channel</t>
  </si>
  <si>
    <t>Training/Employee Development</t>
  </si>
  <si>
    <t>Events/Meals/Parking</t>
  </si>
  <si>
    <t>Mileage/Car Expense/Ferry/Orca Pass</t>
  </si>
  <si>
    <t>Memberships/Subscriptions</t>
  </si>
  <si>
    <t>On Hold Concepts</t>
  </si>
  <si>
    <t>Phone Equipment</t>
  </si>
  <si>
    <t>Office Materials</t>
  </si>
  <si>
    <t>L UC/therm</t>
  </si>
  <si>
    <t>L TRC/therm</t>
  </si>
  <si>
    <t>CE Std/therm UC</t>
  </si>
  <si>
    <t>CE Std/therm -TRC</t>
  </si>
  <si>
    <t>LFCR</t>
  </si>
  <si>
    <t>Shar Kegley</t>
  </si>
  <si>
    <t>L UC/kwh</t>
  </si>
  <si>
    <t>L TRC/kwh</t>
  </si>
  <si>
    <t>CE Std/kwh UC</t>
  </si>
  <si>
    <t>CE Std/kwh -TRC</t>
  </si>
  <si>
    <t xml:space="preserve">Energy Advisors Gas                </t>
  </si>
  <si>
    <t>Events/Parking/Meals</t>
  </si>
  <si>
    <t>Phone equipment</t>
  </si>
  <si>
    <t>Electric Programs</t>
  </si>
  <si>
    <t>Corp. Comm. Kristine Skinner</t>
  </si>
  <si>
    <t>customer incentive packets</t>
  </si>
  <si>
    <t>employee training, mileage, travel</t>
  </si>
  <si>
    <t>Contracts; C+C, Pinkleg, Ungerboeck, Skyline</t>
  </si>
  <si>
    <t>outside labor- Aertotek- event staffing- Outside services booth fees, carpet, lighting &amp; one large scale market driven events</t>
  </si>
  <si>
    <t>PSE Van</t>
  </si>
  <si>
    <t>Employee training, mileage, travel</t>
  </si>
  <si>
    <t>5a</t>
  </si>
  <si>
    <t>5b</t>
  </si>
  <si>
    <t>5c</t>
  </si>
  <si>
    <t>5d</t>
  </si>
  <si>
    <t>5e</t>
  </si>
  <si>
    <t>5f</t>
  </si>
  <si>
    <t>5g</t>
  </si>
  <si>
    <t>5h</t>
  </si>
  <si>
    <t>6a</t>
  </si>
  <si>
    <t>Total Savings
kWh</t>
  </si>
  <si>
    <t>32a</t>
  </si>
  <si>
    <t>32b</t>
  </si>
  <si>
    <t>32c</t>
  </si>
  <si>
    <t>32d</t>
  </si>
  <si>
    <t>33a</t>
  </si>
  <si>
    <t>33b</t>
  </si>
  <si>
    <t>Comments</t>
  </si>
  <si>
    <t>Requested input from Syd 7/26</t>
  </si>
  <si>
    <t>Workbook Tab #</t>
  </si>
  <si>
    <t>Workbook Tab#</t>
  </si>
  <si>
    <t>Low Income Weatherization</t>
  </si>
  <si>
    <t>12a</t>
  </si>
  <si>
    <t>12b</t>
  </si>
  <si>
    <t>12c</t>
  </si>
  <si>
    <t>12d</t>
  </si>
  <si>
    <t>12e</t>
  </si>
  <si>
    <t>13a</t>
  </si>
  <si>
    <t>Gas Programs</t>
  </si>
  <si>
    <t>Total Savings
Therms</t>
  </si>
  <si>
    <t>37a</t>
  </si>
  <si>
    <t>37b</t>
  </si>
  <si>
    <t>37c</t>
  </si>
  <si>
    <t>37d</t>
  </si>
  <si>
    <t>38a</t>
  </si>
  <si>
    <t>38b</t>
  </si>
  <si>
    <t>Last revised:</t>
  </si>
  <si>
    <t>Schedule Nos.</t>
  </si>
  <si>
    <t>Program Name</t>
  </si>
  <si>
    <t>MWH Savings</t>
  </si>
  <si>
    <t>Electric Rider Budget</t>
  </si>
  <si>
    <t>Therm Savings</t>
  </si>
  <si>
    <t>Gas Tracker Budget</t>
  </si>
  <si>
    <t>Total Tariff Budget</t>
  </si>
  <si>
    <t>Single Family Existing     (Subtotal)</t>
  </si>
  <si>
    <t>Residential lighting</t>
  </si>
  <si>
    <t>Space heat</t>
  </si>
  <si>
    <t>Water heat</t>
  </si>
  <si>
    <t>-</t>
  </si>
  <si>
    <t>HomePrint</t>
  </si>
  <si>
    <t>Showerheads</t>
  </si>
  <si>
    <t>Weatherization</t>
  </si>
  <si>
    <t>Single Family New Construction</t>
  </si>
  <si>
    <t>Fuel Conversion</t>
  </si>
  <si>
    <t>Multi Family Existing</t>
  </si>
  <si>
    <t>Multi Family New Construction</t>
  </si>
  <si>
    <t xml:space="preserve">Home Energy Reports </t>
  </si>
  <si>
    <t>Total, Residential Programs</t>
  </si>
  <si>
    <t>E250</t>
  </si>
  <si>
    <t>Commercial / Industrial Retrofit</t>
  </si>
  <si>
    <t>Small Business Lighting Rebate</t>
  </si>
  <si>
    <t>Large Power User - Self Directed Program</t>
  </si>
  <si>
    <t>Energy Efficient Technology Evaluation</t>
  </si>
  <si>
    <t>Commercial Rebates</t>
  </si>
  <si>
    <t>Subtotal, Business Programs</t>
  </si>
  <si>
    <t>NW Energy Efficiency Alliance</t>
  </si>
  <si>
    <t>Subtotal, Regional Programs</t>
  </si>
  <si>
    <t>Customer Engagement and Education</t>
  </si>
  <si>
    <t>Energy Advisors</t>
  </si>
  <si>
    <t>Events</t>
  </si>
  <si>
    <t>Education</t>
  </si>
  <si>
    <t>EES Market Integration</t>
  </si>
  <si>
    <t xml:space="preserve">Trade Ally Support </t>
  </si>
  <si>
    <t>Subtotal, Portfolio Support</t>
  </si>
  <si>
    <t>Subtotal, Research &amp; Compliance</t>
  </si>
  <si>
    <t>Total, Efficiency Programs Included in CE Calculations</t>
  </si>
  <si>
    <t>E150</t>
  </si>
  <si>
    <t>E248</t>
  </si>
  <si>
    <t>Renewables Education</t>
  </si>
  <si>
    <t>E249a</t>
  </si>
  <si>
    <t>Residential Demand Response Pilot</t>
  </si>
  <si>
    <t>Subtotal, Other Electric Programs</t>
  </si>
  <si>
    <t>GRAND TOTAL All EES Programs</t>
  </si>
  <si>
    <t>2010-2011 original filing:</t>
  </si>
  <si>
    <t>Purple cells = use for 1 - 3% eval calculation:</t>
  </si>
  <si>
    <t>Web Development</t>
  </si>
  <si>
    <t>Online customer tools</t>
  </si>
  <si>
    <t>E-news</t>
  </si>
  <si>
    <t>Miscellaneous applications</t>
  </si>
  <si>
    <t>Web content, maintenance + analytics</t>
  </si>
  <si>
    <t>Retired</t>
  </si>
  <si>
    <t>ENERGY STAR LED Outdoor Fixtures</t>
  </si>
  <si>
    <t>ENERGY STAR Storage Water Heater ( 0.94 EF +)</t>
  </si>
  <si>
    <t xml:space="preserve">Definition     </t>
  </si>
  <si>
    <t>This is the main level of tracking expenditures and expenses in EES.  Per FERC rules, all conservation order numbers start with a "1823nnnn", where "n" is some number.  Cost elements apply to all order numbers (for instance, all conservation programs that</t>
  </si>
  <si>
    <t>EES program staff labor. Average FTE cost including management assessments.</t>
  </si>
  <si>
    <t>Overhead--costs associated with employee benefits and other PSE overhead, including those charged to EES from other departments.</t>
  </si>
  <si>
    <t>Service and materials associated with the cost of printing brochures, marketing pieces, advertising, banners, etc.  Also includes marketing conducted by vendors and contractors.</t>
  </si>
  <si>
    <t>Costs associated with EES events, training, conferences,  business meals, business parking, ferry &amp; bridge tolls, etc.</t>
  </si>
  <si>
    <t>Contractors and vendors, such as PECI, Ecos, CostCo, EFI.  These costs do NOT include brochure development, marketing pieces, (which are classified under MARKETING).  These costs do NOT include incentives paid by contractors.</t>
  </si>
  <si>
    <t>Office equipment, tools, trade show equipment</t>
  </si>
  <si>
    <t>This includes lease/rent, association dues, subscriptions, memberships and expenses that don't fit into another category.</t>
  </si>
  <si>
    <t>All costs associated with rebates, grants, remuneration, value-added services.</t>
  </si>
  <si>
    <t>Any amount that PSE is paid by a customer, partner, municipality or outside entity.</t>
  </si>
  <si>
    <t>Cost Element Segment Definitions</t>
  </si>
  <si>
    <t>PLEASE NOTE:  The cost element (CE) groupings have been updated from the 2011 ACP to include more detailed descriptions of the account numbers (CE numbers) included in that group.  A detailed listing of the CE numbers is noted in the tab "CE List".  Adjusted description language is noted in red below.</t>
  </si>
  <si>
    <t>Cost Element</t>
  </si>
  <si>
    <t>Also referred to as a General Ledger account number, the cost element is the finest level of detail within PSE accounting systems.  There are often many cost element numbers that "roll up" into a cost element segment.  For instance, the overhead segment includes material OH, transportation OH, labor OH, etc.  Employee Expenses include travel, meals, lodging, parking, etc. cost element numbers.</t>
  </si>
  <si>
    <t>Order number(s)</t>
  </si>
  <si>
    <t xml:space="preserve">This is the main level of tracking expenditures and expenses in EES.  Per FERC rules, all conservation order numbers start with a "1823nnnn", where "n" is some number.  Cost elements apply to all order numbers (for instance, all conservation programs that offer incentives will have at least a labor, incentive and overhead cost element within the order number.  </t>
  </si>
  <si>
    <t xml:space="preserve">Labor </t>
  </si>
  <si>
    <t>Contractors and vendors, such as PECI, Ecos, CostCo, EFI.  Legal expenses, technical services (CMS design, PSE.com web portals, etc.).  These costs do NOT include brochure development, marketing pieces, (which are classified under MARKETING).  These costs do NOT include incentives paid by contractors.</t>
  </si>
  <si>
    <t xml:space="preserve"> tools, trade show equipment, </t>
  </si>
  <si>
    <r>
      <t xml:space="preserve">Revenue                  
 </t>
    </r>
    <r>
      <rPr>
        <sz val="8"/>
        <color indexed="9"/>
        <rFont val="Arial"/>
        <family val="2"/>
      </rPr>
      <t>(Enter as a negative)</t>
    </r>
  </si>
  <si>
    <t>EES program staff labor. Average FTE cost including management assessments.  This CE group includes assessments from Major Accounts management, Resource Planning,  Corporate Communications management, IT specialists and some building maintenance allocations.</t>
  </si>
  <si>
    <t>Also EES staff labor, associated specifically with Marketing functions.  Marketing allocates staffing according to program needs.</t>
  </si>
  <si>
    <t>Costs associated with EES staff attending events, employee training, conferences,  business meals, business parking, ferry &amp; bridge tolls, mileage incurred on employee automobiles, office supplies, subcription, software/hardware,etc.</t>
  </si>
  <si>
    <r>
      <t>This includes taxes, lease/rent, association dues, subscriptions, insurance, injury and damages costs, memberships, rent/lease, facilities services, postage, printing</t>
    </r>
    <r>
      <rPr>
        <strike/>
        <sz val="10"/>
        <color theme="1"/>
        <rFont val="Arial"/>
        <family val="2"/>
      </rPr>
      <t>.</t>
    </r>
    <r>
      <rPr>
        <sz val="10"/>
        <color theme="1"/>
        <rFont val="Arial"/>
        <family val="2"/>
      </rPr>
      <t xml:space="preserve">
PSE cost element # 62510000; Consumer Incentive Payments, is classified by the Accounting department as Miscellaneous.  However, it is one of the primarly elements of EES's Direct Benefit to Customer (DBtC).</t>
    </r>
  </si>
  <si>
    <t>Electric Program Repairs</t>
  </si>
  <si>
    <t xml:space="preserve">Order# </t>
  </si>
  <si>
    <t>1.78 FTE @ avg $115k/2012 w Assmts</t>
  </si>
  <si>
    <t>2.0 - 1.76 gpm Showerheads - Any WH_Any Shower</t>
  </si>
  <si>
    <t>1.75 - 1.51 gpm Showerheads - Any WH_Any Shower</t>
  </si>
  <si>
    <t>1.50 and less Showerheads - Any WH_Any Shower</t>
  </si>
  <si>
    <t xml:space="preserve">APT Contract </t>
  </si>
  <si>
    <t>ENERGY STAR CFL Fixture- Indoor</t>
  </si>
  <si>
    <t xml:space="preserve">CFL Fixture SPIF </t>
  </si>
  <si>
    <t>Structure Air Sealing  (Attic &amp; Floor Stand-Alone)</t>
  </si>
  <si>
    <t>Structure Air Sealing  (Attic &amp; Floor Blended Insulation)</t>
  </si>
  <si>
    <t>Arrow Air Sealing</t>
  </si>
  <si>
    <t>Generation and T&amp;D Efficiency</t>
  </si>
  <si>
    <t>Generation</t>
  </si>
  <si>
    <t>Mint Farm Lighting</t>
  </si>
  <si>
    <t>Whitehorn Lighting</t>
  </si>
  <si>
    <t>Goldendale Lighting</t>
  </si>
  <si>
    <t xml:space="preserve">Encogen Air Comp. VFD </t>
  </si>
  <si>
    <t>Frederickson MCC Lighting</t>
  </si>
  <si>
    <t>Mint Farm Ext. Ltg Controls</t>
  </si>
  <si>
    <t>Sumas Lighting</t>
  </si>
  <si>
    <t>Encogen Lighting</t>
  </si>
  <si>
    <t>T&amp;D</t>
  </si>
  <si>
    <t>Phase Balancing</t>
  </si>
  <si>
    <t>CVR</t>
  </si>
  <si>
    <t>Benchmarking updates</t>
  </si>
  <si>
    <t>Electric League</t>
  </si>
  <si>
    <t>CEE</t>
  </si>
  <si>
    <t>NEEC</t>
  </si>
  <si>
    <t>BOMA</t>
  </si>
  <si>
    <t>ESC - Energy Services Center</t>
  </si>
  <si>
    <t>Comml Lighting Mark Down Program</t>
  </si>
  <si>
    <t>Cx Light Pilot Program</t>
  </si>
  <si>
    <t>e-news</t>
  </si>
  <si>
    <t>misc applications</t>
  </si>
  <si>
    <t>Structure Air Sealing  (Wall  Blow)</t>
  </si>
  <si>
    <t>3/8 FTE Program Manager</t>
  </si>
  <si>
    <t xml:space="preserve">    BEM Folder</t>
  </si>
  <si>
    <t xml:space="preserve">    BEM Phone Cards</t>
  </si>
  <si>
    <t xml:space="preserve">    BEM Overview Sheet</t>
  </si>
  <si>
    <t xml:space="preserve">    Case Studies</t>
  </si>
  <si>
    <t xml:space="preserve">    Misc Pieces</t>
  </si>
  <si>
    <t>Attic Insulation R-19 to R-49 - Average</t>
  </si>
  <si>
    <t>Prescriptive Duct Sealing and Insulation - Electric</t>
  </si>
  <si>
    <t>TV Turn-In - TV Decommission and Replacement</t>
  </si>
  <si>
    <t>TV Turn-In Decommission</t>
  </si>
  <si>
    <t>Attic Insulation R-19 to R-49 - Gas</t>
  </si>
  <si>
    <t>Prescriptive Duct Sealing and Insulation - Gas</t>
  </si>
  <si>
    <t>CMS 18230498</t>
  </si>
  <si>
    <t>CMS 18230739</t>
  </si>
  <si>
    <t>employee training, travel expenses, mileage</t>
  </si>
  <si>
    <t>Hopelink:(ESL)- Energy Education workshops- 4 years</t>
  </si>
  <si>
    <t>Independent Colleges of Washington (ICW) 50 years</t>
  </si>
  <si>
    <t>Speakers Bureau; Develop employee education curriculum</t>
  </si>
  <si>
    <t>Misc. education printing</t>
  </si>
  <si>
    <t>Vacant (BEM)</t>
  </si>
  <si>
    <t>Generation, Transmission, and Distribution</t>
  </si>
  <si>
    <t>REM- Business office display; Call Center, Poster messaging, Employee EES campaign</t>
  </si>
  <si>
    <t xml:space="preserve">   BEM-West Coast Energy Management Conference(AEE)</t>
  </si>
  <si>
    <t xml:space="preserve">   BEM-Exhibits Update</t>
  </si>
  <si>
    <t xml:space="preserve">   BEM-Powerful Business Conference</t>
  </si>
  <si>
    <t xml:space="preserve">   BEM-Outreach-Brownbags &amp; Breakfast Meetings</t>
  </si>
  <si>
    <t xml:space="preserve">   BEM-Outreach- Misc Professional Associations: </t>
  </si>
  <si>
    <t xml:space="preserve">   BEM-Outreach- Misc Publications</t>
  </si>
  <si>
    <t>Stock Photography</t>
  </si>
  <si>
    <t>Custom Photography</t>
  </si>
  <si>
    <t xml:space="preserve">   Advertise- Misc Publications and Directories</t>
  </si>
  <si>
    <t xml:space="preserve">   REM- C+C, Pinkleg, Ungerboeck, Skyline</t>
  </si>
  <si>
    <t>REM- Info. Services Brochures</t>
  </si>
  <si>
    <r>
      <t>Strategic Planning</t>
    </r>
    <r>
      <rPr>
        <strike/>
        <sz val="10"/>
        <color rgb="FFFF0000"/>
        <rFont val="Arial"/>
        <family val="2"/>
      </rPr>
      <t xml:space="preserve"> </t>
    </r>
  </si>
  <si>
    <t>Two-Year 2012-2013 Savings and Incentives (DBtC) for Programs Operated In-House</t>
  </si>
  <si>
    <t>Incentives (DBtC)</t>
  </si>
  <si>
    <t>Savings</t>
  </si>
  <si>
    <t>Incentives ($/UOM)</t>
  </si>
  <si>
    <t>2012 Percent Savings</t>
  </si>
  <si>
    <t>Notes on Savings and Incentives</t>
  </si>
  <si>
    <t>Program</t>
  </si>
  <si>
    <t>Electric (kWh)</t>
  </si>
  <si>
    <t>Gas (Therms)</t>
  </si>
  <si>
    <t>Electric ($/kWh)</t>
  </si>
  <si>
    <t>Gas ($/Therm)</t>
  </si>
  <si>
    <t>General</t>
  </si>
  <si>
    <t>Codes &amp; Standards</t>
  </si>
  <si>
    <t>C/I Retrofit Program Totals:</t>
  </si>
  <si>
    <t/>
  </si>
  <si>
    <t>E250/G205</t>
  </si>
  <si>
    <t>E/G 251</t>
  </si>
  <si>
    <t>C/I New Construction</t>
  </si>
  <si>
    <t>E253/G208</t>
  </si>
  <si>
    <t>Resource Conservation Manager (RCM)</t>
  </si>
  <si>
    <t>Codes &amp; Standards do not apply to behavioral measures implemented under the RCM program.  Program provides tools and assistance for customers to meet the new state and City of Seattle Benchmarking requirements (RCW 19.27A-190 and Ordinance 123226).</t>
  </si>
  <si>
    <t>Small Business Lighting Rebates</t>
  </si>
  <si>
    <t>HV Self Directed</t>
  </si>
  <si>
    <t>Commercial Rebate Program Totals:</t>
  </si>
  <si>
    <t>E/G 262</t>
  </si>
  <si>
    <t>Generation &amp; T&amp;D Efficiency Program</t>
  </si>
  <si>
    <t>The Multiparty Settlement Stipulation #47 study identified this potential energy efficiency improvement.  Savings based on EME walkthrough and PSE lighting calculation spreadsheet.</t>
  </si>
  <si>
    <t>The Multiparty Settlement Stipulation #47 study identified this potential energy efficiency improvement.  Savings based on EME walkthrough and regional compressed air savings tool.</t>
  </si>
  <si>
    <t>Savings based on replacing incandescent motor control indicator lights with LED lamps.</t>
  </si>
  <si>
    <t>The Multiparty Settlement Stipulation #47 study identified this potential energy efficiency improvement.  Savings assumed to be similar to other sites.</t>
  </si>
  <si>
    <t>Transmission and Distribution</t>
  </si>
  <si>
    <t>Savings based on 2005 study and 3.5% loss savings.</t>
  </si>
  <si>
    <t>Savings based on 2% kWh savings per 3 volt circuit reduction.  The average voltage reduction for the circuits in the proposed substations is assumed to range between 2 and 3 volts.</t>
  </si>
  <si>
    <t>Two-Year 2012-2013 Savings and Costs for Contracted Programs</t>
  </si>
  <si>
    <t>Administrative</t>
  </si>
  <si>
    <t>Incentives</t>
  </si>
  <si>
    <t>Admin</t>
  </si>
  <si>
    <t>HER program costs excluded from "info-only" calculation because savings will be measured.</t>
  </si>
  <si>
    <t>71.0 aMW</t>
  </si>
  <si>
    <t>e-news ($3,000 for BEM)</t>
  </si>
  <si>
    <t>Journal Entry Transfer Credit</t>
  </si>
  <si>
    <t>Net Labor (EES, Maj Accts, CSY)</t>
  </si>
  <si>
    <t>by journal entry transfer credit to E250 C/I Retrofit #18230711 &amp; debit to E258 Self-Directed Order #18230729</t>
  </si>
  <si>
    <t>Journal Entry Transfer Credit (See Labor Note Above)</t>
  </si>
  <si>
    <t>Net Overhead</t>
  </si>
  <si>
    <t>Journal Entry Transfer Credit - 2-Year Amount (See Labor Note)</t>
  </si>
  <si>
    <t>Sch 250 to Sch 258 Journal Transfer Amt:</t>
  </si>
  <si>
    <t>EES Labor Adjustment:</t>
  </si>
  <si>
    <t>Overhead Adjustment:</t>
  </si>
  <si>
    <t>Journal Entry Transfer (7.5% of Sch 120 Collections)</t>
  </si>
  <si>
    <t>Overhead (See Labor Note Above)</t>
  </si>
  <si>
    <t>Journal Entry Transfer Debit - 2-Year Amount (See Labor Note)</t>
  </si>
  <si>
    <t xml:space="preserve">An existing ESG contract is in effect for the 2012 - 2013 program years. Market saturation is expected to reduce energy savings in 2013.  </t>
  </si>
  <si>
    <t>RFP: Data Centers</t>
  </si>
  <si>
    <t>Pre Rinse Low Flow Spray Head &amp; Aerator</t>
  </si>
  <si>
    <t>RFP:  Outreach - Small Business Direct Install</t>
  </si>
  <si>
    <t xml:space="preserve">     Other Departments' Labor</t>
  </si>
  <si>
    <t>Total Labor</t>
  </si>
  <si>
    <t>NEEA contracted payments</t>
  </si>
  <si>
    <t>kWh Savings Estimates</t>
  </si>
  <si>
    <t>(Title pg)</t>
  </si>
  <si>
    <r>
      <t xml:space="preserve">Order Number
</t>
    </r>
    <r>
      <rPr>
        <sz val="8"/>
        <color theme="1"/>
        <rFont val="Arial"/>
        <family val="2"/>
      </rPr>
      <t>(Click on the order# below to link to the detail page)</t>
    </r>
  </si>
  <si>
    <t>Estimated Sch 120 Collections:</t>
  </si>
  <si>
    <t>10% of Sch 120 Collections:</t>
  </si>
  <si>
    <t>NOTE:</t>
  </si>
  <si>
    <t>Capital Cost not Included Above =</t>
  </si>
  <si>
    <t>Total Cost (Program Exp + Capital) =</t>
  </si>
  <si>
    <t>12f</t>
  </si>
  <si>
    <t>Savings Only</t>
  </si>
  <si>
    <t>Residential Home Appliances--Gas Savings</t>
  </si>
  <si>
    <t>18230432--Gas</t>
  </si>
  <si>
    <t>This sheet represents gas savings from installation of appliances</t>
  </si>
  <si>
    <t>Commercial Water Heat</t>
  </si>
  <si>
    <t>Custom Measures</t>
  </si>
  <si>
    <t xml:space="preserve">Incentive increased to include enhanced lighting @ $.30/kWh. 2012 participation/savings will be in line w/ 2011; 2013 will experience an estimated 17% reduction in savings as T-12 retrofit contribution goes away. Regional T12 lighting retrofit incentives </t>
  </si>
  <si>
    <t>Custom grants continue at current 2011 levels (up to $0.30/kWh &amp; $5/therm annual savings) for industrial measures consisting of process, non-comfort HVAC, and peripheral systems.</t>
  </si>
  <si>
    <t>Energy codes not directly applicable to most industrial/process systems, hence limited direct impact. ISO Standard 50001 may begin to influence participation.</t>
  </si>
  <si>
    <t>Incentive payments and savings based on current contracts in place that will be completed in 2012-2013 + forecasted growth in program participation.</t>
  </si>
  <si>
    <t>Energy code impacts negligible in 2012-2013 since savings comes from maintenance and operational changes in existing buildings, not from equipment replacement.</t>
  </si>
  <si>
    <t>Category includes all custom grant projects not classified as Lighting, Industrial or BEOP. Custom grants continue at current 2011 levels (up to $0.30/kWh &amp; $5/therm annual savings). ARRA/OSPI stimulus funding continues to impact program performance in 20</t>
  </si>
  <si>
    <t xml:space="preserve">Program supports retrofit of existing equipment. 2009 WSEC and other efficiency standards have limited impact on retrofit measures/savings. </t>
  </si>
  <si>
    <t xml:space="preserve">Approximately 4.5 million kWh and 145,000 therms projected for projects with 2012 completion dates. Fewer projects on horizon for 2013. Incentives will be returned to 100% of incremental cost to encourage continued efforts to exceed code minimum reqmt's. </t>
  </si>
  <si>
    <t>The more stringent 2009 WSEC baseline has limited program's offerings and savings potential compared to prior years.</t>
  </si>
  <si>
    <t>Savings targets are based on performance expectations for existing RCM customers, plus additional savings from estimated recruitment of four new customers per year.</t>
  </si>
  <si>
    <t>2012 program performance to exceed 2013 as customers and contractors realize that the opportunity to upgrade T12 lighting with utility company incentives is will be terminating due to EISA standards. Program will be sustained through offering incentives f</t>
  </si>
  <si>
    <t>EISA Standards will go into effect January 1, 2012 to lower the maximum wattage from typical current incandescent lamp Wattage 100 to maximum wattage of 72.  On January 1, 2013, the maximum wattage from typical incandescent of 75 will lower to a maximum r</t>
  </si>
  <si>
    <t>Majority of projects completed in 2012 and 2013 are expected to be in the non-competitive phase.  Average incentive for non-competitive projects in previous cycle was $0.243/kWh.  PSE assumes a higher average incentive of $0.28/kWh for non-competitive pro</t>
  </si>
  <si>
    <t>Program was updated in 2011 to utilize RTF provisional savings of 115 kWh/desktop. Will continue to use these savings moving forward into 2012 with participation levels remaining consistent.</t>
  </si>
  <si>
    <t>No anticipated impacts of code or efficiency standards on program performance anticipated in 2012-2013.</t>
  </si>
  <si>
    <t>Program performance anticipated to remain consistent with 2011 in 2012 &amp; 2013 with limited new construction participation due to continuation of economic downturn. Will continue to monitor variable refrigerant flow zoning (VRFZ) system maturation and duct</t>
  </si>
  <si>
    <t>Market is becoming saturated &amp; participation anticipated to continue decline.</t>
  </si>
  <si>
    <t>Code requirement to remain 7-day control. The 360-day programmable thermostat funded by this program will continue to provide consistent energy savings.</t>
  </si>
  <si>
    <t>Measure required by WSEC 2009 for new construction &amp; tenant improvements. Anticipate limited program participation for energy efficiency retrofits.</t>
  </si>
  <si>
    <t>Enactment of WSEC 2009 has made measure a code requirement for new construction &amp; code-triggering TIs, reducing size of this program in 2012-2013.</t>
  </si>
  <si>
    <t>New construction opportunities are limited due to more stringent energy code requirements (WSEC 2009) and slowed construction due to economic conditions. However, program performance will be maintained via increased savings opportunities from innovative f</t>
  </si>
  <si>
    <t>Enactment of WSEC 2009 has made code requirement for many motors in new construction &amp; tenant improvements.</t>
  </si>
  <si>
    <t>Contractor participation forecasted to continue growth as result of new measures (LEDs and low-wattage T8s) being added to the program in mid-2011.</t>
  </si>
  <si>
    <t>Continue to encourage participants to include these rebates in Retrofit and New Construction projects in 2012.  Integral LED's are expected to increase in popularity as prices decrease and when code/standards changes drive more efficient options.</t>
  </si>
  <si>
    <t>Program marketing efforts focused on smaller chain/franchised hospitality customers required for forecasted program performance. No changes anticipated to existing incentive structures.</t>
  </si>
  <si>
    <t>No anticipated impacts of code or efficiency standards on program performance anticipated in 2012-2013 as this program predominately supports retrofit activities.</t>
  </si>
  <si>
    <t>Most municipalities have already converted to LED traffic signals, and most of the remaining signals suitable for conversion are expected to be upgraded in 2012 under economic stimulus programs.</t>
  </si>
  <si>
    <t>The program serves retrofit applications only, since LED traffic signals are required by code for new installations.  The program encourages early conversions since replacement incandescent lamps are still available.</t>
  </si>
  <si>
    <t>Commercial Kitchen Equipment</t>
  </si>
  <si>
    <t>Modest growth in program will result though trade ally and point-of-sale marketing efforts incorporating new vendors, addition of new incented equipment, and higher program awareness. Increasing code efficiency requirements, particularly within the city o</t>
  </si>
  <si>
    <t>City of Seattle code requirements become more stringent for several pieces of equipment, requiring adaptation of program for various code requirements within PSE service area.</t>
  </si>
  <si>
    <t>Commercial Washer/Dryer Rebate</t>
  </si>
  <si>
    <t>No code impacts anticipated on equipment funded under this program.</t>
  </si>
  <si>
    <t>Program participation expected to continue near the 2010-2011 level.</t>
  </si>
  <si>
    <t>Additional feasibility analysis required.
Savings potential estimated at 7,000 kWh/yr savings.</t>
  </si>
  <si>
    <t>Codes &amp; Standards Impacts</t>
  </si>
  <si>
    <t xml:space="preserve">Program retrofits existing equipment (primarily refrigeration), therefore minimal impacts in 12-13. Energy code not applicable to some measures.  Where applicable, installed measures shall meet code.  </t>
  </si>
  <si>
    <t>2012-2013 RFP: Building Tune-Up and Tracking</t>
  </si>
  <si>
    <t>Program operation will extend into 2014 for 6 &amp; 12 month diagnostics/close-out. Claimed savings per measured 6 &amp; 12 month actual usage. 2012 includes program dev. and recruitment. Savings realization begins 2013. See EXHIBIT D "Measure Metrics Summary" in</t>
  </si>
  <si>
    <t>Legislated state and City of Seattle benchmarking requirements (RCW 19.27A-190 and Ordinance 123226) anticipated to drive customer awareness of building EUIs. Anticipate this program will leverage compliance requirements in participant recruitment.</t>
  </si>
  <si>
    <t>2012-2013 RFP: Industrial Systems Optimization</t>
  </si>
  <si>
    <t>Target 21 project sites; average 20 "action items" implemented per site. Improvements focus on refrigeration, compressed air, pumps, fans, lighting &amp; process-specific measures. See EXHIBIT D "Measure Metrics Summary" in contractor proposal for details.</t>
  </si>
  <si>
    <t>NWFPA Energy Roadmap is driving food processors toward a 25% in 10 yr energy reduction goal. ISO 50001 will drive energy management at industrial facilities. Leveraging these initiatives/standards will support participant recruitment.</t>
  </si>
  <si>
    <t>Target 40 server rooms (localized, mid-tier data centers &gt; 1500 sqft). Measures: Lighting, VSDs, Server Virtualization, Hot/Cold Aisle Containment, Power Dist Equip, Chiller Efficiency Economizers, HVAC system separation. See EXHIBIT D "Measure Metrics Su</t>
  </si>
  <si>
    <t xml:space="preserve">Program retrofits existing equipment, therefore minimal impacts in 12-13. Energy code not applicable to some measures.  Where applicable, installed measures shall meet code.  </t>
  </si>
  <si>
    <t>Updated building energy simulations to quantify savings completed in 2011, resulting in reduced claimed savings moving forward to 2012-2013 (particularly) gas measures. Program procedures streamlined to sustain program participation rates.</t>
  </si>
  <si>
    <t>Operational efficiency improvements to existing HVAC equipment, thus code changes do not impact savings/participation.</t>
  </si>
  <si>
    <t>Direct install program. Cost of installation included in "Incentives" column as it is a direct benefit to the customer.</t>
  </si>
  <si>
    <t>Code requirement is 1.6 GPM for pre-rinse spray heads. Previous program cycles have installed 2.6 GPM, 2.2 GPM, 1.6 GPM &amp; 1.0 GPM units. This program will install 0.6 GPM pre-rinse spray heads + 0.5 GPM aerators at all appropriate faucets.</t>
  </si>
  <si>
    <t>PSE supports Green Motor Initiative (GMI) implemented by The Green Motors Practices Group throughout US &amp; Canada. GREEN REWIND of 15-5000 hp motors receive $2/hp incentive ($1/hp passed along to customer on rewind shop invoice).</t>
  </si>
  <si>
    <t>Federal standards have eliminated cost-effective incremental efficiency improvements for motors. This program addresses existing motors that are rewound (vs replaced) w/ steady program participation anticipated.</t>
  </si>
  <si>
    <t>Limited impacts. Anticipate continuing community efforts to be "green" and "sustainable" to drive participation in this program by small businesses.</t>
  </si>
  <si>
    <t>Contract proposal is for 5000 units w/ 1160 kWh savings per unit per PECI Energy Smart deemed savings. Will monitor initial installations (approx 30) to measure actual savings. Estimate 4 million kWh savings completed in 2012 &amp; 2013 program years.</t>
  </si>
  <si>
    <t>No codes/standards impact on this program.</t>
  </si>
  <si>
    <t>Outside labor-Aerotek-event booths</t>
  </si>
  <si>
    <t>Do not input to this range of cells!</t>
  </si>
  <si>
    <t>Conservation Marketing Research</t>
  </si>
  <si>
    <t>(Formerly Local Infrastructure &amp; Market Integration)</t>
  </si>
  <si>
    <t>Details outlined in Evaluation plan</t>
  </si>
  <si>
    <t>payments of $1,315,160</t>
  </si>
  <si>
    <t>Sched 258 customers.</t>
  </si>
  <si>
    <t>NEEA</t>
  </si>
  <si>
    <t xml:space="preserve">     10% of Sch 120 Rider Collections (2012-2013)</t>
  </si>
  <si>
    <t>Sch 120 Collections passed through to NEEA Budget</t>
  </si>
  <si>
    <t>E271</t>
  </si>
  <si>
    <t>Showerhead (1.5 GPM)</t>
  </si>
  <si>
    <t>LED Fixtures-MF</t>
  </si>
  <si>
    <t>LED Fixtures-SF</t>
  </si>
  <si>
    <t>LED Fixtures-MH</t>
  </si>
  <si>
    <t>RISE Wx Innovation Project</t>
  </si>
  <si>
    <t>RISE WX Project</t>
  </si>
  <si>
    <t>Events, Electric</t>
  </si>
  <si>
    <t>Brochures Elect</t>
  </si>
  <si>
    <t>Energy Education</t>
  </si>
  <si>
    <t>Energy Efficiency Events-- Elect</t>
  </si>
  <si>
    <t>Energy Efficiency Events-- Gas</t>
  </si>
  <si>
    <t>Brochures Gas</t>
  </si>
  <si>
    <t>Energy Education Gas</t>
  </si>
  <si>
    <t>E292</t>
  </si>
  <si>
    <t xml:space="preserve">C/I Demand Response </t>
  </si>
  <si>
    <t xml:space="preserve">     Customer On-line Experience</t>
  </si>
  <si>
    <r>
      <t xml:space="preserve">Figures indicated in </t>
    </r>
    <r>
      <rPr>
        <b/>
        <sz val="10"/>
        <color rgb="FFFF0000"/>
        <rFont val="Arial"/>
        <family val="2"/>
      </rPr>
      <t>RED</t>
    </r>
    <r>
      <rPr>
        <sz val="10"/>
        <color theme="1"/>
        <rFont val="Arial"/>
        <family val="2"/>
      </rPr>
      <t xml:space="preserve"> print are updated from those presented in the 2012-2013 Biennial Conservation Plan.</t>
    </r>
  </si>
  <si>
    <t>CS/EE 2013 Budgets, Electric Conservation Rider, Sector View</t>
  </si>
  <si>
    <t>CS/EE 2013 Budgets, Gas Conservation Tracker, Sector View</t>
  </si>
  <si>
    <t>Original 2013</t>
  </si>
  <si>
    <t>Revised 2013</t>
  </si>
  <si>
    <t>2012+(rev)13 TOTAL</t>
  </si>
  <si>
    <t>Kevin Peterson</t>
  </si>
  <si>
    <t>2012+(rev)2013 TOTAL</t>
  </si>
  <si>
    <t>(Formerly Mainstreaming Green)</t>
  </si>
  <si>
    <t>E249A</t>
  </si>
  <si>
    <t>2012+(rev)2013 Total</t>
  </si>
  <si>
    <t>2012+(rev)2013</t>
  </si>
  <si>
    <t>Energy Efficiency Portfolio Support</t>
  </si>
  <si>
    <t>Energy Efficiency Research &amp; Compliance</t>
  </si>
  <si>
    <t>Customer Online Experience</t>
  </si>
  <si>
    <t>Web Experience (subtotal)</t>
  </si>
  <si>
    <t>Subtotal, Programs with conservation savings values</t>
  </si>
  <si>
    <t>Subtotals from previous page</t>
  </si>
  <si>
    <t>48a</t>
  </si>
  <si>
    <t>Verification Team</t>
  </si>
  <si>
    <t>44a</t>
  </si>
  <si>
    <t>N/A</t>
  </si>
  <si>
    <t>12g</t>
  </si>
  <si>
    <t>SF Existing Mobile Home Duct Sealing</t>
  </si>
  <si>
    <t>SF Existing - Mobile Home Duct Sealing</t>
  </si>
  <si>
    <t>18231022</t>
  </si>
  <si>
    <t>Walker Dodson</t>
  </si>
  <si>
    <t>5i</t>
  </si>
  <si>
    <t>Mobile Home Duct Sealing</t>
  </si>
  <si>
    <r>
      <t>Order Number: 182307</t>
    </r>
    <r>
      <rPr>
        <b/>
        <sz val="12"/>
        <color rgb="FFFF0000"/>
        <rFont val="Arial"/>
        <family val="2"/>
      </rPr>
      <t>21  (Non 449)</t>
    </r>
  </si>
  <si>
    <t>18230720  (449)</t>
  </si>
  <si>
    <t>18231135</t>
  </si>
  <si>
    <t>RFP: Building Tune-up &amp; Tracking</t>
  </si>
  <si>
    <t>18231131</t>
  </si>
  <si>
    <t>18231133</t>
  </si>
  <si>
    <t>None</t>
  </si>
  <si>
    <r>
      <t xml:space="preserve">Overhead </t>
    </r>
    <r>
      <rPr>
        <sz val="10"/>
        <rFont val="Tahoma"/>
        <family val="2"/>
      </rPr>
      <t>63%/2012, 70%/2013</t>
    </r>
  </si>
  <si>
    <t>63%/2012, 70.7%/2013 Dir Prog Labor</t>
  </si>
  <si>
    <t>63%/2012, 70.7%/2013 Dir Mktg Labor</t>
  </si>
  <si>
    <t>70.7% of direct labor</t>
  </si>
  <si>
    <t>Energy Accounting Charges</t>
  </si>
  <si>
    <r>
      <rPr>
        <sz val="10"/>
        <color rgb="FFFF0000"/>
        <rFont val="Arial"/>
        <family val="2"/>
      </rPr>
      <t>7</t>
    </r>
    <r>
      <rPr>
        <sz val="10"/>
        <rFont val="Arial"/>
        <family val="2"/>
      </rPr>
      <t xml:space="preserve"> FTEs</t>
    </r>
  </si>
  <si>
    <t>Training, Meals</t>
  </si>
  <si>
    <t>Consultant work for program strategy/metrics work</t>
  </si>
  <si>
    <r>
      <rPr>
        <sz val="10"/>
        <color rgb="FFFF0000"/>
        <rFont val="Arial"/>
        <family val="2"/>
      </rPr>
      <t>7</t>
    </r>
    <r>
      <rPr>
        <sz val="10"/>
        <rFont val="Arial"/>
        <family val="2"/>
      </rPr>
      <t xml:space="preserve"> FTEs per year</t>
    </r>
  </si>
  <si>
    <t>Training, Meals, development, office supplies</t>
  </si>
  <si>
    <t>NEBs</t>
  </si>
  <si>
    <t>GFR</t>
  </si>
  <si>
    <t>NEEA Northern Climate Specs Heat Pump Water Heater - Tier 1</t>
  </si>
  <si>
    <t>NEEA Northern Climate Specs Heat Pump Water Heater - Tier 2</t>
  </si>
  <si>
    <t>Attic Insulation R-0 to R-49 Zonal</t>
  </si>
  <si>
    <t>Attic Insulation R-0 to R-49 FAF</t>
  </si>
  <si>
    <t>Attic Insulation R-0 to R-49 HP</t>
  </si>
  <si>
    <t>Attic Insulation R-19 to R-49 Zonal</t>
  </si>
  <si>
    <t>Attic Insulation R-19 to R-49 FAF</t>
  </si>
  <si>
    <t>Attic Insulation R-19 to R-49 HP</t>
  </si>
  <si>
    <t>Wall Insulation R-0 to R-13 Zonal</t>
  </si>
  <si>
    <t>Wall Insulation R-0 to R-13 FAF</t>
  </si>
  <si>
    <t>Wall Insulation R-0 to R-13 HP</t>
  </si>
  <si>
    <t>Floor Insulation R-0 to R-30 Zonal</t>
  </si>
  <si>
    <t>Floor Insulation R-0 to R-30 FAF</t>
  </si>
  <si>
    <t>Floor Insulation R-0 to R-30 HP</t>
  </si>
  <si>
    <t>Air Sealing CFM50 - Zonal</t>
  </si>
  <si>
    <t>CFM50</t>
  </si>
  <si>
    <t>Air Sealing CFM50 - FAF</t>
  </si>
  <si>
    <t>Air Sealing CFM50 - HP</t>
  </si>
  <si>
    <t>PTCS Duct Sealing - FAF</t>
  </si>
  <si>
    <t>PTCS Duct Sealing - HP</t>
  </si>
  <si>
    <t>5j</t>
  </si>
  <si>
    <t>ARRA Weatherization</t>
  </si>
  <si>
    <t>2012-13 TOTAL</t>
  </si>
  <si>
    <t>Elec - Manufactured Home Duct Sealing- Level 1</t>
  </si>
  <si>
    <t>Elec - Manufactured Home Duct Sealing- Level 2</t>
  </si>
  <si>
    <t>Elec - Manufactured Home Duct Sealing- Level 3</t>
  </si>
  <si>
    <t>Elec - MHDS Showerhead - Leave Behind</t>
  </si>
  <si>
    <t>Elec - MHDS Direct Install CFL</t>
  </si>
  <si>
    <t>Elec - Furnace Filter</t>
  </si>
  <si>
    <t>Elec - MHDS Showerhead ONLY - Leave Behind</t>
  </si>
  <si>
    <t>Elec - MHDS Direct Install CFL ONLY</t>
  </si>
  <si>
    <t>Elec - Manufactured Home Duct Sealing- Level 1 (In Park)</t>
  </si>
  <si>
    <t>Elec - Manufactured Home Duct Sealing- Level 2 (In Park)</t>
  </si>
  <si>
    <t>Elec - Manufactured Home Duct Sealing- Level 3 (In Park)</t>
  </si>
  <si>
    <t>Elec - Manufactured Home Duct Sealing- Level 1 (Out of Park)</t>
  </si>
  <si>
    <t>Elec - Manufactured Home Duct Sealing- Level 2 (Out of Park)</t>
  </si>
  <si>
    <t>Elec - Manufactured Home Duct Sealing- Level 3 (Out of Park)</t>
  </si>
  <si>
    <t>Elec - MHDS Showerhead - Direct Install #1</t>
  </si>
  <si>
    <t>Elec - MHDS Showerhead - Direct Install #2</t>
  </si>
  <si>
    <t>LED Indoor Fixtures</t>
  </si>
  <si>
    <t>ENERGY STAR CFL Engagement Bulbs</t>
  </si>
  <si>
    <t>LED Bulbs_A-line_Incan Baseline</t>
  </si>
  <si>
    <t>LED Outdoor Fixtures</t>
  </si>
  <si>
    <t>LED Reflector</t>
  </si>
  <si>
    <t>LED MR-16</t>
  </si>
  <si>
    <t>Occupancy Sensors</t>
  </si>
  <si>
    <t>Aerotek Temp (Marketing)</t>
  </si>
  <si>
    <t>Clothes Washers Tier 2 (GWH/Edryer 3.1 +)</t>
  </si>
  <si>
    <t>Clothes Washers Tier 1 (GWH/Edryer 2.46 - 3.09)</t>
  </si>
  <si>
    <t xml:space="preserve">LED Fixtures SPIF </t>
  </si>
  <si>
    <t>Gas First Response</t>
  </si>
  <si>
    <t>Showerhead CWA- Max 1.5 gpm EWH</t>
  </si>
  <si>
    <t>Clothes Washer MEF 2.46 or Higher (EWH/Edryer)</t>
  </si>
  <si>
    <t>Energy Star CF Fixture - Tenant Controlled</t>
  </si>
  <si>
    <t>Energy Star LED - Direct Install</t>
  </si>
  <si>
    <t>Energy Star LED Fixture - Tenant Controlled</t>
  </si>
  <si>
    <t>Air Tightening - Ceiling reduce by 15%</t>
  </si>
  <si>
    <t>Air Tightening - Floor reduce by 10%</t>
  </si>
  <si>
    <t>Air Tightening - Ceiling and Floor reduce by 25%</t>
  </si>
  <si>
    <t>Air Tightening - Ceiling, Wall insulation to R13 reduce by 50%</t>
  </si>
  <si>
    <t>Air Tightening - Floor, Wall insulation to R13 reduce by 45%</t>
  </si>
  <si>
    <t>Air Tightening - Ceiling, Floor, Wall insulation to R13 reduce by 60%</t>
  </si>
  <si>
    <t>Wall Insulation to R13 and Air Tightening by 35%</t>
  </si>
  <si>
    <t>Floor Insulation to R30 and Air Tightening by 10%</t>
  </si>
  <si>
    <t>Ceiling Insulation to R38 and Air Tightening by 15%</t>
  </si>
  <si>
    <t>Floor Insulation to R30, Wall Insulation to R13 and Air Tightening by 45%</t>
  </si>
  <si>
    <t>Ceiling Insulation to R38 and Floor to R30 and Air Tightening by 25%</t>
  </si>
  <si>
    <t>Ceiling Insulation to R38 and Wall Insulation to R13 and Air Tightening by 50%</t>
  </si>
  <si>
    <t>Ceiling Insulation to R38, Floor Insulation to R30, Wall Insulation to R13 and Air Tightening by 60%</t>
  </si>
  <si>
    <t>Energy Star LED Candelabra- Direct Install</t>
  </si>
  <si>
    <t>Marketing Support (Aerotek)</t>
  </si>
  <si>
    <t>Showerhead - Max 1.75 gpm EWH</t>
  </si>
  <si>
    <t>LED lamp/bulb</t>
  </si>
  <si>
    <t>LED fixture</t>
  </si>
  <si>
    <t>Custom - DHP</t>
  </si>
  <si>
    <t>Mayor's Challenge</t>
  </si>
  <si>
    <t>12h</t>
  </si>
  <si>
    <t>Wall Insulation R-0 to R-13 - Gas</t>
  </si>
  <si>
    <t>Air Sealing CFM50 - Gas</t>
  </si>
  <si>
    <t>CO Monitor</t>
  </si>
  <si>
    <t>Refrigerators CEE Tier 1</t>
  </si>
  <si>
    <t>Clothes Washer MEF 2.4 -3.09 Electric WH / Electric Dryer</t>
  </si>
  <si>
    <t>Clothes Washer MEF 3.1+ Electric WH / Electric Dryer</t>
  </si>
  <si>
    <t>Clothes Washer MEF 2.4 -3.09 Electric WH / Gas Dryer</t>
  </si>
  <si>
    <t>Clothes Washer MEF 3.1+ Electric WH / Gas Dryer</t>
  </si>
  <si>
    <t>Clothes Washer MEF 2.4 -3.09 Gas WH / Electric Dryer</t>
  </si>
  <si>
    <t>Clothes Washer MEF 3.1+ Gas / Electric Dryer</t>
  </si>
  <si>
    <t>Clothes Washer MEF 2.4 -3.09 Gas WH / Gas Dryer</t>
  </si>
  <si>
    <t>Clothes Washer MEF 3.1+ Gas WH / Gas Dryer</t>
  </si>
  <si>
    <t>Clothes Washer Replacement Electric WH / Electric Dryer</t>
  </si>
  <si>
    <t>Refrigerator Decomm 20yrs</t>
  </si>
  <si>
    <t>1.50 gpm Showerheads - Direct Install</t>
  </si>
  <si>
    <t>Web-enabled thermostats</t>
  </si>
  <si>
    <t>SF Existing - Web-Enabled Thermostats</t>
  </si>
  <si>
    <t>Program Management</t>
  </si>
  <si>
    <t>Web-Enabled Thermostat</t>
  </si>
  <si>
    <t>Ecova</t>
  </si>
  <si>
    <t>Showerhead CWA - Max 1.50 gpm GWH</t>
  </si>
  <si>
    <t xml:space="preserve">Showerhead - Max 1.75 gpm GWH </t>
  </si>
  <si>
    <t>Showerhead - Max 1.5 gpm GWH 2010-2011</t>
  </si>
  <si>
    <t>Industrial Systems Optimization</t>
  </si>
  <si>
    <t>Building Tune-up &amp; Tracking</t>
  </si>
  <si>
    <t xml:space="preserve">Data Centers </t>
  </si>
  <si>
    <t>Updated 2013</t>
  </si>
  <si>
    <t>Data Centers (Clear Result)</t>
  </si>
  <si>
    <t>2013 ACP Revised</t>
  </si>
  <si>
    <t xml:space="preserve">Adjusted 2013 </t>
  </si>
  <si>
    <t xml:space="preserve">Updated 2013 </t>
  </si>
  <si>
    <r>
      <t>C/I Retrofit - Sch 2</t>
    </r>
    <r>
      <rPr>
        <b/>
        <sz val="16"/>
        <color rgb="FFFF0000"/>
        <rFont val="Arial"/>
        <family val="2"/>
      </rPr>
      <t>50</t>
    </r>
    <r>
      <rPr>
        <b/>
        <sz val="16"/>
        <color indexed="18"/>
        <rFont val="Arial"/>
        <family val="2"/>
      </rPr>
      <t xml:space="preserve"> Natural Gas</t>
    </r>
  </si>
  <si>
    <t>Adjusted 2013</t>
  </si>
  <si>
    <t>G250</t>
  </si>
  <si>
    <t>G253</t>
  </si>
  <si>
    <t>Web-enabled Thermostats</t>
  </si>
  <si>
    <r>
      <t>Resource Conservation Manager - Sch 2</t>
    </r>
    <r>
      <rPr>
        <b/>
        <sz val="16"/>
        <color rgb="FFFF0000"/>
        <rFont val="Arial"/>
        <family val="2"/>
      </rPr>
      <t>53</t>
    </r>
    <r>
      <rPr>
        <b/>
        <sz val="16"/>
        <color indexed="18"/>
        <rFont val="Arial"/>
        <family val="2"/>
      </rPr>
      <t xml:space="preserve"> Natural Gas</t>
    </r>
  </si>
  <si>
    <r>
      <t>G</t>
    </r>
    <r>
      <rPr>
        <b/>
        <sz val="12"/>
        <color rgb="FFFF0000"/>
        <rFont val="Calibri"/>
        <family val="2"/>
      </rPr>
      <t>201</t>
    </r>
  </si>
  <si>
    <t>10/04--check with JoEllen--detail sheet doesn't match Valari's</t>
  </si>
  <si>
    <t>Travel, trainings, conference attendance</t>
  </si>
  <si>
    <t>Assessments from other departments/accounting</t>
  </si>
  <si>
    <t>Includes 4 verification staff 13% &amp; 1 MM 10%.  Used SAP 2012 actual $3,679 per month.  Includes 1 new Business Analyst and 3% increase. &amp; added 1 Sr. Market Analyst .02</t>
  </si>
  <si>
    <t>Original 2013 figures, based on 2012-2013 BCP</t>
  </si>
  <si>
    <t>Difference</t>
  </si>
  <si>
    <t>Shar</t>
  </si>
  <si>
    <t>Shar 8%</t>
  </si>
  <si>
    <t>Shar 2%</t>
  </si>
  <si>
    <t>E-Source (?)</t>
  </si>
  <si>
    <t>Integrated Energy &amp; Demand Program Offerings</t>
  </si>
  <si>
    <r>
      <rPr>
        <sz val="10"/>
        <color rgb="FFFF0000"/>
        <rFont val="Arial"/>
        <family val="2"/>
      </rPr>
      <t>0.80</t>
    </r>
    <r>
      <rPr>
        <sz val="10"/>
        <rFont val="Arial"/>
        <family val="2"/>
      </rPr>
      <t xml:space="preserve"> FTE x $115k staff avg</t>
    </r>
  </si>
  <si>
    <t>2013 IRP RFP/Planning</t>
  </si>
  <si>
    <t>0.05 FTE x $115k staff avg</t>
  </si>
  <si>
    <t>E-Source(?)</t>
  </si>
  <si>
    <r>
      <rPr>
        <sz val="10"/>
        <color rgb="FFFF0000"/>
        <rFont val="Arial"/>
        <family val="2"/>
      </rPr>
      <t>0.25</t>
    </r>
    <r>
      <rPr>
        <sz val="10"/>
        <color theme="1"/>
        <rFont val="Arial"/>
        <family val="2"/>
      </rPr>
      <t xml:space="preserve"> FTE @ 115k/2013 w Assmts</t>
    </r>
  </si>
  <si>
    <t>2013 Figures as noted in 12-13 BCP</t>
  </si>
  <si>
    <t xml:space="preserve">Outside Services </t>
  </si>
  <si>
    <t>Purple cells = use for reasonable EM&amp;V expenditures:</t>
  </si>
  <si>
    <t>2.44 FTE in 2013</t>
  </si>
  <si>
    <t>Prgm Eval (see Eval Plan)</t>
  </si>
  <si>
    <t>3rd Party Elec Portfolio Review</t>
  </si>
  <si>
    <r>
      <t xml:space="preserve">per quarter </t>
    </r>
    <r>
      <rPr>
        <b/>
        <sz val="10"/>
        <color rgb="FFFF0000"/>
        <rFont val="Arial"/>
        <family val="2"/>
      </rPr>
      <t>includes:</t>
    </r>
  </si>
  <si>
    <t>Proceeds collected from</t>
  </si>
  <si>
    <t>70% of 10% NEEA contribution from Schedule 258 customers</t>
  </si>
  <si>
    <t>70% of NEEA payments</t>
  </si>
  <si>
    <r>
      <rPr>
        <b/>
        <sz val="14"/>
        <rFont val="Tahoma"/>
        <family val="2"/>
      </rPr>
      <t>2013 ACP Savings &amp; Incentives</t>
    </r>
    <r>
      <rPr>
        <b/>
        <sz val="10"/>
        <rFont val="Tahoma"/>
        <family val="2"/>
      </rPr>
      <t xml:space="preserve">
(Please reference the BCP numbers column M-P and make any adjustments)
</t>
    </r>
  </si>
  <si>
    <r>
      <t xml:space="preserve">ACP NOTES Revised
</t>
    </r>
    <r>
      <rPr>
        <b/>
        <sz val="10"/>
        <rFont val="Arial"/>
        <family val="2"/>
      </rPr>
      <t xml:space="preserve">(Please record the reason for adjustments made from the BCP numbers)
</t>
    </r>
  </si>
  <si>
    <t>2013 Savings</t>
  </si>
  <si>
    <t>2013 Incentives</t>
  </si>
  <si>
    <t>No Changes</t>
  </si>
  <si>
    <t>Code requires LEDs in new fixtures, therefore the program provides incentives for retrofits only.</t>
  </si>
  <si>
    <t>Same savings assumption as listed in Biennial Plan, but only 3 substations balanced instead of the original 6 planned for 2013</t>
  </si>
  <si>
    <t>Only 3 substations to implement CVR instead of the planned 6.  In addition these substations were further characterized in 2012 revising the potential savings.</t>
  </si>
  <si>
    <r>
      <rPr>
        <b/>
        <sz val="14"/>
        <rFont val="Tahoma"/>
        <family val="2"/>
      </rPr>
      <t>2013 ACP Savings &amp; Incentives</t>
    </r>
    <r>
      <rPr>
        <b/>
        <sz val="10"/>
        <rFont val="Tahoma"/>
        <family val="2"/>
      </rPr>
      <t xml:space="preserve">
(Please reference the BCP numbers column O-R and make any adjustments)
</t>
    </r>
  </si>
  <si>
    <t>No changes</t>
  </si>
  <si>
    <t>This contracted program will deliver more savings than anticipated in 2012 calendar year. This is due in part to revising the contract from eight to ten million kWh of savings and in part to the needs of participating customers. This will in turn reduce the savings reported in calendar year 2013.</t>
  </si>
  <si>
    <t>Costs increased from original forecast due to higher charge by outside contractor for aerator only installations.</t>
  </si>
  <si>
    <r>
      <rPr>
        <b/>
        <sz val="10"/>
        <color rgb="FFFF0000"/>
        <rFont val="Arial"/>
        <family val="2"/>
      </rPr>
      <t xml:space="preserve">IMPORTANT! </t>
    </r>
    <r>
      <rPr>
        <sz val="10"/>
        <color theme="1"/>
        <rFont val="Arial"/>
        <family val="2"/>
      </rPr>
      <t xml:space="preserve"> 2013 figures reference only the "2013" line in program detail sheets (highlighted in yellow on each sheet).  Figures, including measure attributes, that are different than those stated in the 2012-2013 Biennial Conservation Plan Exhibit 1 are indicated in </t>
    </r>
    <r>
      <rPr>
        <sz val="10"/>
        <color rgb="FFFF0000"/>
        <rFont val="Arial"/>
        <family val="2"/>
      </rPr>
      <t>RED</t>
    </r>
    <r>
      <rPr>
        <sz val="10"/>
        <color theme="1"/>
        <rFont val="Arial"/>
        <family val="2"/>
      </rPr>
      <t xml:space="preserve"> print in these Sector views and in each detail sheet.  </t>
    </r>
  </si>
  <si>
    <r>
      <t xml:space="preserve">IMPORTANT!  </t>
    </r>
    <r>
      <rPr>
        <sz val="10"/>
        <color theme="1"/>
        <rFont val="Arial"/>
        <family val="2"/>
      </rPr>
      <t xml:space="preserve">2013 figures reference only the "2013" line in program detail sheets (highlighted in yellow on each sheet).  Figures, including measure attributes, that are different than those stated in the 2012-2013 Biennial Conservation Plan Exhibit 1 are indicated in </t>
    </r>
    <r>
      <rPr>
        <sz val="10"/>
        <color rgb="FFFF0000"/>
        <rFont val="Arial"/>
        <family val="2"/>
      </rPr>
      <t xml:space="preserve">RED </t>
    </r>
    <r>
      <rPr>
        <sz val="10"/>
        <color theme="1"/>
        <rFont val="Arial"/>
        <family val="2"/>
      </rPr>
      <t xml:space="preserve">print in these Sector views and in each detail sheet.  </t>
    </r>
  </si>
  <si>
    <t>2013--now part of Home Appliances order #</t>
  </si>
  <si>
    <t>No Schedule Number</t>
  </si>
  <si>
    <t>includes 4 Verification staff 87% , 1 MM 70%- used baseline from 2012 SAP reports average 21K per month.  Added 1 Business Analyst position $67K @ 87% &amp; Electric for $58,290.  added 1 Sr. Mkt Analyst 85K @ .08</t>
  </si>
  <si>
    <t>Schedule 271</t>
  </si>
  <si>
    <t>(Included in WX in 2012.)</t>
  </si>
  <si>
    <t>Schedule Retired</t>
  </si>
  <si>
    <t>Journal Entry Transfer Debit - 2-Year Amount (See Outside Services Note)</t>
  </si>
  <si>
    <t>5k</t>
  </si>
  <si>
    <t>12i</t>
  </si>
  <si>
    <t>1.31 FTE for 2013</t>
  </si>
  <si>
    <t>Sml Comm'l Mkt Profiles</t>
  </si>
  <si>
    <t>Res Research Panel</t>
  </si>
  <si>
    <t>EE Measure Baseline Rch</t>
  </si>
  <si>
    <t>Sm Comm'l Mkt Profiles</t>
  </si>
  <si>
    <t>Res. Research Panel</t>
  </si>
  <si>
    <t xml:space="preserve">The Enhanced Lighting offering, launched in late 2011, has increased savings from custom lighting grants through more-comprehensive projects, and will continue to do so in 2013.  </t>
  </si>
  <si>
    <t>Reductions in savings from lighting as T-12 retrofits decline due to new EISA standards will not be as extensive as initially anticipated due to newly developed EISA compliant T12 lighting products now available for customers.</t>
  </si>
  <si>
    <t xml:space="preserve">The industrial program is seeing slightly less projects submitted than originally forecasted, which is likely due to continuing effects of the down economy. </t>
  </si>
  <si>
    <t>Gas savings from the CBTU program are expected to decrease from original estimates due to program participants consisting mainly of larger facilities with large internal heat gain which do not have significant gas space heat requirements.  Electric savings are expected to increase due to greater savings opportunities being identified and implemented than originally anticipated for the program.</t>
  </si>
  <si>
    <t xml:space="preserve">Changes to avoided costs make it necessary for PSE to change its custom grant funding formulas in 2013 in order to continue satisfying cost effectiveness requirements.   As a result, less cost-effective gas efficiency measures may receive reduced or no funding.  </t>
  </si>
  <si>
    <t xml:space="preserve">The gas savings target has increased primarily due to an industrial laundry facility that will be completed in 2013, pushing the target beyond projections made during the 2012-2013 planning cycle. The revised 2013 target is largely based on projects already underway since there is a long lead time for new construction projects. </t>
  </si>
  <si>
    <t>The new Washington State Energy Code will become effective July 1, 2013. The impact on savings will be seen in following program years since projects to be completed in 2013 will have been permitted under existing codes.</t>
  </si>
  <si>
    <t xml:space="preserve">The RCM program decreased the anticipated gas savings for 2013.  The drop in natural gas savings is attributed to large gas customers completing their third year of performance earlier than anticipated in 2012. </t>
  </si>
  <si>
    <t>Recent federal lighting standard enhancements under EISA are not having the diminishing effect on lighting savings originally anticipated.  There will still be T12 lighting options available for customers in 2013 and beyond, making continued incentives for retrofit to efficient T8 lighting necessary.  More comprehensive projects are expected to come in due to an enhanced rebate applications and added staff working directly with contractors to provide enhanced customer service.</t>
  </si>
  <si>
    <t xml:space="preserve">Customers have utilized their allocations more quickly in 2012 than expected in the original forecast and, as a result, savings potential of the program has decreased for the remaining program cycle.  The competitive phase will be held in 2013, with customers having until December of 2014 to complete projects. </t>
  </si>
  <si>
    <t>Minor adjustments made to incentive budget &amp; planned savings based on customer participation trends.</t>
  </si>
  <si>
    <t xml:space="preserve">The Variable Speed Drive Program expects lower savings than originally planned for 2013 as some of the large projects expected to be processed by this program are being processed by the C/I Retrofit program in conjunction with more extensive HVAC control upgrades, or by Schedule 258 Large Power User Self-Directed Program customers who are required to first utilize their incentive allocation through the Schedule 258 program prior to accessing Commercial Rebate offerings.  </t>
  </si>
  <si>
    <t>The Lighting Markdown Program has increased the number of participating vendors and new point-of-sale signage and banners will be displayed in the showrooms to increase program visibility.</t>
  </si>
  <si>
    <t>Unit energy savings were updated in 2012 to be claimed from replacing a combination of both CFLs and incandescent lamps, which also accounts for a shifting baseline driven by EISA standards (i.e. not all lamps replaced will be pre-EISA incandescents).</t>
  </si>
  <si>
    <t xml:space="preserve">Customer acceptance of LEDs is leading to higher than expected performance in the Commercial Lighting Programs.  </t>
  </si>
  <si>
    <t>Electric Savings will increase from the original 2013 plan in the Hospitality sector. 2012 has shown an increase of measure installation and the trend expected to continue. Additionally, arrival of a new lower-cost occupancy based control system on the market may increase project quantity 2013.</t>
  </si>
  <si>
    <t>No Changes. Market is reaching saturation and there is little activity around this measure.</t>
  </si>
  <si>
    <t xml:space="preserve">The market for Commercial Kitchen incentives has been greatly affected by the economic downturn, resulting in reduced participation. Therefore, savings for this program will be lower than originally planned for 2013 in the Biennial Conservation Plan.  </t>
  </si>
  <si>
    <r>
      <t>2013 ACP NOTES</t>
    </r>
    <r>
      <rPr>
        <b/>
        <sz val="10"/>
        <rFont val="Arial"/>
        <family val="2"/>
      </rPr>
      <t xml:space="preserve">
</t>
    </r>
  </si>
  <si>
    <t xml:space="preserve">As recommended by the C/I Retrofit Evaluation, Energy Smart Grocer is being expanded to include additional gas savings measures.  Since measures in the program are inter-related, the increased emphasis on gas efficiency will also increase electric energy savings produced by the Energy Smart program.  </t>
  </si>
  <si>
    <t xml:space="preserve">Ramp-up of the new Simplified Building Tune-Up program has taken longer than anticipated.  Once initial contact and interest has been established with the customer, it has taken longer than expected for customers to take action in this program. To account for the time it takes for the customer to participate and savings to be verified, targets have been reduced by from the original plan for 2013. </t>
  </si>
  <si>
    <r>
      <t xml:space="preserve">No changes </t>
    </r>
    <r>
      <rPr>
        <sz val="10"/>
        <rFont val="Arial"/>
        <family val="2"/>
      </rPr>
      <t xml:space="preserve"> </t>
    </r>
  </si>
  <si>
    <t>Program participation is limited. PSE offers this program for regional consistency as part of the national Green Motors Practices Group.</t>
  </si>
  <si>
    <t>During a trial installation of a limited quantity of this measure in 2012, evaluation findings indicated actual savings were less than the RTF-published savings amount for Coolermisers.  Therefore PSE will retire this program from its 2013 offerings, but will continue engaging the RTF with engineering results as they become available.</t>
  </si>
  <si>
    <r>
      <t>Exhibit 1: Customer Solutions' Conservation Rider</t>
    </r>
    <r>
      <rPr>
        <b/>
        <sz val="16"/>
        <color rgb="FFFF0000"/>
        <rFont val="Algerian"/>
        <family val="5"/>
      </rPr>
      <t xml:space="preserve"> </t>
    </r>
    <r>
      <rPr>
        <b/>
        <sz val="16"/>
        <rFont val="Algerian"/>
        <family val="5"/>
      </rPr>
      <t>S</t>
    </r>
    <r>
      <rPr>
        <b/>
        <sz val="16"/>
        <rFont val="Arial"/>
        <family val="2"/>
      </rPr>
      <t>avings Goals and Budgets,</t>
    </r>
    <r>
      <rPr>
        <b/>
        <sz val="16"/>
        <color rgb="FF0000FF"/>
        <rFont val="Arial"/>
        <family val="2"/>
      </rPr>
      <t xml:space="preserve"> 2013</t>
    </r>
  </si>
  <si>
    <t>G201</t>
  </si>
  <si>
    <r>
      <t>G20</t>
    </r>
    <r>
      <rPr>
        <sz val="10"/>
        <color rgb="FFFF0000"/>
        <rFont val="Arial"/>
        <family val="2"/>
      </rPr>
      <t>1</t>
    </r>
  </si>
  <si>
    <r>
      <t>G2</t>
    </r>
    <r>
      <rPr>
        <sz val="10"/>
        <color rgb="FFFF0000"/>
        <rFont val="Arial"/>
        <family val="2"/>
      </rPr>
      <t>50</t>
    </r>
  </si>
  <si>
    <r>
      <t>G2</t>
    </r>
    <r>
      <rPr>
        <sz val="10"/>
        <color rgb="FFFF0000"/>
        <rFont val="Arial"/>
        <family val="2"/>
      </rPr>
      <t>53</t>
    </r>
  </si>
  <si>
    <t>Target's PSE's Sch 24 customers. Estimate 40,000 candidates for program with 10% penetration achievable in 2012-13 (4000 audits). Anticipate 2800 installations focusing on lighting, HVAC tune-ups, refrigeration, low-flow devices, weatherization. See EXHIBIT</t>
  </si>
  <si>
    <t>The number of domestic hot water savings measures (i.e. aerators) producing natural gas savings will be greater than originally forecast for 2013.</t>
  </si>
  <si>
    <t>Unit energy savings were updated in 2012 to be claimed from replacing a combination of both CFLs and incandescent lamps, which also accounts for a shifting baseline driven by EISA standards (i.e. not all lamps replaced will be pre-EISA incandescent).</t>
  </si>
  <si>
    <t>2012-2013 program incentives remain consistent. Participation will be limited due to impacts of economy on this market sector.</t>
  </si>
  <si>
    <t xml:space="preserve">Per Energy Independence and Security Act (EISA) of 2007, effective July 14, 2012, linear fluorescent lamps must meet more stringent efficacy standards significantly limiting T12 lamp purchase options. This will diminish lighting program savings achievable </t>
  </si>
  <si>
    <t>Codes &amp; Standards do not apply to operational &amp; behavioral measures implemented under the RCM program.  Program provides tools and assistance for customers to meet the new state and City of Seattle Benchmarking requirements (RCW 19.27A-190 and Ordinance 123226) in conjunction with their resource management activities.</t>
  </si>
  <si>
    <t>Program supports retrofit of existing equipment. 2009 WSEC and other efficiency standards have limited impact on retrofit measures/savings. Large portion of program participants are industrial sector w/ projects focusing on process improvements not subject</t>
  </si>
  <si>
    <t>Please press the button to the left for additional discussion of incentives calculations.</t>
  </si>
  <si>
    <t>Cs Light Pilot Program</t>
  </si>
  <si>
    <t>Note:  Program operating costs equal to 7.5% of Sch 120 collections for Rate Sch 449/459 customers are transferred</t>
  </si>
  <si>
    <t>Energy Star Whole House Ventilation - MF</t>
  </si>
  <si>
    <t>Energy Star Whole House Ventilation - SF</t>
  </si>
  <si>
    <t>Energy Star Whole House Ventilation - MH</t>
  </si>
  <si>
    <t>Luke Giustra</t>
  </si>
  <si>
    <t>Order Numbers:</t>
  </si>
  <si>
    <t>0.20 FTE in 2013</t>
  </si>
  <si>
    <t>0.61 FTE</t>
  </si>
  <si>
    <t>0.09 FTE in 2013</t>
  </si>
  <si>
    <t>0.36 FTE in 2013</t>
  </si>
  <si>
    <t>Verification &amp; Education</t>
  </si>
  <si>
    <t>Program Implementer 1, 100%</t>
  </si>
  <si>
    <t>Program Implementer 2, 50%</t>
  </si>
  <si>
    <t>63%/2012, 70.7%/2013 of Dir. Prog. Labor</t>
  </si>
  <si>
    <t>63%/2012, 70.7%/2013 of Dir. Mktg. Labor</t>
  </si>
  <si>
    <t>70.7% of Direct  Program Labor</t>
  </si>
  <si>
    <t>70.7% of Direct  Marketing Labor</t>
  </si>
  <si>
    <r>
      <t xml:space="preserve">Overhead </t>
    </r>
    <r>
      <rPr>
        <sz val="10"/>
        <rFont val="Tahoma"/>
        <family val="2"/>
      </rPr>
      <t>63%/2012, 70.7%/2013</t>
    </r>
  </si>
  <si>
    <r>
      <t xml:space="preserve">Program Implementer 2; </t>
    </r>
    <r>
      <rPr>
        <sz val="10"/>
        <color rgb="FFFF0000"/>
        <rFont val="Calibri"/>
        <family val="2"/>
        <scheme val="minor"/>
      </rPr>
      <t>25</t>
    </r>
    <r>
      <rPr>
        <sz val="10"/>
        <color theme="1"/>
        <rFont val="Calibri"/>
        <family val="2"/>
        <scheme val="minor"/>
      </rPr>
      <t>%</t>
    </r>
  </si>
  <si>
    <t>Program Implementer 1; 100%</t>
  </si>
  <si>
    <t>Program Implementer 2; 50%</t>
  </si>
  <si>
    <t>Corp. Comm. contact</t>
  </si>
  <si>
    <t>Energy Advisor-AJ</t>
  </si>
  <si>
    <t>Energy Advisor-BP</t>
  </si>
  <si>
    <t>Energy Advisor-DG</t>
  </si>
  <si>
    <t>Energy Advisor-CC</t>
  </si>
  <si>
    <t>Energy Advisor-WB</t>
  </si>
  <si>
    <t>Energy Advisor-BJ</t>
  </si>
  <si>
    <t>Energy Advisor-MM</t>
  </si>
  <si>
    <t>Energy Advisor-SI</t>
  </si>
  <si>
    <t>Energy Advisor-LA</t>
  </si>
  <si>
    <t>Energy Advisor-ZK</t>
  </si>
  <si>
    <t>ECOVA</t>
  </si>
  <si>
    <t>Blue cells = use for 10% "info-only" calculation (per condition (7)(d)):</t>
  </si>
</sst>
</file>

<file path=xl/styles.xml><?xml version="1.0" encoding="utf-8"?>
<styleSheet xmlns="http://schemas.openxmlformats.org/spreadsheetml/2006/main">
  <numFmts count="34">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0_);\(0\)"/>
    <numFmt numFmtId="168" formatCode="#,###\ &quot;kwh&quot;"/>
    <numFmt numFmtId="169" formatCode="&quot;$&quot;#,##0.00"/>
    <numFmt numFmtId="170" formatCode="General\ &quot;kwh/unit&quot;"/>
    <numFmt numFmtId="171" formatCode="0.000"/>
    <numFmt numFmtId="172" formatCode="_(* #,##0_);_(* \(#,##0\);_(* &quot;-&quot;??_);_(@_)"/>
    <numFmt numFmtId="173" formatCode="&quot;$&quot;#,##0.000"/>
    <numFmt numFmtId="174" formatCode="#,###\ &quot;therms&quot;"/>
    <numFmt numFmtId="175" formatCode="General\ &quot;thms/unit&quot;"/>
    <numFmt numFmtId="176" formatCode="0.0"/>
    <numFmt numFmtId="177" formatCode="#,###\ &quot;kWh/yr&quot;"/>
    <numFmt numFmtId="178" formatCode="#,###\ &quot;Therms/yr&quot;"/>
    <numFmt numFmtId="179" formatCode="#,##0.0000"/>
    <numFmt numFmtId="180" formatCode="0.0000"/>
    <numFmt numFmtId="181" formatCode="_(&quot;$&quot;* #,##0_);_(&quot;$&quot;* \(#,##0\);_(&quot;$&quot;* &quot;-&quot;?_);_(@_)"/>
    <numFmt numFmtId="182" formatCode="#,###.0\ &quot;aMW&quot;"/>
    <numFmt numFmtId="183" formatCode="[$-409]m/d/yy\ h:mm\ AM/PM;@"/>
    <numFmt numFmtId="184" formatCode="##.0\ &quot;FTEs&quot;"/>
    <numFmt numFmtId="185" formatCode="###.0\ &quot;aMW&quot;"/>
    <numFmt numFmtId="186" formatCode="_(&quot;$&quot;* #,##0.0_);_(&quot;$&quot;* \(#,##0.0\);_(&quot;$&quot;* &quot;-&quot;??_);_(@_)"/>
    <numFmt numFmtId="187" formatCode="_(&quot;$&quot;* #,##0.000_);_(&quot;$&quot;* \(#,##0.000\);_(&quot;$&quot;* &quot;-&quot;??_);_(@_)"/>
    <numFmt numFmtId="188" formatCode="#,##0.000"/>
    <numFmt numFmtId="189" formatCode="#,###\ &quot;kWh&quot;"/>
    <numFmt numFmtId="190" formatCode="m/d/\ h:mm"/>
  </numFmts>
  <fonts count="168">
    <font>
      <sz val="10"/>
      <color theme="1"/>
      <name val="Arial"/>
      <family val="2"/>
    </font>
    <font>
      <sz val="10"/>
      <color indexed="8"/>
      <name val="Arial"/>
      <family val="2"/>
    </font>
    <font>
      <sz val="10"/>
      <color indexed="17"/>
      <name val="Arial"/>
      <family val="2"/>
    </font>
    <font>
      <b/>
      <sz val="10"/>
      <color indexed="9"/>
      <name val="Arial"/>
      <family val="2"/>
    </font>
    <font>
      <sz val="10"/>
      <color indexed="10"/>
      <name val="Arial"/>
      <family val="2"/>
    </font>
    <font>
      <b/>
      <sz val="10"/>
      <color indexed="8"/>
      <name val="Arial"/>
      <family val="2"/>
    </font>
    <font>
      <sz val="10"/>
      <color theme="1"/>
      <name val="Arial"/>
      <family val="2"/>
    </font>
    <font>
      <sz val="10"/>
      <color rgb="FFFF0000"/>
      <name val="Arial"/>
      <family val="2"/>
    </font>
    <font>
      <b/>
      <sz val="14"/>
      <name val="Arial"/>
      <family val="2"/>
    </font>
    <font>
      <sz val="12"/>
      <name val="Arial"/>
      <family val="2"/>
    </font>
    <font>
      <sz val="12"/>
      <color indexed="10"/>
      <name val="Arial"/>
      <family val="2"/>
    </font>
    <font>
      <sz val="10"/>
      <color indexed="10"/>
      <name val="Arial"/>
      <family val="2"/>
    </font>
    <font>
      <b/>
      <sz val="10"/>
      <color indexed="10"/>
      <name val="Arial"/>
      <family val="2"/>
    </font>
    <font>
      <sz val="10"/>
      <name val="Arial"/>
      <family val="2"/>
    </font>
    <font>
      <i/>
      <sz val="10"/>
      <color indexed="17"/>
      <name val="Arial"/>
      <family val="2"/>
    </font>
    <font>
      <i/>
      <sz val="10"/>
      <color indexed="10"/>
      <name val="Arial"/>
      <family val="2"/>
    </font>
    <font>
      <sz val="10"/>
      <name val="Tahoma"/>
      <family val="2"/>
    </font>
    <font>
      <i/>
      <sz val="10"/>
      <color indexed="8"/>
      <name val="Arial"/>
      <family val="2"/>
    </font>
    <font>
      <i/>
      <sz val="10"/>
      <name val="Arial"/>
      <family val="2"/>
    </font>
    <font>
      <sz val="10"/>
      <color indexed="8"/>
      <name val="Tahoma"/>
      <family val="2"/>
    </font>
    <font>
      <b/>
      <sz val="10"/>
      <name val="Arial"/>
      <family val="2"/>
    </font>
    <font>
      <b/>
      <sz val="12"/>
      <name val="Arial"/>
      <family val="2"/>
    </font>
    <font>
      <i/>
      <sz val="12"/>
      <color indexed="10"/>
      <name val="Arial"/>
      <family val="2"/>
    </font>
    <font>
      <b/>
      <sz val="10"/>
      <color indexed="10"/>
      <name val="Arial"/>
      <family val="2"/>
    </font>
    <font>
      <u val="singleAccounting"/>
      <sz val="10"/>
      <name val="Arial"/>
      <family val="2"/>
    </font>
    <font>
      <b/>
      <sz val="12"/>
      <color indexed="8"/>
      <name val="Arial"/>
      <family val="2"/>
    </font>
    <font>
      <u/>
      <sz val="10"/>
      <color theme="10"/>
      <name val="Calibri"/>
      <family val="2"/>
    </font>
    <font>
      <b/>
      <sz val="12"/>
      <color indexed="8"/>
      <name val="Calibri"/>
      <family val="2"/>
    </font>
    <font>
      <b/>
      <i/>
      <sz val="10"/>
      <color indexed="10"/>
      <name val="Calibri"/>
      <family val="2"/>
    </font>
    <font>
      <b/>
      <sz val="10"/>
      <color indexed="8"/>
      <name val="Calibri"/>
      <family val="2"/>
    </font>
    <font>
      <sz val="10"/>
      <color indexed="8"/>
      <name val="Calibri"/>
      <family val="2"/>
    </font>
    <font>
      <b/>
      <sz val="12"/>
      <name val="Calibri"/>
      <family val="2"/>
    </font>
    <font>
      <sz val="10"/>
      <color indexed="10"/>
      <name val="Calibri"/>
      <family val="2"/>
    </font>
    <font>
      <i/>
      <sz val="10"/>
      <color indexed="10"/>
      <name val="Calibri"/>
      <family val="2"/>
    </font>
    <font>
      <b/>
      <sz val="10"/>
      <color indexed="10"/>
      <name val="Calibri"/>
      <family val="2"/>
    </font>
    <font>
      <sz val="10"/>
      <color indexed="81"/>
      <name val="Tahoma"/>
      <family val="2"/>
    </font>
    <font>
      <b/>
      <sz val="10"/>
      <color indexed="81"/>
      <name val="Tahoma"/>
      <family val="2"/>
    </font>
    <font>
      <u/>
      <sz val="9"/>
      <color indexed="12"/>
      <name val="Calibri"/>
      <family val="2"/>
    </font>
    <font>
      <sz val="10"/>
      <name val="Calibri"/>
      <family val="2"/>
    </font>
    <font>
      <sz val="9"/>
      <name val="Arial"/>
      <family val="2"/>
    </font>
    <font>
      <i/>
      <sz val="10"/>
      <color indexed="8"/>
      <name val="Calibri"/>
      <family val="2"/>
    </font>
    <font>
      <sz val="9"/>
      <color indexed="8"/>
      <name val="Courier New"/>
      <family val="3"/>
    </font>
    <font>
      <sz val="10"/>
      <color indexed="8"/>
      <name val="Verdana"/>
      <family val="2"/>
    </font>
    <font>
      <b/>
      <sz val="9"/>
      <name val="Arial"/>
      <family val="2"/>
    </font>
    <font>
      <b/>
      <sz val="10"/>
      <color theme="1"/>
      <name val="Arial"/>
      <family val="2"/>
    </font>
    <font>
      <sz val="10"/>
      <name val="Tahoma"/>
      <family val="2"/>
    </font>
    <font>
      <sz val="8"/>
      <color indexed="8"/>
      <name val="Arial"/>
      <family val="2"/>
    </font>
    <font>
      <b/>
      <sz val="10"/>
      <name val="Tahoma"/>
      <family val="2"/>
    </font>
    <font>
      <b/>
      <sz val="10"/>
      <name val="Tahoma"/>
      <family val="2"/>
    </font>
    <font>
      <b/>
      <u/>
      <sz val="10"/>
      <name val="Tahoma"/>
      <family val="2"/>
    </font>
    <font>
      <u/>
      <sz val="10"/>
      <name val="Tahoma"/>
      <family val="2"/>
    </font>
    <font>
      <i/>
      <sz val="10"/>
      <name val="Tahoma"/>
      <family val="2"/>
    </font>
    <font>
      <b/>
      <sz val="10"/>
      <color indexed="9"/>
      <name val="Arial"/>
      <family val="2"/>
    </font>
    <font>
      <sz val="10"/>
      <name val="Arial"/>
      <family val="2"/>
    </font>
    <font>
      <b/>
      <sz val="16"/>
      <color indexed="18"/>
      <name val="Arial"/>
      <family val="2"/>
    </font>
    <font>
      <sz val="14"/>
      <name val="Arial"/>
      <family val="2"/>
    </font>
    <font>
      <b/>
      <u/>
      <sz val="10"/>
      <name val="Arial"/>
      <family val="2"/>
    </font>
    <font>
      <b/>
      <sz val="14"/>
      <name val="Calibri"/>
      <family val="2"/>
    </font>
    <font>
      <b/>
      <u/>
      <sz val="10"/>
      <color indexed="18"/>
      <name val="Tahoma"/>
      <family val="2"/>
    </font>
    <font>
      <b/>
      <i/>
      <sz val="9"/>
      <color indexed="18"/>
      <name val="Arial"/>
      <family val="2"/>
    </font>
    <font>
      <b/>
      <i/>
      <sz val="14"/>
      <color indexed="53"/>
      <name val="Tahoma"/>
      <family val="2"/>
    </font>
    <font>
      <b/>
      <u val="singleAccounting"/>
      <sz val="10"/>
      <name val="Tahoma"/>
      <family val="2"/>
    </font>
    <font>
      <b/>
      <sz val="10"/>
      <color indexed="8"/>
      <name val="Tahoma"/>
      <family val="2"/>
    </font>
    <font>
      <sz val="10"/>
      <color indexed="8"/>
      <name val="Arial"/>
      <family val="2"/>
    </font>
    <font>
      <b/>
      <sz val="16"/>
      <color rgb="FFFF0000"/>
      <name val="Tahoma"/>
      <family val="2"/>
    </font>
    <font>
      <u/>
      <sz val="10"/>
      <name val="Tahoma"/>
      <family val="2"/>
    </font>
    <font>
      <sz val="10"/>
      <color theme="1"/>
      <name val="Calibri"/>
      <family val="2"/>
      <scheme val="minor"/>
    </font>
    <font>
      <sz val="8"/>
      <name val="Arial"/>
      <family val="2"/>
    </font>
    <font>
      <sz val="10"/>
      <name val="MS Sans Serif"/>
      <family val="2"/>
    </font>
    <font>
      <sz val="11"/>
      <color theme="1"/>
      <name val="Calibri"/>
      <family val="2"/>
      <scheme val="minor"/>
    </font>
    <font>
      <sz val="12"/>
      <color theme="1"/>
      <name val="Arial"/>
      <family val="2"/>
    </font>
    <font>
      <sz val="14"/>
      <color theme="1"/>
      <name val="Arial"/>
      <family val="2"/>
    </font>
    <font>
      <sz val="8"/>
      <color theme="1"/>
      <name val="Arial"/>
      <family val="2"/>
    </font>
    <font>
      <b/>
      <u/>
      <sz val="10"/>
      <color theme="10"/>
      <name val="Calibri"/>
      <family val="2"/>
    </font>
    <font>
      <b/>
      <sz val="12"/>
      <color theme="1"/>
      <name val="Arial"/>
      <family val="2"/>
    </font>
    <font>
      <b/>
      <sz val="12"/>
      <color indexed="9"/>
      <name val="Arial"/>
      <family val="2"/>
    </font>
    <font>
      <b/>
      <sz val="10"/>
      <color indexed="12"/>
      <name val="Arial"/>
      <family val="2"/>
    </font>
    <font>
      <sz val="10"/>
      <color indexed="12"/>
      <name val="Arial"/>
      <family val="2"/>
    </font>
    <font>
      <u val="singleAccounting"/>
      <sz val="10"/>
      <color indexed="8"/>
      <name val="Arial"/>
      <family val="2"/>
    </font>
    <font>
      <b/>
      <sz val="11"/>
      <name val="Arial"/>
      <family val="2"/>
    </font>
    <font>
      <strike/>
      <sz val="10"/>
      <color theme="1"/>
      <name val="Arial"/>
      <family val="2"/>
    </font>
    <font>
      <sz val="10"/>
      <color rgb="FF0070C0"/>
      <name val="Arial"/>
      <family val="2"/>
    </font>
    <font>
      <b/>
      <sz val="12"/>
      <color rgb="FF0070C0"/>
      <name val="Arial"/>
      <family val="2"/>
    </font>
    <font>
      <b/>
      <sz val="10"/>
      <color rgb="FFFF0000"/>
      <name val="Arial"/>
      <family val="2"/>
    </font>
    <font>
      <strike/>
      <sz val="10"/>
      <color rgb="FFFF0000"/>
      <name val="Arial"/>
      <family val="2"/>
    </font>
    <font>
      <i/>
      <sz val="9"/>
      <color theme="1"/>
      <name val="Arial"/>
      <family val="2"/>
    </font>
    <font>
      <b/>
      <sz val="12"/>
      <color rgb="FFFF0000"/>
      <name val="Calibri"/>
      <family val="2"/>
      <scheme val="minor"/>
    </font>
    <font>
      <sz val="10"/>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53"/>
      <name val="Arial"/>
      <family val="2"/>
    </font>
    <font>
      <b/>
      <sz val="12"/>
      <color indexed="20"/>
      <name val="Arial"/>
      <family val="2"/>
    </font>
    <font>
      <sz val="8"/>
      <color indexed="9"/>
      <name val="Arial"/>
      <family val="2"/>
    </font>
    <font>
      <sz val="10"/>
      <color theme="1"/>
      <name val="Calibri"/>
      <family val="2"/>
    </font>
    <font>
      <b/>
      <sz val="10"/>
      <color indexed="18"/>
      <name val="Tahoma"/>
      <family val="2"/>
    </font>
    <font>
      <sz val="10"/>
      <name val="Arial"/>
      <family val="2"/>
    </font>
    <font>
      <b/>
      <u/>
      <sz val="12"/>
      <color theme="10"/>
      <name val="Arial"/>
      <family val="2"/>
    </font>
    <font>
      <sz val="10"/>
      <name val="Tahoma"/>
      <family val="2"/>
    </font>
    <font>
      <b/>
      <sz val="10"/>
      <name val="Tahoma"/>
      <family val="2"/>
    </font>
    <font>
      <sz val="9"/>
      <color indexed="8"/>
      <name val="Calibri"/>
      <family val="2"/>
    </font>
    <font>
      <b/>
      <strike/>
      <sz val="12"/>
      <color indexed="8"/>
      <name val="Calibri"/>
      <family val="2"/>
    </font>
    <font>
      <b/>
      <sz val="12"/>
      <color indexed="61"/>
      <name val="Arial"/>
      <family val="2"/>
    </font>
    <font>
      <i/>
      <sz val="9"/>
      <color indexed="8"/>
      <name val="Arial"/>
      <family val="2"/>
    </font>
    <font>
      <sz val="10"/>
      <name val="Tahoma"/>
      <family val="2"/>
    </font>
    <font>
      <u/>
      <sz val="10"/>
      <name val="Tahoma"/>
      <family val="2"/>
    </font>
    <font>
      <sz val="10"/>
      <name val="Arial"/>
      <family val="2"/>
    </font>
    <font>
      <b/>
      <sz val="10"/>
      <name val="Arial"/>
      <family val="2"/>
    </font>
    <font>
      <b/>
      <sz val="10"/>
      <color indexed="8"/>
      <name val="Arial"/>
      <family val="2"/>
    </font>
    <font>
      <sz val="10"/>
      <color indexed="8"/>
      <name val="Arial"/>
      <family val="2"/>
    </font>
    <font>
      <b/>
      <sz val="10"/>
      <color theme="1"/>
      <name val="Calibri"/>
      <family val="2"/>
    </font>
    <font>
      <u/>
      <sz val="12"/>
      <color theme="10"/>
      <name val="Calibri"/>
      <family val="2"/>
    </font>
    <font>
      <i/>
      <sz val="10"/>
      <color theme="1"/>
      <name val="Arial"/>
      <family val="2"/>
    </font>
    <font>
      <b/>
      <sz val="12"/>
      <color theme="1"/>
      <name val="Calibri"/>
      <family val="2"/>
      <scheme val="minor"/>
    </font>
    <font>
      <strike/>
      <sz val="12"/>
      <color rgb="FFFF0000"/>
      <name val="Arial"/>
      <family val="2"/>
    </font>
    <font>
      <strike/>
      <sz val="12"/>
      <name val="Arial"/>
      <family val="2"/>
    </font>
    <font>
      <strike/>
      <sz val="10"/>
      <name val="Tahoma"/>
      <family val="2"/>
    </font>
    <font>
      <b/>
      <sz val="12"/>
      <color rgb="FFFF0000"/>
      <name val="Arial"/>
      <family val="2"/>
    </font>
    <font>
      <b/>
      <sz val="16"/>
      <name val="Arial"/>
      <family val="2"/>
    </font>
    <font>
      <b/>
      <sz val="16"/>
      <color rgb="FF0000FF"/>
      <name val="Arial"/>
      <family val="2"/>
    </font>
    <font>
      <sz val="12"/>
      <color indexed="8"/>
      <name val="Calibri"/>
      <family val="2"/>
    </font>
    <font>
      <b/>
      <sz val="12"/>
      <color rgb="FFFF0000"/>
      <name val="Calibri"/>
      <family val="2"/>
    </font>
    <font>
      <sz val="10"/>
      <color rgb="FFFF0000"/>
      <name val="Calibri"/>
      <family val="2"/>
      <scheme val="minor"/>
    </font>
    <font>
      <sz val="10"/>
      <color rgb="FFFF0000"/>
      <name val="Tahoma"/>
      <family val="2"/>
    </font>
    <font>
      <b/>
      <sz val="16"/>
      <color rgb="FFFF0000"/>
      <name val="Algerian"/>
      <family val="5"/>
    </font>
    <font>
      <b/>
      <sz val="16"/>
      <name val="Algerian"/>
      <family val="5"/>
    </font>
    <font>
      <sz val="10"/>
      <color rgb="FFFF0000"/>
      <name val="Calibri"/>
      <family val="2"/>
    </font>
    <font>
      <u/>
      <sz val="10"/>
      <color indexed="12"/>
      <name val="Calibri"/>
      <family val="2"/>
    </font>
    <font>
      <u/>
      <sz val="12"/>
      <color indexed="12"/>
      <name val="Calibri"/>
      <family val="2"/>
    </font>
    <font>
      <strike/>
      <sz val="10"/>
      <color indexed="10"/>
      <name val="Calibri"/>
      <family val="2"/>
    </font>
    <font>
      <i/>
      <sz val="10"/>
      <name val="Calibri"/>
      <family val="2"/>
    </font>
    <font>
      <strike/>
      <u/>
      <sz val="10"/>
      <color theme="10"/>
      <name val="Calibri"/>
      <family val="2"/>
    </font>
    <font>
      <b/>
      <sz val="10"/>
      <color rgb="FFFF0000"/>
      <name val="Tahoma"/>
      <family val="2"/>
    </font>
    <font>
      <b/>
      <sz val="9"/>
      <color rgb="FFFF0000"/>
      <name val="Arial"/>
      <family val="2"/>
    </font>
    <font>
      <b/>
      <sz val="10"/>
      <color theme="1"/>
      <name val="Tahoma"/>
      <family val="2"/>
    </font>
    <font>
      <sz val="10"/>
      <color theme="1"/>
      <name val="Tahoma"/>
      <family val="2"/>
    </font>
    <font>
      <b/>
      <sz val="10"/>
      <color rgb="FFFF0000"/>
      <name val="Tahoma"/>
      <family val="2"/>
    </font>
    <font>
      <b/>
      <u/>
      <sz val="10"/>
      <color rgb="FFFF0000"/>
      <name val="Arial"/>
      <family val="2"/>
    </font>
    <font>
      <b/>
      <u/>
      <sz val="10"/>
      <color theme="1"/>
      <name val="Arial"/>
      <family val="2"/>
    </font>
    <font>
      <b/>
      <sz val="16"/>
      <color rgb="FFFF0000"/>
      <name val="Arial"/>
      <family val="2"/>
    </font>
    <font>
      <sz val="11"/>
      <color indexed="8"/>
      <name val="Calibri"/>
      <family val="2"/>
    </font>
    <font>
      <u/>
      <sz val="10"/>
      <color indexed="12"/>
      <name val="Arial"/>
      <family val="2"/>
    </font>
    <font>
      <sz val="12"/>
      <name val="Times New Roman"/>
      <family val="1"/>
    </font>
    <font>
      <b/>
      <sz val="12"/>
      <name val="Times New Roman"/>
      <family val="1"/>
    </font>
    <font>
      <u/>
      <sz val="7"/>
      <color indexed="12"/>
      <name val="Arial"/>
      <family val="2"/>
    </font>
    <font>
      <sz val="10"/>
      <color indexed="12"/>
      <name val="Calibri"/>
      <family val="2"/>
    </font>
    <font>
      <strike/>
      <sz val="10"/>
      <color theme="1"/>
      <name val="Calibri"/>
      <family val="2"/>
      <scheme val="minor"/>
    </font>
    <font>
      <strike/>
      <sz val="10"/>
      <color indexed="8"/>
      <name val="Calibri"/>
      <family val="2"/>
    </font>
    <font>
      <b/>
      <strike/>
      <sz val="10"/>
      <color indexed="10"/>
      <name val="Calibri"/>
      <family val="2"/>
    </font>
    <font>
      <u/>
      <sz val="10"/>
      <color rgb="FFFF0000"/>
      <name val="Calibri"/>
      <family val="2"/>
    </font>
    <font>
      <b/>
      <strike/>
      <sz val="16"/>
      <color indexed="18"/>
      <name val="Arial"/>
      <family val="2"/>
    </font>
    <font>
      <b/>
      <sz val="14"/>
      <name val="Tahoma"/>
      <family val="2"/>
    </font>
    <font>
      <sz val="16"/>
      <color rgb="FFFF0000"/>
      <name val="Arial"/>
      <family val="2"/>
    </font>
    <font>
      <b/>
      <strike/>
      <sz val="12"/>
      <name val="Calibri"/>
      <family val="2"/>
    </font>
    <font>
      <b/>
      <sz val="12"/>
      <color theme="1"/>
      <name val="Calibri"/>
      <family val="2"/>
    </font>
    <font>
      <sz val="14"/>
      <color rgb="FFFF0000"/>
      <name val="Arial"/>
      <family val="2"/>
    </font>
    <font>
      <sz val="10"/>
      <name val="Tahoma"/>
      <family val="2"/>
    </font>
    <font>
      <strike/>
      <sz val="10"/>
      <name val="Calibri"/>
      <family val="2"/>
    </font>
    <font>
      <strike/>
      <sz val="10"/>
      <color theme="1"/>
      <name val="Calibri"/>
      <family val="2"/>
    </font>
  </fonts>
  <fills count="52">
    <fill>
      <patternFill patternType="none"/>
    </fill>
    <fill>
      <patternFill patternType="gray125"/>
    </fill>
    <fill>
      <patternFill patternType="solid">
        <fgColor indexed="13"/>
        <bgColor indexed="64"/>
      </patternFill>
    </fill>
    <fill>
      <patternFill patternType="solid">
        <fgColor indexed="23"/>
        <bgColor indexed="64"/>
      </patternFill>
    </fill>
    <fill>
      <patternFill patternType="solid">
        <fgColor indexed="22"/>
        <bgColor indexed="64"/>
      </patternFill>
    </fill>
    <fill>
      <patternFill patternType="solid">
        <fgColor indexed="52"/>
        <bgColor indexed="64"/>
      </patternFill>
    </fill>
    <fill>
      <patternFill patternType="solid">
        <fgColor indexed="47"/>
        <bgColor indexed="64"/>
      </patternFill>
    </fill>
    <fill>
      <patternFill patternType="solid">
        <fgColor indexed="43"/>
        <bgColor indexed="64"/>
      </patternFill>
    </fill>
    <fill>
      <patternFill patternType="solid">
        <fgColor indexed="31"/>
        <bgColor indexed="64"/>
      </patternFill>
    </fill>
    <fill>
      <patternFill patternType="solid">
        <fgColor indexed="30"/>
        <bgColor indexed="64"/>
      </patternFill>
    </fill>
    <fill>
      <patternFill patternType="solid">
        <fgColor indexed="46"/>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theme="0" tint="-0.249977111117893"/>
        <bgColor indexed="64"/>
      </patternFill>
    </fill>
    <fill>
      <patternFill patternType="solid">
        <fgColor indexed="29"/>
        <bgColor indexed="64"/>
      </patternFill>
    </fill>
    <fill>
      <patternFill patternType="solid">
        <fgColor rgb="FF83AFB4"/>
        <bgColor indexed="64"/>
      </patternFill>
    </fill>
    <fill>
      <patternFill patternType="solid">
        <fgColor rgb="FFC1B071"/>
        <bgColor indexed="64"/>
      </patternFill>
    </fill>
    <fill>
      <patternFill patternType="solid">
        <fgColor rgb="FFABC785"/>
        <bgColor indexed="64"/>
      </patternFill>
    </fill>
    <fill>
      <patternFill patternType="solid">
        <fgColor rgb="FF006A71"/>
        <bgColor indexed="64"/>
      </patternFill>
    </fill>
    <fill>
      <patternFill patternType="solid">
        <fgColor rgb="FFB2541A"/>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EE79F7"/>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34998626667073579"/>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99"/>
        <bgColor indexed="64"/>
      </patternFill>
    </fill>
    <fill>
      <patternFill patternType="solid">
        <fgColor theme="4" tint="0.39997558519241921"/>
        <bgColor indexed="64"/>
      </patternFill>
    </fill>
  </fills>
  <borders count="187">
    <border>
      <left/>
      <right/>
      <top/>
      <bottom/>
      <diagonal/>
    </border>
    <border>
      <left style="medium">
        <color auto="1"/>
      </left>
      <right style="medium">
        <color auto="1"/>
      </right>
      <top style="medium">
        <color auto="1"/>
      </top>
      <bottom style="medium">
        <color auto="1"/>
      </bottom>
      <diagonal/>
    </border>
    <border>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style="medium">
        <color auto="1"/>
      </right>
      <top/>
      <bottom/>
      <diagonal/>
    </border>
    <border>
      <left/>
      <right style="thin">
        <color auto="1"/>
      </right>
      <top/>
      <bottom/>
      <diagonal/>
    </border>
    <border>
      <left/>
      <right style="thin">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indexed="22"/>
      </left>
      <right style="thin">
        <color indexed="22"/>
      </right>
      <top style="thin">
        <color indexed="22"/>
      </top>
      <bottom style="thin">
        <color indexed="22"/>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indexed="22"/>
      </left>
      <right style="medium">
        <color indexed="22"/>
      </right>
      <top style="medium">
        <color indexed="22"/>
      </top>
      <bottom style="medium">
        <color indexed="22"/>
      </bottom>
      <diagonal/>
    </border>
    <border>
      <left style="medium">
        <color auto="1"/>
      </left>
      <right/>
      <top/>
      <bottom/>
      <diagonal/>
    </border>
    <border>
      <left/>
      <right/>
      <top style="medium">
        <color auto="1"/>
      </top>
      <bottom/>
      <diagonal/>
    </border>
    <border>
      <left/>
      <right style="medium">
        <color auto="1"/>
      </right>
      <top/>
      <bottom style="medium">
        <color auto="1"/>
      </bottom>
      <diagonal/>
    </border>
    <border>
      <left/>
      <right style="thin">
        <color auto="1"/>
      </right>
      <top style="thin">
        <color auto="1"/>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style="medium">
        <color auto="1"/>
      </left>
      <right style="thin">
        <color auto="1"/>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medium">
        <color auto="1"/>
      </left>
      <right style="thin">
        <color auto="1"/>
      </right>
      <top style="hair">
        <color auto="1"/>
      </top>
      <bottom style="thin">
        <color auto="1"/>
      </bottom>
      <diagonal/>
    </border>
    <border>
      <left/>
      <right/>
      <top style="hair">
        <color auto="1"/>
      </top>
      <bottom/>
      <diagonal/>
    </border>
    <border>
      <left style="thin">
        <color auto="1"/>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medium">
        <color auto="1"/>
      </left>
      <right/>
      <top style="thin">
        <color auto="1"/>
      </top>
      <bottom style="thin">
        <color auto="1"/>
      </bottom>
      <diagonal/>
    </border>
    <border>
      <left style="medium">
        <color auto="1"/>
      </left>
      <right/>
      <top/>
      <bottom style="hair">
        <color auto="1"/>
      </bottom>
      <diagonal/>
    </border>
    <border>
      <left style="thin">
        <color auto="1"/>
      </left>
      <right style="thin">
        <color auto="1"/>
      </right>
      <top style="thin">
        <color auto="1"/>
      </top>
      <bottom style="hair">
        <color auto="1"/>
      </bottom>
      <diagonal/>
    </border>
    <border>
      <left/>
      <right/>
      <top/>
      <bottom style="hair">
        <color auto="1"/>
      </bottom>
      <diagonal/>
    </border>
    <border>
      <left style="medium">
        <color auto="1"/>
      </left>
      <right/>
      <top style="hair">
        <color auto="1"/>
      </top>
      <bottom style="hair">
        <color auto="1"/>
      </bottom>
      <diagonal/>
    </border>
    <border>
      <left style="medium">
        <color auto="1"/>
      </left>
      <right/>
      <top style="hair">
        <color auto="1"/>
      </top>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hair">
        <color auto="1"/>
      </top>
      <bottom/>
      <diagonal/>
    </border>
    <border>
      <left style="medium">
        <color auto="1"/>
      </left>
      <right style="thin">
        <color auto="1"/>
      </right>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medium">
        <color auto="1"/>
      </left>
      <right style="thin">
        <color auto="1"/>
      </right>
      <top style="hair">
        <color auto="1"/>
      </top>
      <bottom/>
      <diagonal/>
    </border>
    <border>
      <left/>
      <right style="thin">
        <color auto="1"/>
      </right>
      <top style="hair">
        <color auto="1"/>
      </top>
      <bottom/>
      <diagonal/>
    </border>
    <border>
      <left style="thin">
        <color auto="1"/>
      </left>
      <right/>
      <top style="hair">
        <color auto="1"/>
      </top>
      <bottom/>
      <diagonal/>
    </border>
    <border>
      <left style="medium">
        <color auto="1"/>
      </left>
      <right style="thin">
        <color auto="1"/>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medium">
        <color auto="1"/>
      </bottom>
      <diagonal/>
    </border>
    <border>
      <left style="thin">
        <color auto="1"/>
      </left>
      <right/>
      <top/>
      <bottom style="hair">
        <color auto="1"/>
      </bottom>
      <diagonal/>
    </border>
    <border>
      <left/>
      <right/>
      <top style="hair">
        <color auto="1"/>
      </top>
      <bottom style="thin">
        <color auto="1"/>
      </bottom>
      <diagonal/>
    </border>
    <border>
      <left/>
      <right/>
      <top style="thin">
        <color auto="1"/>
      </top>
      <bottom style="hair">
        <color auto="1"/>
      </bottom>
      <diagonal/>
    </border>
    <border>
      <left style="thin">
        <color auto="1"/>
      </left>
      <right/>
      <top/>
      <bottom style="medium">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medium">
        <color auto="1"/>
      </right>
      <top/>
      <bottom/>
      <diagonal/>
    </border>
    <border>
      <left/>
      <right style="medium">
        <color auto="1"/>
      </right>
      <top style="hair">
        <color auto="1"/>
      </top>
      <bottom style="hair">
        <color auto="1"/>
      </bottom>
      <diagonal/>
    </border>
    <border>
      <left/>
      <right style="medium">
        <color auto="1"/>
      </right>
      <top style="thin">
        <color auto="1"/>
      </top>
      <bottom style="thin">
        <color auto="1"/>
      </bottom>
      <diagonal/>
    </border>
    <border>
      <left/>
      <right style="medium">
        <color auto="1"/>
      </right>
      <top/>
      <bottom style="hair">
        <color auto="1"/>
      </bottom>
      <diagonal/>
    </border>
    <border>
      <left/>
      <right style="medium">
        <color auto="1"/>
      </right>
      <top style="thin">
        <color auto="1"/>
      </top>
      <bottom style="hair">
        <color auto="1"/>
      </bottom>
      <diagonal/>
    </border>
    <border>
      <left/>
      <right style="medium">
        <color auto="1"/>
      </right>
      <top/>
      <bottom style="thin">
        <color auto="1"/>
      </bottom>
      <diagonal/>
    </border>
    <border>
      <left/>
      <right style="medium">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auto="1"/>
      </left>
      <right style="thin">
        <color auto="1"/>
      </right>
      <top/>
      <bottom/>
      <diagonal/>
    </border>
    <border>
      <left/>
      <right style="medium">
        <color auto="1"/>
      </right>
      <top style="hair">
        <color auto="1"/>
      </top>
      <bottom style="thin">
        <color auto="1"/>
      </bottom>
      <diagonal/>
    </border>
    <border>
      <left style="double">
        <color auto="1"/>
      </left>
      <right style="double">
        <color auto="1"/>
      </right>
      <top style="double">
        <color auto="1"/>
      </top>
      <bottom style="double">
        <color auto="1"/>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hair">
        <color auto="1"/>
      </top>
      <bottom/>
      <diagonal/>
    </border>
    <border>
      <left style="medium">
        <color auto="1"/>
      </left>
      <right/>
      <top style="thin">
        <color auto="1"/>
      </top>
      <bottom style="medium">
        <color auto="1"/>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auto="1"/>
      </bottom>
      <diagonal/>
    </border>
    <border>
      <left/>
      <right style="thick">
        <color indexed="64"/>
      </right>
      <top style="medium">
        <color auto="1"/>
      </top>
      <bottom style="medium">
        <color auto="1"/>
      </bottom>
      <diagonal/>
    </border>
    <border>
      <left style="thin">
        <color auto="1"/>
      </left>
      <right style="thick">
        <color indexed="64"/>
      </right>
      <top style="medium">
        <color auto="1"/>
      </top>
      <bottom style="medium">
        <color auto="1"/>
      </bottom>
      <diagonal/>
    </border>
    <border>
      <left style="thin">
        <color indexed="64"/>
      </left>
      <right style="thick">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auto="1"/>
      </top>
      <bottom style="thin">
        <color auto="1"/>
      </bottom>
      <diagonal/>
    </border>
    <border>
      <left style="thin">
        <color indexed="64"/>
      </left>
      <right/>
      <top style="thin">
        <color indexed="64"/>
      </top>
      <bottom style="thin">
        <color auto="1"/>
      </bottom>
      <diagonal/>
    </border>
  </borders>
  <cellStyleXfs count="437">
    <xf numFmtId="0" fontId="0" fillId="0" borderId="0"/>
    <xf numFmtId="44" fontId="6" fillId="0" borderId="0" applyFont="0" applyFill="0" applyBorder="0" applyAlignment="0" applyProtection="0"/>
    <xf numFmtId="0" fontId="13" fillId="0" borderId="0"/>
    <xf numFmtId="0" fontId="16" fillId="0" borderId="0"/>
    <xf numFmtId="9" fontId="16" fillId="0" borderId="0" applyFont="0" applyFill="0" applyBorder="0" applyAlignment="0" applyProtection="0"/>
    <xf numFmtId="44" fontId="13" fillId="0" borderId="0" applyFont="0" applyFill="0" applyBorder="0" applyAlignment="0" applyProtection="0"/>
    <xf numFmtId="0" fontId="13" fillId="0" borderId="0"/>
    <xf numFmtId="43" fontId="6" fillId="0" borderId="0" applyFont="0" applyFill="0" applyBorder="0" applyAlignment="0" applyProtection="0"/>
    <xf numFmtId="9" fontId="6" fillId="0" borderId="0" applyFont="0" applyFill="0" applyBorder="0" applyAlignment="0" applyProtection="0"/>
    <xf numFmtId="0" fontId="2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9" fontId="30" fillId="0" borderId="0" applyFont="0" applyFill="0" applyBorder="0" applyAlignment="0" applyProtection="0"/>
    <xf numFmtId="0" fontId="45" fillId="0" borderId="0"/>
    <xf numFmtId="43" fontId="45" fillId="0" borderId="0" applyFont="0" applyFill="0" applyBorder="0" applyAlignment="0" applyProtection="0"/>
    <xf numFmtId="43" fontId="13" fillId="0" borderId="0" applyFont="0" applyFill="0" applyBorder="0" applyAlignment="0" applyProtection="0"/>
    <xf numFmtId="44" fontId="45" fillId="0" borderId="0" applyFont="0" applyFill="0" applyBorder="0" applyAlignment="0" applyProtection="0"/>
    <xf numFmtId="44" fontId="13" fillId="0" borderId="0" applyFont="0" applyFill="0" applyBorder="0" applyAlignment="0" applyProtection="0"/>
    <xf numFmtId="38" fontId="53" fillId="0" borderId="0"/>
    <xf numFmtId="9" fontId="45" fillId="0" borderId="0" applyFont="0" applyFill="0" applyBorder="0" applyAlignment="0" applyProtection="0"/>
    <xf numFmtId="9" fontId="13"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38" fontId="13" fillId="0" borderId="0"/>
    <xf numFmtId="43" fontId="16" fillId="0" borderId="0" applyFont="0" applyFill="0" applyBorder="0" applyAlignment="0" applyProtection="0"/>
    <xf numFmtId="44" fontId="13" fillId="0" borderId="0" applyFont="0" applyFill="0" applyBorder="0" applyAlignment="0" applyProtection="0"/>
    <xf numFmtId="0" fontId="13" fillId="0" borderId="0"/>
    <xf numFmtId="0" fontId="6" fillId="0" borderId="0"/>
    <xf numFmtId="0" fontId="66" fillId="0" borderId="0"/>
    <xf numFmtId="43" fontId="30" fillId="0" borderId="0" applyFont="0" applyFill="0" applyBorder="0" applyAlignment="0" applyProtection="0"/>
    <xf numFmtId="43" fontId="3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0" fillId="0" borderId="0" applyFont="0" applyFill="0" applyBorder="0" applyAlignment="0" applyProtection="0"/>
    <xf numFmtId="43" fontId="53"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3" fillId="0" borderId="0" applyFont="0" applyFill="0" applyBorder="0" applyAlignment="0" applyProtection="0"/>
    <xf numFmtId="44" fontId="68" fillId="0" borderId="0" applyFont="0" applyFill="0" applyBorder="0" applyAlignment="0" applyProtection="0"/>
    <xf numFmtId="0" fontId="13" fillId="0" borderId="0"/>
    <xf numFmtId="0" fontId="13" fillId="0" borderId="0"/>
    <xf numFmtId="0" fontId="69" fillId="0" borderId="0"/>
    <xf numFmtId="0" fontId="69" fillId="0" borderId="0"/>
    <xf numFmtId="0" fontId="13" fillId="0" borderId="0"/>
    <xf numFmtId="0" fontId="13" fillId="0" borderId="0"/>
    <xf numFmtId="0" fontId="13" fillId="0" borderId="0"/>
    <xf numFmtId="0" fontId="13" fillId="0" borderId="0"/>
    <xf numFmtId="0" fontId="69" fillId="0" borderId="0"/>
    <xf numFmtId="0" fontId="68" fillId="0" borderId="0"/>
    <xf numFmtId="0" fontId="13" fillId="0" borderId="0"/>
    <xf numFmtId="0" fontId="13" fillId="0" borderId="0"/>
    <xf numFmtId="0" fontId="68" fillId="0" borderId="0"/>
    <xf numFmtId="0" fontId="69" fillId="0" borderId="0"/>
    <xf numFmtId="0" fontId="69" fillId="0" borderId="0"/>
    <xf numFmtId="0" fontId="13" fillId="0" borderId="0"/>
    <xf numFmtId="0" fontId="13" fillId="0" borderId="0"/>
    <xf numFmtId="0" fontId="13" fillId="0" borderId="0"/>
    <xf numFmtId="0" fontId="13" fillId="0" borderId="0"/>
    <xf numFmtId="0" fontId="69" fillId="0" borderId="0"/>
    <xf numFmtId="0" fontId="69" fillId="0" borderId="0"/>
    <xf numFmtId="0" fontId="13" fillId="0" borderId="0"/>
    <xf numFmtId="0" fontId="13" fillId="0" borderId="0"/>
    <xf numFmtId="0" fontId="5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87" fillId="0" borderId="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43" borderId="89" applyNumberFormat="0" applyAlignment="0" applyProtection="0"/>
    <xf numFmtId="0" fontId="90" fillId="43" borderId="89" applyNumberFormat="0" applyAlignment="0" applyProtection="0"/>
    <xf numFmtId="0" fontId="3" fillId="44" borderId="90" applyNumberFormat="0" applyAlignment="0" applyProtection="0"/>
    <xf numFmtId="0" fontId="3" fillId="44" borderId="90" applyNumberFormat="0" applyAlignment="0" applyProtection="0"/>
    <xf numFmtId="44" fontId="87" fillId="0" borderId="0" applyFont="0" applyFill="0" applyBorder="0" applyAlignment="0" applyProtection="0"/>
    <xf numFmtId="44" fontId="87"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 fillId="27" borderId="0" applyNumberFormat="0" applyBorder="0" applyAlignment="0" applyProtection="0"/>
    <xf numFmtId="0" fontId="2" fillId="27" borderId="0" applyNumberFormat="0" applyBorder="0" applyAlignment="0" applyProtection="0"/>
    <xf numFmtId="0" fontId="92" fillId="0" borderId="91" applyNumberFormat="0" applyFill="0" applyAlignment="0" applyProtection="0"/>
    <xf numFmtId="0" fontId="92" fillId="0" borderId="91" applyNumberFormat="0" applyFill="0" applyAlignment="0" applyProtection="0"/>
    <xf numFmtId="0" fontId="93" fillId="0" borderId="92" applyNumberFormat="0" applyFill="0" applyAlignment="0" applyProtection="0"/>
    <xf numFmtId="0" fontId="93" fillId="0" borderId="92" applyNumberFormat="0" applyFill="0" applyAlignment="0" applyProtection="0"/>
    <xf numFmtId="0" fontId="94" fillId="0" borderId="93" applyNumberFormat="0" applyFill="0" applyAlignment="0" applyProtection="0"/>
    <xf numFmtId="0" fontId="94" fillId="0" borderId="93"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5" fillId="30" borderId="89" applyNumberFormat="0" applyAlignment="0" applyProtection="0"/>
    <xf numFmtId="0" fontId="95" fillId="30" borderId="89" applyNumberFormat="0" applyAlignment="0" applyProtection="0"/>
    <xf numFmtId="0" fontId="96" fillId="0" borderId="94" applyNumberFormat="0" applyFill="0" applyAlignment="0" applyProtection="0"/>
    <xf numFmtId="0" fontId="96" fillId="0" borderId="94" applyNumberFormat="0" applyFill="0" applyAlignment="0" applyProtection="0"/>
    <xf numFmtId="0" fontId="97" fillId="45" borderId="0" applyNumberFormat="0" applyBorder="0" applyAlignment="0" applyProtection="0"/>
    <xf numFmtId="0" fontId="97" fillId="45" borderId="0" applyNumberFormat="0" applyBorder="0" applyAlignment="0" applyProtection="0"/>
    <xf numFmtId="0" fontId="87" fillId="0" borderId="0"/>
    <xf numFmtId="0" fontId="6" fillId="0" borderId="0"/>
    <xf numFmtId="0" fontId="53" fillId="0" borderId="0"/>
    <xf numFmtId="0" fontId="53" fillId="46" borderId="43" applyNumberFormat="0" applyFont="0" applyAlignment="0" applyProtection="0"/>
    <xf numFmtId="0" fontId="53" fillId="46" borderId="43" applyNumberFormat="0" applyFont="0" applyAlignment="0" applyProtection="0"/>
    <xf numFmtId="0" fontId="98" fillId="43" borderId="95" applyNumberFormat="0" applyAlignment="0" applyProtection="0"/>
    <xf numFmtId="0" fontId="98" fillId="43" borderId="95" applyNumberFormat="0" applyAlignment="0" applyProtection="0"/>
    <xf numFmtId="9" fontId="8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 fillId="0" borderId="96" applyNumberFormat="0" applyFill="0" applyAlignment="0" applyProtection="0"/>
    <xf numFmtId="0" fontId="5" fillId="0" borderId="96"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38" fillId="0" borderId="0" applyFont="0" applyFill="0" applyBorder="0" applyAlignment="0" applyProtection="0"/>
    <xf numFmtId="0" fontId="13" fillId="46" borderId="43" applyNumberFormat="0" applyFont="0" applyAlignment="0" applyProtection="0"/>
    <xf numFmtId="0" fontId="13" fillId="46" borderId="43" applyNumberFormat="0" applyFont="0" applyAlignment="0" applyProtection="0"/>
    <xf numFmtId="0" fontId="13" fillId="0" borderId="0"/>
    <xf numFmtId="0" fontId="13"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105" fillId="0" borderId="0"/>
    <xf numFmtId="0" fontId="107" fillId="0" borderId="0"/>
    <xf numFmtId="43" fontId="107" fillId="0" borderId="0" applyFont="0" applyFill="0" applyBorder="0" applyAlignment="0" applyProtection="0"/>
    <xf numFmtId="44" fontId="107" fillId="0" borderId="0" applyFont="0" applyFill="0" applyBorder="0" applyAlignment="0" applyProtection="0"/>
    <xf numFmtId="38" fontId="105" fillId="0" borderId="0"/>
    <xf numFmtId="9" fontId="107" fillId="0" borderId="0" applyFont="0" applyFill="0" applyBorder="0" applyAlignment="0" applyProtection="0"/>
    <xf numFmtId="44" fontId="105" fillId="0" borderId="0" applyFont="0" applyFill="0" applyBorder="0" applyAlignment="0" applyProtection="0"/>
    <xf numFmtId="9" fontId="105" fillId="0" borderId="0" applyFont="0" applyFill="0" applyBorder="0" applyAlignment="0" applyProtection="0"/>
    <xf numFmtId="0" fontId="16" fillId="0" borderId="0"/>
    <xf numFmtId="0" fontId="105" fillId="0" borderId="0"/>
    <xf numFmtId="0" fontId="113" fillId="0" borderId="0"/>
    <xf numFmtId="43" fontId="113" fillId="0" borderId="0" applyFont="0" applyFill="0" applyBorder="0" applyAlignment="0" applyProtection="0"/>
    <xf numFmtId="44" fontId="113" fillId="0" borderId="0" applyFont="0" applyFill="0" applyBorder="0" applyAlignment="0" applyProtection="0"/>
    <xf numFmtId="0" fontId="115" fillId="0" borderId="0"/>
    <xf numFmtId="9" fontId="113" fillId="0" borderId="0" applyFont="0" applyFill="0" applyBorder="0" applyAlignment="0" applyProtection="0"/>
    <xf numFmtId="0" fontId="3" fillId="44" borderId="115" applyNumberFormat="0" applyAlignment="0" applyProtection="0"/>
    <xf numFmtId="0" fontId="3" fillId="44" borderId="115" applyNumberFormat="0" applyAlignment="0" applyProtection="0"/>
    <xf numFmtId="0" fontId="3" fillId="44" borderId="116" applyNumberFormat="0" applyAlignment="0" applyProtection="0"/>
    <xf numFmtId="43" fontId="1" fillId="0" borderId="0" applyFont="0" applyFill="0" applyBorder="0" applyAlignment="0" applyProtection="0"/>
    <xf numFmtId="43" fontId="16"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0" fontId="3" fillId="44" borderId="117" applyNumberFormat="0" applyAlignment="0" applyProtection="0"/>
    <xf numFmtId="0" fontId="38" fillId="0" borderId="0"/>
    <xf numFmtId="0" fontId="13" fillId="0" borderId="0"/>
    <xf numFmtId="0" fontId="38" fillId="0" borderId="0"/>
    <xf numFmtId="0" fontId="16" fillId="0" borderId="0"/>
    <xf numFmtId="0" fontId="13" fillId="46" borderId="43" applyNumberFormat="0" applyFont="0" applyAlignment="0" applyProtection="0"/>
    <xf numFmtId="9" fontId="1" fillId="0" borderId="0" applyFont="0" applyFill="0" applyBorder="0" applyAlignment="0" applyProtection="0"/>
    <xf numFmtId="9" fontId="16" fillId="0" borderId="0" applyFont="0" applyFill="0" applyBorder="0" applyAlignment="0" applyProtection="0"/>
    <xf numFmtId="9" fontId="38" fillId="0" borderId="0" applyFont="0" applyFill="0" applyBorder="0" applyAlignment="0" applyProtection="0"/>
    <xf numFmtId="9" fontId="16" fillId="0" borderId="0" applyFont="0" applyFill="0" applyBorder="0" applyAlignment="0" applyProtection="0"/>
    <xf numFmtId="9" fontId="13" fillId="0" borderId="0" applyFont="0" applyFill="0" applyBorder="0" applyAlignment="0" applyProtection="0"/>
    <xf numFmtId="0" fontId="3" fillId="44" borderId="116" applyNumberFormat="0" applyAlignment="0" applyProtection="0"/>
    <xf numFmtId="0" fontId="3" fillId="44" borderId="117" applyNumberFormat="0" applyAlignment="0" applyProtection="0"/>
    <xf numFmtId="0" fontId="136" fillId="0" borderId="0" applyNumberFormat="0" applyFill="0" applyBorder="0" applyAlignment="0" applyProtection="0">
      <alignment vertical="top"/>
      <protection locked="0"/>
    </xf>
    <xf numFmtId="0" fontId="13" fillId="0" borderId="0"/>
    <xf numFmtId="0" fontId="3" fillId="44" borderId="132" applyNumberFormat="0" applyAlignment="0" applyProtection="0"/>
    <xf numFmtId="0" fontId="3" fillId="44" borderId="132" applyNumberFormat="0" applyAlignment="0" applyProtection="0"/>
    <xf numFmtId="0" fontId="3" fillId="44" borderId="132" applyNumberFormat="0" applyAlignment="0" applyProtection="0"/>
    <xf numFmtId="0" fontId="3" fillId="44" borderId="132" applyNumberFormat="0" applyAlignment="0" applyProtection="0"/>
    <xf numFmtId="0" fontId="3" fillId="44" borderId="132" applyNumberFormat="0" applyAlignment="0" applyProtection="0"/>
    <xf numFmtId="0" fontId="3" fillId="44" borderId="132" applyNumberFormat="0" applyAlignment="0" applyProtection="0"/>
    <xf numFmtId="0" fontId="90" fillId="43" borderId="126" applyNumberFormat="0" applyAlignment="0" applyProtection="0"/>
    <xf numFmtId="0" fontId="90" fillId="43" borderId="126" applyNumberFormat="0" applyAlignment="0" applyProtection="0"/>
    <xf numFmtId="0" fontId="95" fillId="30" borderId="126" applyNumberFormat="0" applyAlignment="0" applyProtection="0"/>
    <xf numFmtId="0" fontId="95" fillId="30" borderId="126" applyNumberFormat="0" applyAlignment="0" applyProtection="0"/>
    <xf numFmtId="0" fontId="13" fillId="46" borderId="125" applyNumberFormat="0" applyFont="0" applyAlignment="0" applyProtection="0"/>
    <xf numFmtId="0" fontId="13" fillId="46" borderId="125" applyNumberFormat="0" applyFont="0" applyAlignment="0" applyProtection="0"/>
    <xf numFmtId="0" fontId="98" fillId="43" borderId="127" applyNumberFormat="0" applyAlignment="0" applyProtection="0"/>
    <xf numFmtId="0" fontId="98" fillId="43" borderId="127" applyNumberFormat="0" applyAlignment="0" applyProtection="0"/>
    <xf numFmtId="0" fontId="5" fillId="0" borderId="128" applyNumberFormat="0" applyFill="0" applyAlignment="0" applyProtection="0"/>
    <xf numFmtId="0" fontId="5" fillId="0" borderId="128" applyNumberFormat="0" applyFill="0" applyAlignment="0" applyProtection="0"/>
    <xf numFmtId="0" fontId="13" fillId="46" borderId="125" applyNumberFormat="0" applyFont="0" applyAlignment="0" applyProtection="0"/>
    <xf numFmtId="0" fontId="13" fillId="46" borderId="125" applyNumberFormat="0" applyFont="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3" fillId="44" borderId="117" applyNumberFormat="0" applyAlignment="0" applyProtection="0"/>
    <xf numFmtId="0" fontId="3" fillId="44" borderId="117" applyNumberFormat="0" applyAlignment="0" applyProtection="0"/>
    <xf numFmtId="0" fontId="3" fillId="44" borderId="117" applyNumberFormat="0" applyAlignment="0" applyProtection="0"/>
    <xf numFmtId="0" fontId="13" fillId="46" borderId="125" applyNumberFormat="0" applyFont="0" applyAlignment="0" applyProtection="0"/>
    <xf numFmtId="0" fontId="3" fillId="44" borderId="117"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13" borderId="0" applyNumberFormat="0" applyAlignment="0">
      <alignment horizontal="right"/>
    </xf>
    <xf numFmtId="0" fontId="13" fillId="13" borderId="0" applyNumberFormat="0" applyAlignment="0">
      <alignment horizontal="right"/>
    </xf>
    <xf numFmtId="0" fontId="13" fillId="6" borderId="0" applyNumberFormat="0" applyAlignment="0"/>
    <xf numFmtId="0" fontId="13" fillId="6" borderId="0" applyNumberFormat="0" applyAlignment="0"/>
    <xf numFmtId="190" fontId="151" fillId="0" borderId="0"/>
    <xf numFmtId="0" fontId="152" fillId="0" borderId="0">
      <alignment horizontal="center" wrapText="1"/>
    </xf>
    <xf numFmtId="0" fontId="94" fillId="0" borderId="146" applyNumberFormat="0" applyFill="0" applyAlignment="0" applyProtection="0"/>
    <xf numFmtId="0" fontId="94" fillId="0" borderId="146" applyNumberFormat="0" applyFill="0" applyAlignment="0" applyProtection="0"/>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30" fillId="0" borderId="0"/>
    <xf numFmtId="0" fontId="66" fillId="0" borderId="0"/>
    <xf numFmtId="0" fontId="13" fillId="0" borderId="0"/>
    <xf numFmtId="0" fontId="13"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6" fillId="0" borderId="0"/>
    <xf numFmtId="0" fontId="13" fillId="0" borderId="0">
      <alignment readingOrder="1"/>
    </xf>
    <xf numFmtId="0" fontId="13" fillId="0" borderId="0">
      <alignment readingOrder="1"/>
    </xf>
    <xf numFmtId="0" fontId="13" fillId="0" borderId="0"/>
    <xf numFmtId="0" fontId="13" fillId="0" borderId="0"/>
    <xf numFmtId="0" fontId="69" fillId="0" borderId="0"/>
    <xf numFmtId="0" fontId="13" fillId="0" borderId="0"/>
    <xf numFmtId="0" fontId="13" fillId="0" borderId="0"/>
    <xf numFmtId="0" fontId="149" fillId="0" borderId="0"/>
    <xf numFmtId="0" fontId="69" fillId="0" borderId="0"/>
    <xf numFmtId="0" fontId="6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9" fillId="0" borderId="0"/>
    <xf numFmtId="0" fontId="149" fillId="0" borderId="0"/>
    <xf numFmtId="0" fontId="69" fillId="0" borderId="0"/>
    <xf numFmtId="0" fontId="69" fillId="0" borderId="0"/>
    <xf numFmtId="0" fontId="69" fillId="0" borderId="0"/>
    <xf numFmtId="0" fontId="69" fillId="0" borderId="0"/>
    <xf numFmtId="0" fontId="149" fillId="0" borderId="0"/>
    <xf numFmtId="0" fontId="13" fillId="0" borderId="0"/>
    <xf numFmtId="0" fontId="13" fillId="0" borderId="0"/>
    <xf numFmtId="0" fontId="69" fillId="0" borderId="0"/>
    <xf numFmtId="0" fontId="69" fillId="0" borderId="0"/>
    <xf numFmtId="0" fontId="13" fillId="0" borderId="0"/>
    <xf numFmtId="0" fontId="13" fillId="0" borderId="0"/>
    <xf numFmtId="0" fontId="149" fillId="0" borderId="0"/>
    <xf numFmtId="0" fontId="149" fillId="0" borderId="0"/>
    <xf numFmtId="0" fontId="69" fillId="0" borderId="0"/>
    <xf numFmtId="0" fontId="69" fillId="0" borderId="0"/>
    <xf numFmtId="0" fontId="69" fillId="0" borderId="0"/>
    <xf numFmtId="0" fontId="69" fillId="0" borderId="0"/>
    <xf numFmtId="0" fontId="149" fillId="0" borderId="0"/>
    <xf numFmtId="0" fontId="1" fillId="0" borderId="0"/>
    <xf numFmtId="0" fontId="6" fillId="0" borderId="0"/>
    <xf numFmtId="0" fontId="16" fillId="0" borderId="0"/>
    <xf numFmtId="0" fontId="68" fillId="0" borderId="0"/>
    <xf numFmtId="0" fontId="13" fillId="0" borderId="0"/>
    <xf numFmtId="0" fontId="149" fillId="0" borderId="0"/>
    <xf numFmtId="0" fontId="149" fillId="0" borderId="0"/>
    <xf numFmtId="0" fontId="69" fillId="0" borderId="0"/>
    <xf numFmtId="0" fontId="69" fillId="0" borderId="0"/>
    <xf numFmtId="0" fontId="69" fillId="0" borderId="0"/>
    <xf numFmtId="0" fontId="69" fillId="0" borderId="0"/>
    <xf numFmtId="0" fontId="149" fillId="0" borderId="0"/>
    <xf numFmtId="0" fontId="149" fillId="0" borderId="0"/>
    <xf numFmtId="0" fontId="69" fillId="0" borderId="0"/>
    <xf numFmtId="0" fontId="69" fillId="0" borderId="0"/>
    <xf numFmtId="0" fontId="69" fillId="0" borderId="0"/>
    <xf numFmtId="0" fontId="149" fillId="0" borderId="0"/>
    <xf numFmtId="0" fontId="13" fillId="0" borderId="0"/>
    <xf numFmtId="0" fontId="13" fillId="0" borderId="0"/>
    <xf numFmtId="0" fontId="13" fillId="0" borderId="0"/>
    <xf numFmtId="0" fontId="13" fillId="0" borderId="0"/>
    <xf numFmtId="0" fontId="149" fillId="0" borderId="0"/>
    <xf numFmtId="0" fontId="149" fillId="0" borderId="0"/>
    <xf numFmtId="0" fontId="69" fillId="0" borderId="0"/>
    <xf numFmtId="0" fontId="69" fillId="0" borderId="0"/>
    <xf numFmtId="0" fontId="69" fillId="0" borderId="0"/>
    <xf numFmtId="0" fontId="69" fillId="0" borderId="0"/>
    <xf numFmtId="0" fontId="149" fillId="0" borderId="0"/>
    <xf numFmtId="0" fontId="149" fillId="0" borderId="0"/>
    <xf numFmtId="0" fontId="69" fillId="0" borderId="0"/>
    <xf numFmtId="0" fontId="69" fillId="0" borderId="0"/>
    <xf numFmtId="0" fontId="69" fillId="0" borderId="0"/>
    <xf numFmtId="0" fontId="149" fillId="0" borderId="0"/>
    <xf numFmtId="0" fontId="1" fillId="0" borderId="0"/>
    <xf numFmtId="0" fontId="6" fillId="0" borderId="0"/>
    <xf numFmtId="0" fontId="149" fillId="0" borderId="0"/>
    <xf numFmtId="0" fontId="149" fillId="0" borderId="0"/>
    <xf numFmtId="0" fontId="69" fillId="0" borderId="0"/>
    <xf numFmtId="0" fontId="69" fillId="0" borderId="0"/>
    <xf numFmtId="0" fontId="69" fillId="0" borderId="0"/>
    <xf numFmtId="0" fontId="69" fillId="0" borderId="0"/>
    <xf numFmtId="0" fontId="149" fillId="0" borderId="0"/>
    <xf numFmtId="0" fontId="149" fillId="0" borderId="0"/>
    <xf numFmtId="0" fontId="69" fillId="0" borderId="0"/>
    <xf numFmtId="0" fontId="69" fillId="0" borderId="0"/>
    <xf numFmtId="0" fontId="69" fillId="0" borderId="0"/>
    <xf numFmtId="0" fontId="149" fillId="0" borderId="0"/>
    <xf numFmtId="0" fontId="149" fillId="0" borderId="0"/>
    <xf numFmtId="0" fontId="69" fillId="0" borderId="0"/>
    <xf numFmtId="0" fontId="69" fillId="0" borderId="0"/>
    <xf numFmtId="0" fontId="69" fillId="0" borderId="0"/>
    <xf numFmtId="0" fontId="1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 fillId="0" borderId="0"/>
    <xf numFmtId="0" fontId="13" fillId="0" borderId="0"/>
    <xf numFmtId="0" fontId="16" fillId="0" borderId="0"/>
    <xf numFmtId="0" fontId="13" fillId="0" borderId="0"/>
    <xf numFmtId="0" fontId="13" fillId="0" borderId="0"/>
    <xf numFmtId="0" fontId="16" fillId="0" borderId="0"/>
    <xf numFmtId="0" fontId="16" fillId="0" borderId="0"/>
    <xf numFmtId="0" fontId="165" fillId="0" borderId="0"/>
    <xf numFmtId="0" fontId="16" fillId="0" borderId="0"/>
    <xf numFmtId="0" fontId="3" fillId="44" borderId="172" applyNumberFormat="0" applyAlignment="0" applyProtection="0"/>
    <xf numFmtId="0" fontId="3" fillId="44" borderId="172" applyNumberFormat="0" applyAlignment="0" applyProtection="0"/>
    <xf numFmtId="0" fontId="3" fillId="44" borderId="172" applyNumberFormat="0" applyAlignment="0" applyProtection="0"/>
    <xf numFmtId="0" fontId="3" fillId="44" borderId="172" applyNumberFormat="0" applyAlignment="0" applyProtection="0"/>
    <xf numFmtId="0" fontId="3" fillId="44" borderId="172" applyNumberFormat="0" applyAlignment="0" applyProtection="0"/>
    <xf numFmtId="0" fontId="3" fillId="44" borderId="172" applyNumberFormat="0" applyAlignment="0" applyProtection="0"/>
    <xf numFmtId="0" fontId="16" fillId="0" borderId="0"/>
    <xf numFmtId="0" fontId="16" fillId="0" borderId="0"/>
  </cellStyleXfs>
  <cellXfs count="5201">
    <xf numFmtId="0" fontId="0" fillId="0" borderId="0" xfId="0"/>
    <xf numFmtId="0" fontId="8" fillId="0" borderId="0" xfId="0" applyFont="1"/>
    <xf numFmtId="0" fontId="0" fillId="0" borderId="0" xfId="0" applyAlignment="1">
      <alignment wrapText="1"/>
    </xf>
    <xf numFmtId="164" fontId="0" fillId="0" borderId="0" xfId="0" applyNumberFormat="1" applyAlignment="1">
      <alignment horizontal="center"/>
    </xf>
    <xf numFmtId="0" fontId="9" fillId="0" borderId="0" xfId="0" applyFont="1"/>
    <xf numFmtId="0" fontId="10" fillId="0" borderId="0" xfId="0" applyFont="1" applyAlignment="1">
      <alignment wrapText="1"/>
    </xf>
    <xf numFmtId="0" fontId="10" fillId="0" borderId="0" xfId="0" applyFont="1" applyAlignment="1">
      <alignment horizontal="right"/>
    </xf>
    <xf numFmtId="1" fontId="9" fillId="2" borderId="1" xfId="0" applyNumberFormat="1" applyFont="1" applyFill="1" applyBorder="1" applyAlignment="1">
      <alignment horizontal="center" vertical="center"/>
    </xf>
    <xf numFmtId="0" fontId="11" fillId="0" borderId="0" xfId="0" applyFont="1" applyAlignment="1">
      <alignment wrapText="1"/>
    </xf>
    <xf numFmtId="0" fontId="12" fillId="0" borderId="0" xfId="0" applyFont="1" applyAlignment="1"/>
    <xf numFmtId="0" fontId="14" fillId="0" borderId="0" xfId="2" applyFont="1" applyAlignment="1">
      <alignment horizontal="right" wrapText="1"/>
    </xf>
    <xf numFmtId="0" fontId="13" fillId="0" borderId="0" xfId="2"/>
    <xf numFmtId="0" fontId="13" fillId="0" borderId="0" xfId="2" applyAlignment="1">
      <alignment wrapText="1"/>
    </xf>
    <xf numFmtId="164" fontId="15" fillId="0" borderId="0" xfId="2" applyNumberFormat="1" applyFont="1" applyAlignment="1">
      <alignment horizontal="left"/>
    </xf>
    <xf numFmtId="0" fontId="3" fillId="3" borderId="2" xfId="2" applyFont="1" applyFill="1" applyBorder="1" applyAlignment="1">
      <alignment horizontal="center" vertical="center" wrapText="1"/>
    </xf>
    <xf numFmtId="164" fontId="3" fillId="3" borderId="2" xfId="2" applyNumberFormat="1" applyFont="1" applyFill="1" applyBorder="1" applyAlignment="1">
      <alignment horizontal="center" vertical="center" wrapText="1"/>
    </xf>
    <xf numFmtId="0" fontId="3" fillId="3" borderId="2" xfId="2" applyFont="1" applyFill="1" applyBorder="1" applyAlignment="1">
      <alignment vertical="center" wrapText="1"/>
    </xf>
    <xf numFmtId="0" fontId="3" fillId="3" borderId="3" xfId="2" applyFont="1" applyFill="1" applyBorder="1" applyAlignment="1">
      <alignment horizontal="center" vertical="center" wrapText="1"/>
    </xf>
    <xf numFmtId="0" fontId="3" fillId="3" borderId="0" xfId="3" applyFont="1" applyFill="1" applyBorder="1" applyAlignment="1">
      <alignment horizontal="center" vertical="center" wrapText="1"/>
    </xf>
    <xf numFmtId="0" fontId="0" fillId="0" borderId="0" xfId="0" applyAlignment="1">
      <alignment horizontal="center"/>
    </xf>
    <xf numFmtId="0" fontId="17" fillId="0" borderId="0" xfId="2" applyFont="1" applyFill="1" applyAlignment="1">
      <alignment horizontal="right" wrapText="1"/>
    </xf>
    <xf numFmtId="0" fontId="1" fillId="0" borderId="0" xfId="2" applyFont="1" applyFill="1"/>
    <xf numFmtId="0" fontId="18" fillId="0" borderId="0" xfId="2" applyFont="1" applyFill="1" applyAlignment="1">
      <alignment horizontal="right"/>
    </xf>
    <xf numFmtId="165" fontId="5" fillId="0" borderId="2" xfId="1" applyNumberFormat="1" applyFont="1" applyFill="1" applyBorder="1" applyAlignment="1">
      <alignment horizontal="center" vertical="center" wrapText="1"/>
    </xf>
    <xf numFmtId="165" fontId="5" fillId="0" borderId="2" xfId="1" applyNumberFormat="1" applyFont="1" applyFill="1" applyBorder="1" applyAlignment="1">
      <alignment vertical="center" wrapText="1"/>
    </xf>
    <xf numFmtId="165" fontId="5" fillId="0" borderId="4" xfId="1" applyNumberFormat="1" applyFont="1" applyFill="1" applyBorder="1" applyAlignment="1">
      <alignment horizontal="center" vertical="center" wrapText="1"/>
    </xf>
    <xf numFmtId="0" fontId="19" fillId="0" borderId="5" xfId="3" applyFont="1" applyFill="1" applyBorder="1"/>
    <xf numFmtId="0" fontId="1" fillId="0" borderId="0" xfId="0" applyFont="1" applyFill="1" applyAlignment="1">
      <alignment horizontal="center"/>
    </xf>
    <xf numFmtId="164" fontId="13" fillId="0" borderId="0" xfId="2" applyNumberFormat="1" applyAlignment="1">
      <alignment horizontal="center"/>
    </xf>
    <xf numFmtId="164" fontId="13" fillId="0" borderId="6" xfId="2" applyNumberFormat="1" applyBorder="1" applyAlignment="1">
      <alignment horizontal="center"/>
    </xf>
    <xf numFmtId="166" fontId="16" fillId="0" borderId="5" xfId="4" applyNumberFormat="1" applyFont="1" applyFill="1" applyBorder="1"/>
    <xf numFmtId="165" fontId="5" fillId="0" borderId="7" xfId="1" applyNumberFormat="1" applyFont="1" applyFill="1" applyBorder="1" applyAlignment="1">
      <alignment horizontal="center" vertical="center" wrapText="1"/>
    </xf>
    <xf numFmtId="165" fontId="5" fillId="0" borderId="7" xfId="1" applyNumberFormat="1" applyFont="1" applyFill="1" applyBorder="1" applyAlignment="1">
      <alignment vertical="center" wrapText="1"/>
    </xf>
    <xf numFmtId="165" fontId="5" fillId="0" borderId="8" xfId="1" applyNumberFormat="1" applyFont="1" applyFill="1" applyBorder="1" applyAlignment="1">
      <alignment horizontal="center" vertical="center" wrapText="1"/>
    </xf>
    <xf numFmtId="0" fontId="1" fillId="0" borderId="0" xfId="0" applyFont="1" applyFill="1"/>
    <xf numFmtId="165" fontId="5" fillId="0" borderId="6" xfId="1" applyNumberFormat="1" applyFont="1" applyFill="1" applyBorder="1" applyAlignment="1">
      <alignment horizontal="center" vertical="center" wrapText="1"/>
    </xf>
    <xf numFmtId="0" fontId="13" fillId="0" borderId="0" xfId="2" applyAlignment="1">
      <alignment horizontal="center"/>
    </xf>
    <xf numFmtId="164" fontId="20" fillId="4" borderId="7" xfId="2" applyNumberFormat="1" applyFont="1" applyFill="1" applyBorder="1" applyAlignment="1">
      <alignment horizontal="center"/>
    </xf>
    <xf numFmtId="164" fontId="20" fillId="4" borderId="9" xfId="2" applyNumberFormat="1" applyFont="1" applyFill="1" applyBorder="1" applyAlignment="1">
      <alignment horizontal="center"/>
    </xf>
    <xf numFmtId="0" fontId="14" fillId="0" borderId="0" xfId="2" applyFont="1" applyFill="1" applyAlignment="1">
      <alignment horizontal="right" wrapText="1"/>
    </xf>
    <xf numFmtId="0" fontId="18" fillId="0" borderId="0" xfId="2" applyFont="1" applyFill="1" applyBorder="1" applyAlignment="1">
      <alignment horizontal="left"/>
    </xf>
    <xf numFmtId="0" fontId="21" fillId="0" borderId="0" xfId="2" applyFont="1" applyFill="1" applyBorder="1" applyAlignment="1">
      <alignment horizontal="center"/>
    </xf>
    <xf numFmtId="0" fontId="13" fillId="0" borderId="0" xfId="2" applyFill="1"/>
    <xf numFmtId="0" fontId="21" fillId="0" borderId="0" xfId="0" applyFont="1" applyAlignment="1">
      <alignment horizontal="center" wrapText="1"/>
    </xf>
    <xf numFmtId="164" fontId="21" fillId="0" borderId="0" xfId="0" applyNumberFormat="1" applyFont="1" applyAlignment="1">
      <alignment horizontal="center"/>
    </xf>
    <xf numFmtId="167" fontId="21" fillId="0" borderId="0" xfId="5" applyNumberFormat="1" applyFont="1" applyAlignment="1">
      <alignment horizontal="center"/>
    </xf>
    <xf numFmtId="0" fontId="14" fillId="0" borderId="0" xfId="2" applyFont="1" applyAlignment="1">
      <alignment horizontal="center" wrapText="1"/>
    </xf>
    <xf numFmtId="164" fontId="22" fillId="0" borderId="0" xfId="0" applyNumberFormat="1" applyFont="1" applyBorder="1" applyAlignment="1">
      <alignment horizontal="center" wrapText="1"/>
    </xf>
    <xf numFmtId="0" fontId="3" fillId="3" borderId="7" xfId="2" applyFont="1" applyFill="1" applyBorder="1" applyAlignment="1">
      <alignment horizontal="center" vertical="center" wrapText="1"/>
    </xf>
    <xf numFmtId="0" fontId="13" fillId="4" borderId="0" xfId="2" applyFill="1" applyAlignment="1">
      <alignment wrapText="1"/>
    </xf>
    <xf numFmtId="164" fontId="13" fillId="5" borderId="11" xfId="2" applyNumberFormat="1" applyFill="1" applyBorder="1" applyAlignment="1">
      <alignment horizontal="center"/>
    </xf>
    <xf numFmtId="0" fontId="13" fillId="4" borderId="7" xfId="2" applyFill="1" applyBorder="1"/>
    <xf numFmtId="164" fontId="0" fillId="6" borderId="12" xfId="0" applyNumberFormat="1" applyFill="1" applyBorder="1" applyAlignment="1">
      <alignment horizontal="center"/>
    </xf>
    <xf numFmtId="0" fontId="0" fillId="0" borderId="0" xfId="0" applyFill="1"/>
    <xf numFmtId="0" fontId="20" fillId="0" borderId="0" xfId="2" applyFont="1" applyAlignment="1">
      <alignment horizontal="center"/>
    </xf>
    <xf numFmtId="0" fontId="20" fillId="0" borderId="0" xfId="2" applyFont="1" applyAlignment="1">
      <alignment horizontal="center" wrapText="1"/>
    </xf>
    <xf numFmtId="0" fontId="2" fillId="0" borderId="0" xfId="2" applyFont="1"/>
    <xf numFmtId="165" fontId="13" fillId="0" borderId="0" xfId="1" applyNumberFormat="1" applyFont="1" applyAlignment="1">
      <alignment horizontal="center"/>
    </xf>
    <xf numFmtId="0" fontId="13" fillId="0" borderId="0" xfId="2" applyFont="1"/>
    <xf numFmtId="164" fontId="2" fillId="0" borderId="0" xfId="2" applyNumberFormat="1" applyFont="1" applyAlignment="1">
      <alignment horizontal="left"/>
    </xf>
    <xf numFmtId="165" fontId="13" fillId="0" borderId="0" xfId="1" applyNumberFormat="1" applyFont="1"/>
    <xf numFmtId="0" fontId="13" fillId="0" borderId="0" xfId="2" applyFont="1" applyAlignment="1">
      <alignment wrapText="1"/>
    </xf>
    <xf numFmtId="164" fontId="13" fillId="5" borderId="12" xfId="2" applyNumberFormat="1" applyFill="1" applyBorder="1" applyAlignment="1">
      <alignment horizontal="center"/>
    </xf>
    <xf numFmtId="0" fontId="3" fillId="4" borderId="7" xfId="2" applyFont="1" applyFill="1" applyBorder="1" applyAlignment="1">
      <alignment horizontal="center" vertical="center" wrapText="1"/>
    </xf>
    <xf numFmtId="0" fontId="13" fillId="0" borderId="0" xfId="2" applyFill="1" applyAlignment="1">
      <alignment horizontal="center" wrapText="1"/>
    </xf>
    <xf numFmtId="44" fontId="13" fillId="0" borderId="0" xfId="1" applyFont="1"/>
    <xf numFmtId="0" fontId="13" fillId="0" borderId="0" xfId="2" applyAlignment="1">
      <alignment horizontal="center" wrapText="1"/>
    </xf>
    <xf numFmtId="0" fontId="13" fillId="0" borderId="0" xfId="2" applyAlignment="1">
      <alignment horizontal="left"/>
    </xf>
    <xf numFmtId="164" fontId="20" fillId="6" borderId="12" xfId="0" applyNumberFormat="1" applyFont="1" applyFill="1" applyBorder="1" applyAlignment="1">
      <alignment horizontal="center"/>
    </xf>
    <xf numFmtId="0" fontId="14" fillId="0" borderId="0" xfId="0" applyFont="1" applyAlignment="1">
      <alignment horizontal="right" wrapText="1"/>
    </xf>
    <xf numFmtId="0" fontId="13" fillId="0" borderId="0" xfId="2" applyFont="1" applyAlignment="1">
      <alignment horizontal="center"/>
    </xf>
    <xf numFmtId="0" fontId="4" fillId="0" borderId="0" xfId="2" applyFont="1"/>
    <xf numFmtId="0" fontId="13" fillId="4" borderId="7" xfId="2" applyFill="1" applyBorder="1" applyAlignment="1">
      <alignment horizontal="center"/>
    </xf>
    <xf numFmtId="0" fontId="0" fillId="6" borderId="12" xfId="0" applyFill="1" applyBorder="1"/>
    <xf numFmtId="0" fontId="3" fillId="0" borderId="0" xfId="2" applyFont="1" applyFill="1" applyBorder="1" applyAlignment="1">
      <alignment horizontal="center" vertical="center" wrapText="1"/>
    </xf>
    <xf numFmtId="165" fontId="13" fillId="0" borderId="0" xfId="1" applyNumberFormat="1" applyFont="1" applyBorder="1"/>
    <xf numFmtId="0" fontId="14" fillId="0" borderId="0" xfId="2" applyFont="1" applyBorder="1" applyAlignment="1">
      <alignment horizontal="right" wrapText="1"/>
    </xf>
    <xf numFmtId="165" fontId="0" fillId="0" borderId="0" xfId="1" applyNumberFormat="1" applyFont="1"/>
    <xf numFmtId="165" fontId="0" fillId="0" borderId="0" xfId="1" applyNumberFormat="1" applyFont="1" applyAlignment="1">
      <alignment wrapText="1"/>
    </xf>
    <xf numFmtId="0" fontId="13" fillId="0" borderId="0" xfId="2" applyFill="1" applyAlignment="1">
      <alignment wrapText="1"/>
    </xf>
    <xf numFmtId="165" fontId="13" fillId="0" borderId="0" xfId="1" applyNumberFormat="1" applyFont="1" applyFill="1" applyBorder="1" applyAlignment="1">
      <alignment horizontal="center" vertical="center" wrapText="1"/>
    </xf>
    <xf numFmtId="0" fontId="13" fillId="0" borderId="0" xfId="2" applyFont="1" applyFill="1" applyAlignment="1">
      <alignment wrapText="1"/>
    </xf>
    <xf numFmtId="164" fontId="0" fillId="6" borderId="13" xfId="0" applyNumberFormat="1" applyFill="1" applyBorder="1" applyAlignment="1">
      <alignment horizontal="center"/>
    </xf>
    <xf numFmtId="0" fontId="0" fillId="0" borderId="0" xfId="0" applyAlignment="1">
      <alignment horizontal="right"/>
    </xf>
    <xf numFmtId="165" fontId="0" fillId="0" borderId="0" xfId="0" applyNumberFormat="1"/>
    <xf numFmtId="165" fontId="0" fillId="0" borderId="0" xfId="0" applyNumberFormat="1" applyAlignment="1">
      <alignment wrapText="1"/>
    </xf>
    <xf numFmtId="0" fontId="13" fillId="0" borderId="0" xfId="0" applyFont="1"/>
    <xf numFmtId="164" fontId="13" fillId="0" borderId="14" xfId="2" applyNumberFormat="1" applyBorder="1" applyAlignment="1">
      <alignment horizontal="center"/>
    </xf>
    <xf numFmtId="0" fontId="13" fillId="0" borderId="0" xfId="2" applyBorder="1"/>
    <xf numFmtId="164" fontId="13" fillId="6" borderId="12" xfId="2" applyNumberFormat="1" applyFill="1" applyBorder="1" applyAlignment="1">
      <alignment horizontal="center"/>
    </xf>
    <xf numFmtId="164" fontId="13" fillId="6" borderId="13" xfId="2" applyNumberFormat="1" applyFill="1" applyBorder="1" applyAlignment="1">
      <alignment horizontal="center"/>
    </xf>
    <xf numFmtId="164" fontId="13" fillId="5" borderId="0" xfId="2" applyNumberFormat="1" applyFill="1" applyBorder="1" applyAlignment="1">
      <alignment horizontal="center"/>
    </xf>
    <xf numFmtId="164" fontId="13" fillId="6" borderId="0" xfId="2" applyNumberFormat="1" applyFill="1" applyBorder="1" applyAlignment="1">
      <alignment horizontal="center"/>
    </xf>
    <xf numFmtId="0" fontId="1" fillId="0" borderId="0" xfId="0" applyFont="1"/>
    <xf numFmtId="0" fontId="13" fillId="0" borderId="0" xfId="2" applyFont="1" applyAlignment="1">
      <alignment horizontal="center" wrapText="1"/>
    </xf>
    <xf numFmtId="0" fontId="13" fillId="0" borderId="0" xfId="2" applyFont="1" applyFill="1" applyBorder="1" applyAlignment="1">
      <alignment horizontal="center" wrapText="1"/>
    </xf>
    <xf numFmtId="0" fontId="13" fillId="0" borderId="0" xfId="2" applyFont="1" applyFill="1" applyAlignment="1">
      <alignment horizontal="center" wrapText="1"/>
    </xf>
    <xf numFmtId="165" fontId="8" fillId="0" borderId="0" xfId="5" applyNumberFormat="1" applyFont="1"/>
    <xf numFmtId="165" fontId="21" fillId="0" borderId="0" xfId="5" applyNumberFormat="1" applyFont="1"/>
    <xf numFmtId="165" fontId="10" fillId="0" borderId="0" xfId="5" applyNumberFormat="1" applyFont="1" applyAlignment="1">
      <alignment wrapText="1"/>
    </xf>
    <xf numFmtId="165" fontId="4" fillId="0" borderId="0" xfId="5" applyNumberFormat="1" applyFont="1" applyAlignment="1">
      <alignment wrapText="1"/>
    </xf>
    <xf numFmtId="1" fontId="9" fillId="7" borderId="1" xfId="0" applyNumberFormat="1" applyFont="1" applyFill="1" applyBorder="1" applyAlignment="1">
      <alignment horizontal="center" vertical="center"/>
    </xf>
    <xf numFmtId="0" fontId="23" fillId="0" borderId="0" xfId="0" applyFont="1" applyAlignment="1"/>
    <xf numFmtId="165" fontId="0" fillId="0" borderId="0" xfId="5" applyNumberFormat="1" applyFont="1"/>
    <xf numFmtId="164" fontId="15" fillId="0" borderId="0" xfId="0" applyNumberFormat="1" applyFont="1" applyAlignment="1">
      <alignment horizontal="left"/>
    </xf>
    <xf numFmtId="0" fontId="3" fillId="3" borderId="2" xfId="0" applyFont="1" applyFill="1" applyBorder="1" applyAlignment="1">
      <alignment horizontal="center" vertical="center" wrapText="1"/>
    </xf>
    <xf numFmtId="164" fontId="3" fillId="3" borderId="2" xfId="0" applyNumberFormat="1" applyFont="1" applyFill="1" applyBorder="1" applyAlignment="1">
      <alignment horizontal="center" vertical="center" wrapText="1"/>
    </xf>
    <xf numFmtId="0" fontId="3" fillId="3" borderId="2" xfId="0" applyFont="1" applyFill="1" applyBorder="1" applyAlignment="1">
      <alignment vertical="center" wrapText="1"/>
    </xf>
    <xf numFmtId="0" fontId="3" fillId="3" borderId="3" xfId="0" applyFont="1" applyFill="1" applyBorder="1" applyAlignment="1">
      <alignment horizontal="center" vertical="center" wrapText="1"/>
    </xf>
    <xf numFmtId="0" fontId="14" fillId="0" borderId="0" xfId="0" applyFont="1" applyFill="1" applyAlignment="1">
      <alignment horizontal="right" wrapText="1"/>
    </xf>
    <xf numFmtId="165" fontId="0" fillId="0" borderId="0" xfId="5" applyNumberFormat="1" applyFont="1" applyFill="1"/>
    <xf numFmtId="0" fontId="18" fillId="0" borderId="0" xfId="0" applyFont="1" applyFill="1" applyAlignment="1">
      <alignment horizontal="right"/>
    </xf>
    <xf numFmtId="0" fontId="5" fillId="0" borderId="2" xfId="0" applyFont="1" applyFill="1" applyBorder="1" applyAlignment="1">
      <alignment horizontal="center" vertical="center" wrapText="1"/>
    </xf>
    <xf numFmtId="164" fontId="5" fillId="0" borderId="2" xfId="0" applyNumberFormat="1" applyFont="1" applyFill="1" applyBorder="1" applyAlignment="1">
      <alignment horizontal="center" vertical="center" wrapText="1"/>
    </xf>
    <xf numFmtId="0" fontId="5" fillId="0" borderId="2" xfId="0" applyFont="1" applyFill="1" applyBorder="1" applyAlignment="1">
      <alignment vertical="center" wrapText="1"/>
    </xf>
    <xf numFmtId="165" fontId="1" fillId="0" borderId="4" xfId="5" applyNumberFormat="1" applyFont="1" applyFill="1" applyBorder="1" applyAlignment="1">
      <alignment horizontal="center" vertical="center" wrapText="1"/>
    </xf>
    <xf numFmtId="164" fontId="1" fillId="0" borderId="0" xfId="2" applyNumberFormat="1" applyFont="1" applyAlignment="1">
      <alignment horizontal="center"/>
    </xf>
    <xf numFmtId="164" fontId="1" fillId="0" borderId="15" xfId="2" applyNumberFormat="1" applyFont="1" applyBorder="1" applyAlignment="1">
      <alignment horizontal="center"/>
    </xf>
    <xf numFmtId="165" fontId="5" fillId="0" borderId="7" xfId="5" applyNumberFormat="1" applyFont="1" applyFill="1" applyBorder="1" applyAlignment="1">
      <alignment horizontal="center" vertical="center" wrapText="1"/>
    </xf>
    <xf numFmtId="165" fontId="5" fillId="0" borderId="7" xfId="5" applyNumberFormat="1" applyFont="1" applyFill="1" applyBorder="1" applyAlignment="1">
      <alignment vertical="center" wrapText="1"/>
    </xf>
    <xf numFmtId="165" fontId="5" fillId="0" borderId="8" xfId="5" applyNumberFormat="1" applyFont="1" applyFill="1" applyBorder="1" applyAlignment="1">
      <alignment horizontal="center" vertical="center" wrapText="1"/>
    </xf>
    <xf numFmtId="165" fontId="5" fillId="0" borderId="6" xfId="5" applyNumberFormat="1" applyFont="1" applyFill="1" applyBorder="1" applyAlignment="1">
      <alignment horizontal="center" vertical="center" wrapText="1"/>
    </xf>
    <xf numFmtId="165" fontId="0" fillId="0" borderId="0" xfId="5" applyNumberFormat="1" applyFont="1" applyAlignment="1">
      <alignment horizontal="center"/>
    </xf>
    <xf numFmtId="0" fontId="13" fillId="0" borderId="0" xfId="0" applyFont="1" applyAlignment="1">
      <alignment horizontal="right"/>
    </xf>
    <xf numFmtId="165" fontId="20" fillId="4" borderId="7" xfId="5" applyNumberFormat="1" applyFont="1" applyFill="1" applyBorder="1" applyAlignment="1">
      <alignment horizontal="center"/>
    </xf>
    <xf numFmtId="165" fontId="20" fillId="4" borderId="8" xfId="5" applyNumberFormat="1" applyFont="1" applyFill="1" applyBorder="1" applyAlignment="1">
      <alignment horizontal="center"/>
    </xf>
    <xf numFmtId="165" fontId="20" fillId="4" borderId="9" xfId="5" applyNumberFormat="1" applyFont="1" applyFill="1" applyBorder="1" applyAlignment="1">
      <alignment horizontal="center"/>
    </xf>
    <xf numFmtId="165" fontId="18" fillId="0" borderId="0" xfId="5" applyNumberFormat="1" applyFont="1" applyFill="1" applyBorder="1" applyAlignment="1">
      <alignment horizontal="left"/>
    </xf>
    <xf numFmtId="165" fontId="21" fillId="0" borderId="0" xfId="5" applyNumberFormat="1" applyFont="1" applyFill="1" applyBorder="1" applyAlignment="1">
      <alignment horizontal="center"/>
    </xf>
    <xf numFmtId="0" fontId="21" fillId="0" borderId="0" xfId="0" applyFont="1" applyFill="1" applyBorder="1" applyAlignment="1">
      <alignment horizontal="center"/>
    </xf>
    <xf numFmtId="0" fontId="14" fillId="0" borderId="0" xfId="0" applyFont="1" applyAlignment="1">
      <alignment horizontal="center" wrapText="1"/>
    </xf>
    <xf numFmtId="164" fontId="22" fillId="0" borderId="0" xfId="0" applyNumberFormat="1" applyFont="1" applyAlignment="1">
      <alignment horizontal="center" wrapText="1"/>
    </xf>
    <xf numFmtId="0" fontId="0" fillId="0" borderId="0" xfId="0" applyFill="1" applyBorder="1"/>
    <xf numFmtId="0" fontId="14" fillId="0" borderId="0" xfId="0" applyFont="1" applyFill="1" applyBorder="1" applyAlignment="1">
      <alignment horizontal="right" wrapText="1"/>
    </xf>
    <xf numFmtId="165" fontId="0" fillId="0" borderId="0" xfId="5" applyNumberFormat="1" applyFont="1" applyFill="1" applyBorder="1"/>
    <xf numFmtId="0" fontId="0" fillId="0" borderId="0" xfId="0" applyFill="1" applyBorder="1" applyAlignment="1">
      <alignment wrapText="1"/>
    </xf>
    <xf numFmtId="164" fontId="0" fillId="6" borderId="11" xfId="0" applyNumberFormat="1" applyFill="1" applyBorder="1" applyAlignment="1">
      <alignment horizontal="center"/>
    </xf>
    <xf numFmtId="165" fontId="3" fillId="3" borderId="7" xfId="5" applyNumberFormat="1" applyFont="1" applyFill="1" applyBorder="1" applyAlignment="1">
      <alignment horizontal="center" vertical="center" wrapText="1"/>
    </xf>
    <xf numFmtId="0" fontId="0" fillId="4" borderId="0" xfId="0" applyFill="1" applyAlignment="1">
      <alignment wrapText="1"/>
    </xf>
    <xf numFmtId="164" fontId="0" fillId="5" borderId="12" xfId="0" applyNumberFormat="1" applyFill="1" applyBorder="1" applyAlignment="1">
      <alignment horizontal="center"/>
    </xf>
    <xf numFmtId="165" fontId="0" fillId="0" borderId="0" xfId="0" applyNumberFormat="1" applyFill="1" applyBorder="1"/>
    <xf numFmtId="165" fontId="13" fillId="4" borderId="7" xfId="5" applyNumberFormat="1" applyFont="1" applyFill="1" applyBorder="1"/>
    <xf numFmtId="165" fontId="20" fillId="0" borderId="0" xfId="5" applyNumberFormat="1" applyFont="1" applyAlignment="1">
      <alignment horizontal="center"/>
    </xf>
    <xf numFmtId="0" fontId="20" fillId="0" borderId="0" xfId="0" applyFont="1" applyAlignment="1">
      <alignment horizontal="center" wrapText="1"/>
    </xf>
    <xf numFmtId="0" fontId="2" fillId="0" borderId="0" xfId="0" applyFont="1"/>
    <xf numFmtId="164" fontId="13" fillId="0" borderId="0" xfId="0" applyNumberFormat="1" applyFont="1" applyAlignment="1">
      <alignment horizontal="center"/>
    </xf>
    <xf numFmtId="164" fontId="2" fillId="0" borderId="0" xfId="0" applyNumberFormat="1" applyFont="1" applyAlignment="1">
      <alignment horizontal="left"/>
    </xf>
    <xf numFmtId="165" fontId="1" fillId="0" borderId="0" xfId="5" applyNumberFormat="1" applyFont="1"/>
    <xf numFmtId="0" fontId="13" fillId="0" borderId="0" xfId="0" applyFont="1" applyAlignment="1">
      <alignment horizontal="center" wrapText="1"/>
    </xf>
    <xf numFmtId="165" fontId="24" fillId="0" borderId="0" xfId="0" applyNumberFormat="1" applyFont="1" applyFill="1" applyBorder="1"/>
    <xf numFmtId="0" fontId="0" fillId="0" borderId="0" xfId="0" applyAlignment="1">
      <alignment horizontal="center" wrapText="1"/>
    </xf>
    <xf numFmtId="165" fontId="3" fillId="4" borderId="7" xfId="5" applyNumberFormat="1" applyFont="1" applyFill="1" applyBorder="1" applyAlignment="1">
      <alignment horizontal="center" vertical="center" wrapText="1"/>
    </xf>
    <xf numFmtId="0" fontId="0" fillId="0" borderId="0" xfId="0" applyFill="1" applyAlignment="1">
      <alignment horizontal="center" wrapText="1"/>
    </xf>
    <xf numFmtId="165" fontId="13" fillId="0" borderId="0" xfId="5" applyNumberFormat="1" applyFont="1"/>
    <xf numFmtId="165" fontId="0" fillId="0" borderId="0" xfId="5" applyNumberFormat="1" applyFont="1" applyAlignment="1">
      <alignment horizontal="left"/>
    </xf>
    <xf numFmtId="0" fontId="13" fillId="0" borderId="0" xfId="6"/>
    <xf numFmtId="165" fontId="13" fillId="0" borderId="0" xfId="5" applyNumberFormat="1" applyFont="1" applyAlignment="1">
      <alignment horizontal="center"/>
    </xf>
    <xf numFmtId="0" fontId="4" fillId="0" borderId="0" xfId="0" applyFont="1"/>
    <xf numFmtId="165" fontId="13" fillId="4" borderId="7" xfId="5" applyNumberFormat="1" applyFont="1" applyFill="1" applyBorder="1" applyAlignment="1">
      <alignment horizontal="center"/>
    </xf>
    <xf numFmtId="165" fontId="3" fillId="0" borderId="0" xfId="5" applyNumberFormat="1" applyFont="1" applyFill="1" applyBorder="1" applyAlignment="1">
      <alignment horizontal="center" vertical="center" wrapText="1"/>
    </xf>
    <xf numFmtId="0" fontId="13" fillId="0" borderId="0" xfId="0" applyFont="1" applyAlignment="1">
      <alignment wrapText="1"/>
    </xf>
    <xf numFmtId="165" fontId="0" fillId="0" borderId="0" xfId="5" applyNumberFormat="1" applyFont="1" applyBorder="1"/>
    <xf numFmtId="0" fontId="14" fillId="0" borderId="0" xfId="0" applyFont="1" applyBorder="1" applyAlignment="1">
      <alignment horizontal="right" wrapText="1"/>
    </xf>
    <xf numFmtId="0" fontId="0" fillId="0" borderId="0" xfId="0" applyFill="1" applyAlignment="1">
      <alignment wrapText="1"/>
    </xf>
    <xf numFmtId="165" fontId="1" fillId="0" borderId="0" xfId="5" applyNumberFormat="1" applyFont="1" applyFill="1" applyBorder="1" applyAlignment="1">
      <alignment horizontal="center" vertical="center" wrapText="1"/>
    </xf>
    <xf numFmtId="0" fontId="13" fillId="0" borderId="0" xfId="0" applyFont="1" applyFill="1" applyAlignment="1">
      <alignment wrapText="1"/>
    </xf>
    <xf numFmtId="0" fontId="21" fillId="0" borderId="0" xfId="0" applyFont="1"/>
    <xf numFmtId="0" fontId="4" fillId="0" borderId="0" xfId="0" applyFont="1" applyAlignment="1">
      <alignment wrapText="1"/>
    </xf>
    <xf numFmtId="44" fontId="13" fillId="0" borderId="0" xfId="5" applyFont="1" applyAlignment="1">
      <alignment horizontal="center"/>
    </xf>
    <xf numFmtId="0" fontId="18" fillId="0" borderId="0" xfId="0" applyFont="1" applyFill="1" applyBorder="1" applyAlignment="1">
      <alignment horizontal="left"/>
    </xf>
    <xf numFmtId="0" fontId="21" fillId="0" borderId="0" xfId="0" applyFont="1" applyAlignment="1">
      <alignment horizontal="center"/>
    </xf>
    <xf numFmtId="0" fontId="14" fillId="0" borderId="0" xfId="6" applyFont="1" applyAlignment="1">
      <alignment horizontal="center" wrapText="1"/>
    </xf>
    <xf numFmtId="164" fontId="22" fillId="0" borderId="0" xfId="6" applyNumberFormat="1" applyFont="1" applyBorder="1" applyAlignment="1">
      <alignment horizontal="center" wrapText="1"/>
    </xf>
    <xf numFmtId="164" fontId="22" fillId="0" borderId="0" xfId="0" applyNumberFormat="1" applyFont="1" applyAlignment="1">
      <alignment horizontal="center"/>
    </xf>
    <xf numFmtId="0" fontId="3" fillId="3" borderId="7" xfId="0" applyFont="1" applyFill="1" applyBorder="1" applyAlignment="1">
      <alignment horizontal="center" vertical="center" wrapText="1"/>
    </xf>
    <xf numFmtId="0" fontId="0" fillId="4" borderId="7" xfId="0" applyFill="1" applyBorder="1"/>
    <xf numFmtId="0" fontId="20" fillId="0" borderId="0" xfId="0" applyFont="1" applyAlignment="1">
      <alignment horizontal="center"/>
    </xf>
    <xf numFmtId="165" fontId="1" fillId="0" borderId="0" xfId="0" applyNumberFormat="1" applyFont="1" applyAlignment="1">
      <alignment horizontal="right" wrapText="1"/>
    </xf>
    <xf numFmtId="165" fontId="1" fillId="0" borderId="0" xfId="0" applyNumberFormat="1" applyFont="1" applyAlignment="1">
      <alignment horizontal="center"/>
    </xf>
    <xf numFmtId="165" fontId="1" fillId="0" borderId="0" xfId="0" applyNumberFormat="1" applyFont="1"/>
    <xf numFmtId="0" fontId="3" fillId="4" borderId="7" xfId="0" applyFont="1" applyFill="1" applyBorder="1" applyAlignment="1">
      <alignment horizontal="center" vertical="center" wrapText="1"/>
    </xf>
    <xf numFmtId="0" fontId="0" fillId="0" borderId="0" xfId="0" applyAlignment="1">
      <alignment horizontal="left"/>
    </xf>
    <xf numFmtId="0" fontId="13" fillId="0" borderId="0" xfId="0" applyFont="1" applyAlignment="1">
      <alignment horizontal="center"/>
    </xf>
    <xf numFmtId="0" fontId="0" fillId="4" borderId="7" xfId="0" applyFill="1" applyBorder="1" applyAlignment="1">
      <alignment horizontal="center"/>
    </xf>
    <xf numFmtId="0" fontId="3" fillId="0" borderId="0" xfId="0" applyFont="1" applyFill="1" applyBorder="1" applyAlignment="1">
      <alignment horizontal="center" vertical="center" wrapText="1"/>
    </xf>
    <xf numFmtId="165" fontId="0" fillId="0" borderId="0" xfId="0" applyNumberFormat="1" applyBorder="1"/>
    <xf numFmtId="165" fontId="5" fillId="0" borderId="4" xfId="5" applyNumberFormat="1" applyFont="1" applyFill="1" applyBorder="1" applyAlignment="1">
      <alignment horizontal="center" vertical="center" wrapText="1"/>
    </xf>
    <xf numFmtId="0" fontId="14" fillId="0" borderId="0" xfId="6" applyFont="1" applyAlignment="1">
      <alignment horizontal="right" wrapText="1"/>
    </xf>
    <xf numFmtId="0" fontId="0" fillId="0" borderId="0" xfId="0" applyBorder="1"/>
    <xf numFmtId="165" fontId="13" fillId="0" borderId="0" xfId="0"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1" fillId="0" borderId="0" xfId="0" applyNumberFormat="1" applyFont="1" applyFill="1" applyBorder="1" applyAlignment="1">
      <alignment horizontal="center" vertical="center" wrapText="1"/>
    </xf>
    <xf numFmtId="165" fontId="0" fillId="0" borderId="0" xfId="0" applyNumberFormat="1" applyFill="1"/>
    <xf numFmtId="1" fontId="9" fillId="0" borderId="0" xfId="0" applyNumberFormat="1" applyFont="1" applyFill="1" applyBorder="1" applyAlignment="1">
      <alignment horizontal="center" vertical="center"/>
    </xf>
    <xf numFmtId="0" fontId="25" fillId="0" borderId="0" xfId="0" applyFont="1"/>
    <xf numFmtId="0" fontId="5" fillId="0" borderId="4" xfId="0" applyFont="1" applyFill="1" applyBorder="1" applyAlignment="1">
      <alignment horizontal="center" vertical="center" wrapText="1"/>
    </xf>
    <xf numFmtId="0" fontId="13" fillId="0" borderId="0" xfId="0" applyFont="1" applyFill="1" applyBorder="1"/>
    <xf numFmtId="165" fontId="0" fillId="0" borderId="0" xfId="0" applyNumberFormat="1" applyAlignment="1">
      <alignment horizontal="center"/>
    </xf>
    <xf numFmtId="0" fontId="27" fillId="0" borderId="0" xfId="0" applyFont="1"/>
    <xf numFmtId="0" fontId="27" fillId="0" borderId="0" xfId="0" applyFont="1" applyAlignment="1">
      <alignment horizontal="left"/>
    </xf>
    <xf numFmtId="0" fontId="28" fillId="0" borderId="0" xfId="0" applyFont="1"/>
    <xf numFmtId="0" fontId="29" fillId="0" borderId="21" xfId="0" applyFont="1" applyBorder="1" applyAlignment="1">
      <alignment horizontal="center"/>
    </xf>
    <xf numFmtId="0" fontId="29" fillId="0" borderId="22" xfId="0" applyFont="1" applyBorder="1" applyAlignment="1">
      <alignment horizontal="center"/>
    </xf>
    <xf numFmtId="0" fontId="29" fillId="0" borderId="23" xfId="0" applyFont="1" applyBorder="1" applyAlignment="1">
      <alignment horizontal="center"/>
    </xf>
    <xf numFmtId="0" fontId="29" fillId="0" borderId="21" xfId="0" applyFont="1" applyFill="1" applyBorder="1" applyAlignment="1">
      <alignment horizontal="center"/>
    </xf>
    <xf numFmtId="0" fontId="29" fillId="0" borderId="23" xfId="0" applyFont="1" applyFill="1" applyBorder="1" applyAlignment="1">
      <alignment horizontal="center"/>
    </xf>
    <xf numFmtId="164" fontId="0" fillId="4" borderId="25" xfId="0" applyNumberFormat="1" applyFont="1" applyFill="1" applyBorder="1" applyAlignment="1">
      <alignment horizontal="right"/>
    </xf>
    <xf numFmtId="164" fontId="0" fillId="4" borderId="26" xfId="0" applyNumberFormat="1" applyFont="1" applyFill="1" applyBorder="1" applyAlignment="1">
      <alignment horizontal="right"/>
    </xf>
    <xf numFmtId="164" fontId="0" fillId="4" borderId="26" xfId="0" applyNumberFormat="1" applyFill="1" applyBorder="1" applyAlignment="1">
      <alignment horizontal="right"/>
    </xf>
    <xf numFmtId="164" fontId="29" fillId="4" borderId="27" xfId="0" applyNumberFormat="1" applyFont="1" applyFill="1" applyBorder="1" applyAlignment="1">
      <alignment horizontal="right"/>
    </xf>
    <xf numFmtId="168" fontId="29" fillId="4" borderId="27" xfId="0" applyNumberFormat="1" applyFont="1" applyFill="1" applyBorder="1" applyAlignment="1">
      <alignment horizontal="center"/>
    </xf>
    <xf numFmtId="166" fontId="29" fillId="4" borderId="27" xfId="8" applyNumberFormat="1" applyFont="1" applyFill="1" applyBorder="1" applyAlignment="1">
      <alignment horizontal="right"/>
    </xf>
    <xf numFmtId="44" fontId="29" fillId="4" borderId="27" xfId="1" applyFont="1" applyFill="1" applyBorder="1" applyAlignment="1">
      <alignment horizontal="right"/>
    </xf>
    <xf numFmtId="164" fontId="0" fillId="0" borderId="28" xfId="0" applyNumberFormat="1" applyBorder="1"/>
    <xf numFmtId="164" fontId="0" fillId="0" borderId="13" xfId="0" applyNumberFormat="1" applyBorder="1"/>
    <xf numFmtId="164" fontId="29" fillId="0" borderId="29" xfId="0" applyNumberFormat="1" applyFont="1" applyBorder="1"/>
    <xf numFmtId="168" fontId="29" fillId="0" borderId="29" xfId="0" applyNumberFormat="1" applyFont="1" applyBorder="1"/>
    <xf numFmtId="166" fontId="29" fillId="0" borderId="27" xfId="8" applyNumberFormat="1" applyFont="1" applyFill="1" applyBorder="1" applyAlignment="1">
      <alignment horizontal="right"/>
    </xf>
    <xf numFmtId="44" fontId="29" fillId="0" borderId="27" xfId="1" applyFont="1" applyFill="1" applyBorder="1" applyAlignment="1">
      <alignment horizontal="right"/>
    </xf>
    <xf numFmtId="168" fontId="29" fillId="0" borderId="31" xfId="0" applyNumberFormat="1" applyFont="1" applyBorder="1"/>
    <xf numFmtId="0" fontId="31" fillId="0" borderId="0" xfId="0" applyFont="1"/>
    <xf numFmtId="0" fontId="27" fillId="0" borderId="0" xfId="0" applyFont="1" applyAlignment="1">
      <alignment horizontal="right"/>
    </xf>
    <xf numFmtId="164" fontId="29" fillId="0" borderId="21" xfId="0" applyNumberFormat="1" applyFont="1" applyBorder="1"/>
    <xf numFmtId="168" fontId="29" fillId="0" borderId="23" xfId="0" applyNumberFormat="1" applyFont="1" applyBorder="1"/>
    <xf numFmtId="0" fontId="32" fillId="0" borderId="0" xfId="0" applyFont="1"/>
    <xf numFmtId="0" fontId="27" fillId="4" borderId="1" xfId="0" applyFont="1" applyFill="1" applyBorder="1" applyAlignment="1">
      <alignment horizontal="center"/>
    </xf>
    <xf numFmtId="0" fontId="27" fillId="4" borderId="1" xfId="0" applyFont="1" applyFill="1" applyBorder="1"/>
    <xf numFmtId="0" fontId="27" fillId="0" borderId="24" xfId="0" applyFont="1" applyFill="1" applyBorder="1" applyAlignment="1">
      <alignment horizontal="center"/>
    </xf>
    <xf numFmtId="0" fontId="27" fillId="0" borderId="32" xfId="0" applyFont="1" applyBorder="1"/>
    <xf numFmtId="0" fontId="27" fillId="0" borderId="12" xfId="0" applyFont="1" applyBorder="1" applyAlignment="1">
      <alignment horizontal="center"/>
    </xf>
    <xf numFmtId="0" fontId="29" fillId="0" borderId="0" xfId="0" applyFont="1" applyFill="1" applyBorder="1"/>
    <xf numFmtId="0" fontId="27" fillId="0" borderId="23" xfId="0" applyFont="1" applyBorder="1"/>
    <xf numFmtId="0" fontId="27" fillId="0" borderId="21" xfId="0" applyFont="1" applyFill="1" applyBorder="1" applyAlignment="1">
      <alignment horizontal="center"/>
    </xf>
    <xf numFmtId="0" fontId="27" fillId="0" borderId="22" xfId="0" applyFont="1" applyFill="1" applyBorder="1" applyAlignment="1">
      <alignment horizontal="center"/>
    </xf>
    <xf numFmtId="0" fontId="27" fillId="0" borderId="23" xfId="0" applyFont="1" applyFill="1" applyBorder="1" applyAlignment="1">
      <alignment horizontal="center"/>
    </xf>
    <xf numFmtId="164" fontId="29" fillId="10" borderId="21" xfId="0" applyNumberFormat="1" applyFont="1" applyFill="1" applyBorder="1"/>
    <xf numFmtId="0" fontId="29" fillId="4" borderId="21" xfId="0" applyFont="1" applyFill="1" applyBorder="1"/>
    <xf numFmtId="169" fontId="0" fillId="4" borderId="22" xfId="0" applyNumberFormat="1" applyFill="1" applyBorder="1" applyAlignment="1">
      <alignment horizontal="right"/>
    </xf>
    <xf numFmtId="169" fontId="0" fillId="4" borderId="23" xfId="0" applyNumberFormat="1" applyFill="1" applyBorder="1" applyAlignment="1">
      <alignment horizontal="right"/>
    </xf>
    <xf numFmtId="0" fontId="0" fillId="11" borderId="34" xfId="0" applyFill="1" applyBorder="1"/>
    <xf numFmtId="0" fontId="0" fillId="11" borderId="2" xfId="0" applyFill="1" applyBorder="1"/>
    <xf numFmtId="0" fontId="0" fillId="11" borderId="35" xfId="0" applyFill="1" applyBorder="1"/>
    <xf numFmtId="170" fontId="0" fillId="0" borderId="35" xfId="0" applyNumberFormat="1" applyBorder="1"/>
    <xf numFmtId="0" fontId="0" fillId="11" borderId="13" xfId="0" applyFill="1" applyBorder="1"/>
    <xf numFmtId="0" fontId="29" fillId="0" borderId="13" xfId="0" applyFont="1" applyBorder="1"/>
    <xf numFmtId="168" fontId="30" fillId="0" borderId="13" xfId="7" applyNumberFormat="1" applyFont="1" applyBorder="1"/>
    <xf numFmtId="168" fontId="29" fillId="0" borderId="13" xfId="7" applyNumberFormat="1" applyFont="1" applyBorder="1"/>
    <xf numFmtId="164" fontId="0" fillId="0" borderId="13" xfId="0" applyNumberFormat="1" applyBorder="1" applyAlignment="1">
      <alignment horizontal="left" indent="2"/>
    </xf>
    <xf numFmtId="0" fontId="0" fillId="0" borderId="13" xfId="0" applyBorder="1" applyAlignment="1">
      <alignment horizontal="left" indent="2"/>
    </xf>
    <xf numFmtId="169" fontId="0" fillId="0" borderId="13" xfId="0" applyNumberFormat="1" applyBorder="1" applyAlignment="1">
      <alignment horizontal="right"/>
    </xf>
    <xf numFmtId="0" fontId="0" fillId="11" borderId="8" xfId="0" applyFill="1" applyBorder="1"/>
    <xf numFmtId="0" fontId="0" fillId="11" borderId="10" xfId="0" applyFill="1" applyBorder="1"/>
    <xf numFmtId="0" fontId="0" fillId="11" borderId="5" xfId="0" applyFill="1" applyBorder="1"/>
    <xf numFmtId="168" fontId="0" fillId="0" borderId="7" xfId="0" applyNumberFormat="1" applyBorder="1"/>
    <xf numFmtId="164" fontId="0" fillId="0" borderId="7" xfId="0" applyNumberFormat="1" applyBorder="1" applyAlignment="1">
      <alignment horizontal="left" indent="2"/>
    </xf>
    <xf numFmtId="0" fontId="0" fillId="0" borderId="7" xfId="0" applyBorder="1" applyAlignment="1">
      <alignment horizontal="left" indent="2"/>
    </xf>
    <xf numFmtId="169" fontId="0" fillId="0" borderId="7" xfId="0" applyNumberFormat="1" applyBorder="1" applyAlignment="1">
      <alignment horizontal="right"/>
    </xf>
    <xf numFmtId="0" fontId="0" fillId="0" borderId="13" xfId="0" applyBorder="1"/>
    <xf numFmtId="169" fontId="0" fillId="0" borderId="11" xfId="0" applyNumberFormat="1" applyBorder="1" applyAlignment="1">
      <alignment horizontal="right"/>
    </xf>
    <xf numFmtId="164" fontId="0" fillId="10" borderId="13" xfId="0" applyNumberFormat="1" applyFill="1" applyBorder="1" applyAlignment="1">
      <alignment horizontal="left" indent="2"/>
    </xf>
    <xf numFmtId="0" fontId="0" fillId="11" borderId="5" xfId="0" applyFill="1" applyBorder="1" applyAlignment="1">
      <alignment horizontal="center"/>
    </xf>
    <xf numFmtId="0" fontId="33" fillId="0" borderId="0" xfId="0" applyFont="1"/>
    <xf numFmtId="164" fontId="29" fillId="4" borderId="21" xfId="0" applyNumberFormat="1" applyFont="1" applyFill="1" applyBorder="1"/>
    <xf numFmtId="169" fontId="29" fillId="0" borderId="0" xfId="0" applyNumberFormat="1" applyFont="1" applyAlignment="1">
      <alignment horizontal="right"/>
    </xf>
    <xf numFmtId="0" fontId="29" fillId="0" borderId="0" xfId="0" applyFont="1"/>
    <xf numFmtId="168" fontId="29" fillId="0" borderId="0" xfId="0" applyNumberFormat="1" applyFont="1"/>
    <xf numFmtId="8" fontId="29" fillId="0" borderId="0" xfId="0" applyNumberFormat="1" applyFont="1" applyAlignment="1">
      <alignment horizontal="right"/>
    </xf>
    <xf numFmtId="9" fontId="29" fillId="4" borderId="0" xfId="8" applyFont="1" applyFill="1"/>
    <xf numFmtId="0" fontId="29" fillId="4" borderId="0" xfId="0" applyFont="1" applyFill="1"/>
    <xf numFmtId="0" fontId="27" fillId="6" borderId="36" xfId="0" applyFont="1" applyFill="1" applyBorder="1"/>
    <xf numFmtId="0" fontId="0" fillId="6" borderId="37" xfId="0" applyFill="1" applyBorder="1"/>
    <xf numFmtId="0" fontId="0" fillId="0" borderId="39" xfId="0" applyBorder="1"/>
    <xf numFmtId="0" fontId="29" fillId="0" borderId="21" xfId="0" applyFont="1" applyBorder="1"/>
    <xf numFmtId="0" fontId="29" fillId="0" borderId="22" xfId="0" applyFont="1" applyBorder="1"/>
    <xf numFmtId="0" fontId="29" fillId="0" borderId="23" xfId="0" applyFont="1" applyBorder="1"/>
    <xf numFmtId="0" fontId="29" fillId="0" borderId="40" xfId="0" applyFont="1" applyBorder="1" applyAlignment="1">
      <alignment horizontal="center"/>
    </xf>
    <xf numFmtId="0" fontId="29" fillId="0" borderId="41" xfId="0" applyFont="1" applyBorder="1" applyAlignment="1">
      <alignment horizontal="center"/>
    </xf>
    <xf numFmtId="0" fontId="29" fillId="0" borderId="42" xfId="0" applyFont="1" applyBorder="1" applyAlignment="1">
      <alignment horizontal="center"/>
    </xf>
    <xf numFmtId="2" fontId="34" fillId="0" borderId="13" xfId="0" applyNumberFormat="1" applyFont="1" applyBorder="1" applyAlignment="1">
      <alignment horizontal="center"/>
    </xf>
    <xf numFmtId="171" fontId="0" fillId="0" borderId="13" xfId="0" applyNumberFormat="1" applyBorder="1"/>
    <xf numFmtId="7" fontId="30" fillId="0" borderId="13" xfId="1" applyNumberFormat="1" applyFont="1" applyBorder="1"/>
    <xf numFmtId="10" fontId="30" fillId="0" borderId="0" xfId="8" applyNumberFormat="1" applyFont="1"/>
    <xf numFmtId="0" fontId="0" fillId="0" borderId="7" xfId="0" applyBorder="1"/>
    <xf numFmtId="169" fontId="0" fillId="0" borderId="13" xfId="0" applyNumberFormat="1" applyBorder="1"/>
    <xf numFmtId="9" fontId="30" fillId="0" borderId="13" xfId="8" applyFont="1" applyBorder="1"/>
    <xf numFmtId="0" fontId="0" fillId="0" borderId="7" xfId="0" applyBorder="1" applyAlignment="1">
      <alignment horizontal="right"/>
    </xf>
    <xf numFmtId="164" fontId="0" fillId="0" borderId="0" xfId="0" applyNumberFormat="1"/>
    <xf numFmtId="169" fontId="0" fillId="0" borderId="0" xfId="0" applyNumberFormat="1"/>
    <xf numFmtId="9" fontId="29" fillId="0" borderId="0" xfId="0" applyNumberFormat="1" applyFont="1"/>
    <xf numFmtId="172" fontId="29" fillId="0" borderId="0" xfId="0" applyNumberFormat="1" applyFont="1"/>
    <xf numFmtId="2" fontId="34" fillId="0" borderId="21" xfId="0" applyNumberFormat="1" applyFont="1" applyBorder="1" applyAlignment="1">
      <alignment horizontal="center"/>
    </xf>
    <xf numFmtId="2" fontId="34" fillId="0" borderId="22" xfId="0" applyNumberFormat="1" applyFont="1" applyBorder="1" applyAlignment="1">
      <alignment horizontal="center"/>
    </xf>
    <xf numFmtId="164" fontId="29" fillId="0" borderId="13" xfId="0" applyNumberFormat="1" applyFont="1" applyBorder="1"/>
    <xf numFmtId="171" fontId="29" fillId="0" borderId="23" xfId="0" applyNumberFormat="1" applyFont="1" applyBorder="1"/>
    <xf numFmtId="7" fontId="29" fillId="0" borderId="0" xfId="0" applyNumberFormat="1" applyFont="1"/>
    <xf numFmtId="168" fontId="0" fillId="0" borderId="13" xfId="0" applyNumberFormat="1" applyBorder="1"/>
    <xf numFmtId="0" fontId="29" fillId="0" borderId="0" xfId="0" applyFont="1" applyFill="1" applyBorder="1" applyAlignment="1">
      <alignment horizontal="center"/>
    </xf>
    <xf numFmtId="164" fontId="29" fillId="0" borderId="22" xfId="0" applyNumberFormat="1" applyFont="1" applyBorder="1"/>
    <xf numFmtId="0" fontId="28" fillId="0" borderId="16" xfId="0" applyFont="1" applyBorder="1" applyAlignment="1"/>
    <xf numFmtId="164" fontId="29" fillId="0" borderId="0" xfId="0" applyNumberFormat="1" applyFont="1" applyAlignment="1">
      <alignment horizontal="right"/>
    </xf>
    <xf numFmtId="0" fontId="28" fillId="0" borderId="0" xfId="0" applyFont="1" applyAlignment="1">
      <alignment horizontal="right"/>
    </xf>
    <xf numFmtId="169" fontId="37" fillId="0" borderId="0" xfId="10" applyNumberFormat="1" applyAlignment="1" applyProtection="1">
      <alignment horizontal="right"/>
    </xf>
    <xf numFmtId="166" fontId="30" fillId="0" borderId="0" xfId="8" applyNumberFormat="1" applyFont="1"/>
    <xf numFmtId="169" fontId="27" fillId="0" borderId="0" xfId="0" applyNumberFormat="1" applyFont="1"/>
    <xf numFmtId="169" fontId="29" fillId="0" borderId="0" xfId="0" applyNumberFormat="1" applyFont="1"/>
    <xf numFmtId="169" fontId="29" fillId="12" borderId="0" xfId="0" applyNumberFormat="1" applyFont="1" applyFill="1" applyAlignment="1">
      <alignment horizontal="right"/>
    </xf>
    <xf numFmtId="169" fontId="29" fillId="13" borderId="0" xfId="0" applyNumberFormat="1" applyFont="1" applyFill="1" applyAlignment="1">
      <alignment horizontal="right"/>
    </xf>
    <xf numFmtId="0" fontId="28" fillId="0" borderId="0" xfId="0" applyFont="1" applyAlignment="1">
      <alignment horizontal="right" wrapText="1"/>
    </xf>
    <xf numFmtId="0" fontId="37" fillId="0" borderId="0" xfId="10" applyAlignment="1" applyProtection="1">
      <alignment horizontal="left" wrapText="1"/>
    </xf>
    <xf numFmtId="0" fontId="27" fillId="6" borderId="17" xfId="0" applyFont="1" applyFill="1" applyBorder="1" applyAlignment="1">
      <alignment horizontal="center"/>
    </xf>
    <xf numFmtId="0" fontId="27" fillId="6" borderId="18" xfId="0" applyFont="1" applyFill="1" applyBorder="1" applyAlignment="1">
      <alignment horizontal="center"/>
    </xf>
    <xf numFmtId="9" fontId="30" fillId="0" borderId="13" xfId="11" applyFont="1" applyBorder="1"/>
    <xf numFmtId="0" fontId="38" fillId="0" borderId="7" xfId="0" applyFont="1" applyBorder="1"/>
    <xf numFmtId="169" fontId="0" fillId="0" borderId="13" xfId="0" applyNumberFormat="1" applyFill="1" applyBorder="1"/>
    <xf numFmtId="0" fontId="0" fillId="0" borderId="13" xfId="0" applyFill="1" applyBorder="1"/>
    <xf numFmtId="2" fontId="34" fillId="0" borderId="12" xfId="0" applyNumberFormat="1" applyFont="1" applyBorder="1" applyAlignment="1">
      <alignment horizontal="center"/>
    </xf>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169" fontId="0" fillId="0" borderId="7" xfId="0" applyNumberFormat="1" applyFill="1" applyBorder="1" applyAlignment="1">
      <alignment horizontal="right"/>
    </xf>
    <xf numFmtId="9" fontId="29" fillId="4" borderId="0" xfId="11" applyFont="1" applyFill="1"/>
    <xf numFmtId="169" fontId="0" fillId="11" borderId="13" xfId="0" applyNumberFormat="1" applyFill="1" applyBorder="1"/>
    <xf numFmtId="10" fontId="30" fillId="0" borderId="13" xfId="11" applyNumberFormat="1" applyFont="1" applyBorder="1"/>
    <xf numFmtId="10" fontId="30" fillId="0" borderId="0" xfId="11" applyNumberFormat="1" applyFont="1"/>
    <xf numFmtId="0" fontId="0" fillId="11" borderId="7" xfId="0" applyFill="1" applyBorder="1"/>
    <xf numFmtId="0" fontId="0" fillId="11" borderId="7" xfId="0" applyFill="1" applyBorder="1" applyAlignment="1">
      <alignment horizontal="right"/>
    </xf>
    <xf numFmtId="0" fontId="0" fillId="11" borderId="13" xfId="0" applyFill="1" applyBorder="1" applyAlignment="1">
      <alignment horizontal="right"/>
    </xf>
    <xf numFmtId="169" fontId="0" fillId="11" borderId="7" xfId="0" applyNumberFormat="1" applyFill="1" applyBorder="1"/>
    <xf numFmtId="171" fontId="0" fillId="0" borderId="13" xfId="0" applyNumberFormat="1" applyBorder="1" applyAlignment="1">
      <alignment horizontal="right"/>
    </xf>
    <xf numFmtId="171" fontId="0" fillId="0" borderId="12" xfId="0" applyNumberFormat="1" applyBorder="1" applyAlignment="1">
      <alignment horizontal="right"/>
    </xf>
    <xf numFmtId="171" fontId="29" fillId="0" borderId="22" xfId="0" applyNumberFormat="1" applyFont="1" applyBorder="1"/>
    <xf numFmtId="0" fontId="0" fillId="0" borderId="13" xfId="0" applyFill="1" applyBorder="1" applyAlignment="1">
      <alignment horizontal="left" indent="2"/>
    </xf>
    <xf numFmtId="169" fontId="0" fillId="0" borderId="13" xfId="0" applyNumberFormat="1" applyFill="1" applyBorder="1" applyAlignment="1">
      <alignment horizontal="right"/>
    </xf>
    <xf numFmtId="0" fontId="0" fillId="0" borderId="7" xfId="0" applyFill="1" applyBorder="1" applyAlignment="1">
      <alignment horizontal="left" indent="2"/>
    </xf>
    <xf numFmtId="164" fontId="0" fillId="0" borderId="7" xfId="0" applyNumberFormat="1" applyBorder="1" applyAlignment="1">
      <alignment horizontal="right"/>
    </xf>
    <xf numFmtId="164" fontId="0" fillId="0" borderId="13" xfId="0" applyNumberFormat="1" applyFill="1" applyBorder="1" applyAlignment="1">
      <alignment horizontal="right"/>
    </xf>
    <xf numFmtId="6" fontId="0" fillId="0" borderId="7" xfId="0" applyNumberFormat="1" applyBorder="1" applyAlignment="1">
      <alignment horizontal="right"/>
    </xf>
    <xf numFmtId="9" fontId="30" fillId="0" borderId="13" xfId="11" applyFont="1" applyFill="1" applyBorder="1"/>
    <xf numFmtId="164" fontId="0" fillId="4" borderId="22" xfId="0" applyNumberFormat="1" applyFill="1" applyBorder="1" applyAlignment="1">
      <alignment horizontal="right"/>
    </xf>
    <xf numFmtId="6" fontId="0" fillId="4" borderId="22" xfId="0" applyNumberFormat="1" applyFill="1" applyBorder="1" applyAlignment="1">
      <alignment horizontal="right"/>
    </xf>
    <xf numFmtId="164" fontId="0" fillId="4" borderId="23" xfId="0" applyNumberFormat="1" applyFill="1" applyBorder="1" applyAlignment="1">
      <alignment horizontal="right"/>
    </xf>
    <xf numFmtId="164" fontId="0" fillId="0" borderId="13" xfId="0" applyNumberFormat="1" applyBorder="1" applyAlignment="1">
      <alignment horizontal="right"/>
    </xf>
    <xf numFmtId="6" fontId="0" fillId="0" borderId="13" xfId="0" applyNumberFormat="1" applyBorder="1" applyAlignment="1">
      <alignment horizontal="right"/>
    </xf>
    <xf numFmtId="6" fontId="0" fillId="0" borderId="13" xfId="0" applyNumberFormat="1" applyFill="1" applyBorder="1" applyAlignment="1">
      <alignment horizontal="right"/>
    </xf>
    <xf numFmtId="164" fontId="0" fillId="0" borderId="11" xfId="0" applyNumberFormat="1" applyBorder="1" applyAlignment="1">
      <alignment horizontal="right"/>
    </xf>
    <xf numFmtId="6" fontId="0" fillId="0" borderId="11" xfId="0" applyNumberFormat="1" applyBorder="1" applyAlignment="1">
      <alignment horizontal="right"/>
    </xf>
    <xf numFmtId="6" fontId="29" fillId="0" borderId="0" xfId="0" applyNumberFormat="1" applyFont="1" applyAlignment="1">
      <alignment horizontal="right"/>
    </xf>
    <xf numFmtId="3" fontId="29" fillId="0" borderId="12" xfId="0" applyNumberFormat="1" applyFont="1" applyFill="1" applyBorder="1"/>
    <xf numFmtId="0" fontId="39" fillId="0" borderId="35" xfId="0" applyFont="1" applyFill="1" applyBorder="1" applyAlignment="1" applyProtection="1">
      <alignment horizontal="center"/>
    </xf>
    <xf numFmtId="0" fontId="40" fillId="0" borderId="7" xfId="0" applyFont="1" applyBorder="1"/>
    <xf numFmtId="10" fontId="40" fillId="0" borderId="0" xfId="11" applyNumberFormat="1" applyFont="1"/>
    <xf numFmtId="0" fontId="40" fillId="0" borderId="0" xfId="0" applyFont="1"/>
    <xf numFmtId="0" fontId="38" fillId="0" borderId="0" xfId="0" applyFont="1"/>
    <xf numFmtId="172" fontId="29" fillId="0" borderId="13" xfId="7" applyNumberFormat="1" applyFont="1" applyBorder="1"/>
    <xf numFmtId="0" fontId="30" fillId="0" borderId="0" xfId="0" applyNumberFormat="1" applyFont="1" applyBorder="1"/>
    <xf numFmtId="0" fontId="26" fillId="0" borderId="0" xfId="9" applyAlignment="1" applyProtection="1"/>
    <xf numFmtId="174" fontId="29" fillId="4" borderId="27" xfId="0" applyNumberFormat="1" applyFont="1" applyFill="1" applyBorder="1" applyAlignment="1">
      <alignment horizontal="center"/>
    </xf>
    <xf numFmtId="174" fontId="29" fillId="0" borderId="29" xfId="0" applyNumberFormat="1" applyFont="1" applyBorder="1"/>
    <xf numFmtId="164" fontId="29" fillId="0" borderId="45" xfId="0" applyNumberFormat="1" applyFont="1" applyBorder="1"/>
    <xf numFmtId="164" fontId="29" fillId="0" borderId="42" xfId="0" applyNumberFormat="1" applyFont="1" applyBorder="1"/>
    <xf numFmtId="174" fontId="29" fillId="0" borderId="42" xfId="0" applyNumberFormat="1" applyFont="1" applyBorder="1"/>
    <xf numFmtId="175" fontId="0" fillId="0" borderId="35" xfId="0" applyNumberFormat="1" applyBorder="1"/>
    <xf numFmtId="174" fontId="30" fillId="0" borderId="13" xfId="7" applyNumberFormat="1" applyFont="1" applyBorder="1"/>
    <xf numFmtId="174" fontId="29" fillId="0" borderId="13" xfId="7" applyNumberFormat="1" applyFont="1" applyBorder="1"/>
    <xf numFmtId="169" fontId="37" fillId="0" borderId="0" xfId="10" applyNumberFormat="1" applyAlignment="1" applyProtection="1">
      <alignment horizontal="left"/>
    </xf>
    <xf numFmtId="166" fontId="30" fillId="0" borderId="0" xfId="11" applyNumberFormat="1" applyFont="1"/>
    <xf numFmtId="174" fontId="29" fillId="0" borderId="0" xfId="0" applyNumberFormat="1" applyFont="1"/>
    <xf numFmtId="164" fontId="0" fillId="10" borderId="7" xfId="0" applyNumberFormat="1" applyFill="1" applyBorder="1" applyAlignment="1">
      <alignment horizontal="left" indent="2"/>
    </xf>
    <xf numFmtId="10" fontId="30" fillId="0" borderId="13" xfId="11" applyNumberFormat="1" applyFont="1" applyFill="1" applyBorder="1"/>
    <xf numFmtId="0" fontId="41" fillId="0" borderId="46" xfId="0" applyFont="1" applyBorder="1" applyAlignment="1">
      <alignment horizontal="left" indent="2"/>
    </xf>
    <xf numFmtId="0" fontId="42" fillId="0" borderId="0" xfId="0" applyFont="1"/>
    <xf numFmtId="0" fontId="29" fillId="0" borderId="47" xfId="0" applyFont="1" applyFill="1" applyBorder="1" applyAlignment="1">
      <alignment horizontal="center" wrapText="1"/>
    </xf>
    <xf numFmtId="6" fontId="43" fillId="0" borderId="7" xfId="0" applyNumberFormat="1" applyFont="1" applyFill="1" applyBorder="1" applyAlignment="1" applyProtection="1">
      <alignment horizontal="right"/>
    </xf>
    <xf numFmtId="0" fontId="39" fillId="0" borderId="13" xfId="0" applyFont="1" applyFill="1" applyBorder="1" applyAlignment="1" applyProtection="1">
      <alignment horizontal="center"/>
    </xf>
    <xf numFmtId="171" fontId="0" fillId="0" borderId="0" xfId="0" applyNumberFormat="1" applyBorder="1" applyAlignment="1">
      <alignment horizontal="center"/>
    </xf>
    <xf numFmtId="6" fontId="0" fillId="4" borderId="23" xfId="0" applyNumberFormat="1" applyFill="1" applyBorder="1" applyAlignment="1">
      <alignment horizontal="right"/>
    </xf>
    <xf numFmtId="0" fontId="45" fillId="0" borderId="0" xfId="12"/>
    <xf numFmtId="49" fontId="46" fillId="0" borderId="0" xfId="12" applyNumberFormat="1" applyFont="1" applyFill="1" applyBorder="1" applyAlignment="1">
      <alignment horizontal="left" vertical="center"/>
    </xf>
    <xf numFmtId="0" fontId="48" fillId="0" borderId="0" xfId="12" applyFont="1"/>
    <xf numFmtId="0" fontId="45" fillId="0" borderId="0" xfId="12" applyFill="1" applyBorder="1"/>
    <xf numFmtId="0" fontId="3" fillId="3" borderId="2" xfId="12" applyFont="1" applyFill="1" applyBorder="1" applyAlignment="1">
      <alignment horizontal="center" vertical="center" wrapText="1"/>
    </xf>
    <xf numFmtId="0" fontId="52" fillId="3" borderId="2" xfId="12" applyFont="1" applyFill="1" applyBorder="1" applyAlignment="1">
      <alignment horizontal="center" vertical="center" wrapText="1"/>
    </xf>
    <xf numFmtId="0" fontId="52" fillId="3" borderId="0" xfId="12" applyFont="1" applyFill="1" applyBorder="1" applyAlignment="1">
      <alignment horizontal="center" vertical="center" wrapText="1"/>
    </xf>
    <xf numFmtId="165" fontId="45" fillId="0" borderId="0" xfId="15" applyNumberFormat="1" applyFont="1" applyBorder="1"/>
    <xf numFmtId="165" fontId="45" fillId="0" borderId="0" xfId="15" applyNumberFormat="1" applyFont="1"/>
    <xf numFmtId="0" fontId="54" fillId="0" borderId="0" xfId="17" applyNumberFormat="1" applyFont="1" applyAlignment="1" applyProtection="1">
      <alignment horizontal="left"/>
      <protection locked="0"/>
    </xf>
    <xf numFmtId="44" fontId="45" fillId="0" borderId="0" xfId="15" applyFont="1"/>
    <xf numFmtId="0" fontId="45" fillId="0" borderId="0" xfId="18" applyNumberFormat="1" applyFont="1"/>
    <xf numFmtId="0" fontId="21" fillId="0" borderId="0" xfId="17" applyNumberFormat="1" applyFont="1" applyAlignment="1" applyProtection="1">
      <alignment horizontal="left"/>
      <protection locked="0"/>
    </xf>
    <xf numFmtId="165" fontId="13" fillId="0" borderId="0" xfId="15" applyNumberFormat="1" applyFont="1"/>
    <xf numFmtId="0" fontId="45" fillId="0" borderId="0" xfId="12" applyFill="1"/>
    <xf numFmtId="165" fontId="20" fillId="0" borderId="0" xfId="15" applyNumberFormat="1" applyFont="1" applyFill="1"/>
    <xf numFmtId="176" fontId="20" fillId="0" borderId="0" xfId="12" applyNumberFormat="1" applyFont="1" applyFill="1" applyAlignment="1">
      <alignment horizontal="center"/>
    </xf>
    <xf numFmtId="165" fontId="45" fillId="0" borderId="0" xfId="15" applyNumberFormat="1" applyFont="1" applyFill="1"/>
    <xf numFmtId="9" fontId="39" fillId="0" borderId="0" xfId="18" applyFont="1" applyFill="1" applyBorder="1"/>
    <xf numFmtId="176" fontId="13" fillId="0" borderId="0" xfId="12" applyNumberFormat="1" applyFont="1" applyFill="1" applyAlignment="1">
      <alignment horizontal="left"/>
    </xf>
    <xf numFmtId="165" fontId="45" fillId="0" borderId="0" xfId="15" applyNumberFormat="1" applyFont="1" applyFill="1" applyBorder="1"/>
    <xf numFmtId="165" fontId="13" fillId="0" borderId="0" xfId="15" applyNumberFormat="1" applyFont="1" applyFill="1" applyBorder="1"/>
    <xf numFmtId="165" fontId="20" fillId="0" borderId="0" xfId="15" applyNumberFormat="1" applyFont="1" applyFill="1" applyBorder="1"/>
    <xf numFmtId="165" fontId="21" fillId="0" borderId="0" xfId="15" applyNumberFormat="1" applyFont="1" applyFill="1" applyBorder="1"/>
    <xf numFmtId="0" fontId="48" fillId="0" borderId="0" xfId="12" applyFont="1" applyAlignment="1">
      <alignment horizontal="right"/>
    </xf>
    <xf numFmtId="44" fontId="55" fillId="0" borderId="0" xfId="15" applyFont="1" applyBorder="1" applyAlignment="1">
      <alignment horizontal="center"/>
    </xf>
    <xf numFmtId="0" fontId="45" fillId="0" borderId="0" xfId="12" applyAlignment="1">
      <alignment horizontal="right"/>
    </xf>
    <xf numFmtId="44" fontId="60" fillId="0" borderId="0" xfId="15" applyFont="1"/>
    <xf numFmtId="42" fontId="45" fillId="0" borderId="8" xfId="12" applyNumberFormat="1" applyBorder="1"/>
    <xf numFmtId="42" fontId="45" fillId="0" borderId="10" xfId="12" applyNumberFormat="1" applyBorder="1"/>
    <xf numFmtId="42" fontId="45" fillId="0" borderId="5" xfId="12" applyNumberFormat="1" applyBorder="1"/>
    <xf numFmtId="0" fontId="8" fillId="0" borderId="32" xfId="12" applyFont="1" applyBorder="1"/>
    <xf numFmtId="1" fontId="56" fillId="0" borderId="52" xfId="18" applyNumberFormat="1" applyFont="1" applyFill="1" applyBorder="1" applyAlignment="1">
      <alignment horizontal="center"/>
    </xf>
    <xf numFmtId="1" fontId="56" fillId="0" borderId="53" xfId="18" applyNumberFormat="1" applyFont="1" applyFill="1" applyBorder="1" applyAlignment="1">
      <alignment horizontal="center"/>
    </xf>
    <xf numFmtId="165" fontId="13" fillId="6" borderId="0" xfId="2" applyNumberFormat="1" applyFill="1"/>
    <xf numFmtId="0" fontId="48" fillId="0" borderId="32" xfId="12" applyFont="1" applyFill="1" applyBorder="1" applyAlignment="1">
      <alignment horizontal="right"/>
    </xf>
    <xf numFmtId="42" fontId="13" fillId="6" borderId="5" xfId="2" applyNumberFormat="1" applyFill="1" applyBorder="1"/>
    <xf numFmtId="0" fontId="3" fillId="3" borderId="34" xfId="12" applyFont="1" applyFill="1" applyBorder="1" applyAlignment="1">
      <alignment horizontal="center" vertical="center" wrapText="1"/>
    </xf>
    <xf numFmtId="165" fontId="13" fillId="6" borderId="51" xfId="2" applyNumberFormat="1" applyFill="1" applyBorder="1"/>
    <xf numFmtId="3" fontId="13" fillId="6" borderId="51" xfId="2" applyNumberFormat="1" applyFill="1" applyBorder="1"/>
    <xf numFmtId="3" fontId="52" fillId="3" borderId="2" xfId="12" applyNumberFormat="1" applyFont="1" applyFill="1" applyBorder="1" applyAlignment="1">
      <alignment horizontal="center" vertical="center" wrapText="1"/>
    </xf>
    <xf numFmtId="3" fontId="45" fillId="0" borderId="5" xfId="12" applyNumberFormat="1" applyBorder="1"/>
    <xf numFmtId="0" fontId="62" fillId="0" borderId="32" xfId="12" applyFont="1" applyFill="1" applyBorder="1" applyAlignment="1">
      <alignment horizontal="right" wrapText="1"/>
    </xf>
    <xf numFmtId="0" fontId="1" fillId="6" borderId="2" xfId="12" applyFont="1" applyFill="1" applyBorder="1" applyAlignment="1">
      <alignment horizontal="center" vertical="center" wrapText="1"/>
    </xf>
    <xf numFmtId="0" fontId="1" fillId="6" borderId="35" xfId="12" applyFont="1" applyFill="1" applyBorder="1" applyAlignment="1">
      <alignment horizontal="center" vertical="center" wrapText="1"/>
    </xf>
    <xf numFmtId="3" fontId="1" fillId="6" borderId="35" xfId="12" applyNumberFormat="1" applyFont="1" applyFill="1" applyBorder="1" applyAlignment="1">
      <alignment horizontal="center" vertical="center" wrapText="1"/>
    </xf>
    <xf numFmtId="42" fontId="1" fillId="6" borderId="35" xfId="12" applyNumberFormat="1" applyFont="1" applyFill="1" applyBorder="1" applyAlignment="1">
      <alignment horizontal="center" wrapText="1"/>
    </xf>
    <xf numFmtId="166" fontId="45" fillId="0" borderId="7" xfId="18" applyNumberFormat="1" applyFont="1" applyFill="1" applyBorder="1"/>
    <xf numFmtId="9" fontId="20" fillId="0" borderId="0" xfId="18" applyFont="1" applyFill="1" applyBorder="1"/>
    <xf numFmtId="0" fontId="63" fillId="0" borderId="0" xfId="12" applyNumberFormat="1" applyFont="1" applyFill="1" applyBorder="1" applyAlignment="1">
      <alignment horizontal="left" indent="2"/>
    </xf>
    <xf numFmtId="0" fontId="19" fillId="0" borderId="7" xfId="12" applyFont="1" applyFill="1" applyBorder="1" applyAlignment="1">
      <alignment horizontal="right"/>
    </xf>
    <xf numFmtId="44" fontId="64" fillId="0" borderId="0" xfId="15" applyFont="1" applyAlignment="1">
      <alignment horizontal="center"/>
    </xf>
    <xf numFmtId="0" fontId="45" fillId="0" borderId="0" xfId="12"/>
    <xf numFmtId="49" fontId="46" fillId="0" borderId="0" xfId="12" applyNumberFormat="1" applyFont="1" applyFill="1" applyBorder="1" applyAlignment="1">
      <alignment horizontal="left" vertical="center"/>
    </xf>
    <xf numFmtId="0" fontId="45" fillId="0" borderId="0" xfId="12" applyBorder="1"/>
    <xf numFmtId="0" fontId="48" fillId="0" borderId="0" xfId="12" applyFont="1"/>
    <xf numFmtId="0" fontId="45" fillId="0" borderId="0" xfId="12" applyFill="1" applyBorder="1"/>
    <xf numFmtId="0" fontId="48" fillId="0" borderId="0" xfId="12" applyFont="1" applyFill="1" applyBorder="1"/>
    <xf numFmtId="0" fontId="3" fillId="3" borderId="2" xfId="12" applyFont="1" applyFill="1" applyBorder="1" applyAlignment="1">
      <alignment horizontal="center" vertical="center" wrapText="1"/>
    </xf>
    <xf numFmtId="0" fontId="52" fillId="3" borderId="2" xfId="12" applyFont="1" applyFill="1" applyBorder="1" applyAlignment="1">
      <alignment horizontal="center" vertical="center" wrapText="1"/>
    </xf>
    <xf numFmtId="0" fontId="52" fillId="3" borderId="0" xfId="12" applyFont="1" applyFill="1" applyBorder="1" applyAlignment="1">
      <alignment horizontal="center" vertical="center" wrapText="1"/>
    </xf>
    <xf numFmtId="0" fontId="20" fillId="0" borderId="0" xfId="12" applyFont="1"/>
    <xf numFmtId="0" fontId="54"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0" fontId="45" fillId="0" borderId="0" xfId="12" applyFill="1"/>
    <xf numFmtId="165" fontId="20" fillId="0" borderId="0" xfId="15" applyNumberFormat="1" applyFont="1" applyFill="1"/>
    <xf numFmtId="176" fontId="20" fillId="0" borderId="0" xfId="12" applyNumberFormat="1" applyFont="1" applyFill="1" applyAlignment="1">
      <alignment horizontal="center"/>
    </xf>
    <xf numFmtId="0" fontId="13" fillId="0" borderId="0" xfId="12" applyFont="1" applyAlignment="1">
      <alignment horizontal="left"/>
    </xf>
    <xf numFmtId="9" fontId="39" fillId="0" borderId="0" xfId="18" applyFont="1" applyFill="1" applyBorder="1"/>
    <xf numFmtId="176" fontId="13" fillId="0" borderId="0" xfId="12" applyNumberFormat="1" applyFont="1" applyFill="1" applyAlignment="1">
      <alignment horizontal="left"/>
    </xf>
    <xf numFmtId="165" fontId="48" fillId="0" borderId="0" xfId="15" applyNumberFormat="1" applyFont="1" applyBorder="1"/>
    <xf numFmtId="165" fontId="45" fillId="0" borderId="0" xfId="15" applyNumberFormat="1" applyFont="1" applyFill="1" applyBorder="1"/>
    <xf numFmtId="165" fontId="13" fillId="0" borderId="0" xfId="15" applyNumberFormat="1" applyFont="1" applyFill="1" applyBorder="1"/>
    <xf numFmtId="165" fontId="20" fillId="0" borderId="0" xfId="15" applyNumberFormat="1" applyFont="1" applyFill="1" applyBorder="1"/>
    <xf numFmtId="165" fontId="21" fillId="0" borderId="0" xfId="15" applyNumberFormat="1" applyFont="1" applyFill="1" applyBorder="1"/>
    <xf numFmtId="0" fontId="13" fillId="0" borderId="0" xfId="12" applyFont="1" applyFill="1" applyBorder="1"/>
    <xf numFmtId="165" fontId="48" fillId="0" borderId="0" xfId="15" applyNumberFormat="1" applyFont="1" applyFill="1" applyBorder="1"/>
    <xf numFmtId="0" fontId="48" fillId="0" borderId="0" xfId="12" applyFont="1" applyFill="1" applyAlignment="1">
      <alignment horizontal="right"/>
    </xf>
    <xf numFmtId="2" fontId="13" fillId="0" borderId="0" xfId="12" applyNumberFormat="1" applyFont="1" applyFill="1" applyAlignment="1">
      <alignment horizontal="right"/>
    </xf>
    <xf numFmtId="44" fontId="55" fillId="0" borderId="0" xfId="15" applyFont="1" applyBorder="1" applyAlignment="1">
      <alignment horizontal="center"/>
    </xf>
    <xf numFmtId="44" fontId="45" fillId="0" borderId="0" xfId="15"/>
    <xf numFmtId="0" fontId="45" fillId="0" borderId="0" xfId="18" applyNumberFormat="1"/>
    <xf numFmtId="165" fontId="45" fillId="0" borderId="0" xfId="15" applyNumberFormat="1" applyFill="1"/>
    <xf numFmtId="165" fontId="45" fillId="0" borderId="0" xfId="15" applyNumberFormat="1"/>
    <xf numFmtId="165" fontId="45" fillId="0" borderId="0" xfId="15" applyNumberFormat="1" applyBorder="1"/>
    <xf numFmtId="165" fontId="45" fillId="0" borderId="0" xfId="15" applyNumberFormat="1" applyFill="1" applyBorder="1"/>
    <xf numFmtId="3" fontId="45" fillId="0" borderId="0" xfId="15" applyNumberFormat="1" applyFill="1" applyBorder="1"/>
    <xf numFmtId="166" fontId="48" fillId="0" borderId="0" xfId="12" applyNumberFormat="1" applyFont="1" applyFill="1" applyAlignment="1">
      <alignment horizontal="right"/>
    </xf>
    <xf numFmtId="0" fontId="45" fillId="0" borderId="0" xfId="12" applyAlignment="1">
      <alignment horizontal="right"/>
    </xf>
    <xf numFmtId="44" fontId="60" fillId="0" borderId="0" xfId="15" applyFont="1"/>
    <xf numFmtId="165" fontId="48" fillId="0" borderId="0" xfId="12" applyNumberFormat="1" applyFont="1" applyBorder="1"/>
    <xf numFmtId="9" fontId="39" fillId="0" borderId="51" xfId="18" applyFont="1" applyFill="1" applyBorder="1"/>
    <xf numFmtId="0" fontId="45" fillId="0" borderId="32" xfId="12" applyBorder="1"/>
    <xf numFmtId="165" fontId="20" fillId="0" borderId="51" xfId="15" applyNumberFormat="1" applyFont="1" applyFill="1" applyBorder="1"/>
    <xf numFmtId="176" fontId="20" fillId="0" borderId="51" xfId="12" applyNumberFormat="1" applyFont="1" applyFill="1" applyBorder="1" applyAlignment="1">
      <alignment horizontal="center"/>
    </xf>
    <xf numFmtId="42" fontId="45" fillId="0" borderId="51" xfId="12" applyNumberFormat="1" applyBorder="1"/>
    <xf numFmtId="165" fontId="48" fillId="0" borderId="51" xfId="15" applyNumberFormat="1" applyFont="1" applyFill="1" applyBorder="1"/>
    <xf numFmtId="165" fontId="48" fillId="0" borderId="51" xfId="15" applyNumberFormat="1" applyFont="1" applyBorder="1"/>
    <xf numFmtId="165" fontId="48" fillId="2" borderId="17" xfId="15" applyNumberFormat="1" applyFont="1" applyFill="1" applyBorder="1"/>
    <xf numFmtId="42" fontId="45" fillId="0" borderId="8" xfId="12" applyNumberFormat="1" applyBorder="1"/>
    <xf numFmtId="42" fontId="45" fillId="0" borderId="10" xfId="12" applyNumberFormat="1" applyBorder="1"/>
    <xf numFmtId="42" fontId="45" fillId="0" borderId="5" xfId="12" applyNumberFormat="1" applyBorder="1"/>
    <xf numFmtId="9" fontId="39" fillId="0" borderId="32" xfId="18" applyFont="1" applyFill="1" applyBorder="1"/>
    <xf numFmtId="165" fontId="45" fillId="0" borderId="51" xfId="15" applyNumberFormat="1" applyFill="1" applyBorder="1"/>
    <xf numFmtId="165" fontId="45" fillId="0" borderId="32" xfId="15" applyNumberFormat="1" applyFill="1" applyBorder="1"/>
    <xf numFmtId="165" fontId="48" fillId="0" borderId="32" xfId="15" applyNumberFormat="1" applyFont="1" applyFill="1" applyBorder="1"/>
    <xf numFmtId="165" fontId="45" fillId="0" borderId="51" xfId="15" applyNumberFormat="1" applyBorder="1"/>
    <xf numFmtId="165" fontId="45" fillId="0" borderId="32" xfId="15" applyNumberFormat="1" applyBorder="1"/>
    <xf numFmtId="1" fontId="56" fillId="0" borderId="52" xfId="18" applyNumberFormat="1" applyFont="1" applyFill="1" applyBorder="1" applyAlignment="1">
      <alignment horizontal="center"/>
    </xf>
    <xf numFmtId="1" fontId="56" fillId="0" borderId="53" xfId="18" applyNumberFormat="1" applyFont="1" applyFill="1" applyBorder="1" applyAlignment="1">
      <alignment horizontal="center"/>
    </xf>
    <xf numFmtId="1" fontId="56" fillId="0" borderId="50" xfId="18" applyNumberFormat="1" applyFont="1" applyFill="1" applyBorder="1" applyAlignment="1">
      <alignment horizontal="center"/>
    </xf>
    <xf numFmtId="165" fontId="45" fillId="0" borderId="32" xfId="12" applyNumberFormat="1" applyBorder="1"/>
    <xf numFmtId="165" fontId="13" fillId="6" borderId="0" xfId="2" applyNumberFormat="1" applyFill="1"/>
    <xf numFmtId="0" fontId="48" fillId="0" borderId="32" xfId="12" applyFont="1" applyFill="1" applyBorder="1" applyAlignment="1">
      <alignment horizontal="right"/>
    </xf>
    <xf numFmtId="42" fontId="13" fillId="6" borderId="5" xfId="2" applyNumberFormat="1" applyFill="1" applyBorder="1"/>
    <xf numFmtId="165" fontId="13" fillId="6" borderId="5" xfId="2" applyNumberFormat="1" applyFill="1" applyBorder="1"/>
    <xf numFmtId="3" fontId="52" fillId="3" borderId="2" xfId="12" applyNumberFormat="1" applyFont="1" applyFill="1" applyBorder="1" applyAlignment="1">
      <alignment horizontal="center" vertical="center" wrapText="1"/>
    </xf>
    <xf numFmtId="3" fontId="45" fillId="0" borderId="5" xfId="12" applyNumberFormat="1" applyBorder="1"/>
    <xf numFmtId="3" fontId="13" fillId="6" borderId="5" xfId="2" applyNumberFormat="1" applyFill="1" applyBorder="1"/>
    <xf numFmtId="3" fontId="45" fillId="0" borderId="0" xfId="12" applyNumberFormat="1" applyFill="1"/>
    <xf numFmtId="3" fontId="45" fillId="0" borderId="0" xfId="12" applyNumberFormat="1" applyFill="1" applyAlignment="1">
      <alignment horizontal="center"/>
    </xf>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2" fillId="0" borderId="32" xfId="15" applyNumberFormat="1" applyFont="1" applyFill="1" applyBorder="1" applyAlignment="1">
      <alignment horizontal="right" wrapText="1"/>
    </xf>
    <xf numFmtId="0" fontId="19" fillId="0" borderId="7" xfId="12" applyFont="1" applyFill="1" applyBorder="1"/>
    <xf numFmtId="166" fontId="45" fillId="0" borderId="7" xfId="18" applyNumberFormat="1" applyFont="1" applyFill="1" applyBorder="1"/>
    <xf numFmtId="165" fontId="45" fillId="0" borderId="0" xfId="12" applyNumberFormat="1" applyBorder="1"/>
    <xf numFmtId="42" fontId="48" fillId="0" borderId="0" xfId="12" applyNumberFormat="1" applyFont="1" applyBorder="1"/>
    <xf numFmtId="9" fontId="20" fillId="0" borderId="0" xfId="18" applyFont="1" applyFill="1" applyBorder="1"/>
    <xf numFmtId="42" fontId="47" fillId="0" borderId="32" xfId="12" applyNumberFormat="1" applyFont="1" applyBorder="1"/>
    <xf numFmtId="165" fontId="48" fillId="0" borderId="32" xfId="12" applyNumberFormat="1" applyFont="1" applyBorder="1"/>
    <xf numFmtId="0" fontId="63" fillId="0" borderId="0" xfId="12" applyNumberFormat="1" applyFont="1" applyFill="1" applyBorder="1" applyAlignment="1">
      <alignment horizontal="left" indent="1"/>
    </xf>
    <xf numFmtId="0" fontId="49" fillId="0" borderId="0" xfId="12" applyFont="1" applyBorder="1" applyAlignment="1">
      <alignment horizontal="center"/>
    </xf>
    <xf numFmtId="0" fontId="63" fillId="0" borderId="0" xfId="12" applyFont="1" applyFill="1" applyBorder="1" applyAlignment="1">
      <alignment horizontal="left"/>
    </xf>
    <xf numFmtId="0" fontId="63" fillId="0" borderId="0" xfId="12" applyNumberFormat="1" applyFont="1" applyBorder="1"/>
    <xf numFmtId="181" fontId="47" fillId="0" borderId="51" xfId="12" applyNumberFormat="1" applyFont="1" applyBorder="1"/>
    <xf numFmtId="0" fontId="45" fillId="0" borderId="0" xfId="12"/>
    <xf numFmtId="49" fontId="46" fillId="0" borderId="0" xfId="12" applyNumberFormat="1" applyFont="1" applyFill="1" applyBorder="1" applyAlignment="1">
      <alignment horizontal="left" vertical="center"/>
    </xf>
    <xf numFmtId="0" fontId="48" fillId="0" borderId="0" xfId="12" applyFont="1"/>
    <xf numFmtId="0" fontId="45" fillId="0" borderId="0" xfId="12" applyFill="1" applyBorder="1"/>
    <xf numFmtId="0" fontId="3" fillId="3" borderId="2" xfId="12" applyFont="1" applyFill="1" applyBorder="1" applyAlignment="1">
      <alignment horizontal="center" vertical="center" wrapText="1"/>
    </xf>
    <xf numFmtId="0" fontId="52" fillId="3" borderId="2" xfId="12" applyFont="1" applyFill="1" applyBorder="1" applyAlignment="1">
      <alignment horizontal="center" vertical="center" wrapText="1"/>
    </xf>
    <xf numFmtId="0" fontId="52" fillId="3" borderId="0" xfId="12" applyFont="1" applyFill="1" applyBorder="1" applyAlignment="1">
      <alignment horizontal="center" vertical="center" wrapText="1"/>
    </xf>
    <xf numFmtId="0" fontId="54"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0" fontId="45" fillId="0" borderId="0" xfId="12" applyFill="1"/>
    <xf numFmtId="165" fontId="20" fillId="0" borderId="0" xfId="15" applyNumberFormat="1" applyFont="1" applyFill="1"/>
    <xf numFmtId="176" fontId="20" fillId="0" borderId="0" xfId="12" applyNumberFormat="1" applyFont="1" applyFill="1" applyAlignment="1">
      <alignment horizontal="center"/>
    </xf>
    <xf numFmtId="9" fontId="39" fillId="0" borderId="0" xfId="18" applyFont="1" applyFill="1" applyBorder="1"/>
    <xf numFmtId="176" fontId="13" fillId="0" borderId="0" xfId="12" applyNumberFormat="1" applyFont="1" applyFill="1" applyAlignment="1">
      <alignment horizontal="left"/>
    </xf>
    <xf numFmtId="165" fontId="45" fillId="0" borderId="0" xfId="15" applyNumberFormat="1" applyFont="1" applyFill="1" applyBorder="1"/>
    <xf numFmtId="165" fontId="13" fillId="0" borderId="0" xfId="15" applyNumberFormat="1" applyFont="1" applyFill="1" applyBorder="1"/>
    <xf numFmtId="165" fontId="20" fillId="0" borderId="0" xfId="15" applyNumberFormat="1" applyFont="1" applyFill="1" applyBorder="1"/>
    <xf numFmtId="0" fontId="21" fillId="0" borderId="0" xfId="12" applyFont="1" applyFill="1" applyBorder="1"/>
    <xf numFmtId="165" fontId="21" fillId="0" borderId="0" xfId="15" applyNumberFormat="1" applyFont="1" applyFill="1" applyBorder="1"/>
    <xf numFmtId="44" fontId="55" fillId="0" borderId="0" xfId="15" applyFont="1" applyBorder="1" applyAlignment="1">
      <alignment horizontal="center"/>
    </xf>
    <xf numFmtId="44" fontId="45" fillId="0" borderId="0" xfId="15"/>
    <xf numFmtId="0" fontId="45" fillId="0" borderId="0" xfId="18" applyNumberFormat="1"/>
    <xf numFmtId="165" fontId="45" fillId="0" borderId="0" xfId="15" applyNumberFormat="1" applyFill="1"/>
    <xf numFmtId="165" fontId="45" fillId="0" borderId="0" xfId="15" applyNumberFormat="1"/>
    <xf numFmtId="165" fontId="45" fillId="0" borderId="0" xfId="15" applyNumberFormat="1" applyBorder="1"/>
    <xf numFmtId="165" fontId="45" fillId="0" borderId="0" xfId="15" applyNumberFormat="1" applyFill="1" applyBorder="1"/>
    <xf numFmtId="3" fontId="45" fillId="0" borderId="0" xfId="15" applyNumberFormat="1" applyFill="1" applyBorder="1"/>
    <xf numFmtId="44" fontId="60" fillId="0" borderId="0" xfId="15" applyFont="1"/>
    <xf numFmtId="165" fontId="51" fillId="0" borderId="0" xfId="15" applyNumberFormat="1" applyFont="1"/>
    <xf numFmtId="9" fontId="39" fillId="0" borderId="51" xfId="18" applyFont="1" applyFill="1" applyBorder="1"/>
    <xf numFmtId="42" fontId="45" fillId="0" borderId="8" xfId="12" applyNumberFormat="1" applyBorder="1"/>
    <xf numFmtId="42" fontId="45" fillId="0" borderId="10" xfId="12" applyNumberFormat="1" applyBorder="1"/>
    <xf numFmtId="42" fontId="45" fillId="0" borderId="5" xfId="12" applyNumberFormat="1" applyBorder="1"/>
    <xf numFmtId="9" fontId="39" fillId="0" borderId="32" xfId="18" applyFont="1" applyFill="1" applyBorder="1"/>
    <xf numFmtId="1" fontId="56" fillId="0" borderId="52" xfId="18" applyNumberFormat="1" applyFont="1" applyFill="1" applyBorder="1" applyAlignment="1">
      <alignment horizontal="center"/>
    </xf>
    <xf numFmtId="1" fontId="56" fillId="0" borderId="53" xfId="18" applyNumberFormat="1" applyFont="1" applyFill="1" applyBorder="1" applyAlignment="1">
      <alignment horizontal="center"/>
    </xf>
    <xf numFmtId="1" fontId="56" fillId="0" borderId="50" xfId="18" applyNumberFormat="1" applyFont="1" applyFill="1" applyBorder="1" applyAlignment="1">
      <alignment horizontal="center"/>
    </xf>
    <xf numFmtId="165" fontId="13" fillId="6" borderId="0" xfId="2" applyNumberFormat="1" applyFill="1"/>
    <xf numFmtId="0" fontId="48" fillId="0" borderId="32" xfId="12" applyFont="1" applyFill="1" applyBorder="1" applyAlignment="1">
      <alignment horizontal="right"/>
    </xf>
    <xf numFmtId="42" fontId="13" fillId="6" borderId="5" xfId="2" applyNumberFormat="1" applyFill="1" applyBorder="1"/>
    <xf numFmtId="165" fontId="13" fillId="6" borderId="5" xfId="2" applyNumberFormat="1" applyFill="1" applyBorder="1"/>
    <xf numFmtId="3" fontId="52" fillId="3" borderId="2" xfId="12" applyNumberFormat="1" applyFont="1" applyFill="1" applyBorder="1" applyAlignment="1">
      <alignment horizontal="center" vertical="center" wrapText="1"/>
    </xf>
    <xf numFmtId="3" fontId="45" fillId="0" borderId="5" xfId="12" applyNumberFormat="1" applyBorder="1"/>
    <xf numFmtId="3" fontId="13" fillId="6" borderId="5" xfId="2" applyNumberFormat="1" applyFill="1" applyBorder="1"/>
    <xf numFmtId="3" fontId="45" fillId="0" borderId="0" xfId="12" applyNumberFormat="1" applyFill="1"/>
    <xf numFmtId="3" fontId="45" fillId="0" borderId="0" xfId="12" applyNumberFormat="1" applyFill="1" applyAlignment="1">
      <alignment horizontal="center"/>
    </xf>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2" fillId="0" borderId="32" xfId="15" applyNumberFormat="1" applyFont="1" applyFill="1" applyBorder="1" applyAlignment="1">
      <alignment horizontal="right" wrapText="1"/>
    </xf>
    <xf numFmtId="0" fontId="19" fillId="0" borderId="7" xfId="12" applyFont="1" applyFill="1" applyBorder="1"/>
    <xf numFmtId="166" fontId="45" fillId="0" borderId="7" xfId="18" applyNumberFormat="1" applyFont="1" applyFill="1" applyBorder="1"/>
    <xf numFmtId="0" fontId="45" fillId="0" borderId="0" xfId="12"/>
    <xf numFmtId="49" fontId="46" fillId="0" borderId="0" xfId="12" applyNumberFormat="1" applyFont="1" applyFill="1" applyBorder="1" applyAlignment="1">
      <alignment horizontal="left" vertical="center"/>
    </xf>
    <xf numFmtId="0" fontId="48" fillId="0" borderId="0" xfId="12" applyFont="1"/>
    <xf numFmtId="0" fontId="45" fillId="0" borderId="0" xfId="12" applyFill="1" applyBorder="1"/>
    <xf numFmtId="0" fontId="3" fillId="3" borderId="2" xfId="12" applyFont="1" applyFill="1" applyBorder="1" applyAlignment="1">
      <alignment horizontal="center" vertical="center" wrapText="1"/>
    </xf>
    <xf numFmtId="0" fontId="52" fillId="3" borderId="2" xfId="12" applyFont="1" applyFill="1" applyBorder="1" applyAlignment="1">
      <alignment horizontal="center" vertical="center" wrapText="1"/>
    </xf>
    <xf numFmtId="0" fontId="52" fillId="3" borderId="0" xfId="12" applyFont="1" applyFill="1" applyBorder="1" applyAlignment="1">
      <alignment horizontal="center" vertical="center" wrapText="1"/>
    </xf>
    <xf numFmtId="0" fontId="54"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0" fontId="45" fillId="0" borderId="0" xfId="12" applyFill="1"/>
    <xf numFmtId="165" fontId="20" fillId="0" borderId="0" xfId="15" applyNumberFormat="1" applyFont="1" applyFill="1"/>
    <xf numFmtId="176" fontId="20" fillId="0" borderId="0" xfId="12" applyNumberFormat="1" applyFont="1" applyFill="1" applyAlignment="1">
      <alignment horizontal="center"/>
    </xf>
    <xf numFmtId="9" fontId="39" fillId="0" borderId="0" xfId="18" applyFont="1" applyFill="1" applyBorder="1"/>
    <xf numFmtId="176" fontId="13" fillId="0" borderId="0" xfId="12" applyNumberFormat="1" applyFont="1" applyFill="1" applyAlignment="1">
      <alignment horizontal="left"/>
    </xf>
    <xf numFmtId="165" fontId="13" fillId="0" borderId="0" xfId="15" applyNumberFormat="1" applyFont="1" applyFill="1" applyBorder="1"/>
    <xf numFmtId="165" fontId="20" fillId="0" borderId="0" xfId="15" applyNumberFormat="1" applyFont="1" applyFill="1" applyBorder="1"/>
    <xf numFmtId="0" fontId="21" fillId="0" borderId="0" xfId="12" applyFont="1" applyFill="1" applyBorder="1"/>
    <xf numFmtId="165" fontId="21" fillId="0" borderId="0" xfId="15" applyNumberFormat="1" applyFont="1" applyFill="1" applyBorder="1"/>
    <xf numFmtId="0" fontId="48" fillId="0" borderId="0" xfId="12" applyFont="1" applyFill="1" applyAlignment="1">
      <alignment horizontal="right"/>
    </xf>
    <xf numFmtId="44" fontId="55" fillId="0" borderId="0" xfId="15" applyFont="1" applyBorder="1" applyAlignment="1">
      <alignment horizontal="center"/>
    </xf>
    <xf numFmtId="44" fontId="45" fillId="0" borderId="0" xfId="15"/>
    <xf numFmtId="0" fontId="45" fillId="0" borderId="0" xfId="18" applyNumberFormat="1"/>
    <xf numFmtId="165" fontId="45" fillId="0" borderId="0" xfId="15" applyNumberFormat="1" applyFill="1"/>
    <xf numFmtId="165" fontId="45" fillId="0" borderId="0" xfId="15" applyNumberFormat="1"/>
    <xf numFmtId="165" fontId="45" fillId="0" borderId="0" xfId="15" applyNumberFormat="1" applyBorder="1"/>
    <xf numFmtId="165" fontId="45" fillId="0" borderId="0" xfId="15" applyNumberFormat="1" applyFill="1" applyBorder="1"/>
    <xf numFmtId="166" fontId="48" fillId="0" borderId="0" xfId="12" applyNumberFormat="1" applyFont="1" applyFill="1" applyAlignment="1">
      <alignment horizontal="right"/>
    </xf>
    <xf numFmtId="44" fontId="60" fillId="0" borderId="0" xfId="15" applyFont="1"/>
    <xf numFmtId="42" fontId="45" fillId="0" borderId="8" xfId="12" applyNumberFormat="1" applyBorder="1"/>
    <xf numFmtId="42" fontId="45" fillId="0" borderId="10" xfId="12" applyNumberFormat="1" applyBorder="1"/>
    <xf numFmtId="42" fontId="45" fillId="0" borderId="5" xfId="12" applyNumberFormat="1" applyBorder="1"/>
    <xf numFmtId="1" fontId="56" fillId="0" borderId="52" xfId="18" applyNumberFormat="1" applyFont="1" applyFill="1" applyBorder="1" applyAlignment="1">
      <alignment horizontal="center"/>
    </xf>
    <xf numFmtId="1" fontId="56" fillId="0" borderId="53" xfId="18" applyNumberFormat="1" applyFont="1" applyFill="1" applyBorder="1" applyAlignment="1">
      <alignment horizontal="center"/>
    </xf>
    <xf numFmtId="1" fontId="56" fillId="0" borderId="50" xfId="18" applyNumberFormat="1" applyFont="1" applyFill="1" applyBorder="1" applyAlignment="1">
      <alignment horizontal="center"/>
    </xf>
    <xf numFmtId="165" fontId="13" fillId="6" borderId="0" xfId="2" applyNumberFormat="1" applyFill="1"/>
    <xf numFmtId="0" fontId="48" fillId="0" borderId="32" xfId="12" applyFont="1" applyFill="1" applyBorder="1" applyAlignment="1">
      <alignment horizontal="right"/>
    </xf>
    <xf numFmtId="3" fontId="52" fillId="3" borderId="2" xfId="12" applyNumberFormat="1" applyFont="1" applyFill="1" applyBorder="1" applyAlignment="1">
      <alignment horizontal="center" vertical="center" wrapText="1"/>
    </xf>
    <xf numFmtId="3" fontId="45" fillId="0" borderId="5" xfId="12" applyNumberFormat="1" applyBorder="1"/>
    <xf numFmtId="3" fontId="45" fillId="0" borderId="0" xfId="12" applyNumberFormat="1" applyFill="1"/>
    <xf numFmtId="3" fontId="45" fillId="0" borderId="0" xfId="12" applyNumberFormat="1" applyFill="1" applyAlignment="1">
      <alignment horizontal="center"/>
    </xf>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2" fillId="0" borderId="32" xfId="15" applyNumberFormat="1" applyFont="1" applyFill="1" applyBorder="1" applyAlignment="1">
      <alignment horizontal="right" wrapText="1"/>
    </xf>
    <xf numFmtId="0" fontId="19" fillId="0" borderId="7" xfId="12" applyFont="1" applyFill="1" applyBorder="1"/>
    <xf numFmtId="166" fontId="45" fillId="0" borderId="7" xfId="18" applyNumberFormat="1" applyFont="1" applyFill="1" applyBorder="1"/>
    <xf numFmtId="0" fontId="45" fillId="0" borderId="0" xfId="12"/>
    <xf numFmtId="49" fontId="46" fillId="0" borderId="0" xfId="12" applyNumberFormat="1" applyFont="1" applyFill="1" applyBorder="1" applyAlignment="1">
      <alignment horizontal="left" vertical="center"/>
    </xf>
    <xf numFmtId="0" fontId="45" fillId="0" borderId="0" xfId="12" applyBorder="1"/>
    <xf numFmtId="0" fontId="48" fillId="0" borderId="0" xfId="12" applyFont="1"/>
    <xf numFmtId="0" fontId="45" fillId="0" borderId="0" xfId="12" applyFill="1" applyBorder="1"/>
    <xf numFmtId="0" fontId="48" fillId="0" borderId="0" xfId="12" applyFont="1" applyFill="1" applyBorder="1"/>
    <xf numFmtId="0" fontId="3" fillId="3" borderId="2" xfId="12" applyFont="1" applyFill="1" applyBorder="1" applyAlignment="1">
      <alignment horizontal="center" vertical="center" wrapText="1"/>
    </xf>
    <xf numFmtId="0" fontId="52" fillId="3" borderId="2" xfId="12" applyFont="1" applyFill="1" applyBorder="1" applyAlignment="1">
      <alignment horizontal="center" vertical="center" wrapText="1"/>
    </xf>
    <xf numFmtId="0" fontId="52" fillId="3" borderId="0" xfId="12" applyFont="1" applyFill="1" applyBorder="1" applyAlignment="1">
      <alignment horizontal="center" vertical="center" wrapText="1"/>
    </xf>
    <xf numFmtId="42" fontId="48" fillId="0" borderId="0" xfId="12" applyNumberFormat="1" applyFont="1"/>
    <xf numFmtId="165" fontId="45" fillId="0" borderId="0" xfId="12" applyNumberFormat="1"/>
    <xf numFmtId="0" fontId="20" fillId="0" borderId="0" xfId="12" applyFont="1"/>
    <xf numFmtId="0" fontId="54" fillId="0" borderId="0" xfId="17" applyNumberFormat="1" applyFont="1" applyAlignment="1" applyProtection="1">
      <alignment horizontal="left"/>
      <protection locked="0"/>
    </xf>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41" fontId="13" fillId="0" borderId="0" xfId="17" applyNumberFormat="1" applyFont="1" applyFill="1" applyBorder="1" applyAlignment="1" applyProtection="1">
      <alignment horizontal="left"/>
    </xf>
    <xf numFmtId="0" fontId="45" fillId="0" borderId="0" xfId="12" applyFill="1"/>
    <xf numFmtId="165" fontId="20" fillId="0" borderId="0" xfId="15" applyNumberFormat="1" applyFont="1" applyFill="1"/>
    <xf numFmtId="176" fontId="20" fillId="0" borderId="0" xfId="12" applyNumberFormat="1" applyFont="1" applyFill="1" applyAlignment="1">
      <alignment horizontal="center"/>
    </xf>
    <xf numFmtId="0" fontId="13" fillId="0" borderId="0" xfId="12" applyFont="1" applyAlignment="1">
      <alignment horizontal="left"/>
    </xf>
    <xf numFmtId="9" fontId="39" fillId="0" borderId="0" xfId="18" applyFont="1" applyFill="1" applyBorder="1"/>
    <xf numFmtId="176" fontId="13" fillId="0" borderId="0" xfId="12" applyNumberFormat="1" applyFont="1" applyFill="1" applyAlignment="1">
      <alignment horizontal="left"/>
    </xf>
    <xf numFmtId="165" fontId="48" fillId="0" borderId="0" xfId="15" applyNumberFormat="1" applyFont="1" applyBorder="1"/>
    <xf numFmtId="165" fontId="45" fillId="0" borderId="0" xfId="15" applyNumberFormat="1" applyFont="1" applyFill="1" applyBorder="1"/>
    <xf numFmtId="165" fontId="13" fillId="0" borderId="0" xfId="15" applyNumberFormat="1" applyFont="1" applyFill="1" applyBorder="1"/>
    <xf numFmtId="0" fontId="20" fillId="0" borderId="0" xfId="12" applyFont="1" applyFill="1" applyBorder="1"/>
    <xf numFmtId="165" fontId="20" fillId="0" borderId="0" xfId="15" applyNumberFormat="1" applyFont="1" applyFill="1" applyBorder="1"/>
    <xf numFmtId="0" fontId="21" fillId="0" borderId="0" xfId="12" applyFont="1" applyFill="1" applyBorder="1"/>
    <xf numFmtId="165" fontId="21" fillId="0" borderId="0" xfId="15" applyNumberFormat="1" applyFont="1" applyFill="1" applyBorder="1"/>
    <xf numFmtId="0" fontId="13" fillId="0" borderId="0" xfId="12" applyFont="1" applyFill="1" applyBorder="1"/>
    <xf numFmtId="165" fontId="48" fillId="0" borderId="0" xfId="15" applyNumberFormat="1" applyFont="1" applyFill="1" applyBorder="1"/>
    <xf numFmtId="3" fontId="48" fillId="0" borderId="0" xfId="15" applyNumberFormat="1" applyFont="1" applyFill="1" applyBorder="1"/>
    <xf numFmtId="42" fontId="45" fillId="0" borderId="0" xfId="12" applyNumberFormat="1" applyFill="1"/>
    <xf numFmtId="165" fontId="45" fillId="0" borderId="0" xfId="12" applyNumberFormat="1" applyFill="1"/>
    <xf numFmtId="0" fontId="48" fillId="0" borderId="0" xfId="12" applyFont="1" applyFill="1"/>
    <xf numFmtId="0" fontId="48" fillId="0" borderId="0" xfId="12" applyFont="1" applyFill="1" applyAlignment="1">
      <alignment horizontal="right"/>
    </xf>
    <xf numFmtId="0" fontId="48" fillId="0" borderId="0" xfId="12" applyFont="1" applyAlignment="1">
      <alignment horizontal="right"/>
    </xf>
    <xf numFmtId="0" fontId="48" fillId="0" borderId="0" xfId="12" quotePrefix="1" applyFont="1"/>
    <xf numFmtId="165" fontId="50" fillId="0" borderId="0" xfId="12" applyNumberFormat="1" applyFont="1"/>
    <xf numFmtId="9" fontId="56" fillId="0" borderId="0" xfId="18" applyFont="1" applyFill="1" applyBorder="1"/>
    <xf numFmtId="2" fontId="13" fillId="0" borderId="0" xfId="12" applyNumberFormat="1" applyFont="1" applyFill="1" applyAlignment="1">
      <alignment horizontal="right"/>
    </xf>
    <xf numFmtId="44" fontId="48" fillId="0" borderId="0" xfId="12" applyNumberFormat="1" applyFont="1" applyAlignment="1">
      <alignment horizontal="right"/>
    </xf>
    <xf numFmtId="44" fontId="55" fillId="0" borderId="0" xfId="15" applyFont="1" applyBorder="1" applyAlignment="1">
      <alignment horizontal="center"/>
    </xf>
    <xf numFmtId="44" fontId="45" fillId="0" borderId="0" xfId="15"/>
    <xf numFmtId="0" fontId="45" fillId="0" borderId="0" xfId="18" applyNumberFormat="1"/>
    <xf numFmtId="165" fontId="45" fillId="0" borderId="0" xfId="15" applyNumberFormat="1" applyFill="1"/>
    <xf numFmtId="165" fontId="45" fillId="0" borderId="0" xfId="15" applyNumberFormat="1"/>
    <xf numFmtId="165" fontId="45" fillId="0" borderId="0" xfId="15" applyNumberFormat="1" applyBorder="1"/>
    <xf numFmtId="165" fontId="45" fillId="0" borderId="0" xfId="15" applyNumberFormat="1" applyFill="1" applyBorder="1"/>
    <xf numFmtId="3" fontId="45" fillId="0" borderId="0" xfId="15" applyNumberFormat="1" applyFill="1" applyBorder="1"/>
    <xf numFmtId="3" fontId="48" fillId="0" borderId="0" xfId="12" applyNumberFormat="1" applyFont="1" applyAlignment="1">
      <alignment horizontal="right"/>
    </xf>
    <xf numFmtId="166" fontId="48" fillId="0" borderId="0" xfId="12" applyNumberFormat="1" applyFont="1" applyFill="1" applyAlignment="1">
      <alignment horizontal="right"/>
    </xf>
    <xf numFmtId="0" fontId="45" fillId="0" borderId="0" xfId="12" applyAlignment="1">
      <alignment horizontal="right"/>
    </xf>
    <xf numFmtId="0" fontId="49" fillId="0" borderId="0" xfId="12" applyFont="1"/>
    <xf numFmtId="44" fontId="60" fillId="0" borderId="0" xfId="15" applyFont="1"/>
    <xf numFmtId="165" fontId="48" fillId="0" borderId="0" xfId="12" applyNumberFormat="1" applyFont="1" applyBorder="1"/>
    <xf numFmtId="9" fontId="39" fillId="0" borderId="51" xfId="18" applyFont="1" applyFill="1" applyBorder="1"/>
    <xf numFmtId="0" fontId="45" fillId="0" borderId="32" xfId="12" applyBorder="1"/>
    <xf numFmtId="165" fontId="20" fillId="0" borderId="51" xfId="15" applyNumberFormat="1" applyFont="1" applyFill="1" applyBorder="1"/>
    <xf numFmtId="165" fontId="20" fillId="0" borderId="51" xfId="15" applyNumberFormat="1" applyFont="1" applyBorder="1"/>
    <xf numFmtId="176" fontId="20" fillId="0" borderId="51" xfId="12" applyNumberFormat="1" applyFont="1" applyFill="1" applyBorder="1" applyAlignment="1">
      <alignment horizontal="center"/>
    </xf>
    <xf numFmtId="165" fontId="48" fillId="0" borderId="51" xfId="15" applyNumberFormat="1" applyFont="1" applyFill="1" applyBorder="1"/>
    <xf numFmtId="165" fontId="48" fillId="0" borderId="51" xfId="15" applyNumberFormat="1" applyFont="1" applyBorder="1"/>
    <xf numFmtId="0" fontId="45" fillId="0" borderId="53" xfId="12" applyBorder="1"/>
    <xf numFmtId="165" fontId="48" fillId="2" borderId="17" xfId="15" applyNumberFormat="1" applyFont="1" applyFill="1" applyBorder="1"/>
    <xf numFmtId="42" fontId="45" fillId="0" borderId="8" xfId="12" applyNumberFormat="1" applyBorder="1"/>
    <xf numFmtId="42" fontId="45" fillId="0" borderId="10" xfId="12" applyNumberFormat="1" applyBorder="1"/>
    <xf numFmtId="42" fontId="45" fillId="0" borderId="5" xfId="12" applyNumberFormat="1" applyBorder="1"/>
    <xf numFmtId="165" fontId="45" fillId="0" borderId="51" xfId="15" applyNumberFormat="1" applyFill="1" applyBorder="1"/>
    <xf numFmtId="165" fontId="45" fillId="0" borderId="32" xfId="15" applyNumberFormat="1" applyFill="1" applyBorder="1"/>
    <xf numFmtId="165" fontId="45" fillId="0" borderId="51" xfId="15" applyNumberFormat="1" applyBorder="1"/>
    <xf numFmtId="165" fontId="45" fillId="0" borderId="32" xfId="15" applyNumberFormat="1" applyBorder="1"/>
    <xf numFmtId="165" fontId="48" fillId="2" borderId="18" xfId="15" applyNumberFormat="1" applyFont="1" applyFill="1" applyBorder="1"/>
    <xf numFmtId="165" fontId="48" fillId="2" borderId="19" xfId="15" applyNumberFormat="1" applyFont="1" applyFill="1" applyBorder="1"/>
    <xf numFmtId="1" fontId="56" fillId="0" borderId="52" xfId="18" applyNumberFormat="1" applyFont="1" applyFill="1" applyBorder="1" applyAlignment="1">
      <alignment horizontal="center"/>
    </xf>
    <xf numFmtId="1" fontId="56" fillId="0" borderId="53" xfId="18" applyNumberFormat="1" applyFont="1" applyFill="1" applyBorder="1" applyAlignment="1">
      <alignment horizontal="center"/>
    </xf>
    <xf numFmtId="1" fontId="56" fillId="0" borderId="50" xfId="18" applyNumberFormat="1" applyFont="1" applyFill="1" applyBorder="1" applyAlignment="1">
      <alignment horizontal="center"/>
    </xf>
    <xf numFmtId="165" fontId="45" fillId="0" borderId="32" xfId="12" applyNumberFormat="1" applyBorder="1"/>
    <xf numFmtId="0" fontId="48" fillId="0" borderId="32" xfId="12" applyFont="1" applyBorder="1"/>
    <xf numFmtId="165" fontId="45" fillId="2" borderId="17" xfId="15" applyNumberFormat="1" applyFont="1" applyFill="1" applyBorder="1"/>
    <xf numFmtId="165" fontId="45" fillId="2" borderId="18" xfId="15" applyNumberFormat="1" applyFont="1" applyFill="1" applyBorder="1"/>
    <xf numFmtId="181" fontId="45" fillId="0" borderId="50" xfId="12" applyNumberFormat="1" applyBorder="1"/>
    <xf numFmtId="165" fontId="45" fillId="2" borderId="33" xfId="15" applyNumberFormat="1" applyFont="1" applyFill="1" applyBorder="1"/>
    <xf numFmtId="165" fontId="13" fillId="6" borderId="0" xfId="2" applyNumberFormat="1" applyFill="1"/>
    <xf numFmtId="0" fontId="48" fillId="0" borderId="32" xfId="12" applyFont="1" applyFill="1" applyBorder="1" applyAlignment="1">
      <alignment horizontal="right"/>
    </xf>
    <xf numFmtId="3" fontId="52" fillId="3" borderId="2" xfId="12" applyNumberFormat="1" applyFont="1" applyFill="1" applyBorder="1" applyAlignment="1">
      <alignment horizontal="center" vertical="center" wrapText="1"/>
    </xf>
    <xf numFmtId="3" fontId="45" fillId="0" borderId="5" xfId="12" applyNumberFormat="1" applyBorder="1"/>
    <xf numFmtId="3" fontId="45" fillId="0" borderId="0" xfId="12" applyNumberFormat="1" applyFill="1"/>
    <xf numFmtId="3" fontId="45" fillId="0" borderId="0" xfId="12" applyNumberFormat="1" applyFill="1" applyAlignment="1">
      <alignment horizontal="center"/>
    </xf>
    <xf numFmtId="3" fontId="45" fillId="2" borderId="33" xfId="15" applyNumberFormat="1" applyFont="1" applyFill="1" applyBorder="1"/>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2" xfId="15" applyNumberFormat="1" applyFont="1" applyFill="1" applyBorder="1" applyAlignment="1">
      <alignment horizontal="center" wrapText="1"/>
    </xf>
    <xf numFmtId="165" fontId="1" fillId="6" borderId="35" xfId="15" applyNumberFormat="1" applyFont="1" applyFill="1" applyBorder="1" applyAlignment="1">
      <alignment horizontal="center" wrapText="1"/>
    </xf>
    <xf numFmtId="165" fontId="62" fillId="0" borderId="32" xfId="15" applyNumberFormat="1" applyFont="1" applyFill="1" applyBorder="1" applyAlignment="1">
      <alignment horizontal="right" wrapText="1"/>
    </xf>
    <xf numFmtId="0" fontId="19" fillId="0" borderId="7" xfId="12" applyFont="1" applyFill="1" applyBorder="1"/>
    <xf numFmtId="166" fontId="45" fillId="0" borderId="7" xfId="18" applyNumberFormat="1" applyFont="1" applyFill="1" applyBorder="1"/>
    <xf numFmtId="165" fontId="45" fillId="0" borderId="0" xfId="12" applyNumberFormat="1" applyBorder="1"/>
    <xf numFmtId="42" fontId="48" fillId="0" borderId="0" xfId="12" applyNumberFormat="1" applyFont="1" applyBorder="1"/>
    <xf numFmtId="9" fontId="20" fillId="0" borderId="0" xfId="18" applyFont="1" applyFill="1" applyBorder="1"/>
    <xf numFmtId="181" fontId="47" fillId="0" borderId="0" xfId="12" applyNumberFormat="1" applyFont="1" applyBorder="1"/>
    <xf numFmtId="42" fontId="47" fillId="0" borderId="32" xfId="12" applyNumberFormat="1" applyFont="1" applyBorder="1"/>
    <xf numFmtId="165" fontId="48" fillId="0" borderId="32" xfId="12" applyNumberFormat="1" applyFont="1" applyBorder="1"/>
    <xf numFmtId="181" fontId="47" fillId="0" borderId="51" xfId="12" applyNumberFormat="1" applyFont="1" applyBorder="1"/>
    <xf numFmtId="0" fontId="16" fillId="0" borderId="0" xfId="3"/>
    <xf numFmtId="49" fontId="46" fillId="0" borderId="0" xfId="3" applyNumberFormat="1" applyFont="1" applyFill="1" applyBorder="1" applyAlignment="1">
      <alignment horizontal="left" vertical="center"/>
    </xf>
    <xf numFmtId="0" fontId="48"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54" fillId="0" borderId="0" xfId="23" applyNumberFormat="1" applyFont="1" applyAlignment="1" applyProtection="1">
      <alignment horizontal="left"/>
      <protection locked="0"/>
    </xf>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39" fillId="0" borderId="0" xfId="4" applyFont="1" applyFill="1" applyBorder="1"/>
    <xf numFmtId="176" fontId="13" fillId="0" borderId="0" xfId="3" applyNumberFormat="1" applyFont="1" applyFill="1" applyAlignment="1">
      <alignment horizontal="left"/>
    </xf>
    <xf numFmtId="165" fontId="16" fillId="0" borderId="0" xfId="20" applyNumberFormat="1" applyFont="1" applyFill="1" applyBorder="1"/>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44" fontId="55"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16" fillId="0" borderId="0" xfId="20" applyNumberFormat="1" applyFill="1" applyBorder="1"/>
    <xf numFmtId="0" fontId="49" fillId="0" borderId="0" xfId="3" applyFont="1"/>
    <xf numFmtId="44" fontId="60" fillId="0" borderId="0" xfId="20" applyFont="1"/>
    <xf numFmtId="0" fontId="16" fillId="0" borderId="0" xfId="3" applyAlignment="1">
      <alignment vertical="top"/>
    </xf>
    <xf numFmtId="42" fontId="16" fillId="0" borderId="8" xfId="3" applyNumberFormat="1" applyBorder="1"/>
    <xf numFmtId="42" fontId="16" fillId="0" borderId="10" xfId="3" applyNumberFormat="1" applyBorder="1"/>
    <xf numFmtId="42" fontId="16" fillId="0" borderId="5" xfId="3" applyNumberFormat="1" applyBorder="1"/>
    <xf numFmtId="1" fontId="56" fillId="0" borderId="52" xfId="4" applyNumberFormat="1" applyFont="1" applyFill="1" applyBorder="1" applyAlignment="1">
      <alignment horizontal="center"/>
    </xf>
    <xf numFmtId="1" fontId="56" fillId="0" borderId="53" xfId="4" applyNumberFormat="1" applyFont="1" applyFill="1" applyBorder="1" applyAlignment="1">
      <alignment horizontal="center"/>
    </xf>
    <xf numFmtId="1" fontId="56" fillId="0" borderId="50" xfId="4" applyNumberFormat="1" applyFont="1" applyFill="1" applyBorder="1" applyAlignment="1">
      <alignment horizontal="center"/>
    </xf>
    <xf numFmtId="165" fontId="13" fillId="6" borderId="0" xfId="2" applyNumberFormat="1" applyFill="1"/>
    <xf numFmtId="0" fontId="48" fillId="0" borderId="32" xfId="3" applyFont="1" applyFill="1" applyBorder="1" applyAlignment="1">
      <alignment horizontal="right"/>
    </xf>
    <xf numFmtId="3" fontId="3" fillId="3" borderId="2" xfId="3" applyNumberFormat="1" applyFont="1" applyFill="1" applyBorder="1" applyAlignment="1">
      <alignment horizontal="center" vertical="center" wrapText="1"/>
    </xf>
    <xf numFmtId="3" fontId="16" fillId="0" borderId="5" xfId="3" applyNumberFormat="1" applyBorder="1"/>
    <xf numFmtId="3" fontId="16" fillId="0" borderId="0" xfId="3" applyNumberFormat="1" applyFill="1"/>
    <xf numFmtId="3" fontId="16" fillId="0" borderId="0" xfId="3" applyNumberFormat="1" applyFill="1" applyAlignment="1">
      <alignment horizontal="center"/>
    </xf>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2" xfId="20" applyNumberFormat="1" applyFont="1" applyFill="1" applyBorder="1" applyAlignment="1">
      <alignment horizontal="center" wrapText="1"/>
    </xf>
    <xf numFmtId="165" fontId="1" fillId="6" borderId="35" xfId="20" applyNumberFormat="1" applyFont="1" applyFill="1" applyBorder="1" applyAlignment="1">
      <alignment horizontal="center" wrapText="1"/>
    </xf>
    <xf numFmtId="165" fontId="62" fillId="0" borderId="32" xfId="20" applyNumberFormat="1" applyFont="1" applyFill="1" applyBorder="1" applyAlignment="1">
      <alignment horizontal="right" wrapText="1"/>
    </xf>
    <xf numFmtId="0" fontId="19" fillId="0" borderId="7" xfId="3" applyFont="1" applyFill="1" applyBorder="1"/>
    <xf numFmtId="166" fontId="16" fillId="0" borderId="7" xfId="4" applyNumberFormat="1" applyFont="1" applyFill="1" applyBorder="1"/>
    <xf numFmtId="0" fontId="16" fillId="0" borderId="0" xfId="3" applyNumberFormat="1" applyFont="1" applyAlignment="1">
      <alignment horizontal="left" vertical="top" wrapText="1"/>
    </xf>
    <xf numFmtId="0" fontId="26" fillId="0" borderId="0" xfId="9" applyAlignment="1" applyProtection="1">
      <alignment horizontal="right" wrapText="1"/>
    </xf>
    <xf numFmtId="0" fontId="44" fillId="0" borderId="0" xfId="0" applyFont="1" applyAlignment="1">
      <alignment horizontal="right"/>
    </xf>
    <xf numFmtId="0" fontId="16" fillId="0" borderId="0" xfId="3"/>
    <xf numFmtId="49" fontId="46" fillId="0" borderId="0" xfId="3" applyNumberFormat="1" applyFont="1" applyFill="1" applyBorder="1" applyAlignment="1">
      <alignment horizontal="left" vertical="center"/>
    </xf>
    <xf numFmtId="0" fontId="16" fillId="0" borderId="0" xfId="3" applyBorder="1"/>
    <xf numFmtId="0" fontId="48" fillId="0" borderId="0" xfId="3" applyFont="1"/>
    <xf numFmtId="0" fontId="16" fillId="0" borderId="0" xfId="3" applyFill="1" applyBorder="1"/>
    <xf numFmtId="0" fontId="48" fillId="0" borderId="0" xfId="3" applyFont="1"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xf numFmtId="0" fontId="54"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39" fillId="0" borderId="0" xfId="4" applyFont="1" applyFill="1" applyBorder="1"/>
    <xf numFmtId="176" fontId="13" fillId="0" borderId="0" xfId="3" applyNumberFormat="1" applyFont="1" applyFill="1" applyAlignment="1">
      <alignment horizontal="left"/>
    </xf>
    <xf numFmtId="165" fontId="48" fillId="0" borderId="0" xfId="20" applyNumberFormat="1" applyFont="1" applyBorder="1"/>
    <xf numFmtId="165" fontId="16" fillId="0" borderId="0" xfId="20" applyNumberFormat="1" applyFont="1" applyFill="1" applyBorder="1"/>
    <xf numFmtId="165" fontId="13" fillId="0" borderId="0" xfId="20" applyNumberFormat="1" applyFont="1" applyFill="1" applyBorder="1"/>
    <xf numFmtId="0" fontId="20" fillId="0" borderId="0" xfId="3" applyFont="1" applyFill="1" applyBorder="1"/>
    <xf numFmtId="165" fontId="20" fillId="0" borderId="0" xfId="20" applyNumberFormat="1" applyFont="1" applyFill="1" applyBorder="1"/>
    <xf numFmtId="0" fontId="21" fillId="0" borderId="0" xfId="3" applyFont="1" applyFill="1" applyBorder="1"/>
    <xf numFmtId="165" fontId="21" fillId="0" borderId="0" xfId="20" applyNumberFormat="1" applyFont="1" applyFill="1" applyBorder="1"/>
    <xf numFmtId="0" fontId="13" fillId="0" borderId="0" xfId="3" applyFont="1" applyFill="1" applyBorder="1"/>
    <xf numFmtId="165" fontId="48" fillId="0" borderId="0" xfId="20" applyNumberFormat="1" applyFont="1" applyFill="1" applyBorder="1"/>
    <xf numFmtId="0" fontId="48" fillId="0" borderId="0" xfId="3" applyFont="1" applyFill="1"/>
    <xf numFmtId="0" fontId="48" fillId="0" borderId="0" xfId="3" quotePrefix="1" applyFont="1"/>
    <xf numFmtId="0" fontId="16" fillId="0" borderId="0" xfId="3" applyFill="1" applyAlignment="1">
      <alignment horizontal="center"/>
    </xf>
    <xf numFmtId="2" fontId="13" fillId="0" borderId="0" xfId="3" applyNumberFormat="1" applyFont="1" applyFill="1" applyAlignment="1">
      <alignment horizontal="right"/>
    </xf>
    <xf numFmtId="44" fontId="55"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16" fillId="0" borderId="0" xfId="20" applyNumberFormat="1" applyFill="1" applyBorder="1"/>
    <xf numFmtId="0" fontId="16" fillId="0" borderId="0" xfId="3" applyAlignment="1">
      <alignment horizontal="right"/>
    </xf>
    <xf numFmtId="44" fontId="60" fillId="0" borderId="0" xfId="20" applyFont="1"/>
    <xf numFmtId="165" fontId="48" fillId="0" borderId="0" xfId="3" applyNumberFormat="1" applyFont="1" applyBorder="1"/>
    <xf numFmtId="42" fontId="43" fillId="0" borderId="51" xfId="4" applyNumberFormat="1" applyFont="1" applyFill="1" applyBorder="1"/>
    <xf numFmtId="9" fontId="39" fillId="0" borderId="51" xfId="4" applyFont="1" applyFill="1" applyBorder="1"/>
    <xf numFmtId="0" fontId="16" fillId="0" borderId="32" xfId="3" applyBorder="1"/>
    <xf numFmtId="165" fontId="20" fillId="0" borderId="51" xfId="20" applyNumberFormat="1" applyFont="1" applyFill="1" applyBorder="1"/>
    <xf numFmtId="165" fontId="20" fillId="0" borderId="51" xfId="20" applyNumberFormat="1" applyFont="1" applyBorder="1"/>
    <xf numFmtId="176" fontId="20" fillId="0" borderId="51" xfId="3" applyNumberFormat="1" applyFont="1" applyFill="1" applyBorder="1" applyAlignment="1">
      <alignment horizontal="center"/>
    </xf>
    <xf numFmtId="165" fontId="48" fillId="0" borderId="51" xfId="20" applyNumberFormat="1" applyFont="1" applyFill="1" applyBorder="1"/>
    <xf numFmtId="165" fontId="48" fillId="0" borderId="51" xfId="20" applyNumberFormat="1" applyFont="1" applyBorder="1"/>
    <xf numFmtId="42" fontId="16" fillId="0" borderId="8" xfId="3" applyNumberFormat="1" applyBorder="1"/>
    <xf numFmtId="42" fontId="16" fillId="0" borderId="10" xfId="3" applyNumberFormat="1" applyBorder="1"/>
    <xf numFmtId="42" fontId="16" fillId="0" borderId="5" xfId="3" applyNumberFormat="1" applyBorder="1"/>
    <xf numFmtId="165" fontId="16" fillId="0" borderId="51" xfId="20" applyNumberFormat="1" applyFill="1" applyBorder="1"/>
    <xf numFmtId="165" fontId="16" fillId="0" borderId="32" xfId="20" applyNumberFormat="1" applyFill="1" applyBorder="1"/>
    <xf numFmtId="165" fontId="16" fillId="0" borderId="51" xfId="20" applyNumberFormat="1" applyBorder="1"/>
    <xf numFmtId="165" fontId="16" fillId="0" borderId="32" xfId="20" applyNumberFormat="1" applyBorder="1"/>
    <xf numFmtId="3" fontId="48" fillId="0" borderId="8" xfId="20" applyNumberFormat="1" applyFont="1" applyFill="1" applyBorder="1"/>
    <xf numFmtId="3" fontId="48" fillId="0" borderId="10" xfId="20" applyNumberFormat="1" applyFont="1" applyFill="1" applyBorder="1"/>
    <xf numFmtId="3" fontId="48" fillId="0" borderId="5" xfId="20" applyNumberFormat="1" applyFont="1" applyFill="1" applyBorder="1"/>
    <xf numFmtId="1" fontId="56" fillId="0" borderId="52" xfId="4" applyNumberFormat="1" applyFont="1" applyFill="1" applyBorder="1" applyAlignment="1">
      <alignment horizontal="center"/>
    </xf>
    <xf numFmtId="1" fontId="56" fillId="0" borderId="53" xfId="4" applyNumberFormat="1" applyFont="1" applyFill="1" applyBorder="1" applyAlignment="1">
      <alignment horizontal="center"/>
    </xf>
    <xf numFmtId="1" fontId="56" fillId="0" borderId="50" xfId="4" applyNumberFormat="1" applyFont="1" applyFill="1" applyBorder="1" applyAlignment="1">
      <alignment horizontal="center"/>
    </xf>
    <xf numFmtId="165" fontId="16" fillId="0" borderId="32" xfId="3" applyNumberFormat="1" applyBorder="1"/>
    <xf numFmtId="0" fontId="49" fillId="0" borderId="0" xfId="3" applyFont="1" applyAlignment="1">
      <alignment horizontal="center"/>
    </xf>
    <xf numFmtId="165" fontId="13" fillId="6" borderId="0" xfId="2" applyNumberFormat="1" applyFill="1"/>
    <xf numFmtId="0" fontId="48" fillId="0" borderId="32" xfId="3" applyFont="1" applyFill="1" applyBorder="1" applyAlignment="1">
      <alignment horizontal="right"/>
    </xf>
    <xf numFmtId="0" fontId="13" fillId="6" borderId="7" xfId="2" applyFill="1" applyBorder="1"/>
    <xf numFmtId="42" fontId="13" fillId="6" borderId="10" xfId="2" applyNumberFormat="1" applyFill="1" applyBorder="1"/>
    <xf numFmtId="165" fontId="13" fillId="6" borderId="50" xfId="2" applyNumberFormat="1" applyFill="1" applyBorder="1"/>
    <xf numFmtId="0" fontId="62" fillId="0" borderId="32" xfId="3" applyFont="1" applyFill="1" applyBorder="1" applyAlignment="1">
      <alignment horizontal="right" wrapText="1"/>
    </xf>
    <xf numFmtId="0" fontId="5" fillId="6" borderId="2" xfId="3" applyFont="1" applyFill="1" applyBorder="1" applyAlignment="1">
      <alignment horizontal="center" vertical="center" wrapText="1"/>
    </xf>
    <xf numFmtId="0" fontId="5" fillId="6" borderId="35" xfId="3" applyFont="1" applyFill="1" applyBorder="1" applyAlignment="1">
      <alignment horizontal="center" vertical="center" wrapText="1"/>
    </xf>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165" fontId="16" fillId="0" borderId="0" xfId="3" applyNumberFormat="1" applyBorder="1"/>
    <xf numFmtId="42" fontId="48" fillId="0" borderId="0" xfId="3" applyNumberFormat="1" applyFont="1" applyBorder="1"/>
    <xf numFmtId="9" fontId="20" fillId="0" borderId="0" xfId="4" applyFont="1" applyFill="1" applyBorder="1"/>
    <xf numFmtId="181" fontId="48" fillId="0" borderId="0" xfId="3" applyNumberFormat="1" applyFont="1" applyBorder="1"/>
    <xf numFmtId="42" fontId="48" fillId="0" borderId="32" xfId="3" applyNumberFormat="1" applyFont="1" applyBorder="1"/>
    <xf numFmtId="165" fontId="48" fillId="0" borderId="32" xfId="3" applyNumberFormat="1" applyFont="1" applyBorder="1"/>
    <xf numFmtId="0" fontId="16" fillId="0" borderId="0" xfId="3"/>
    <xf numFmtId="0" fontId="48"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42" fontId="48" fillId="0" borderId="0" xfId="3" applyNumberFormat="1" applyFont="1"/>
    <xf numFmtId="165" fontId="16" fillId="0" borderId="0" xfId="3" applyNumberFormat="1"/>
    <xf numFmtId="0" fontId="54"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39" fillId="0" borderId="0" xfId="4" applyFont="1" applyFill="1" applyBorder="1"/>
    <xf numFmtId="165" fontId="13" fillId="0" borderId="0" xfId="20" applyNumberFormat="1" applyFont="1" applyFill="1" applyBorder="1"/>
    <xf numFmtId="165" fontId="48" fillId="0" borderId="0" xfId="20" applyNumberFormat="1" applyFont="1" applyFill="1" applyBorder="1"/>
    <xf numFmtId="3" fontId="48" fillId="0" borderId="0" xfId="20" applyNumberFormat="1" applyFont="1" applyFill="1" applyBorder="1"/>
    <xf numFmtId="42" fontId="16" fillId="0" borderId="0" xfId="3" applyNumberFormat="1" applyFill="1"/>
    <xf numFmtId="165" fontId="16" fillId="0" borderId="0" xfId="3" applyNumberFormat="1" applyFill="1"/>
    <xf numFmtId="0" fontId="48" fillId="0" borderId="0" xfId="3" applyFont="1" applyFill="1"/>
    <xf numFmtId="0" fontId="48" fillId="0" borderId="0" xfId="3" applyFont="1" applyFill="1" applyAlignment="1">
      <alignment horizontal="right"/>
    </xf>
    <xf numFmtId="0" fontId="48" fillId="0" borderId="0" xfId="3" applyFont="1" applyAlignment="1">
      <alignment horizontal="right"/>
    </xf>
    <xf numFmtId="0" fontId="48" fillId="0" borderId="0" xfId="3" quotePrefix="1" applyFont="1"/>
    <xf numFmtId="165" fontId="65" fillId="0" borderId="0" xfId="3" applyNumberFormat="1" applyFont="1"/>
    <xf numFmtId="9" fontId="56" fillId="0" borderId="0" xfId="4" applyFont="1" applyFill="1" applyBorder="1"/>
    <xf numFmtId="44" fontId="48" fillId="0" borderId="0" xfId="3" applyNumberFormat="1" applyFont="1" applyAlignment="1">
      <alignment horizontal="right"/>
    </xf>
    <xf numFmtId="44" fontId="55"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Fill="1" applyBorder="1"/>
    <xf numFmtId="3" fontId="48" fillId="0" borderId="0" xfId="3" applyNumberFormat="1" applyFont="1" applyAlignment="1">
      <alignment horizontal="right"/>
    </xf>
    <xf numFmtId="166" fontId="48" fillId="0" borderId="0" xfId="3" applyNumberFormat="1" applyFont="1" applyFill="1" applyAlignment="1">
      <alignment horizontal="right"/>
    </xf>
    <xf numFmtId="0" fontId="16" fillId="0" borderId="0" xfId="3" applyAlignment="1">
      <alignment horizontal="right"/>
    </xf>
    <xf numFmtId="44" fontId="60" fillId="0" borderId="0" xfId="20" applyFont="1"/>
    <xf numFmtId="42" fontId="16" fillId="0" borderId="8" xfId="3" applyNumberFormat="1" applyBorder="1"/>
    <xf numFmtId="42" fontId="16" fillId="0" borderId="10" xfId="3" applyNumberFormat="1" applyBorder="1"/>
    <xf numFmtId="42" fontId="16" fillId="0" borderId="5" xfId="3" applyNumberFormat="1" applyBorder="1"/>
    <xf numFmtId="1" fontId="56" fillId="0" borderId="52" xfId="4" applyNumberFormat="1" applyFont="1" applyFill="1" applyBorder="1" applyAlignment="1">
      <alignment horizontal="center"/>
    </xf>
    <xf numFmtId="1" fontId="56" fillId="0" borderId="53" xfId="4" applyNumberFormat="1" applyFont="1" applyFill="1" applyBorder="1" applyAlignment="1">
      <alignment horizontal="center"/>
    </xf>
    <xf numFmtId="1" fontId="56" fillId="0" borderId="50" xfId="4" applyNumberFormat="1" applyFont="1" applyFill="1" applyBorder="1" applyAlignment="1">
      <alignment horizontal="center"/>
    </xf>
    <xf numFmtId="165" fontId="13" fillId="6" borderId="0" xfId="2" applyNumberFormat="1" applyFill="1"/>
    <xf numFmtId="0" fontId="48" fillId="0" borderId="32" xfId="3" applyFont="1" applyFill="1" applyBorder="1" applyAlignment="1">
      <alignment horizontal="right"/>
    </xf>
    <xf numFmtId="3" fontId="3" fillId="3" borderId="2" xfId="3" applyNumberFormat="1" applyFont="1" applyFill="1" applyBorder="1" applyAlignment="1">
      <alignment horizontal="center" vertical="center" wrapText="1"/>
    </xf>
    <xf numFmtId="3" fontId="16" fillId="0" borderId="5" xfId="3" applyNumberFormat="1" applyBorder="1"/>
    <xf numFmtId="3" fontId="16" fillId="0" borderId="0" xfId="3" applyNumberFormat="1" applyFill="1"/>
    <xf numFmtId="3" fontId="16" fillId="0" borderId="0" xfId="3" applyNumberFormat="1" applyFill="1" applyAlignment="1">
      <alignment horizontal="center"/>
    </xf>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0" fontId="62" fillId="0" borderId="32" xfId="3" applyFont="1" applyFill="1" applyBorder="1" applyAlignment="1">
      <alignment horizontal="right" wrapText="1"/>
    </xf>
    <xf numFmtId="0" fontId="5" fillId="6" borderId="2" xfId="3" applyFont="1" applyFill="1" applyBorder="1" applyAlignment="1">
      <alignment horizontal="center" vertical="center" wrapText="1"/>
    </xf>
    <xf numFmtId="0" fontId="5" fillId="6" borderId="35" xfId="3" applyFont="1" applyFill="1" applyBorder="1" applyAlignment="1">
      <alignment horizontal="center" vertical="center" wrapText="1"/>
    </xf>
    <xf numFmtId="3" fontId="5" fillId="6" borderId="35" xfId="3" applyNumberFormat="1" applyFont="1" applyFill="1" applyBorder="1" applyAlignment="1">
      <alignment horizontal="center" vertical="center" wrapText="1"/>
    </xf>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0" fontId="16" fillId="0" borderId="0" xfId="3"/>
    <xf numFmtId="49" fontId="46" fillId="0" borderId="0" xfId="3" applyNumberFormat="1" applyFont="1" applyFill="1" applyBorder="1" applyAlignment="1">
      <alignment horizontal="left" vertical="center"/>
    </xf>
    <xf numFmtId="0" fontId="48"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54"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39"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8" fillId="0" borderId="0" xfId="3" applyFont="1" applyFill="1" applyAlignment="1">
      <alignment horizontal="right"/>
    </xf>
    <xf numFmtId="0" fontId="48" fillId="0" borderId="0" xfId="3" quotePrefix="1" applyFont="1"/>
    <xf numFmtId="0" fontId="16" fillId="0" borderId="0" xfId="3" applyFill="1" applyAlignment="1">
      <alignment horizontal="center"/>
    </xf>
    <xf numFmtId="44" fontId="55"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166" fontId="48" fillId="0" borderId="0" xfId="3" applyNumberFormat="1" applyFont="1" applyFill="1" applyAlignment="1">
      <alignment horizontal="right"/>
    </xf>
    <xf numFmtId="0" fontId="16" fillId="0" borderId="0" xfId="3" applyAlignment="1">
      <alignment horizontal="right"/>
    </xf>
    <xf numFmtId="44" fontId="60" fillId="0" borderId="0" xfId="20" applyFont="1"/>
    <xf numFmtId="42" fontId="16" fillId="0" borderId="8" xfId="3" applyNumberFormat="1" applyBorder="1"/>
    <xf numFmtId="42" fontId="16" fillId="0" borderId="10" xfId="3" applyNumberFormat="1" applyBorder="1"/>
    <xf numFmtId="42" fontId="16" fillId="0" borderId="5" xfId="3" applyNumberFormat="1" applyBorder="1"/>
    <xf numFmtId="1" fontId="56" fillId="0" borderId="52" xfId="4" applyNumberFormat="1" applyFont="1" applyFill="1" applyBorder="1" applyAlignment="1">
      <alignment horizontal="center"/>
    </xf>
    <xf numFmtId="1" fontId="56" fillId="0" borderId="53" xfId="4" applyNumberFormat="1" applyFont="1" applyFill="1" applyBorder="1" applyAlignment="1">
      <alignment horizontal="center"/>
    </xf>
    <xf numFmtId="1" fontId="56" fillId="0" borderId="50" xfId="4" applyNumberFormat="1" applyFont="1" applyFill="1" applyBorder="1" applyAlignment="1">
      <alignment horizontal="center"/>
    </xf>
    <xf numFmtId="165" fontId="13" fillId="6" borderId="0" xfId="2" applyNumberFormat="1" applyFill="1"/>
    <xf numFmtId="0" fontId="48" fillId="0" borderId="32" xfId="3" applyFont="1" applyFill="1" applyBorder="1" applyAlignment="1">
      <alignment horizontal="right"/>
    </xf>
    <xf numFmtId="0" fontId="13" fillId="6" borderId="7" xfId="2" applyFill="1" applyBorder="1"/>
    <xf numFmtId="42" fontId="13" fillId="6" borderId="10" xfId="2" applyNumberFormat="1" applyFill="1" applyBorder="1"/>
    <xf numFmtId="165" fontId="13" fillId="6" borderId="50" xfId="2" applyNumberFormat="1" applyFill="1" applyBorder="1"/>
    <xf numFmtId="165" fontId="1" fillId="6" borderId="2" xfId="20" applyNumberFormat="1" applyFont="1" applyFill="1" applyBorder="1" applyAlignment="1">
      <alignment horizontal="center" wrapText="1"/>
    </xf>
    <xf numFmtId="165" fontId="1" fillId="6" borderId="35" xfId="20" applyNumberFormat="1" applyFont="1" applyFill="1" applyBorder="1" applyAlignment="1">
      <alignment horizontal="center" wrapText="1"/>
    </xf>
    <xf numFmtId="165" fontId="62" fillId="0" borderId="32" xfId="20" applyNumberFormat="1" applyFont="1" applyFill="1" applyBorder="1" applyAlignment="1">
      <alignment horizontal="right" wrapText="1"/>
    </xf>
    <xf numFmtId="166" fontId="16" fillId="0" borderId="7" xfId="4" applyNumberFormat="1" applyFont="1" applyFill="1" applyBorder="1"/>
    <xf numFmtId="9" fontId="20" fillId="0" borderId="0" xfId="4" applyFont="1" applyFill="1" applyBorder="1"/>
    <xf numFmtId="0" fontId="19" fillId="0" borderId="7" xfId="3" applyFont="1" applyFill="1" applyBorder="1" applyAlignment="1">
      <alignment horizontal="center"/>
    </xf>
    <xf numFmtId="0" fontId="16" fillId="0" borderId="0" xfId="3"/>
    <xf numFmtId="49" fontId="46" fillId="0" borderId="0" xfId="3" applyNumberFormat="1" applyFont="1" applyFill="1" applyBorder="1" applyAlignment="1">
      <alignment horizontal="left" vertical="center"/>
    </xf>
    <xf numFmtId="0" fontId="48"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applyFill="1" applyBorder="1" applyAlignment="1">
      <alignment horizontal="center" wrapText="1"/>
    </xf>
    <xf numFmtId="0" fontId="13" fillId="0" borderId="0" xfId="3" applyNumberFormat="1" applyFont="1" applyFill="1" applyBorder="1" applyAlignment="1">
      <alignment horizontal="right"/>
    </xf>
    <xf numFmtId="0" fontId="20" fillId="0" borderId="0" xfId="3" applyFont="1" applyFill="1" applyBorder="1" applyAlignment="1">
      <alignment horizontal="center"/>
    </xf>
    <xf numFmtId="0" fontId="54"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39"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8" fillId="0" borderId="0" xfId="3" quotePrefix="1" applyFont="1"/>
    <xf numFmtId="44" fontId="55"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177" fontId="20" fillId="0" borderId="0" xfId="20" applyNumberFormat="1" applyFont="1" applyFill="1" applyBorder="1" applyAlignment="1">
      <alignment horizontal="center" vertical="center"/>
    </xf>
    <xf numFmtId="169" fontId="20" fillId="0" borderId="0" xfId="20" applyNumberFormat="1" applyFont="1" applyFill="1" applyBorder="1" applyAlignment="1">
      <alignment horizontal="center" vertical="center"/>
    </xf>
    <xf numFmtId="44" fontId="60" fillId="0" borderId="0" xfId="20" applyFont="1"/>
    <xf numFmtId="172" fontId="48" fillId="0" borderId="0" xfId="3" applyNumberFormat="1" applyFont="1" applyFill="1" applyBorder="1"/>
    <xf numFmtId="0" fontId="48" fillId="0" borderId="0" xfId="3" applyFont="1" applyFill="1" applyBorder="1" applyAlignment="1">
      <alignment horizontal="right"/>
    </xf>
    <xf numFmtId="178" fontId="20" fillId="0" borderId="0" xfId="3" applyNumberFormat="1" applyFont="1" applyFill="1" applyBorder="1" applyAlignment="1">
      <alignment horizontal="right" vertical="center"/>
    </xf>
    <xf numFmtId="178" fontId="20" fillId="0" borderId="0" xfId="3" applyNumberFormat="1" applyFont="1" applyFill="1" applyBorder="1" applyAlignment="1">
      <alignment horizontal="center" vertical="center"/>
    </xf>
    <xf numFmtId="4" fontId="20" fillId="0" borderId="0" xfId="3" applyNumberFormat="1" applyFont="1" applyFill="1" applyBorder="1" applyAlignment="1">
      <alignment horizontal="center" vertical="center"/>
    </xf>
    <xf numFmtId="179" fontId="20" fillId="0" borderId="0" xfId="3" applyNumberFormat="1" applyFont="1" applyFill="1" applyBorder="1" applyAlignment="1">
      <alignment horizontal="center" vertical="center"/>
    </xf>
    <xf numFmtId="0" fontId="58" fillId="0" borderId="0" xfId="3" applyFont="1" applyFill="1" applyBorder="1"/>
    <xf numFmtId="172" fontId="16" fillId="0" borderId="0" xfId="21" applyNumberFormat="1" applyFill="1" applyBorder="1"/>
    <xf numFmtId="165" fontId="16" fillId="0" borderId="0" xfId="20" applyNumberFormat="1" applyFill="1" applyBorder="1" applyAlignment="1">
      <alignment horizontal="center"/>
    </xf>
    <xf numFmtId="165" fontId="48" fillId="0" borderId="0" xfId="3" applyNumberFormat="1" applyFont="1" applyFill="1" applyBorder="1"/>
    <xf numFmtId="0" fontId="8" fillId="0" borderId="0" xfId="3" applyFont="1" applyFill="1" applyBorder="1" applyAlignment="1">
      <alignment horizontal="center" vertical="center"/>
    </xf>
    <xf numFmtId="169" fontId="57" fillId="0" borderId="0" xfId="3" applyNumberFormat="1" applyFont="1" applyFill="1" applyBorder="1" applyAlignment="1">
      <alignment horizontal="center" vertical="center"/>
    </xf>
    <xf numFmtId="169" fontId="29" fillId="0" borderId="0" xfId="3" applyNumberFormat="1" applyFont="1" applyFill="1" applyBorder="1" applyAlignment="1">
      <alignment horizontal="center" vertical="center"/>
    </xf>
    <xf numFmtId="177" fontId="20" fillId="0" borderId="0" xfId="3" applyNumberFormat="1" applyFont="1" applyFill="1" applyBorder="1" applyAlignment="1">
      <alignment horizontal="center" vertical="center"/>
    </xf>
    <xf numFmtId="169" fontId="8" fillId="0" borderId="0" xfId="3" applyNumberFormat="1" applyFont="1" applyFill="1" applyBorder="1" applyAlignment="1">
      <alignment horizontal="center" vertical="center"/>
    </xf>
    <xf numFmtId="180" fontId="20" fillId="0" borderId="0" xfId="3" applyNumberFormat="1" applyFont="1" applyFill="1" applyBorder="1" applyAlignment="1">
      <alignment horizontal="center" vertical="center"/>
    </xf>
    <xf numFmtId="165" fontId="51" fillId="0" borderId="0" xfId="20" applyNumberFormat="1" applyFont="1"/>
    <xf numFmtId="42" fontId="16" fillId="0" borderId="8" xfId="3" applyNumberFormat="1" applyBorder="1"/>
    <xf numFmtId="42" fontId="16" fillId="0" borderId="10" xfId="3" applyNumberFormat="1" applyBorder="1"/>
    <xf numFmtId="42" fontId="16" fillId="0" borderId="5" xfId="3" applyNumberFormat="1" applyBorder="1"/>
    <xf numFmtId="1" fontId="56" fillId="0" borderId="52" xfId="4" applyNumberFormat="1" applyFont="1" applyFill="1" applyBorder="1" applyAlignment="1">
      <alignment horizontal="center"/>
    </xf>
    <xf numFmtId="1" fontId="56" fillId="0" borderId="53" xfId="4" applyNumberFormat="1" applyFont="1" applyFill="1" applyBorder="1" applyAlignment="1">
      <alignment horizontal="center"/>
    </xf>
    <xf numFmtId="1" fontId="56" fillId="0" borderId="50" xfId="4" applyNumberFormat="1" applyFont="1" applyFill="1" applyBorder="1" applyAlignment="1">
      <alignment horizontal="center"/>
    </xf>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8" fillId="0" borderId="32" xfId="3" applyFont="1" applyFill="1" applyBorder="1" applyAlignment="1">
      <alignment horizontal="right" wrapText="1"/>
    </xf>
    <xf numFmtId="0" fontId="48" fillId="0" borderId="32" xfId="3" applyFont="1" applyFill="1" applyBorder="1" applyAlignment="1">
      <alignment horizontal="right"/>
    </xf>
    <xf numFmtId="3" fontId="3" fillId="3" borderId="2" xfId="3" applyNumberFormat="1" applyFont="1" applyFill="1" applyBorder="1" applyAlignment="1">
      <alignment horizontal="center" vertical="center" wrapText="1"/>
    </xf>
    <xf numFmtId="3" fontId="16" fillId="0" borderId="5" xfId="3" applyNumberFormat="1" applyBorder="1"/>
    <xf numFmtId="3" fontId="3" fillId="6" borderId="35" xfId="3" applyNumberFormat="1" applyFont="1" applyFill="1" applyBorder="1" applyAlignment="1">
      <alignment horizontal="center" vertical="center" wrapText="1"/>
    </xf>
    <xf numFmtId="3" fontId="16" fillId="0" borderId="0" xfId="3" applyNumberFormat="1" applyFill="1"/>
    <xf numFmtId="3" fontId="16" fillId="0" borderId="0" xfId="3" applyNumberFormat="1" applyFill="1" applyAlignment="1">
      <alignment horizontal="center"/>
    </xf>
    <xf numFmtId="3" fontId="13" fillId="6" borderId="7" xfId="2" applyNumberFormat="1" applyFill="1" applyBorder="1"/>
    <xf numFmtId="42" fontId="13" fillId="6" borderId="10" xfId="2" applyNumberFormat="1" applyFill="1" applyBorder="1"/>
    <xf numFmtId="165" fontId="13" fillId="6" borderId="50" xfId="2" applyNumberFormat="1" applyFill="1" applyBorder="1"/>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0" fontId="16" fillId="0" borderId="0" xfId="3"/>
    <xf numFmtId="49" fontId="46" fillId="0" borderId="0" xfId="3" applyNumberFormat="1" applyFont="1" applyFill="1" applyBorder="1" applyAlignment="1">
      <alignment horizontal="left" vertical="center"/>
    </xf>
    <xf numFmtId="0" fontId="48" fillId="0" borderId="0" xfId="3" applyFont="1"/>
    <xf numFmtId="0" fontId="16" fillId="0" borderId="0" xfId="3"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applyFill="1" applyBorder="1" applyAlignment="1">
      <alignment horizontal="center" wrapText="1"/>
    </xf>
    <xf numFmtId="0" fontId="13" fillId="0" borderId="0" xfId="3" applyNumberFormat="1" applyFont="1" applyFill="1" applyBorder="1" applyAlignment="1">
      <alignment horizontal="right"/>
    </xf>
    <xf numFmtId="0" fontId="20" fillId="0" borderId="0" xfId="3" applyFont="1" applyFill="1" applyBorder="1" applyAlignment="1">
      <alignment horizontal="center"/>
    </xf>
    <xf numFmtId="0" fontId="54"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39"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0" fontId="48" fillId="0" borderId="0" xfId="3" applyFont="1" applyFill="1" applyAlignment="1">
      <alignment horizontal="right"/>
    </xf>
    <xf numFmtId="0" fontId="48" fillId="0" borderId="0" xfId="3" quotePrefix="1" applyFont="1"/>
    <xf numFmtId="44" fontId="55"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166" fontId="48" fillId="0" borderId="0" xfId="3" applyNumberFormat="1" applyFont="1" applyFill="1" applyAlignment="1">
      <alignment horizontal="right"/>
    </xf>
    <xf numFmtId="177" fontId="20" fillId="0" borderId="0" xfId="20" applyNumberFormat="1" applyFont="1" applyFill="1" applyBorder="1" applyAlignment="1">
      <alignment horizontal="center" vertical="center"/>
    </xf>
    <xf numFmtId="169" fontId="20" fillId="0" borderId="0" xfId="20" applyNumberFormat="1" applyFont="1" applyFill="1" applyBorder="1" applyAlignment="1">
      <alignment horizontal="center" vertical="center"/>
    </xf>
    <xf numFmtId="44" fontId="60" fillId="0" borderId="0" xfId="20" applyFont="1"/>
    <xf numFmtId="172" fontId="48" fillId="0" borderId="0" xfId="3" applyNumberFormat="1" applyFont="1" applyFill="1" applyBorder="1"/>
    <xf numFmtId="0" fontId="48" fillId="0" borderId="0" xfId="3" applyFont="1" applyFill="1" applyBorder="1" applyAlignment="1">
      <alignment horizontal="right"/>
    </xf>
    <xf numFmtId="178" fontId="20" fillId="0" borderId="0" xfId="3" applyNumberFormat="1" applyFont="1" applyFill="1" applyBorder="1" applyAlignment="1">
      <alignment horizontal="right" vertical="center"/>
    </xf>
    <xf numFmtId="178" fontId="20" fillId="0" borderId="0" xfId="3" applyNumberFormat="1" applyFont="1" applyFill="1" applyBorder="1" applyAlignment="1">
      <alignment horizontal="center" vertical="center"/>
    </xf>
    <xf numFmtId="4" fontId="20" fillId="0" borderId="0" xfId="3" applyNumberFormat="1" applyFont="1" applyFill="1" applyBorder="1" applyAlignment="1">
      <alignment horizontal="center" vertical="center"/>
    </xf>
    <xf numFmtId="179" fontId="20" fillId="0" borderId="0" xfId="3" applyNumberFormat="1" applyFont="1" applyFill="1" applyBorder="1" applyAlignment="1">
      <alignment horizontal="center" vertical="center"/>
    </xf>
    <xf numFmtId="0" fontId="58" fillId="0" borderId="0" xfId="3" applyFont="1" applyFill="1" applyBorder="1"/>
    <xf numFmtId="172" fontId="16" fillId="0" borderId="0" xfId="21" applyNumberFormat="1" applyFill="1" applyBorder="1"/>
    <xf numFmtId="165" fontId="16" fillId="0" borderId="0" xfId="20" applyNumberFormat="1" applyFill="1" applyBorder="1" applyAlignment="1">
      <alignment horizontal="center"/>
    </xf>
    <xf numFmtId="165" fontId="48" fillId="0" borderId="0" xfId="3" applyNumberFormat="1" applyFont="1" applyFill="1" applyBorder="1"/>
    <xf numFmtId="0" fontId="8" fillId="0" borderId="0" xfId="3" applyFont="1" applyFill="1" applyBorder="1" applyAlignment="1">
      <alignment horizontal="center" vertical="center"/>
    </xf>
    <xf numFmtId="169" fontId="57" fillId="0" borderId="0" xfId="3" applyNumberFormat="1" applyFont="1" applyFill="1" applyBorder="1" applyAlignment="1">
      <alignment horizontal="center" vertical="center"/>
    </xf>
    <xf numFmtId="169" fontId="29" fillId="0" borderId="0" xfId="3" applyNumberFormat="1" applyFont="1" applyFill="1" applyBorder="1" applyAlignment="1">
      <alignment horizontal="center" vertical="center"/>
    </xf>
    <xf numFmtId="177" fontId="20" fillId="0" borderId="0" xfId="3" applyNumberFormat="1" applyFont="1" applyFill="1" applyBorder="1" applyAlignment="1">
      <alignment horizontal="center" vertical="center"/>
    </xf>
    <xf numFmtId="169" fontId="8" fillId="0" borderId="0" xfId="3" applyNumberFormat="1" applyFont="1" applyFill="1" applyBorder="1" applyAlignment="1">
      <alignment horizontal="center" vertical="center"/>
    </xf>
    <xf numFmtId="180" fontId="20" fillId="0" borderId="0" xfId="3" applyNumberFormat="1" applyFont="1" applyFill="1" applyBorder="1" applyAlignment="1">
      <alignment horizontal="center" vertical="center"/>
    </xf>
    <xf numFmtId="0" fontId="54" fillId="0" borderId="0" xfId="23" applyNumberFormat="1" applyFont="1" applyFill="1" applyBorder="1" applyAlignment="1" applyProtection="1">
      <alignment horizontal="left"/>
      <protection locked="0"/>
    </xf>
    <xf numFmtId="42" fontId="16" fillId="0" borderId="8" xfId="3" applyNumberFormat="1" applyBorder="1"/>
    <xf numFmtId="42" fontId="16" fillId="0" borderId="10" xfId="3" applyNumberFormat="1" applyBorder="1"/>
    <xf numFmtId="42" fontId="16" fillId="0" borderId="5" xfId="3" applyNumberFormat="1" applyBorder="1"/>
    <xf numFmtId="1" fontId="56" fillId="0" borderId="52" xfId="4" applyNumberFormat="1" applyFont="1" applyFill="1" applyBorder="1" applyAlignment="1">
      <alignment horizontal="center"/>
    </xf>
    <xf numFmtId="1" fontId="56" fillId="0" borderId="53" xfId="4" applyNumberFormat="1" applyFont="1" applyFill="1" applyBorder="1" applyAlignment="1">
      <alignment horizontal="center"/>
    </xf>
    <xf numFmtId="1" fontId="56" fillId="0" borderId="50" xfId="4" applyNumberFormat="1" applyFont="1" applyFill="1" applyBorder="1" applyAlignment="1">
      <alignment horizontal="center"/>
    </xf>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8" fillId="0" borderId="32" xfId="3" applyFont="1" applyFill="1" applyBorder="1" applyAlignment="1">
      <alignment horizontal="right" wrapText="1"/>
    </xf>
    <xf numFmtId="0" fontId="48" fillId="0" borderId="32" xfId="3" applyFont="1" applyFill="1" applyBorder="1" applyAlignment="1">
      <alignment horizontal="right"/>
    </xf>
    <xf numFmtId="42" fontId="13" fillId="6" borderId="8" xfId="2" applyNumberFormat="1" applyFill="1" applyBorder="1"/>
    <xf numFmtId="3" fontId="3" fillId="3" borderId="2" xfId="3" applyNumberFormat="1" applyFont="1" applyFill="1" applyBorder="1" applyAlignment="1">
      <alignment horizontal="center" vertical="center" wrapText="1"/>
    </xf>
    <xf numFmtId="3" fontId="16" fillId="0" borderId="5" xfId="3" applyNumberFormat="1" applyBorder="1"/>
    <xf numFmtId="3" fontId="3" fillId="6" borderId="35" xfId="3" applyNumberFormat="1" applyFont="1" applyFill="1" applyBorder="1" applyAlignment="1">
      <alignment horizontal="center" vertical="center" wrapText="1"/>
    </xf>
    <xf numFmtId="3" fontId="16" fillId="0" borderId="0" xfId="3" applyNumberFormat="1" applyFill="1"/>
    <xf numFmtId="3" fontId="16" fillId="0" borderId="0" xfId="3" applyNumberFormat="1" applyFill="1" applyAlignment="1">
      <alignment horizontal="center"/>
    </xf>
    <xf numFmtId="3" fontId="13" fillId="6" borderId="7" xfId="2" applyNumberFormat="1" applyFill="1" applyBorder="1"/>
    <xf numFmtId="165" fontId="1" fillId="6" borderId="35" xfId="20" applyNumberFormat="1" applyFont="1" applyFill="1" applyBorder="1" applyAlignment="1">
      <alignment horizontal="center" vertical="center" wrapText="1"/>
    </xf>
    <xf numFmtId="0" fontId="19" fillId="0" borderId="7" xfId="3" applyFont="1" applyFill="1" applyBorder="1"/>
    <xf numFmtId="166" fontId="16" fillId="0" borderId="7" xfId="4" applyNumberFormat="1" applyFont="1" applyFill="1" applyBorder="1"/>
    <xf numFmtId="0" fontId="16" fillId="0" borderId="0" xfId="3"/>
    <xf numFmtId="49" fontId="46" fillId="0" borderId="0" xfId="3" applyNumberFormat="1" applyFont="1" applyFill="1" applyBorder="1" applyAlignment="1">
      <alignment horizontal="left" vertical="center"/>
    </xf>
    <xf numFmtId="0" fontId="48" fillId="0" borderId="0" xfId="3" applyFont="1"/>
    <xf numFmtId="0" fontId="16" fillId="0" borderId="0" xfId="3" applyFill="1" applyBorder="1"/>
    <xf numFmtId="0" fontId="3" fillId="3" borderId="0" xfId="3" applyFont="1" applyFill="1" applyBorder="1" applyAlignment="1">
      <alignment horizontal="center" vertical="center" wrapText="1"/>
    </xf>
    <xf numFmtId="0" fontId="54"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39" fillId="0" borderId="0" xfId="4" applyFont="1" applyFill="1" applyBorder="1"/>
    <xf numFmtId="176" fontId="13" fillId="0" borderId="0" xfId="3" applyNumberFormat="1" applyFont="1" applyFill="1" applyAlignment="1">
      <alignment horizontal="left"/>
    </xf>
    <xf numFmtId="165" fontId="16" fillId="0" borderId="0" xfId="20" applyNumberFormat="1" applyFont="1" applyFill="1" applyBorder="1"/>
    <xf numFmtId="165" fontId="13" fillId="0" borderId="0" xfId="20" applyNumberFormat="1" applyFont="1" applyFill="1" applyBorder="1"/>
    <xf numFmtId="165" fontId="20" fillId="0" borderId="0" xfId="20" applyNumberFormat="1" applyFont="1" applyFill="1" applyBorder="1"/>
    <xf numFmtId="0" fontId="21" fillId="0" borderId="0" xfId="3" applyFont="1" applyFill="1" applyBorder="1"/>
    <xf numFmtId="165" fontId="21" fillId="0" borderId="0" xfId="20" applyNumberFormat="1" applyFont="1" applyFill="1" applyBorder="1"/>
    <xf numFmtId="165" fontId="48" fillId="0" borderId="0" xfId="20" applyNumberFormat="1" applyFont="1" applyFill="1" applyBorder="1"/>
    <xf numFmtId="0" fontId="48" fillId="0" borderId="0" xfId="3" applyFont="1" applyFill="1"/>
    <xf numFmtId="0" fontId="48" fillId="0" borderId="0" xfId="3" quotePrefix="1" applyFont="1"/>
    <xf numFmtId="0" fontId="16" fillId="0" borderId="0" xfId="3" applyFill="1" applyAlignment="1">
      <alignment horizontal="center"/>
    </xf>
    <xf numFmtId="2" fontId="13" fillId="0" borderId="0" xfId="3" applyNumberFormat="1" applyFont="1" applyFill="1" applyAlignment="1">
      <alignment horizontal="right"/>
    </xf>
    <xf numFmtId="44" fontId="55"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Border="1"/>
    <xf numFmtId="165" fontId="16" fillId="0" borderId="0" xfId="20" applyNumberFormat="1" applyFill="1" applyBorder="1"/>
    <xf numFmtId="3" fontId="16" fillId="0" borderId="0" xfId="20" applyNumberFormat="1" applyFill="1" applyBorder="1"/>
    <xf numFmtId="0" fontId="16" fillId="0" borderId="0" xfId="3" applyAlignment="1">
      <alignment horizontal="right"/>
    </xf>
    <xf numFmtId="44" fontId="60" fillId="0" borderId="0" xfId="20" applyFont="1"/>
    <xf numFmtId="42" fontId="16" fillId="0" borderId="8" xfId="3" applyNumberFormat="1" applyBorder="1"/>
    <xf numFmtId="42" fontId="16" fillId="0" borderId="10" xfId="3" applyNumberFormat="1" applyBorder="1"/>
    <xf numFmtId="42" fontId="16" fillId="0" borderId="5" xfId="3" applyNumberFormat="1" applyBorder="1"/>
    <xf numFmtId="1" fontId="56" fillId="0" borderId="52" xfId="4" applyNumberFormat="1" applyFont="1" applyFill="1" applyBorder="1" applyAlignment="1">
      <alignment horizontal="center"/>
    </xf>
    <xf numFmtId="1" fontId="56" fillId="0" borderId="53" xfId="4" applyNumberFormat="1" applyFont="1" applyFill="1" applyBorder="1" applyAlignment="1">
      <alignment horizontal="center"/>
    </xf>
    <xf numFmtId="1" fontId="56" fillId="0" borderId="50" xfId="4" applyNumberFormat="1" applyFont="1" applyFill="1" applyBorder="1" applyAlignment="1">
      <alignment horizontal="center"/>
    </xf>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8" fillId="0" borderId="32" xfId="3" applyFont="1" applyFill="1" applyBorder="1" applyAlignment="1">
      <alignment horizontal="right" wrapText="1"/>
    </xf>
    <xf numFmtId="0" fontId="48" fillId="0" borderId="32" xfId="3" applyFont="1" applyFill="1" applyBorder="1" applyAlignment="1">
      <alignment horizontal="right"/>
    </xf>
    <xf numFmtId="42" fontId="13" fillId="6" borderId="8" xfId="2" applyNumberFormat="1" applyFill="1" applyBorder="1"/>
    <xf numFmtId="0" fontId="13" fillId="6" borderId="8" xfId="2" applyFill="1" applyBorder="1"/>
    <xf numFmtId="165" fontId="1" fillId="6" borderId="35" xfId="20" applyNumberFormat="1" applyFont="1" applyFill="1" applyBorder="1" applyAlignment="1">
      <alignment horizontal="center" vertical="center" wrapText="1"/>
    </xf>
    <xf numFmtId="0" fontId="19" fillId="0" borderId="7" xfId="3" applyFont="1" applyFill="1" applyBorder="1"/>
    <xf numFmtId="166" fontId="16" fillId="0" borderId="7" xfId="4" applyNumberFormat="1" applyFont="1" applyFill="1" applyBorder="1"/>
    <xf numFmtId="9" fontId="20" fillId="0" borderId="0" xfId="4" applyFont="1" applyFill="1" applyBorder="1"/>
    <xf numFmtId="0" fontId="16" fillId="0" borderId="0" xfId="3"/>
    <xf numFmtId="0" fontId="16" fillId="0" borderId="0" xfId="3" applyBorder="1"/>
    <xf numFmtId="0" fontId="48" fillId="0" borderId="0" xfId="3" applyFont="1"/>
    <xf numFmtId="0" fontId="16" fillId="0" borderId="0" xfId="3" applyFill="1" applyBorder="1"/>
    <xf numFmtId="0" fontId="48" fillId="0" borderId="0" xfId="3" applyFont="1" applyFill="1" applyBorder="1"/>
    <xf numFmtId="0" fontId="3" fillId="3" borderId="2" xfId="3" applyFont="1" applyFill="1" applyBorder="1" applyAlignment="1">
      <alignment horizontal="center" vertical="center" wrapText="1"/>
    </xf>
    <xf numFmtId="0" fontId="3" fillId="3" borderId="0" xfId="3" applyFont="1" applyFill="1" applyBorder="1" applyAlignment="1">
      <alignment horizontal="center" vertical="center" wrapText="1"/>
    </xf>
    <xf numFmtId="0" fontId="20" fillId="0" borderId="0" xfId="3" applyFont="1" applyBorder="1" applyAlignment="1">
      <alignment horizontal="center" wrapText="1"/>
    </xf>
    <xf numFmtId="0" fontId="13" fillId="0" borderId="0" xfId="3" applyNumberFormat="1" applyFont="1" applyFill="1" applyBorder="1" applyAlignment="1">
      <alignment horizontal="right"/>
    </xf>
    <xf numFmtId="0" fontId="54" fillId="0" borderId="0" xfId="23" applyNumberFormat="1" applyFont="1" applyAlignment="1" applyProtection="1">
      <alignment horizontal="left"/>
      <protection locked="0"/>
    </xf>
    <xf numFmtId="0" fontId="21" fillId="0" borderId="0" xfId="23" applyNumberFormat="1" applyFont="1" applyAlignment="1" applyProtection="1">
      <alignment horizontal="left"/>
      <protection locked="0"/>
    </xf>
    <xf numFmtId="0" fontId="8" fillId="0" borderId="0" xfId="3" applyFont="1"/>
    <xf numFmtId="165" fontId="13" fillId="0" borderId="0" xfId="20" applyNumberFormat="1" applyFont="1"/>
    <xf numFmtId="0" fontId="16" fillId="0" borderId="0" xfId="3" applyFill="1"/>
    <xf numFmtId="165" fontId="20" fillId="0" borderId="0" xfId="20" applyNumberFormat="1" applyFont="1" applyFill="1"/>
    <xf numFmtId="176" fontId="20" fillId="0" borderId="0" xfId="3" applyNumberFormat="1" applyFont="1" applyFill="1" applyAlignment="1">
      <alignment horizontal="center"/>
    </xf>
    <xf numFmtId="9" fontId="39" fillId="0" borderId="0" xfId="4" applyFont="1" applyFill="1" applyBorder="1"/>
    <xf numFmtId="176" fontId="13" fillId="0" borderId="0" xfId="3" applyNumberFormat="1" applyFont="1" applyFill="1" applyAlignment="1">
      <alignment horizontal="left"/>
    </xf>
    <xf numFmtId="165" fontId="13" fillId="0" borderId="0" xfId="20" applyNumberFormat="1" applyFont="1" applyFill="1" applyBorder="1"/>
    <xf numFmtId="165" fontId="20" fillId="0" borderId="0" xfId="20" applyNumberFormat="1" applyFont="1" applyFill="1" applyBorder="1"/>
    <xf numFmtId="165" fontId="21" fillId="0" borderId="0" xfId="20" applyNumberFormat="1" applyFont="1" applyFill="1" applyBorder="1"/>
    <xf numFmtId="165" fontId="48" fillId="0" borderId="0" xfId="20" applyNumberFormat="1" applyFont="1" applyFill="1" applyBorder="1"/>
    <xf numFmtId="3" fontId="48" fillId="0" borderId="0" xfId="20" applyNumberFormat="1" applyFont="1" applyFill="1" applyBorder="1"/>
    <xf numFmtId="0" fontId="48" fillId="0" borderId="0" xfId="3" applyFont="1" applyFill="1"/>
    <xf numFmtId="0" fontId="48" fillId="0" borderId="0" xfId="3" quotePrefix="1" applyFont="1"/>
    <xf numFmtId="44" fontId="55" fillId="0" borderId="0" xfId="20" applyFont="1" applyBorder="1" applyAlignment="1">
      <alignment horizontal="center"/>
    </xf>
    <xf numFmtId="44" fontId="16" fillId="0" borderId="0" xfId="20"/>
    <xf numFmtId="0" fontId="16" fillId="0" borderId="0" xfId="4" applyNumberFormat="1"/>
    <xf numFmtId="165" fontId="16" fillId="0" borderId="0" xfId="20" applyNumberFormat="1" applyFill="1"/>
    <xf numFmtId="165" fontId="16" fillId="0" borderId="0" xfId="20" applyNumberFormat="1"/>
    <xf numFmtId="165" fontId="16" fillId="0" borderId="0" xfId="20" applyNumberFormat="1" applyFill="1" applyBorder="1"/>
    <xf numFmtId="0" fontId="16" fillId="0" borderId="0" xfId="3" applyAlignment="1">
      <alignment horizontal="right"/>
    </xf>
    <xf numFmtId="0" fontId="58" fillId="0" borderId="0" xfId="3" applyFont="1"/>
    <xf numFmtId="44" fontId="60" fillId="0" borderId="0" xfId="20" applyFont="1"/>
    <xf numFmtId="172" fontId="16" fillId="0" borderId="0" xfId="21" applyNumberFormat="1" applyBorder="1"/>
    <xf numFmtId="165" fontId="48" fillId="2" borderId="17" xfId="20" applyNumberFormat="1" applyFont="1" applyFill="1" applyBorder="1"/>
    <xf numFmtId="42" fontId="16" fillId="0" borderId="8" xfId="3" applyNumberFormat="1" applyBorder="1"/>
    <xf numFmtId="42" fontId="16" fillId="0" borderId="10" xfId="3" applyNumberFormat="1" applyBorder="1"/>
    <xf numFmtId="42" fontId="16" fillId="0" borderId="5" xfId="3" applyNumberFormat="1" applyBorder="1"/>
    <xf numFmtId="165" fontId="16" fillId="0" borderId="32" xfId="20" applyNumberFormat="1" applyFill="1" applyBorder="1"/>
    <xf numFmtId="1" fontId="56" fillId="0" borderId="52" xfId="4" applyNumberFormat="1" applyFont="1" applyFill="1" applyBorder="1" applyAlignment="1">
      <alignment horizontal="center"/>
    </xf>
    <xf numFmtId="1" fontId="56" fillId="0" borderId="53" xfId="4" applyNumberFormat="1" applyFont="1" applyFill="1" applyBorder="1" applyAlignment="1">
      <alignment horizontal="center"/>
    </xf>
    <xf numFmtId="1" fontId="56" fillId="0" borderId="50" xfId="4" applyNumberFormat="1" applyFont="1" applyFill="1" applyBorder="1" applyAlignment="1">
      <alignment horizontal="center"/>
    </xf>
    <xf numFmtId="0" fontId="3" fillId="6" borderId="2" xfId="3" applyFont="1" applyFill="1" applyBorder="1" applyAlignment="1">
      <alignment horizontal="center" vertical="center" wrapText="1"/>
    </xf>
    <xf numFmtId="0" fontId="3" fillId="6" borderId="35" xfId="3" applyFont="1" applyFill="1" applyBorder="1" applyAlignment="1">
      <alignment horizontal="center" vertical="center" wrapText="1"/>
    </xf>
    <xf numFmtId="165" fontId="13" fillId="6" borderId="0" xfId="2" applyNumberFormat="1" applyFill="1"/>
    <xf numFmtId="0" fontId="48" fillId="0" borderId="32" xfId="3" applyFont="1" applyFill="1" applyBorder="1" applyAlignment="1">
      <alignment horizontal="right" wrapText="1"/>
    </xf>
    <xf numFmtId="0" fontId="48" fillId="0" borderId="32" xfId="3" applyFont="1" applyFill="1" applyBorder="1" applyAlignment="1">
      <alignment horizontal="right"/>
    </xf>
    <xf numFmtId="42" fontId="13" fillId="6" borderId="8" xfId="2" applyNumberFormat="1" applyFill="1" applyBorder="1"/>
    <xf numFmtId="3" fontId="3" fillId="3" borderId="2" xfId="3" applyNumberFormat="1" applyFont="1" applyFill="1" applyBorder="1" applyAlignment="1">
      <alignment horizontal="center" vertical="center" wrapText="1"/>
    </xf>
    <xf numFmtId="3" fontId="16" fillId="0" borderId="5" xfId="3" applyNumberFormat="1" applyBorder="1"/>
    <xf numFmtId="3" fontId="3" fillId="6" borderId="35" xfId="3" applyNumberFormat="1" applyFont="1" applyFill="1" applyBorder="1" applyAlignment="1">
      <alignment horizontal="center" vertical="center" wrapText="1"/>
    </xf>
    <xf numFmtId="3" fontId="16" fillId="0" borderId="0" xfId="3" applyNumberFormat="1" applyFill="1"/>
    <xf numFmtId="3" fontId="16" fillId="0" borderId="0" xfId="3" applyNumberFormat="1" applyFill="1" applyAlignment="1">
      <alignment horizontal="center"/>
    </xf>
    <xf numFmtId="3" fontId="13" fillId="6" borderId="7" xfId="2" applyNumberFormat="1" applyFill="1" applyBorder="1"/>
    <xf numFmtId="165" fontId="1" fillId="6" borderId="35" xfId="20" applyNumberFormat="1" applyFont="1" applyFill="1" applyBorder="1" applyAlignment="1">
      <alignment horizontal="center" wrapText="1"/>
    </xf>
    <xf numFmtId="0" fontId="19" fillId="0" borderId="7" xfId="3" applyFont="1" applyFill="1" applyBorder="1"/>
    <xf numFmtId="166" fontId="16" fillId="0" borderId="7" xfId="4" applyNumberFormat="1" applyFont="1" applyFill="1" applyBorder="1"/>
    <xf numFmtId="9" fontId="20" fillId="0" borderId="0" xfId="4" applyFont="1" applyFill="1" applyBorder="1"/>
    <xf numFmtId="0" fontId="13" fillId="0" borderId="0" xfId="2"/>
    <xf numFmtId="0" fontId="21" fillId="0" borderId="0" xfId="2" applyFont="1"/>
    <xf numFmtId="0" fontId="13" fillId="0" borderId="0" xfId="2" applyAlignment="1">
      <alignment wrapText="1"/>
    </xf>
    <xf numFmtId="164" fontId="13" fillId="0" borderId="0" xfId="2" applyNumberFormat="1" applyAlignment="1">
      <alignment horizontal="center"/>
    </xf>
    <xf numFmtId="0" fontId="3" fillId="3" borderId="2" xfId="2" applyFont="1" applyFill="1" applyBorder="1" applyAlignment="1">
      <alignment horizontal="center" vertical="center" wrapText="1"/>
    </xf>
    <xf numFmtId="164" fontId="3" fillId="3" borderId="2" xfId="2" applyNumberFormat="1" applyFont="1" applyFill="1" applyBorder="1" applyAlignment="1">
      <alignment horizontal="center" vertical="center" wrapText="1"/>
    </xf>
    <xf numFmtId="0" fontId="3" fillId="3" borderId="2" xfId="2" applyFont="1" applyFill="1" applyBorder="1" applyAlignment="1">
      <alignment vertical="center" wrapText="1"/>
    </xf>
    <xf numFmtId="0" fontId="3" fillId="3" borderId="3" xfId="2" applyFont="1" applyFill="1" applyBorder="1" applyAlignment="1">
      <alignment horizontal="center" vertical="center" wrapText="1"/>
    </xf>
    <xf numFmtId="0" fontId="13" fillId="0" borderId="0" xfId="2" applyAlignment="1">
      <alignment horizontal="center"/>
    </xf>
    <xf numFmtId="0" fontId="3" fillId="3" borderId="7" xfId="2" applyFont="1" applyFill="1" applyBorder="1" applyAlignment="1">
      <alignment horizontal="center" vertical="center" wrapText="1"/>
    </xf>
    <xf numFmtId="0" fontId="20" fillId="0" borderId="0" xfId="2" applyFont="1" applyAlignment="1">
      <alignment horizontal="center"/>
    </xf>
    <xf numFmtId="0" fontId="20" fillId="0" borderId="0" xfId="2" applyFont="1" applyAlignment="1">
      <alignment horizontal="center" wrapText="1"/>
    </xf>
    <xf numFmtId="0" fontId="13" fillId="0" borderId="0" xfId="2" applyAlignment="1">
      <alignment horizontal="center" wrapText="1"/>
    </xf>
    <xf numFmtId="0" fontId="3" fillId="0" borderId="0" xfId="2" applyFont="1" applyFill="1" applyBorder="1" applyAlignment="1">
      <alignment horizontal="center" vertical="center" wrapText="1"/>
    </xf>
    <xf numFmtId="0" fontId="13" fillId="0" borderId="0" xfId="2" applyFill="1" applyAlignment="1">
      <alignment horizontal="center" wrapText="1"/>
    </xf>
    <xf numFmtId="0" fontId="13" fillId="0" borderId="0" xfId="2" applyAlignment="1">
      <alignment horizontal="left"/>
    </xf>
    <xf numFmtId="0" fontId="21" fillId="0" borderId="0" xfId="2" applyFont="1" applyAlignment="1">
      <alignment horizontal="center"/>
    </xf>
    <xf numFmtId="0" fontId="21" fillId="0" borderId="0" xfId="2" applyFont="1" applyAlignment="1">
      <alignment horizontal="center" wrapText="1"/>
    </xf>
    <xf numFmtId="164" fontId="21" fillId="0" borderId="0" xfId="2" applyNumberFormat="1" applyFont="1" applyAlignment="1">
      <alignment horizontal="center"/>
    </xf>
    <xf numFmtId="0" fontId="13" fillId="0" borderId="0" xfId="2" applyFill="1" applyAlignment="1">
      <alignment wrapText="1"/>
    </xf>
    <xf numFmtId="0" fontId="4" fillId="0" borderId="0" xfId="2" applyFont="1"/>
    <xf numFmtId="0" fontId="13" fillId="0" borderId="0" xfId="2" applyFill="1"/>
    <xf numFmtId="0" fontId="4" fillId="0" borderId="0" xfId="2" applyFont="1" applyAlignment="1">
      <alignment wrapText="1"/>
    </xf>
    <xf numFmtId="0" fontId="2" fillId="0" borderId="0" xfId="2" applyFont="1"/>
    <xf numFmtId="0" fontId="13" fillId="0" borderId="0" xfId="2" applyFont="1" applyAlignment="1">
      <alignment horizontal="center"/>
    </xf>
    <xf numFmtId="0" fontId="13" fillId="0" borderId="0" xfId="2" applyBorder="1"/>
    <xf numFmtId="0" fontId="13" fillId="0" borderId="0" xfId="2" applyFont="1"/>
    <xf numFmtId="164" fontId="2" fillId="0" borderId="0" xfId="2" applyNumberFormat="1" applyFont="1" applyAlignment="1">
      <alignment horizontal="left"/>
    </xf>
    <xf numFmtId="0" fontId="14" fillId="0" borderId="0" xfId="2" applyFont="1" applyAlignment="1">
      <alignment horizontal="right" wrapText="1"/>
    </xf>
    <xf numFmtId="0" fontId="14" fillId="0" borderId="0" xfId="2" applyFont="1" applyFill="1" applyAlignment="1">
      <alignment horizontal="right" wrapText="1"/>
    </xf>
    <xf numFmtId="0" fontId="14" fillId="0" borderId="0" xfId="2" applyFont="1" applyBorder="1" applyAlignment="1">
      <alignment horizontal="right" wrapText="1"/>
    </xf>
    <xf numFmtId="0" fontId="13" fillId="4" borderId="7" xfId="2" applyFill="1" applyBorder="1"/>
    <xf numFmtId="0" fontId="3" fillId="4" borderId="7" xfId="2" applyFont="1" applyFill="1" applyBorder="1" applyAlignment="1">
      <alignment horizontal="center" vertical="center" wrapText="1"/>
    </xf>
    <xf numFmtId="0" fontId="13" fillId="4" borderId="7" xfId="2" applyFill="1" applyBorder="1" applyAlignment="1">
      <alignment horizontal="center"/>
    </xf>
    <xf numFmtId="0" fontId="13" fillId="0" borderId="0" xfId="2" applyFont="1" applyAlignment="1">
      <alignment wrapText="1"/>
    </xf>
    <xf numFmtId="0" fontId="21" fillId="0" borderId="0" xfId="2" applyFont="1" applyFill="1" applyBorder="1" applyAlignment="1">
      <alignment horizontal="center"/>
    </xf>
    <xf numFmtId="0" fontId="18" fillId="0" borderId="0" xfId="2" applyFont="1" applyFill="1" applyBorder="1" applyAlignment="1">
      <alignment horizontal="left"/>
    </xf>
    <xf numFmtId="164" fontId="13" fillId="6" borderId="12" xfId="2" applyNumberFormat="1" applyFill="1" applyBorder="1" applyAlignment="1">
      <alignment horizontal="center"/>
    </xf>
    <xf numFmtId="164" fontId="20" fillId="6" borderId="12" xfId="2" applyNumberFormat="1" applyFont="1" applyFill="1" applyBorder="1" applyAlignment="1">
      <alignment horizontal="center"/>
    </xf>
    <xf numFmtId="0" fontId="13" fillId="6" borderId="12" xfId="2" applyFill="1" applyBorder="1"/>
    <xf numFmtId="164" fontId="13" fillId="6" borderId="13" xfId="2" applyNumberFormat="1" applyFill="1" applyBorder="1" applyAlignment="1">
      <alignment horizontal="center"/>
    </xf>
    <xf numFmtId="0" fontId="8" fillId="0" borderId="0" xfId="2" applyFont="1"/>
    <xf numFmtId="0" fontId="10" fillId="0" borderId="0" xfId="2" applyFont="1" applyAlignment="1">
      <alignment wrapText="1"/>
    </xf>
    <xf numFmtId="0" fontId="10" fillId="0" borderId="0" xfId="2" applyFont="1" applyAlignment="1">
      <alignment horizontal="right"/>
    </xf>
    <xf numFmtId="1" fontId="9" fillId="7" borderId="1" xfId="2" applyNumberFormat="1" applyFont="1" applyFill="1" applyBorder="1" applyAlignment="1">
      <alignment horizontal="center" vertical="center"/>
    </xf>
    <xf numFmtId="0" fontId="18" fillId="0" borderId="0" xfId="2" applyFont="1" applyFill="1" applyAlignment="1">
      <alignment horizontal="right"/>
    </xf>
    <xf numFmtId="0" fontId="5" fillId="0" borderId="2" xfId="2" applyFont="1" applyFill="1" applyBorder="1" applyAlignment="1">
      <alignment horizontal="center" vertical="center" wrapText="1"/>
    </xf>
    <xf numFmtId="164" fontId="5" fillId="0" borderId="2" xfId="2" applyNumberFormat="1" applyFont="1" applyFill="1" applyBorder="1" applyAlignment="1">
      <alignment horizontal="center" vertical="center" wrapText="1"/>
    </xf>
    <xf numFmtId="0" fontId="5" fillId="0" borderId="2" xfId="2" applyFont="1" applyFill="1" applyBorder="1" applyAlignment="1">
      <alignment vertical="center" wrapText="1"/>
    </xf>
    <xf numFmtId="164" fontId="13" fillId="0" borderId="0" xfId="2" applyNumberFormat="1" applyAlignment="1">
      <alignment horizontal="center"/>
    </xf>
    <xf numFmtId="44" fontId="13" fillId="0" borderId="0" xfId="16" applyFont="1" applyAlignment="1">
      <alignment horizontal="center"/>
    </xf>
    <xf numFmtId="0" fontId="3" fillId="3" borderId="0" xfId="3" applyFont="1" applyFill="1" applyBorder="1" applyAlignment="1">
      <alignment horizontal="center" vertical="center" wrapText="1"/>
    </xf>
    <xf numFmtId="164" fontId="22" fillId="0" borderId="0" xfId="2" applyNumberFormat="1" applyFont="1" applyAlignment="1">
      <alignment horizontal="center" wrapText="1"/>
    </xf>
    <xf numFmtId="165" fontId="5" fillId="0" borderId="7" xfId="16" applyNumberFormat="1" applyFont="1" applyFill="1" applyBorder="1" applyAlignment="1">
      <alignment horizontal="center" vertical="center" wrapText="1"/>
    </xf>
    <xf numFmtId="0" fontId="13" fillId="4" borderId="0" xfId="2" applyFill="1" applyAlignment="1">
      <alignment wrapText="1"/>
    </xf>
    <xf numFmtId="165" fontId="20" fillId="4" borderId="7" xfId="16" applyNumberFormat="1" applyFont="1" applyFill="1" applyBorder="1" applyAlignment="1">
      <alignment horizontal="center"/>
    </xf>
    <xf numFmtId="165" fontId="5" fillId="0" borderId="7" xfId="16" applyNumberFormat="1" applyFont="1" applyFill="1" applyBorder="1" applyAlignment="1">
      <alignment vertical="center" wrapText="1"/>
    </xf>
    <xf numFmtId="164" fontId="13" fillId="5" borderId="12" xfId="2" applyNumberFormat="1" applyFill="1" applyBorder="1" applyAlignment="1">
      <alignment horizontal="center"/>
    </xf>
    <xf numFmtId="0" fontId="14" fillId="0" borderId="0" xfId="6" applyFont="1" applyAlignment="1">
      <alignment horizontal="right" wrapText="1"/>
    </xf>
    <xf numFmtId="165" fontId="5" fillId="0" borderId="8" xfId="16" applyNumberFormat="1" applyFont="1" applyFill="1" applyBorder="1" applyAlignment="1">
      <alignment horizontal="center" vertical="center" wrapText="1"/>
    </xf>
    <xf numFmtId="165" fontId="20" fillId="4" borderId="8" xfId="16" applyNumberFormat="1" applyFont="1" applyFill="1" applyBorder="1" applyAlignment="1">
      <alignment horizontal="center"/>
    </xf>
    <xf numFmtId="0" fontId="19" fillId="0" borderId="5" xfId="3" applyFont="1" applyFill="1" applyBorder="1"/>
    <xf numFmtId="166" fontId="16" fillId="0" borderId="5" xfId="4" applyNumberFormat="1" applyFont="1" applyFill="1" applyBorder="1"/>
    <xf numFmtId="165" fontId="1" fillId="0" borderId="4" xfId="16" applyNumberFormat="1" applyFont="1" applyFill="1" applyBorder="1" applyAlignment="1">
      <alignment horizontal="center" vertical="center" wrapText="1"/>
    </xf>
    <xf numFmtId="165" fontId="5" fillId="0" borderId="6" xfId="16" applyNumberFormat="1" applyFont="1" applyFill="1" applyBorder="1" applyAlignment="1">
      <alignment horizontal="center" vertical="center" wrapText="1"/>
    </xf>
    <xf numFmtId="165" fontId="20" fillId="4" borderId="9" xfId="16" applyNumberFormat="1" applyFont="1" applyFill="1" applyBorder="1" applyAlignment="1">
      <alignment horizontal="center"/>
    </xf>
    <xf numFmtId="164" fontId="13" fillId="0" borderId="14" xfId="2" applyNumberFormat="1" applyBorder="1" applyAlignment="1">
      <alignment horizontal="center"/>
    </xf>
    <xf numFmtId="0" fontId="13" fillId="0" borderId="0" xfId="2"/>
    <xf numFmtId="0" fontId="21" fillId="0" borderId="0" xfId="2" applyFont="1"/>
    <xf numFmtId="0" fontId="13" fillId="0" borderId="0" xfId="2" applyAlignment="1">
      <alignment wrapText="1"/>
    </xf>
    <xf numFmtId="164" fontId="13" fillId="0" borderId="0" xfId="2" applyNumberFormat="1" applyAlignment="1">
      <alignment horizontal="center"/>
    </xf>
    <xf numFmtId="0" fontId="3" fillId="3" borderId="2" xfId="2" applyFont="1" applyFill="1" applyBorder="1" applyAlignment="1">
      <alignment horizontal="center" vertical="center" wrapText="1"/>
    </xf>
    <xf numFmtId="164" fontId="3" fillId="3" borderId="2" xfId="2" applyNumberFormat="1" applyFont="1" applyFill="1" applyBorder="1" applyAlignment="1">
      <alignment horizontal="center" vertical="center" wrapText="1"/>
    </xf>
    <xf numFmtId="0" fontId="3" fillId="3" borderId="2" xfId="2" applyFont="1" applyFill="1" applyBorder="1" applyAlignment="1">
      <alignment vertical="center" wrapText="1"/>
    </xf>
    <xf numFmtId="0" fontId="3" fillId="3" borderId="3" xfId="2" applyFont="1" applyFill="1" applyBorder="1" applyAlignment="1">
      <alignment horizontal="center" vertical="center" wrapText="1"/>
    </xf>
    <xf numFmtId="0" fontId="13" fillId="0" borderId="0" xfId="2" applyAlignment="1">
      <alignment horizontal="center"/>
    </xf>
    <xf numFmtId="0" fontId="3" fillId="3" borderId="7" xfId="2" applyFont="1" applyFill="1" applyBorder="1" applyAlignment="1">
      <alignment horizontal="center" vertical="center" wrapText="1"/>
    </xf>
    <xf numFmtId="0" fontId="20" fillId="0" borderId="0" xfId="2" applyFont="1" applyAlignment="1">
      <alignment horizontal="center"/>
    </xf>
    <xf numFmtId="0" fontId="20" fillId="0" borderId="0" xfId="2" applyFont="1" applyAlignment="1">
      <alignment horizontal="center" wrapText="1"/>
    </xf>
    <xf numFmtId="0" fontId="13" fillId="0" borderId="0" xfId="2" applyAlignment="1">
      <alignment horizontal="center" wrapText="1"/>
    </xf>
    <xf numFmtId="0" fontId="3" fillId="0" borderId="0" xfId="2" applyFont="1" applyFill="1" applyBorder="1" applyAlignment="1">
      <alignment horizontal="center" vertical="center" wrapText="1"/>
    </xf>
    <xf numFmtId="0" fontId="13" fillId="0" borderId="0" xfId="2" applyFill="1" applyAlignment="1">
      <alignment horizontal="center" wrapText="1"/>
    </xf>
    <xf numFmtId="0" fontId="13" fillId="0" borderId="0" xfId="2" applyAlignment="1">
      <alignment horizontal="left"/>
    </xf>
    <xf numFmtId="0" fontId="21" fillId="0" borderId="0" xfId="2" applyFont="1" applyAlignment="1">
      <alignment horizontal="center"/>
    </xf>
    <xf numFmtId="0" fontId="21" fillId="0" borderId="0" xfId="2" applyFont="1" applyAlignment="1">
      <alignment horizontal="center" wrapText="1"/>
    </xf>
    <xf numFmtId="164" fontId="21" fillId="0" borderId="0" xfId="2" applyNumberFormat="1" applyFont="1" applyAlignment="1">
      <alignment horizontal="center"/>
    </xf>
    <xf numFmtId="0" fontId="13" fillId="0" borderId="0" xfId="2" applyFill="1" applyAlignment="1">
      <alignment wrapText="1"/>
    </xf>
    <xf numFmtId="0" fontId="4" fillId="0" borderId="0" xfId="2" applyFont="1"/>
    <xf numFmtId="0" fontId="13" fillId="0" borderId="0" xfId="2" applyFill="1"/>
    <xf numFmtId="0" fontId="4" fillId="0" borderId="0" xfId="2" applyFont="1" applyAlignment="1">
      <alignment wrapText="1"/>
    </xf>
    <xf numFmtId="0" fontId="2" fillId="0" borderId="0" xfId="2" applyFont="1"/>
    <xf numFmtId="0" fontId="13" fillId="0" borderId="0" xfId="2" applyFont="1" applyAlignment="1">
      <alignment horizontal="center"/>
    </xf>
    <xf numFmtId="0" fontId="13" fillId="0" borderId="0" xfId="2" applyBorder="1"/>
    <xf numFmtId="0" fontId="13" fillId="0" borderId="0" xfId="2" applyFont="1"/>
    <xf numFmtId="164" fontId="2" fillId="0" borderId="0" xfId="2" applyNumberFormat="1" applyFont="1" applyAlignment="1">
      <alignment horizontal="left"/>
    </xf>
    <xf numFmtId="0" fontId="13" fillId="0" borderId="0" xfId="2" applyFont="1" applyAlignment="1">
      <alignment horizontal="right"/>
    </xf>
    <xf numFmtId="0" fontId="14" fillId="0" borderId="0" xfId="2" applyFont="1" applyAlignment="1">
      <alignment horizontal="right" wrapText="1"/>
    </xf>
    <xf numFmtId="0" fontId="14" fillId="0" borderId="0" xfId="2" applyFont="1" applyFill="1" applyAlignment="1">
      <alignment horizontal="right" wrapText="1"/>
    </xf>
    <xf numFmtId="0" fontId="14" fillId="0" borderId="0" xfId="2" applyFont="1" applyBorder="1" applyAlignment="1">
      <alignment horizontal="right" wrapText="1"/>
    </xf>
    <xf numFmtId="0" fontId="13" fillId="4" borderId="7" xfId="2" applyFill="1" applyBorder="1"/>
    <xf numFmtId="0" fontId="3" fillId="4" borderId="7" xfId="2" applyFont="1" applyFill="1" applyBorder="1" applyAlignment="1">
      <alignment horizontal="center" vertical="center" wrapText="1"/>
    </xf>
    <xf numFmtId="0" fontId="13" fillId="4" borderId="7" xfId="2" applyFill="1" applyBorder="1" applyAlignment="1">
      <alignment horizontal="center"/>
    </xf>
    <xf numFmtId="0" fontId="13" fillId="0" borderId="0" xfId="2" applyFont="1" applyAlignment="1">
      <alignment wrapText="1"/>
    </xf>
    <xf numFmtId="0" fontId="21" fillId="0" borderId="0" xfId="2" applyFont="1" applyFill="1" applyBorder="1" applyAlignment="1">
      <alignment horizontal="center"/>
    </xf>
    <xf numFmtId="0" fontId="18" fillId="0" borderId="0" xfId="2" applyFont="1" applyFill="1" applyBorder="1" applyAlignment="1">
      <alignment horizontal="left"/>
    </xf>
    <xf numFmtId="164" fontId="13" fillId="6" borderId="12" xfId="2" applyNumberFormat="1" applyFill="1" applyBorder="1" applyAlignment="1">
      <alignment horizontal="center"/>
    </xf>
    <xf numFmtId="164" fontId="20" fillId="6" borderId="12" xfId="2" applyNumberFormat="1" applyFont="1" applyFill="1" applyBorder="1" applyAlignment="1">
      <alignment horizontal="center"/>
    </xf>
    <xf numFmtId="0" fontId="13" fillId="6" borderId="12" xfId="2" applyFill="1" applyBorder="1"/>
    <xf numFmtId="164" fontId="13" fillId="6" borderId="13" xfId="2" applyNumberFormat="1" applyFill="1" applyBorder="1" applyAlignment="1">
      <alignment horizontal="center"/>
    </xf>
    <xf numFmtId="164" fontId="15" fillId="0" borderId="0" xfId="2" applyNumberFormat="1" applyFont="1" applyAlignment="1">
      <alignment horizontal="left"/>
    </xf>
    <xf numFmtId="0" fontId="8" fillId="0" borderId="0" xfId="2" applyFont="1"/>
    <xf numFmtId="0" fontId="10" fillId="0" borderId="0" xfId="2" applyFont="1" applyAlignment="1">
      <alignment wrapText="1"/>
    </xf>
    <xf numFmtId="0" fontId="10" fillId="0" borderId="0" xfId="2" applyFont="1" applyAlignment="1">
      <alignment horizontal="right"/>
    </xf>
    <xf numFmtId="1" fontId="9" fillId="7" borderId="1" xfId="2" applyNumberFormat="1" applyFont="1" applyFill="1" applyBorder="1" applyAlignment="1">
      <alignment horizontal="center" vertical="center"/>
    </xf>
    <xf numFmtId="0" fontId="18" fillId="0" borderId="0" xfId="2" applyFont="1" applyFill="1" applyAlignment="1">
      <alignment horizontal="right"/>
    </xf>
    <xf numFmtId="0" fontId="5" fillId="0" borderId="2" xfId="2" applyFont="1" applyFill="1" applyBorder="1" applyAlignment="1">
      <alignment horizontal="center" vertical="center" wrapText="1"/>
    </xf>
    <xf numFmtId="164" fontId="5" fillId="0" borderId="2" xfId="2" applyNumberFormat="1" applyFont="1" applyFill="1" applyBorder="1" applyAlignment="1">
      <alignment horizontal="center" vertical="center" wrapText="1"/>
    </xf>
    <xf numFmtId="0" fontId="5" fillId="0" borderId="2" xfId="2" applyFont="1" applyFill="1" applyBorder="1" applyAlignment="1">
      <alignment vertical="center" wrapText="1"/>
    </xf>
    <xf numFmtId="164" fontId="13" fillId="0" borderId="0" xfId="2" applyNumberFormat="1" applyAlignment="1">
      <alignment horizontal="center"/>
    </xf>
    <xf numFmtId="44" fontId="13" fillId="0" borderId="0" xfId="16" applyFont="1" applyAlignment="1">
      <alignment horizontal="center"/>
    </xf>
    <xf numFmtId="0" fontId="3" fillId="3" borderId="0" xfId="3" applyFont="1" applyFill="1" applyBorder="1" applyAlignment="1">
      <alignment horizontal="center" vertical="center" wrapText="1"/>
    </xf>
    <xf numFmtId="164" fontId="22" fillId="0" borderId="0" xfId="2" applyNumberFormat="1" applyFont="1" applyAlignment="1">
      <alignment horizontal="center" wrapText="1"/>
    </xf>
    <xf numFmtId="165" fontId="5" fillId="0" borderId="7" xfId="16" applyNumberFormat="1" applyFont="1" applyFill="1" applyBorder="1" applyAlignment="1">
      <alignment horizontal="center" vertical="center" wrapText="1"/>
    </xf>
    <xf numFmtId="0" fontId="13" fillId="4" borderId="0" xfId="2" applyFill="1" applyAlignment="1">
      <alignment wrapText="1"/>
    </xf>
    <xf numFmtId="165" fontId="20" fillId="4" borderId="7" xfId="16" applyNumberFormat="1" applyFont="1" applyFill="1" applyBorder="1" applyAlignment="1">
      <alignment horizontal="center"/>
    </xf>
    <xf numFmtId="165" fontId="5" fillId="0" borderId="7" xfId="16" applyNumberFormat="1" applyFont="1" applyFill="1" applyBorder="1" applyAlignment="1">
      <alignment vertical="center" wrapText="1"/>
    </xf>
    <xf numFmtId="164" fontId="13" fillId="5" borderId="12" xfId="2" applyNumberFormat="1" applyFill="1" applyBorder="1" applyAlignment="1">
      <alignment horizontal="center"/>
    </xf>
    <xf numFmtId="0" fontId="14" fillId="0" borderId="0" xfId="6" applyFont="1" applyAlignment="1">
      <alignment horizontal="right" wrapText="1"/>
    </xf>
    <xf numFmtId="165" fontId="5" fillId="0" borderId="8" xfId="16" applyNumberFormat="1" applyFont="1" applyFill="1" applyBorder="1" applyAlignment="1">
      <alignment horizontal="center" vertical="center" wrapText="1"/>
    </xf>
    <xf numFmtId="0" fontId="19" fillId="0" borderId="5" xfId="3" applyFont="1" applyFill="1" applyBorder="1"/>
    <xf numFmtId="166" fontId="16" fillId="0" borderId="5" xfId="4" applyNumberFormat="1" applyFont="1" applyFill="1" applyBorder="1"/>
    <xf numFmtId="165" fontId="5" fillId="0" borderId="6" xfId="16" applyNumberFormat="1" applyFont="1" applyFill="1" applyBorder="1" applyAlignment="1">
      <alignment horizontal="center" vertical="center" wrapText="1"/>
    </xf>
    <xf numFmtId="165" fontId="5" fillId="0" borderId="4" xfId="16" applyNumberFormat="1" applyFont="1" applyFill="1" applyBorder="1" applyAlignment="1">
      <alignment horizontal="center" vertical="center" wrapText="1"/>
    </xf>
    <xf numFmtId="165" fontId="13" fillId="0" borderId="14" xfId="16" applyNumberFormat="1" applyFont="1" applyBorder="1" applyAlignment="1">
      <alignment horizontal="center"/>
    </xf>
    <xf numFmtId="0" fontId="66"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6" fillId="0" borderId="7" xfId="28" applyBorder="1"/>
    <xf numFmtId="0" fontId="66" fillId="0" borderId="0" xfId="28" applyFill="1"/>
    <xf numFmtId="0" fontId="66"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169" fontId="66" fillId="0" borderId="13" xfId="28" applyNumberFormat="1" applyBorder="1"/>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6" fillId="0" borderId="0" xfId="28" applyFill="1" applyBorder="1"/>
    <xf numFmtId="0" fontId="29" fillId="0" borderId="13" xfId="28" applyFont="1" applyBorder="1"/>
    <xf numFmtId="9" fontId="30" fillId="0" borderId="13" xfId="11" applyFont="1" applyBorder="1"/>
    <xf numFmtId="169" fontId="66" fillId="0" borderId="0" xfId="28" applyNumberFormat="1"/>
    <xf numFmtId="7" fontId="30" fillId="0" borderId="13" xfId="39"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6"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6" fillId="6" borderId="37" xfId="28" applyFill="1" applyBorder="1"/>
    <xf numFmtId="0" fontId="66" fillId="11" borderId="8" xfId="28" applyFill="1" applyBorder="1"/>
    <xf numFmtId="0" fontId="66" fillId="11" borderId="2" xfId="28" applyFill="1" applyBorder="1"/>
    <xf numFmtId="0" fontId="66"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6" fillId="0" borderId="7" xfId="28" applyBorder="1" applyAlignment="1">
      <alignment horizontal="right"/>
    </xf>
    <xf numFmtId="0" fontId="32" fillId="0" borderId="0" xfId="28" applyFont="1"/>
    <xf numFmtId="0" fontId="66" fillId="0" borderId="39" xfId="28" applyBorder="1"/>
    <xf numFmtId="0" fontId="27" fillId="0" borderId="32" xfId="28" applyFont="1" applyBorder="1"/>
    <xf numFmtId="0" fontId="27" fillId="4" borderId="1" xfId="28" applyFont="1" applyFill="1" applyBorder="1" applyAlignment="1">
      <alignment horizontal="center"/>
    </xf>
    <xf numFmtId="164" fontId="66" fillId="4" borderId="25" xfId="28" applyNumberFormat="1" applyFont="1" applyFill="1" applyBorder="1" applyAlignment="1">
      <alignment horizontal="right"/>
    </xf>
    <xf numFmtId="164" fontId="66" fillId="4" borderId="26" xfId="28" applyNumberFormat="1" applyFont="1" applyFill="1" applyBorder="1" applyAlignment="1">
      <alignment horizontal="right"/>
    </xf>
    <xf numFmtId="164" fontId="66" fillId="0" borderId="28" xfId="28" applyNumberFormat="1" applyBorder="1"/>
    <xf numFmtId="164" fontId="66"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64" fontId="29" fillId="0" borderId="45" xfId="28" applyNumberFormat="1" applyFont="1" applyBorder="1"/>
    <xf numFmtId="175" fontId="66" fillId="0" borderId="35" xfId="28" applyNumberFormat="1" applyBorder="1"/>
    <xf numFmtId="174" fontId="30" fillId="0" borderId="13" xfId="29" applyNumberFormat="1" applyFont="1" applyBorder="1"/>
    <xf numFmtId="174" fontId="29" fillId="0" borderId="13" xfId="29"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1" fontId="66" fillId="0" borderId="13" xfId="28" applyNumberFormat="1" applyBorder="1" applyAlignment="1">
      <alignment horizontal="center"/>
    </xf>
    <xf numFmtId="171" fontId="66" fillId="0" borderId="12" xfId="28" applyNumberFormat="1" applyBorder="1" applyAlignment="1">
      <alignment horizontal="center"/>
    </xf>
    <xf numFmtId="0" fontId="31" fillId="0" borderId="0" xfId="28" applyFont="1"/>
    <xf numFmtId="9" fontId="30" fillId="0" borderId="13" xfId="11" applyFon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39" applyFont="1" applyFill="1" applyBorder="1" applyAlignment="1">
      <alignment horizontal="right"/>
    </xf>
    <xf numFmtId="44" fontId="29" fillId="0" borderId="27" xfId="39" applyFont="1" applyFill="1" applyBorder="1" applyAlignment="1">
      <alignment horizontal="right"/>
    </xf>
    <xf numFmtId="165" fontId="0" fillId="0" borderId="0" xfId="1" applyNumberFormat="1" applyFont="1" applyFill="1"/>
    <xf numFmtId="0" fontId="71" fillId="0" borderId="0" xfId="0" applyFont="1"/>
    <xf numFmtId="0" fontId="70" fillId="0" borderId="0" xfId="0" applyFont="1"/>
    <xf numFmtId="0" fontId="26" fillId="14" borderId="43" xfId="9" applyFill="1" applyBorder="1" applyAlignment="1" applyProtection="1">
      <alignment horizontal="center" wrapText="1"/>
    </xf>
    <xf numFmtId="0" fontId="0" fillId="14" borderId="0" xfId="0" applyFill="1"/>
    <xf numFmtId="0" fontId="66"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6" fillId="0" borderId="7" xfId="28" applyBorder="1"/>
    <xf numFmtId="0" fontId="66" fillId="0" borderId="0" xfId="28" applyFill="1"/>
    <xf numFmtId="0" fontId="66" fillId="0" borderId="7" xfId="28" applyBorder="1" applyAlignment="1">
      <alignment horizontal="left" indent="2"/>
    </xf>
    <xf numFmtId="0" fontId="66"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6" fillId="0" borderId="13" xfId="28" applyBorder="1" applyAlignment="1">
      <alignment horizontal="left" indent="2"/>
    </xf>
    <xf numFmtId="169" fontId="66" fillId="0" borderId="13" xfId="28" applyNumberFormat="1" applyBorder="1"/>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6" fillId="0" borderId="0" xfId="28" applyFill="1" applyBorder="1"/>
    <xf numFmtId="0" fontId="29" fillId="0" borderId="13" xfId="28" applyFont="1" applyBorder="1"/>
    <xf numFmtId="9" fontId="30" fillId="0" borderId="13" xfId="11" applyFont="1" applyBorder="1"/>
    <xf numFmtId="169" fontId="66"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171" fontId="66" fillId="0" borderId="13" xfId="28" applyNumberFormat="1" applyBorder="1"/>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6" fillId="4" borderId="22" xfId="28" applyNumberFormat="1" applyFill="1" applyBorder="1" applyAlignment="1">
      <alignment horizontal="right"/>
    </xf>
    <xf numFmtId="169" fontId="66"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6"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6" fillId="6" borderId="37" xfId="28" applyFill="1" applyBorder="1"/>
    <xf numFmtId="0" fontId="66" fillId="11" borderId="8" xfId="28" applyFill="1" applyBorder="1"/>
    <xf numFmtId="0" fontId="66" fillId="11" borderId="10" xfId="28" applyFill="1" applyBorder="1"/>
    <xf numFmtId="0" fontId="66" fillId="11" borderId="5" xfId="28" applyFill="1" applyBorder="1"/>
    <xf numFmtId="0" fontId="66" fillId="11" borderId="5" xfId="28" applyFill="1" applyBorder="1" applyAlignment="1">
      <alignment horizontal="center"/>
    </xf>
    <xf numFmtId="0" fontId="66" fillId="11" borderId="34" xfId="28" applyFill="1" applyBorder="1"/>
    <xf numFmtId="0" fontId="66" fillId="11" borderId="2" xfId="28" applyFill="1" applyBorder="1"/>
    <xf numFmtId="0" fontId="66"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168" fontId="30" fillId="0" borderId="13" xfId="30" applyNumberFormat="1" applyFont="1" applyBorder="1"/>
    <xf numFmtId="168" fontId="29" fillId="0" borderId="13" xfId="30" applyNumberFormat="1" applyFont="1" applyBorder="1"/>
    <xf numFmtId="170" fontId="66" fillId="0" borderId="35" xfId="28" applyNumberFormat="1" applyBorder="1"/>
    <xf numFmtId="0" fontId="66"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applyAlignment="1">
      <alignment horizontal="center"/>
    </xf>
    <xf numFmtId="164" fontId="66" fillId="4" borderId="25" xfId="28" applyNumberFormat="1" applyFont="1" applyFill="1" applyBorder="1" applyAlignment="1">
      <alignment horizontal="right"/>
    </xf>
    <xf numFmtId="164" fontId="66" fillId="4" borderId="26" xfId="28" applyNumberFormat="1" applyFont="1" applyFill="1" applyBorder="1" applyAlignment="1">
      <alignment horizontal="right"/>
    </xf>
    <xf numFmtId="164" fontId="66" fillId="0" borderId="28" xfId="28" applyNumberFormat="1" applyBorder="1"/>
    <xf numFmtId="164" fontId="66"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6" fillId="0" borderId="13" xfId="28" applyNumberFormat="1" applyBorder="1" applyAlignment="1">
      <alignment horizontal="left" indent="2"/>
    </xf>
    <xf numFmtId="164" fontId="66" fillId="0" borderId="7" xfId="28" applyNumberFormat="1" applyBorder="1" applyAlignment="1">
      <alignment horizontal="left" indent="2"/>
    </xf>
    <xf numFmtId="0" fontId="27" fillId="0" borderId="24" xfId="28" applyFont="1" applyFill="1" applyBorder="1" applyAlignment="1">
      <alignment horizontal="center"/>
    </xf>
    <xf numFmtId="171" fontId="66" fillId="0" borderId="13" xfId="28" applyNumberFormat="1" applyBorder="1" applyAlignment="1">
      <alignment horizontal="right"/>
    </xf>
    <xf numFmtId="171" fontId="66" fillId="0" borderId="12" xfId="28" applyNumberFormat="1" applyBorder="1" applyAlignment="1">
      <alignment horizontal="right"/>
    </xf>
    <xf numFmtId="171" fontId="29" fillId="0" borderId="22" xfId="28" applyNumberFormat="1" applyFont="1" applyBorder="1"/>
    <xf numFmtId="171" fontId="29" fillId="0" borderId="23" xfId="28" applyNumberFormat="1" applyFont="1" applyBorder="1"/>
    <xf numFmtId="168" fontId="29" fillId="0" borderId="0" xfId="28" applyNumberFormat="1" applyFont="1"/>
    <xf numFmtId="0" fontId="29" fillId="0" borderId="40" xfId="28" applyFont="1" applyBorder="1" applyAlignment="1">
      <alignment horizontal="center"/>
    </xf>
    <xf numFmtId="168" fontId="29" fillId="4" borderId="27" xfId="28" applyNumberFormat="1" applyFont="1" applyFill="1" applyBorder="1" applyAlignment="1">
      <alignment horizontal="center"/>
    </xf>
    <xf numFmtId="168" fontId="29" fillId="0" borderId="29" xfId="28" applyNumberFormat="1" applyFont="1" applyBorder="1"/>
    <xf numFmtId="168" fontId="29" fillId="0" borderId="23" xfId="28" applyNumberFormat="1" applyFont="1" applyBorder="1"/>
    <xf numFmtId="169" fontId="66" fillId="2" borderId="13" xfId="28" applyNumberForma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6"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6" fillId="0" borderId="7" xfId="28" applyBorder="1"/>
    <xf numFmtId="0" fontId="66" fillId="0" borderId="0" xfId="28" applyFill="1"/>
    <xf numFmtId="0" fontId="66" fillId="0" borderId="7" xfId="28" applyBorder="1" applyAlignment="1">
      <alignment horizontal="left" indent="2"/>
    </xf>
    <xf numFmtId="0" fontId="66"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169" fontId="66" fillId="0" borderId="13" xfId="28" applyNumberFormat="1" applyBorder="1"/>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6" fillId="0" borderId="0" xfId="28" applyFill="1" applyBorder="1"/>
    <xf numFmtId="0" fontId="29" fillId="0" borderId="13" xfId="28" applyFont="1" applyBorder="1"/>
    <xf numFmtId="9" fontId="30" fillId="0" borderId="13" xfId="11" applyFont="1" applyBorder="1"/>
    <xf numFmtId="169" fontId="66"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171" fontId="66" fillId="0" borderId="13" xfId="28" applyNumberFormat="1" applyBorder="1"/>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6" fillId="4" borderId="22" xfId="28" applyNumberFormat="1" applyFill="1" applyBorder="1" applyAlignment="1">
      <alignment horizontal="right"/>
    </xf>
    <xf numFmtId="169" fontId="66"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6"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6" fillId="6" borderId="37" xfId="28" applyFill="1" applyBorder="1"/>
    <xf numFmtId="0" fontId="66" fillId="11" borderId="8" xfId="28" applyFill="1" applyBorder="1"/>
    <xf numFmtId="0" fontId="66" fillId="11" borderId="10" xfId="28" applyFill="1" applyBorder="1"/>
    <xf numFmtId="0" fontId="66" fillId="11" borderId="5" xfId="28" applyFill="1" applyBorder="1"/>
    <xf numFmtId="0" fontId="66" fillId="11" borderId="5" xfId="28" applyFill="1" applyBorder="1" applyAlignment="1">
      <alignment horizontal="center"/>
    </xf>
    <xf numFmtId="0" fontId="66" fillId="11" borderId="34" xfId="28" applyFill="1" applyBorder="1"/>
    <xf numFmtId="0" fontId="66" fillId="11" borderId="2" xfId="28" applyFill="1" applyBorder="1"/>
    <xf numFmtId="0" fontId="66"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168" fontId="30" fillId="0" borderId="13" xfId="30" applyNumberFormat="1" applyFont="1" applyBorder="1"/>
    <xf numFmtId="168" fontId="29" fillId="0" borderId="13" xfId="30" applyNumberFormat="1" applyFont="1" applyBorder="1"/>
    <xf numFmtId="170" fontId="66" fillId="0" borderId="35" xfId="28" applyNumberFormat="1" applyBorder="1"/>
    <xf numFmtId="0" fontId="66" fillId="0" borderId="7" xfId="28" applyBorder="1" applyAlignment="1">
      <alignment horizontal="right"/>
    </xf>
    <xf numFmtId="0" fontId="32" fillId="0" borderId="0" xfId="28" applyFont="1"/>
    <xf numFmtId="0" fontId="66" fillId="0" borderId="39" xfId="28" applyBorder="1"/>
    <xf numFmtId="0" fontId="27" fillId="0" borderId="32" xfId="28" applyFont="1" applyBorder="1"/>
    <xf numFmtId="0" fontId="27" fillId="4" borderId="1" xfId="28" applyFont="1" applyFill="1" applyBorder="1" applyAlignment="1">
      <alignment horizontal="center"/>
    </xf>
    <xf numFmtId="164" fontId="66" fillId="4" borderId="25" xfId="28" applyNumberFormat="1" applyFont="1" applyFill="1" applyBorder="1" applyAlignment="1">
      <alignment horizontal="right"/>
    </xf>
    <xf numFmtId="164" fontId="66" fillId="4" borderId="26" xfId="28" applyNumberFormat="1" applyFont="1" applyFill="1" applyBorder="1" applyAlignment="1">
      <alignment horizontal="right"/>
    </xf>
    <xf numFmtId="164" fontId="66" fillId="0" borderId="28" xfId="28" applyNumberFormat="1" applyBorder="1"/>
    <xf numFmtId="164" fontId="66"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6" fillId="0" borderId="13" xfId="28" applyNumberFormat="1" applyBorder="1" applyAlignment="1">
      <alignment horizontal="left" indent="2"/>
    </xf>
    <xf numFmtId="164" fontId="66" fillId="0" borderId="7" xfId="28" applyNumberFormat="1" applyBorder="1" applyAlignment="1">
      <alignment horizontal="left" indent="2"/>
    </xf>
    <xf numFmtId="0" fontId="27" fillId="0" borderId="24" xfId="28" applyFont="1" applyFill="1" applyBorder="1" applyAlignment="1">
      <alignment horizontal="center"/>
    </xf>
    <xf numFmtId="171" fontId="66" fillId="0" borderId="13" xfId="28" applyNumberFormat="1" applyBorder="1" applyAlignment="1">
      <alignment horizontal="right"/>
    </xf>
    <xf numFmtId="171" fontId="66" fillId="0" borderId="12" xfId="28" applyNumberFormat="1" applyBorder="1" applyAlignment="1">
      <alignment horizontal="right"/>
    </xf>
    <xf numFmtId="171" fontId="29" fillId="0" borderId="22" xfId="28" applyNumberFormat="1" applyFont="1" applyBorder="1"/>
    <xf numFmtId="171" fontId="29" fillId="0" borderId="23" xfId="28" applyNumberFormat="1" applyFont="1" applyBorder="1"/>
    <xf numFmtId="168" fontId="29" fillId="0" borderId="0" xfId="28" applyNumberFormat="1" applyFont="1"/>
    <xf numFmtId="0" fontId="29" fillId="0" borderId="40" xfId="28" applyFont="1" applyBorder="1" applyAlignment="1">
      <alignment horizontal="center"/>
    </xf>
    <xf numFmtId="164" fontId="29" fillId="0" borderId="21" xfId="28" applyNumberFormat="1" applyFont="1" applyBorder="1"/>
    <xf numFmtId="168" fontId="29" fillId="4" borderId="27" xfId="28" applyNumberFormat="1" applyFont="1" applyFill="1" applyBorder="1" applyAlignment="1">
      <alignment horizontal="center"/>
    </xf>
    <xf numFmtId="168" fontId="29" fillId="0" borderId="29" xfId="28" applyNumberFormat="1" applyFont="1" applyBorder="1"/>
    <xf numFmtId="168" fontId="29" fillId="0" borderId="23" xfId="28" applyNumberFormat="1" applyFont="1" applyBorder="1"/>
    <xf numFmtId="169" fontId="66" fillId="2" borderId="13" xfId="28" applyNumberForma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6"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6" fillId="0" borderId="7" xfId="28" applyBorder="1"/>
    <xf numFmtId="0" fontId="66" fillId="0" borderId="0" xfId="28" applyFill="1"/>
    <xf numFmtId="0" fontId="66" fillId="0" borderId="7" xfId="28" applyBorder="1" applyAlignment="1">
      <alignment horizontal="left" indent="2"/>
    </xf>
    <xf numFmtId="0" fontId="66"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6" fillId="0" borderId="13" xfId="28" applyBorder="1" applyAlignment="1">
      <alignment horizontal="left" indent="2"/>
    </xf>
    <xf numFmtId="169" fontId="66" fillId="0" borderId="13" xfId="28" applyNumberFormat="1" applyBorder="1"/>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6" fillId="0" borderId="0" xfId="28" applyFill="1" applyBorder="1"/>
    <xf numFmtId="0" fontId="29" fillId="0" borderId="13" xfId="28" applyFont="1" applyBorder="1"/>
    <xf numFmtId="9" fontId="30" fillId="0" borderId="13" xfId="11" applyFont="1" applyBorder="1"/>
    <xf numFmtId="169" fontId="66"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6" fillId="4" borderId="22" xfId="28" applyNumberFormat="1" applyFill="1" applyBorder="1" applyAlignment="1">
      <alignment horizontal="right"/>
    </xf>
    <xf numFmtId="169" fontId="66"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6"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6" fillId="6" borderId="37" xfId="28" applyFill="1" applyBorder="1"/>
    <xf numFmtId="0" fontId="66" fillId="11" borderId="8" xfId="28" applyFill="1" applyBorder="1"/>
    <xf numFmtId="0" fontId="66" fillId="11" borderId="2" xfId="28" applyFill="1" applyBorder="1"/>
    <xf numFmtId="0" fontId="66"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6" fillId="0" borderId="7" xfId="28" applyBorder="1" applyAlignment="1">
      <alignment horizontal="right"/>
    </xf>
    <xf numFmtId="0" fontId="32" fillId="0" borderId="0" xfId="28" applyFont="1"/>
    <xf numFmtId="0" fontId="66" fillId="0" borderId="39" xfId="28" applyBorder="1"/>
    <xf numFmtId="0" fontId="27" fillId="0" borderId="32" xfId="28" applyFont="1" applyBorder="1"/>
    <xf numFmtId="0" fontId="27" fillId="4" borderId="1" xfId="28" applyFont="1" applyFill="1" applyBorder="1" applyAlignment="1">
      <alignment horizontal="center"/>
    </xf>
    <xf numFmtId="164" fontId="66" fillId="4" borderId="25" xfId="28" applyNumberFormat="1" applyFont="1" applyFill="1" applyBorder="1" applyAlignment="1">
      <alignment horizontal="right"/>
    </xf>
    <xf numFmtId="164" fontId="66" fillId="4" borderId="26" xfId="28" applyNumberFormat="1" applyFont="1" applyFill="1" applyBorder="1" applyAlignment="1">
      <alignment horizontal="right"/>
    </xf>
    <xf numFmtId="164" fontId="66" fillId="0" borderId="28" xfId="28" applyNumberFormat="1" applyBorder="1"/>
    <xf numFmtId="164" fontId="66"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6" fillId="0" borderId="13" xfId="28" applyNumberFormat="1" applyBorder="1" applyAlignment="1">
      <alignment horizontal="left" indent="2"/>
    </xf>
    <xf numFmtId="164" fontId="66"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29" fillId="0" borderId="45" xfId="28" applyNumberFormat="1" applyFont="1" applyBorder="1"/>
    <xf numFmtId="175" fontId="66"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1" fontId="66" fillId="0" borderId="13" xfId="28" applyNumberFormat="1" applyBorder="1" applyAlignment="1">
      <alignment horizontal="center"/>
    </xf>
    <xf numFmtId="171" fontId="66" fillId="0" borderId="12" xfId="28" applyNumberFormat="1" applyBorder="1" applyAlignment="1">
      <alignment horizontal="center"/>
    </xf>
    <xf numFmtId="0" fontId="31" fillId="0" borderId="0" xfId="28" applyFont="1"/>
    <xf numFmtId="0" fontId="66" fillId="0" borderId="13" xfId="28" applyFill="1" applyBorder="1" applyAlignment="1">
      <alignment horizontal="left" indent="2"/>
    </xf>
    <xf numFmtId="0" fontId="66" fillId="0" borderId="7" xfId="28" applyFill="1" applyBorder="1" applyAlignment="1">
      <alignment horizontal="left" indent="2"/>
    </xf>
    <xf numFmtId="9" fontId="30" fillId="0" borderId="13" xfId="11" applyFont="1" applyFill="1" applyBorder="1"/>
    <xf numFmtId="169" fontId="66" fillId="0" borderId="13" xfId="28" applyNumberFormat="1" applyFill="1" applyBorder="1" applyAlignment="1">
      <alignment horizontal="right"/>
    </xf>
    <xf numFmtId="6" fontId="43" fillId="0" borderId="7" xfId="28" applyNumberFormat="1" applyFont="1" applyFill="1" applyBorder="1" applyAlignment="1" applyProtection="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6"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6" fillId="0" borderId="7" xfId="28" applyBorder="1"/>
    <xf numFmtId="0" fontId="66" fillId="0" borderId="0" xfId="28" applyFill="1"/>
    <xf numFmtId="0" fontId="66" fillId="0" borderId="7" xfId="28" applyBorder="1" applyAlignment="1">
      <alignment horizontal="left" indent="2"/>
    </xf>
    <xf numFmtId="0" fontId="66"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0" fontId="66" fillId="0" borderId="13" xfId="28" applyBorder="1" applyAlignment="1">
      <alignment horizontal="left" indent="2"/>
    </xf>
    <xf numFmtId="169" fontId="66" fillId="0" borderId="13" xfId="28" applyNumberFormat="1" applyBorder="1"/>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6" fillId="0" borderId="0" xfId="28" applyFill="1" applyBorder="1"/>
    <xf numFmtId="0" fontId="29" fillId="0" borderId="13" xfId="28" applyFont="1" applyBorder="1"/>
    <xf numFmtId="9" fontId="30" fillId="0" borderId="13" xfId="11" applyFont="1" applyBorder="1"/>
    <xf numFmtId="169" fontId="66"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6" fillId="4" borderId="22" xfId="28" applyNumberFormat="1" applyFill="1" applyBorder="1" applyAlignment="1">
      <alignment horizontal="right"/>
    </xf>
    <xf numFmtId="169" fontId="66"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6"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6" fillId="6" borderId="37" xfId="28" applyFill="1" applyBorder="1"/>
    <xf numFmtId="0" fontId="66" fillId="11" borderId="8" xfId="28" applyFill="1" applyBorder="1"/>
    <xf numFmtId="0" fontId="66" fillId="11" borderId="2" xfId="28" applyFill="1" applyBorder="1"/>
    <xf numFmtId="0" fontId="66"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6"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applyAlignment="1">
      <alignment horizontal="center"/>
    </xf>
    <xf numFmtId="164" fontId="66" fillId="4" borderId="25" xfId="28" applyNumberFormat="1" applyFont="1" applyFill="1" applyBorder="1" applyAlignment="1">
      <alignment horizontal="right"/>
    </xf>
    <xf numFmtId="164" fontId="66" fillId="4" borderId="26" xfId="28" applyNumberFormat="1" applyFont="1" applyFill="1" applyBorder="1" applyAlignment="1">
      <alignment horizontal="right"/>
    </xf>
    <xf numFmtId="164" fontId="66" fillId="0" borderId="28" xfId="28" applyNumberFormat="1" applyBorder="1"/>
    <xf numFmtId="164" fontId="66"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6" fillId="0" borderId="13" xfId="28" applyNumberFormat="1" applyBorder="1" applyAlignment="1">
      <alignment horizontal="left" indent="2"/>
    </xf>
    <xf numFmtId="164" fontId="66"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29" fillId="0" borderId="45" xfId="28" applyNumberFormat="1" applyFont="1" applyBorder="1"/>
    <xf numFmtId="175" fontId="66"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6" fillId="0" borderId="13" xfId="28" applyNumberFormat="1" applyBorder="1" applyAlignment="1">
      <alignment horizontal="center"/>
    </xf>
    <xf numFmtId="171" fontId="66" fillId="0" borderId="12" xfId="28" applyNumberFormat="1" applyBorder="1" applyAlignment="1">
      <alignment horizontal="center"/>
    </xf>
    <xf numFmtId="0" fontId="66" fillId="0" borderId="13" xfId="28" applyFill="1" applyBorder="1" applyAlignment="1">
      <alignment horizontal="left" indent="2"/>
    </xf>
    <xf numFmtId="0" fontId="66" fillId="0" borderId="7" xfId="28" applyFill="1" applyBorder="1" applyAlignment="1">
      <alignment horizontal="left" indent="2"/>
    </xf>
    <xf numFmtId="9" fontId="30" fillId="0" borderId="13" xfId="11" applyFont="1" applyFill="1" applyBorder="1"/>
    <xf numFmtId="169" fontId="66" fillId="0" borderId="13" xfId="28" applyNumberFormat="1" applyFill="1" applyBorder="1" applyAlignment="1">
      <alignment horizontal="right"/>
    </xf>
    <xf numFmtId="6" fontId="43" fillId="0" borderId="7" xfId="28" applyNumberFormat="1" applyFont="1" applyFill="1" applyBorder="1" applyAlignment="1" applyProtection="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6"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6" fillId="0" borderId="7" xfId="28" applyBorder="1"/>
    <xf numFmtId="0" fontId="66" fillId="0" borderId="0" xfId="28" applyFill="1"/>
    <xf numFmtId="0" fontId="66" fillId="0" borderId="7" xfId="28" applyBorder="1" applyAlignment="1">
      <alignment horizontal="left" indent="2"/>
    </xf>
    <xf numFmtId="0" fontId="66"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169" fontId="66" fillId="0" borderId="13" xfId="28" applyNumberFormat="1" applyBorder="1"/>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6" fillId="0" borderId="0" xfId="28" applyFill="1" applyBorder="1"/>
    <xf numFmtId="0" fontId="29" fillId="0" borderId="13" xfId="28" applyFont="1" applyBorder="1"/>
    <xf numFmtId="9" fontId="30" fillId="0" borderId="13" xfId="11" applyFont="1" applyBorder="1"/>
    <xf numFmtId="169" fontId="66"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6" fillId="4" borderId="22" xfId="28" applyNumberFormat="1" applyFill="1" applyBorder="1" applyAlignment="1">
      <alignment horizontal="right"/>
    </xf>
    <xf numFmtId="169" fontId="66"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6"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6" fillId="6" borderId="37" xfId="28" applyFill="1" applyBorder="1"/>
    <xf numFmtId="0" fontId="66" fillId="11" borderId="8" xfId="28" applyFill="1" applyBorder="1"/>
    <xf numFmtId="0" fontId="66" fillId="11" borderId="10" xfId="28" applyFill="1" applyBorder="1"/>
    <xf numFmtId="0" fontId="66" fillId="11" borderId="5" xfId="28" applyFill="1" applyBorder="1"/>
    <xf numFmtId="0" fontId="66" fillId="11" borderId="2" xfId="28" applyFill="1" applyBorder="1"/>
    <xf numFmtId="0" fontId="66"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6" fillId="0" borderId="7" xfId="28" applyBorder="1" applyAlignment="1">
      <alignment horizontal="right"/>
    </xf>
    <xf numFmtId="0" fontId="32" fillId="0" borderId="0" xfId="28" applyFont="1"/>
    <xf numFmtId="0" fontId="66" fillId="0" borderId="39" xfId="28" applyBorder="1"/>
    <xf numFmtId="0" fontId="27" fillId="0" borderId="32" xfId="28" applyFont="1" applyBorder="1"/>
    <xf numFmtId="0" fontId="27" fillId="4" borderId="1" xfId="28" applyFont="1" applyFill="1" applyBorder="1" applyAlignment="1">
      <alignment horizontal="center"/>
    </xf>
    <xf numFmtId="164" fontId="66" fillId="4" borderId="25" xfId="28" applyNumberFormat="1" applyFont="1" applyFill="1" applyBorder="1" applyAlignment="1">
      <alignment horizontal="right"/>
    </xf>
    <xf numFmtId="164" fontId="66" fillId="4" borderId="26" xfId="28" applyNumberFormat="1" applyFont="1" applyFill="1" applyBorder="1" applyAlignment="1">
      <alignment horizontal="right"/>
    </xf>
    <xf numFmtId="164" fontId="66" fillId="0" borderId="28" xfId="28" applyNumberFormat="1" applyBorder="1"/>
    <xf numFmtId="164" fontId="66"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6" fillId="0" borderId="13" xfId="28" applyNumberFormat="1" applyBorder="1" applyAlignment="1">
      <alignment horizontal="left" indent="2"/>
    </xf>
    <xf numFmtId="164" fontId="66"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164" fontId="29" fillId="0" borderId="45" xfId="28" applyNumberFormat="1" applyFont="1" applyBorder="1"/>
    <xf numFmtId="175" fontId="66"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6" fillId="0" borderId="13" xfId="28" applyNumberFormat="1" applyBorder="1" applyAlignment="1">
      <alignment horizontal="center"/>
    </xf>
    <xf numFmtId="171" fontId="66" fillId="0" borderId="12" xfId="28" applyNumberFormat="1" applyBorder="1" applyAlignment="1">
      <alignment horizontal="center"/>
    </xf>
    <xf numFmtId="9" fontId="30" fillId="0" borderId="13" xfId="11" applyFont="1" applyFill="1" applyBorder="1"/>
    <xf numFmtId="169" fontId="66" fillId="0" borderId="13" xfId="28" applyNumberFormat="1" applyFill="1" applyBorder="1" applyAlignment="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6"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6" fillId="0" borderId="7" xfId="28" applyBorder="1"/>
    <xf numFmtId="0" fontId="66" fillId="0" borderId="0" xfId="28" applyFill="1"/>
    <xf numFmtId="0" fontId="66" fillId="0" borderId="7" xfId="28" applyBorder="1" applyAlignment="1">
      <alignment horizontal="left" indent="2"/>
    </xf>
    <xf numFmtId="0" fontId="66"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169" fontId="66" fillId="0" borderId="13" xfId="28" applyNumberFormat="1" applyBorder="1"/>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6" fillId="0" borderId="0" xfId="28" applyFill="1" applyBorder="1"/>
    <xf numFmtId="0" fontId="29" fillId="0" borderId="13" xfId="28" applyFont="1" applyBorder="1"/>
    <xf numFmtId="9" fontId="30" fillId="0" borderId="13" xfId="11" applyFont="1" applyBorder="1"/>
    <xf numFmtId="169" fontId="66"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171" fontId="66" fillId="0" borderId="13" xfId="28" applyNumberFormat="1" applyBorder="1"/>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6" fillId="4" borderId="22" xfId="28" applyNumberFormat="1" applyFill="1" applyBorder="1" applyAlignment="1">
      <alignment horizontal="right"/>
    </xf>
    <xf numFmtId="169" fontId="66"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6"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6" fillId="6" borderId="37" xfId="28" applyFill="1" applyBorder="1"/>
    <xf numFmtId="0" fontId="66" fillId="11" borderId="8" xfId="28" applyFill="1" applyBorder="1"/>
    <xf numFmtId="0" fontId="66" fillId="11" borderId="10" xfId="28" applyFill="1" applyBorder="1"/>
    <xf numFmtId="0" fontId="66" fillId="11" borderId="5" xfId="28" applyFill="1" applyBorder="1"/>
    <xf numFmtId="0" fontId="66" fillId="11" borderId="5" xfId="28" applyFill="1" applyBorder="1" applyAlignment="1">
      <alignment horizontal="center"/>
    </xf>
    <xf numFmtId="0" fontId="66" fillId="11" borderId="34" xfId="28" applyFill="1" applyBorder="1"/>
    <xf numFmtId="0" fontId="66" fillId="11" borderId="2" xfId="28" applyFill="1" applyBorder="1"/>
    <xf numFmtId="0" fontId="66"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168" fontId="30" fillId="0" borderId="13" xfId="30" applyNumberFormat="1" applyFont="1" applyBorder="1"/>
    <xf numFmtId="168" fontId="29" fillId="0" borderId="13" xfId="30" applyNumberFormat="1" applyFont="1" applyBorder="1"/>
    <xf numFmtId="170" fontId="66" fillId="0" borderId="35" xfId="28" applyNumberFormat="1" applyBorder="1"/>
    <xf numFmtId="0" fontId="66"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applyAlignment="1">
      <alignment horizontal="center"/>
    </xf>
    <xf numFmtId="164" fontId="66" fillId="4" borderId="25" xfId="28" applyNumberFormat="1" applyFont="1" applyFill="1" applyBorder="1" applyAlignment="1">
      <alignment horizontal="right"/>
    </xf>
    <xf numFmtId="164" fontId="66" fillId="4" borderId="26" xfId="28" applyNumberFormat="1" applyFont="1" applyFill="1" applyBorder="1" applyAlignment="1">
      <alignment horizontal="right"/>
    </xf>
    <xf numFmtId="164" fontId="66" fillId="0" borderId="28" xfId="28" applyNumberFormat="1" applyBorder="1"/>
    <xf numFmtId="164" fontId="66"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6" fillId="0" borderId="13" xfId="28" applyNumberFormat="1" applyBorder="1" applyAlignment="1">
      <alignment horizontal="left" indent="2"/>
    </xf>
    <xf numFmtId="164" fontId="66" fillId="0" borderId="7" xfId="28" applyNumberFormat="1" applyBorder="1" applyAlignment="1">
      <alignment horizontal="left" indent="2"/>
    </xf>
    <xf numFmtId="0" fontId="27" fillId="0" borderId="24" xfId="28" applyFont="1" applyFill="1" applyBorder="1" applyAlignment="1">
      <alignment horizontal="center"/>
    </xf>
    <xf numFmtId="171" fontId="66" fillId="0" borderId="13" xfId="28" applyNumberFormat="1" applyBorder="1" applyAlignment="1">
      <alignment horizontal="right"/>
    </xf>
    <xf numFmtId="171" fontId="66" fillId="0" borderId="12" xfId="28" applyNumberFormat="1" applyBorder="1" applyAlignment="1">
      <alignment horizontal="right"/>
    </xf>
    <xf numFmtId="171" fontId="29" fillId="0" borderId="22" xfId="28" applyNumberFormat="1" applyFont="1" applyBorder="1"/>
    <xf numFmtId="171" fontId="29" fillId="0" borderId="23" xfId="28" applyNumberFormat="1" applyFont="1" applyBorder="1"/>
    <xf numFmtId="168" fontId="29" fillId="0" borderId="0" xfId="28" applyNumberFormat="1" applyFont="1"/>
    <xf numFmtId="0" fontId="29" fillId="0" borderId="40" xfId="28" applyFont="1" applyBorder="1" applyAlignment="1">
      <alignment horizontal="center"/>
    </xf>
    <xf numFmtId="0" fontId="27" fillId="0" borderId="0" xfId="28" applyFont="1" applyAlignment="1">
      <alignment horizontal="right"/>
    </xf>
    <xf numFmtId="164" fontId="29" fillId="0" borderId="21" xfId="28" applyNumberFormat="1" applyFont="1" applyBorder="1"/>
    <xf numFmtId="164" fontId="29" fillId="0" borderId="23" xfId="28" applyNumberFormat="1" applyFont="1" applyBorder="1"/>
    <xf numFmtId="168" fontId="29" fillId="4" borderId="27" xfId="28" applyNumberFormat="1" applyFont="1" applyFill="1" applyBorder="1" applyAlignment="1">
      <alignment horizontal="center"/>
    </xf>
    <xf numFmtId="168" fontId="29" fillId="0" borderId="29" xfId="28" applyNumberFormat="1" applyFont="1" applyBorder="1"/>
    <xf numFmtId="168" fontId="29" fillId="0" borderId="23" xfId="28" applyNumberFormat="1" applyFont="1" applyBorder="1"/>
    <xf numFmtId="169" fontId="66" fillId="2" borderId="13" xfId="28" applyNumberFormat="1" applyFill="1" applyBorder="1"/>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67" fillId="0" borderId="0" xfId="28" applyFont="1" applyFill="1" applyBorder="1" applyAlignment="1">
      <alignment wrapText="1"/>
    </xf>
    <xf numFmtId="0" fontId="66" fillId="0" borderId="0" xfId="28"/>
    <xf numFmtId="0" fontId="29" fillId="0" borderId="0" xfId="28" applyFont="1"/>
    <xf numFmtId="8" fontId="29" fillId="0" borderId="0" xfId="28" applyNumberFormat="1" applyFont="1" applyAlignment="1">
      <alignment horizontal="right"/>
    </xf>
    <xf numFmtId="172" fontId="29" fillId="0" borderId="0" xfId="28" applyNumberFormat="1" applyFont="1"/>
    <xf numFmtId="0" fontId="66" fillId="0" borderId="7" xfId="28" applyBorder="1"/>
    <xf numFmtId="0" fontId="66" fillId="0" borderId="0" xfId="28" applyFill="1"/>
    <xf numFmtId="0" fontId="66" fillId="0" borderId="7" xfId="28" applyBorder="1" applyAlignment="1">
      <alignment horizontal="left" indent="2"/>
    </xf>
    <xf numFmtId="0" fontId="66" fillId="0" borderId="13" xfId="28" applyBorder="1"/>
    <xf numFmtId="0" fontId="29" fillId="0" borderId="21" xfId="28" applyFont="1" applyBorder="1"/>
    <xf numFmtId="0" fontId="29" fillId="0" borderId="22" xfId="28" applyFont="1" applyBorder="1"/>
    <xf numFmtId="0" fontId="29" fillId="0" borderId="23" xfId="28" applyFont="1" applyBorder="1"/>
    <xf numFmtId="0" fontId="27" fillId="0" borderId="0" xfId="28" applyFont="1"/>
    <xf numFmtId="169" fontId="66" fillId="0" borderId="13" xfId="28" applyNumberFormat="1" applyBorder="1"/>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169" fontId="29" fillId="0" borderId="0" xfId="28" applyNumberFormat="1" applyFont="1" applyAlignment="1">
      <alignment horizontal="right"/>
    </xf>
    <xf numFmtId="0" fontId="28" fillId="0" borderId="0" xfId="28" applyFont="1"/>
    <xf numFmtId="0" fontId="29" fillId="0" borderId="0" xfId="28" applyFont="1" applyFill="1" applyBorder="1"/>
    <xf numFmtId="0" fontId="29" fillId="0" borderId="21" xfId="28" applyFont="1" applyFill="1" applyBorder="1" applyAlignment="1">
      <alignment horizontal="center"/>
    </xf>
    <xf numFmtId="0" fontId="29" fillId="0" borderId="23" xfId="28" applyFont="1" applyFill="1" applyBorder="1" applyAlignment="1">
      <alignment horizontal="center"/>
    </xf>
    <xf numFmtId="0" fontId="66" fillId="0" borderId="0" xfId="28" applyFill="1" applyBorder="1"/>
    <xf numFmtId="0" fontId="29" fillId="0" borderId="13" xfId="28" applyFont="1" applyBorder="1"/>
    <xf numFmtId="9" fontId="30" fillId="0" borderId="13" xfId="11" applyFont="1" applyBorder="1"/>
    <xf numFmtId="169" fontId="66" fillId="0" borderId="0" xfId="28" applyNumberFormat="1"/>
    <xf numFmtId="7" fontId="30" fillId="0" borderId="13" xfId="40" applyNumberFormat="1" applyFont="1" applyBorder="1"/>
    <xf numFmtId="7" fontId="29" fillId="0" borderId="0" xfId="28" applyNumberFormat="1" applyFont="1"/>
    <xf numFmtId="0" fontId="29" fillId="0" borderId="22" xfId="28" applyFont="1" applyBorder="1" applyAlignment="1">
      <alignment horizontal="center"/>
    </xf>
    <xf numFmtId="0" fontId="29" fillId="0" borderId="21" xfId="28" applyFont="1" applyBorder="1" applyAlignment="1">
      <alignment horizontal="center"/>
    </xf>
    <xf numFmtId="0" fontId="29" fillId="0" borderId="23" xfId="28" applyFont="1" applyBorder="1" applyAlignment="1">
      <alignment horizontal="center"/>
    </xf>
    <xf numFmtId="0" fontId="29" fillId="4" borderId="21" xfId="28" applyFont="1" applyFill="1" applyBorder="1"/>
    <xf numFmtId="169" fontId="66" fillId="4" borderId="22" xfId="28" applyNumberFormat="1" applyFill="1" applyBorder="1" applyAlignment="1">
      <alignment horizontal="right"/>
    </xf>
    <xf numFmtId="169" fontId="66" fillId="4" borderId="23" xfId="28" applyNumberFormat="1" applyFill="1" applyBorder="1" applyAlignment="1">
      <alignment horizontal="right"/>
    </xf>
    <xf numFmtId="0" fontId="33" fillId="0" borderId="0" xfId="28" applyFont="1"/>
    <xf numFmtId="0" fontId="29" fillId="0" borderId="41" xfId="28" applyFont="1" applyBorder="1" applyAlignment="1">
      <alignment horizontal="center"/>
    </xf>
    <xf numFmtId="2" fontId="34" fillId="0" borderId="13" xfId="28" applyNumberFormat="1" applyFont="1" applyBorder="1" applyAlignment="1">
      <alignment horizontal="center"/>
    </xf>
    <xf numFmtId="9" fontId="29" fillId="0" borderId="0" xfId="28" applyNumberFormat="1" applyFont="1"/>
    <xf numFmtId="164" fontId="66" fillId="0" borderId="0" xfId="28" applyNumberFormat="1"/>
    <xf numFmtId="2" fontId="34" fillId="0" borderId="12" xfId="28" applyNumberFormat="1" applyFont="1" applyBorder="1" applyAlignment="1">
      <alignment horizontal="center"/>
    </xf>
    <xf numFmtId="2" fontId="34" fillId="0" borderId="21" xfId="28" applyNumberFormat="1" applyFont="1" applyBorder="1" applyAlignment="1">
      <alignment horizontal="center"/>
    </xf>
    <xf numFmtId="2" fontId="34" fillId="0" borderId="22" xfId="28" applyNumberFormat="1" applyFont="1" applyBorder="1" applyAlignment="1">
      <alignment horizontal="center"/>
    </xf>
    <xf numFmtId="0" fontId="29" fillId="0" borderId="42" xfId="28" applyFont="1" applyBorder="1" applyAlignment="1">
      <alignment horizontal="center"/>
    </xf>
    <xf numFmtId="0" fontId="27" fillId="0" borderId="0" xfId="28" applyFont="1" applyAlignment="1">
      <alignment horizontal="left"/>
    </xf>
    <xf numFmtId="0" fontId="27" fillId="6" borderId="36" xfId="28" applyFont="1" applyFill="1" applyBorder="1"/>
    <xf numFmtId="0" fontId="66" fillId="6" borderId="37" xfId="28" applyFill="1" applyBorder="1"/>
    <xf numFmtId="0" fontId="66" fillId="11" borderId="8" xfId="28" applyFill="1" applyBorder="1"/>
    <xf numFmtId="0" fontId="66" fillId="11" borderId="10" xfId="28" applyFill="1" applyBorder="1"/>
    <xf numFmtId="0" fontId="66" fillId="11" borderId="5" xfId="28" applyFill="1" applyBorder="1"/>
    <xf numFmtId="0" fontId="66" fillId="11" borderId="2" xfId="28" applyFill="1" applyBorder="1"/>
    <xf numFmtId="0" fontId="66" fillId="11" borderId="35" xfId="28" applyFill="1" applyBorder="1"/>
    <xf numFmtId="0" fontId="27" fillId="0" borderId="23" xfId="28" applyFont="1" applyBorder="1"/>
    <xf numFmtId="0" fontId="27" fillId="0" borderId="21" xfId="28" applyFont="1" applyFill="1" applyBorder="1" applyAlignment="1">
      <alignment horizontal="center"/>
    </xf>
    <xf numFmtId="0" fontId="27" fillId="0" borderId="22" xfId="28" applyFont="1" applyFill="1" applyBorder="1" applyAlignment="1">
      <alignment horizontal="center"/>
    </xf>
    <xf numFmtId="0" fontId="27" fillId="0" borderId="23" xfId="28" applyFont="1" applyFill="1" applyBorder="1" applyAlignment="1">
      <alignment horizontal="center"/>
    </xf>
    <xf numFmtId="0" fontId="27" fillId="0" borderId="12" xfId="28" applyFont="1" applyBorder="1" applyAlignment="1">
      <alignment horizontal="center"/>
    </xf>
    <xf numFmtId="0" fontId="66" fillId="0" borderId="7" xfId="28" applyBorder="1" applyAlignment="1">
      <alignment horizontal="right"/>
    </xf>
    <xf numFmtId="0" fontId="32" fillId="0" borderId="0" xfId="28" applyFont="1"/>
    <xf numFmtId="0" fontId="27" fillId="0" borderId="32" xfId="28" applyFont="1" applyBorder="1"/>
    <xf numFmtId="0" fontId="27" fillId="4" borderId="1" xfId="28" applyFont="1" applyFill="1" applyBorder="1" applyAlignment="1">
      <alignment horizontal="center"/>
    </xf>
    <xf numFmtId="164" fontId="66" fillId="4" borderId="25" xfId="28" applyNumberFormat="1" applyFont="1" applyFill="1" applyBorder="1" applyAlignment="1">
      <alignment horizontal="right"/>
    </xf>
    <xf numFmtId="164" fontId="66" fillId="4" borderId="26" xfId="28" applyNumberFormat="1" applyFont="1" applyFill="1" applyBorder="1" applyAlignment="1">
      <alignment horizontal="right"/>
    </xf>
    <xf numFmtId="164" fontId="66" fillId="0" borderId="28" xfId="28" applyNumberFormat="1" applyBorder="1"/>
    <xf numFmtId="164" fontId="66" fillId="0" borderId="13" xfId="28" applyNumberFormat="1" applyBorder="1"/>
    <xf numFmtId="164" fontId="29" fillId="0" borderId="29" xfId="28" applyNumberFormat="1" applyFont="1" applyBorder="1"/>
    <xf numFmtId="164" fontId="29" fillId="4" borderId="27" xfId="28" applyNumberFormat="1" applyFont="1" applyFill="1" applyBorder="1" applyAlignment="1">
      <alignment horizontal="right"/>
    </xf>
    <xf numFmtId="164" fontId="29" fillId="4" borderId="21" xfId="28" applyNumberFormat="1" applyFont="1" applyFill="1" applyBorder="1"/>
    <xf numFmtId="164" fontId="66" fillId="0" borderId="13" xfId="28" applyNumberFormat="1" applyBorder="1" applyAlignment="1">
      <alignment horizontal="left" indent="2"/>
    </xf>
    <xf numFmtId="164" fontId="66" fillId="0" borderId="7" xfId="28" applyNumberFormat="1" applyBorder="1" applyAlignment="1">
      <alignment horizontal="left" indent="2"/>
    </xf>
    <xf numFmtId="0" fontId="27" fillId="0" borderId="24" xfId="28" applyFont="1" applyFill="1" applyBorder="1" applyAlignment="1">
      <alignment horizontal="center"/>
    </xf>
    <xf numFmtId="171" fontId="29" fillId="0" borderId="22" xfId="28" applyNumberFormat="1" applyFont="1" applyBorder="1"/>
    <xf numFmtId="171" fontId="29" fillId="0" borderId="23" xfId="28" applyNumberFormat="1" applyFont="1" applyBorder="1"/>
    <xf numFmtId="174" fontId="29" fillId="4" borderId="27" xfId="28" applyNumberFormat="1" applyFont="1" applyFill="1" applyBorder="1" applyAlignment="1">
      <alignment horizontal="center"/>
    </xf>
    <xf numFmtId="0" fontId="29" fillId="0" borderId="0" xfId="28" applyFont="1" applyAlignment="1">
      <alignment horizontal="right"/>
    </xf>
    <xf numFmtId="164" fontId="29" fillId="0" borderId="45" xfId="28" applyNumberFormat="1" applyFont="1" applyBorder="1"/>
    <xf numFmtId="175" fontId="66" fillId="0" borderId="35" xfId="28" applyNumberFormat="1" applyBorder="1"/>
    <xf numFmtId="174" fontId="30" fillId="0" borderId="13" xfId="30" applyNumberFormat="1" applyFont="1" applyBorder="1"/>
    <xf numFmtId="174" fontId="29" fillId="0" borderId="13" xfId="30" applyNumberFormat="1" applyFont="1" applyBorder="1"/>
    <xf numFmtId="174" fontId="29" fillId="0" borderId="0" xfId="28" applyNumberFormat="1" applyFont="1"/>
    <xf numFmtId="0" fontId="29" fillId="0" borderId="40" xfId="28" applyFont="1" applyBorder="1"/>
    <xf numFmtId="0" fontId="29" fillId="0" borderId="41" xfId="28" applyFont="1" applyBorder="1"/>
    <xf numFmtId="0" fontId="29" fillId="0" borderId="42" xfId="28" applyFont="1" applyBorder="1"/>
    <xf numFmtId="174" fontId="29" fillId="0" borderId="29" xfId="28" applyNumberFormat="1" applyFont="1" applyBorder="1"/>
    <xf numFmtId="174" fontId="29" fillId="0" borderId="42" xfId="28" applyNumberFormat="1" applyFont="1" applyBorder="1"/>
    <xf numFmtId="171" fontId="66" fillId="0" borderId="13" xfId="28" applyNumberFormat="1" applyBorder="1" applyAlignment="1">
      <alignment horizontal="center"/>
    </xf>
    <xf numFmtId="171" fontId="66" fillId="0" borderId="12" xfId="28" applyNumberFormat="1" applyBorder="1" applyAlignment="1">
      <alignment horizontal="center"/>
    </xf>
    <xf numFmtId="0" fontId="31" fillId="0" borderId="0" xfId="28" applyFont="1"/>
    <xf numFmtId="9" fontId="30" fillId="0" borderId="13" xfId="11" applyFont="1" applyFill="1" applyBorder="1"/>
    <xf numFmtId="169" fontId="66" fillId="0" borderId="13" xfId="28" applyNumberFormat="1" applyFill="1" applyBorder="1" applyAlignment="1">
      <alignment horizontal="right"/>
    </xf>
    <xf numFmtId="6" fontId="43" fillId="0" borderId="7" xfId="28" applyNumberFormat="1" applyFont="1" applyFill="1" applyBorder="1" applyAlignment="1" applyProtection="1">
      <alignment horizontal="right"/>
    </xf>
    <xf numFmtId="9" fontId="29" fillId="4" borderId="0" xfId="11" applyFont="1" applyFill="1"/>
    <xf numFmtId="0" fontId="29" fillId="4" borderId="0" xfId="28"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44" fontId="29" fillId="4" borderId="27" xfId="40" applyFont="1" applyFill="1" applyBorder="1" applyAlignment="1">
      <alignment horizontal="right"/>
    </xf>
    <xf numFmtId="44" fontId="29" fillId="0" borderId="27" xfId="40" applyFont="1" applyFill="1" applyBorder="1" applyAlignment="1">
      <alignment horizontal="right"/>
    </xf>
    <xf numFmtId="0" fontId="26" fillId="0" borderId="43" xfId="9" applyFill="1" applyBorder="1" applyAlignment="1" applyProtection="1">
      <alignment horizontal="center" wrapText="1"/>
    </xf>
    <xf numFmtId="0" fontId="66" fillId="0" borderId="32" xfId="28" applyFill="1" applyBorder="1" applyAlignment="1">
      <alignment horizontal="left" indent="2"/>
    </xf>
    <xf numFmtId="165" fontId="29" fillId="0" borderId="21" xfId="1" applyNumberFormat="1" applyFont="1" applyBorder="1" applyAlignment="1">
      <alignment horizontal="center"/>
    </xf>
    <xf numFmtId="165" fontId="29" fillId="0" borderId="22" xfId="1" applyNumberFormat="1" applyFont="1" applyBorder="1" applyAlignment="1">
      <alignment horizontal="center"/>
    </xf>
    <xf numFmtId="165" fontId="29" fillId="0" borderId="23" xfId="1" applyNumberFormat="1" applyFont="1" applyBorder="1" applyAlignment="1">
      <alignment horizontal="center"/>
    </xf>
    <xf numFmtId="172" fontId="0" fillId="0" borderId="0" xfId="7" applyNumberFormat="1" applyFont="1"/>
    <xf numFmtId="172" fontId="29" fillId="0" borderId="23" xfId="7" applyNumberFormat="1" applyFont="1" applyBorder="1" applyAlignment="1">
      <alignment horizontal="center" wrapText="1"/>
    </xf>
    <xf numFmtId="0" fontId="44" fillId="0" borderId="0" xfId="0" applyFont="1" applyAlignment="1">
      <alignment horizontal="center"/>
    </xf>
    <xf numFmtId="0" fontId="44" fillId="0" borderId="0" xfId="0" applyFont="1"/>
    <xf numFmtId="0" fontId="73" fillId="0" borderId="0" xfId="9" applyFont="1" applyFill="1" applyBorder="1" applyAlignment="1" applyProtection="1">
      <alignment horizontal="center" wrapText="1"/>
    </xf>
    <xf numFmtId="165" fontId="44" fillId="0" borderId="0" xfId="1" applyNumberFormat="1" applyFont="1"/>
    <xf numFmtId="172" fontId="44" fillId="0" borderId="0" xfId="7" applyNumberFormat="1" applyFont="1"/>
    <xf numFmtId="0" fontId="73" fillId="0" borderId="43" xfId="9" applyFont="1" applyFill="1" applyBorder="1" applyAlignment="1" applyProtection="1">
      <alignment horizontal="center" wrapText="1"/>
    </xf>
    <xf numFmtId="182" fontId="0" fillId="0" borderId="0" xfId="7" applyNumberFormat="1" applyFont="1"/>
    <xf numFmtId="165" fontId="29" fillId="0" borderId="0" xfId="1" applyNumberFormat="1" applyFont="1" applyFill="1" applyBorder="1" applyAlignment="1">
      <alignment horizontal="center"/>
    </xf>
    <xf numFmtId="0" fontId="0" fillId="0" borderId="0" xfId="0"/>
    <xf numFmtId="0" fontId="21" fillId="0" borderId="0" xfId="0" applyFont="1"/>
    <xf numFmtId="0" fontId="21" fillId="0" borderId="0" xfId="0" applyFont="1" applyBorder="1"/>
    <xf numFmtId="0" fontId="4" fillId="0" borderId="51" xfId="0" applyFont="1" applyFill="1" applyBorder="1" applyAlignment="1">
      <alignment horizontal="right"/>
    </xf>
    <xf numFmtId="0" fontId="21" fillId="0" borderId="18" xfId="0" applyFont="1" applyBorder="1" applyAlignment="1">
      <alignment vertical="center"/>
    </xf>
    <xf numFmtId="0" fontId="21" fillId="0" borderId="18" xfId="0" applyFont="1" applyBorder="1" applyAlignment="1">
      <alignment vertical="center" wrapText="1"/>
    </xf>
    <xf numFmtId="0" fontId="0" fillId="0" borderId="54" xfId="0" applyBorder="1"/>
    <xf numFmtId="0" fontId="0" fillId="0" borderId="55" xfId="0" applyBorder="1"/>
    <xf numFmtId="0" fontId="0" fillId="0" borderId="56" xfId="0" applyBorder="1"/>
    <xf numFmtId="0" fontId="0" fillId="0" borderId="47" xfId="0" applyBorder="1"/>
    <xf numFmtId="0" fontId="0" fillId="0" borderId="59" xfId="0" applyBorder="1"/>
    <xf numFmtId="0" fontId="0" fillId="0" borderId="60" xfId="0" applyBorder="1"/>
    <xf numFmtId="0" fontId="0" fillId="0" borderId="64" xfId="0" applyBorder="1"/>
    <xf numFmtId="0" fontId="0" fillId="0" borderId="10" xfId="0" applyBorder="1"/>
    <xf numFmtId="0" fontId="20" fillId="0" borderId="10" xfId="0" applyFont="1" applyBorder="1"/>
    <xf numFmtId="0" fontId="0" fillId="0" borderId="0" xfId="0" applyBorder="1"/>
    <xf numFmtId="0" fontId="15" fillId="0" borderId="0" xfId="0" applyFont="1" applyBorder="1"/>
    <xf numFmtId="0" fontId="0" fillId="0" borderId="65" xfId="0" applyBorder="1"/>
    <xf numFmtId="0" fontId="0" fillId="0" borderId="66" xfId="0" applyBorder="1"/>
    <xf numFmtId="0" fontId="0" fillId="0" borderId="67" xfId="0" applyBorder="1"/>
    <xf numFmtId="0" fontId="0" fillId="0" borderId="68" xfId="0" applyBorder="1"/>
    <xf numFmtId="0" fontId="0" fillId="0" borderId="57" xfId="0" applyBorder="1"/>
    <xf numFmtId="0" fontId="0" fillId="0" borderId="69" xfId="0" applyBorder="1"/>
    <xf numFmtId="0" fontId="0" fillId="0" borderId="62" xfId="0" applyBorder="1"/>
    <xf numFmtId="0" fontId="0" fillId="0" borderId="7" xfId="0" applyBorder="1"/>
    <xf numFmtId="0" fontId="0" fillId="0" borderId="70" xfId="0" applyBorder="1"/>
    <xf numFmtId="0" fontId="0" fillId="0" borderId="2" xfId="0" applyBorder="1"/>
    <xf numFmtId="3" fontId="75" fillId="0" borderId="68" xfId="0" applyNumberFormat="1" applyFont="1" applyFill="1" applyBorder="1"/>
    <xf numFmtId="3" fontId="75" fillId="0" borderId="57" xfId="0" applyNumberFormat="1" applyFont="1" applyFill="1" applyBorder="1"/>
    <xf numFmtId="0" fontId="13" fillId="0" borderId="57" xfId="0" applyFont="1" applyBorder="1"/>
    <xf numFmtId="0" fontId="4" fillId="0" borderId="69" xfId="0" applyFont="1" applyBorder="1"/>
    <xf numFmtId="0" fontId="4" fillId="0" borderId="72" xfId="0" applyFont="1" applyBorder="1"/>
    <xf numFmtId="0" fontId="13" fillId="0" borderId="72" xfId="0" applyFont="1" applyBorder="1"/>
    <xf numFmtId="0" fontId="13" fillId="0" borderId="0" xfId="0" applyFont="1" applyBorder="1"/>
    <xf numFmtId="0" fontId="21" fillId="15" borderId="64" xfId="0" applyFont="1" applyFill="1" applyBorder="1"/>
    <xf numFmtId="0" fontId="21" fillId="15" borderId="10" xfId="0" applyFont="1" applyFill="1" applyBorder="1"/>
    <xf numFmtId="0" fontId="75" fillId="15" borderId="10" xfId="0" applyFont="1" applyFill="1" applyBorder="1"/>
    <xf numFmtId="0" fontId="0" fillId="0" borderId="73" xfId="0" applyBorder="1"/>
    <xf numFmtId="0" fontId="0" fillId="0" borderId="74" xfId="0" applyBorder="1"/>
    <xf numFmtId="0" fontId="0" fillId="0" borderId="75" xfId="0" applyBorder="1"/>
    <xf numFmtId="0" fontId="0" fillId="0" borderId="58" xfId="0" applyBorder="1"/>
    <xf numFmtId="0" fontId="0" fillId="0" borderId="76" xfId="0" applyBorder="1"/>
    <xf numFmtId="0" fontId="0" fillId="0" borderId="77" xfId="0" applyBorder="1"/>
    <xf numFmtId="0" fontId="0" fillId="0" borderId="78" xfId="0" applyBorder="1"/>
    <xf numFmtId="0" fontId="79" fillId="4" borderId="70" xfId="0" applyFont="1" applyFill="1" applyBorder="1" applyAlignment="1">
      <alignment horizontal="left"/>
    </xf>
    <xf numFmtId="0" fontId="79" fillId="4" borderId="2" xfId="0" applyFont="1" applyFill="1" applyBorder="1" applyAlignment="1">
      <alignment horizontal="left"/>
    </xf>
    <xf numFmtId="0" fontId="79" fillId="4" borderId="2" xfId="0" applyFont="1" applyFill="1" applyBorder="1" applyAlignment="1">
      <alignment horizontal="right"/>
    </xf>
    <xf numFmtId="0" fontId="0" fillId="0" borderId="79" xfId="0" applyBorder="1"/>
    <xf numFmtId="0" fontId="0" fillId="0" borderId="80" xfId="0" applyBorder="1"/>
    <xf numFmtId="0" fontId="0" fillId="0" borderId="81" xfId="0" applyBorder="1"/>
    <xf numFmtId="0" fontId="0" fillId="0" borderId="63" xfId="0" applyBorder="1"/>
    <xf numFmtId="0" fontId="20" fillId="0" borderId="5" xfId="0" applyFont="1" applyBorder="1"/>
    <xf numFmtId="0" fontId="20" fillId="0" borderId="7" xfId="0" applyFont="1" applyBorder="1"/>
    <xf numFmtId="0" fontId="20" fillId="0" borderId="8" xfId="0" applyFont="1" applyBorder="1"/>
    <xf numFmtId="0" fontId="0" fillId="0" borderId="38" xfId="0" applyBorder="1"/>
    <xf numFmtId="0" fontId="0" fillId="0" borderId="82" xfId="0" applyBorder="1"/>
    <xf numFmtId="0" fontId="20" fillId="0" borderId="16" xfId="0" applyFont="1" applyBorder="1"/>
    <xf numFmtId="0" fontId="0" fillId="0" borderId="0" xfId="0" applyBorder="1" applyAlignment="1">
      <alignment vertical="center"/>
    </xf>
    <xf numFmtId="0" fontId="0" fillId="0" borderId="0" xfId="0" applyFill="1" applyBorder="1" applyAlignment="1">
      <alignment vertical="center"/>
    </xf>
    <xf numFmtId="0" fontId="79" fillId="0" borderId="0" xfId="0" applyFont="1" applyFill="1" applyBorder="1" applyAlignment="1">
      <alignment vertical="center"/>
    </xf>
    <xf numFmtId="0" fontId="44" fillId="0" borderId="0" xfId="0" applyFont="1" applyAlignment="1">
      <alignment horizontal="left"/>
    </xf>
    <xf numFmtId="42" fontId="0" fillId="0" borderId="0" xfId="0" applyNumberFormat="1" applyBorder="1"/>
    <xf numFmtId="3" fontId="21" fillId="16" borderId="36" xfId="0" applyNumberFormat="1" applyFont="1" applyFill="1" applyBorder="1"/>
    <xf numFmtId="3" fontId="21" fillId="16" borderId="48" xfId="0" applyNumberFormat="1" applyFont="1" applyFill="1" applyBorder="1"/>
    <xf numFmtId="0" fontId="75" fillId="16" borderId="48" xfId="0" applyFont="1" applyFill="1" applyBorder="1"/>
    <xf numFmtId="42" fontId="21" fillId="16" borderId="48" xfId="0" applyNumberFormat="1" applyFont="1" applyFill="1" applyBorder="1"/>
    <xf numFmtId="0" fontId="21" fillId="17" borderId="64" xfId="0" applyFont="1" applyFill="1" applyBorder="1"/>
    <xf numFmtId="0" fontId="21" fillId="17" borderId="10" xfId="0" applyFont="1" applyFill="1" applyBorder="1"/>
    <xf numFmtId="0" fontId="75" fillId="17" borderId="10" xfId="0" applyFont="1" applyFill="1" applyBorder="1"/>
    <xf numFmtId="0" fontId="21" fillId="18" borderId="64" xfId="0" applyFont="1" applyFill="1" applyBorder="1"/>
    <xf numFmtId="0" fontId="21" fillId="18" borderId="10" xfId="0" applyFont="1" applyFill="1" applyBorder="1"/>
    <xf numFmtId="3" fontId="75" fillId="19" borderId="71" xfId="0" applyNumberFormat="1" applyFont="1" applyFill="1" applyBorder="1"/>
    <xf numFmtId="3" fontId="75" fillId="19" borderId="53" xfId="0" applyNumberFormat="1" applyFont="1" applyFill="1" applyBorder="1"/>
    <xf numFmtId="0" fontId="75" fillId="19" borderId="53" xfId="0" applyFont="1" applyFill="1" applyBorder="1"/>
    <xf numFmtId="3" fontId="21" fillId="20" borderId="64" xfId="0" applyNumberFormat="1" applyFont="1" applyFill="1" applyBorder="1"/>
    <xf numFmtId="3" fontId="21" fillId="20" borderId="10" xfId="0" applyNumberFormat="1" applyFont="1" applyFill="1" applyBorder="1"/>
    <xf numFmtId="0" fontId="21" fillId="20" borderId="10" xfId="0" applyFont="1" applyFill="1" applyBorder="1"/>
    <xf numFmtId="0" fontId="0" fillId="0" borderId="32" xfId="0" applyBorder="1" applyAlignment="1">
      <alignment vertical="center"/>
    </xf>
    <xf numFmtId="0" fontId="44" fillId="0" borderId="0" xfId="0" applyFont="1"/>
    <xf numFmtId="3" fontId="44" fillId="0" borderId="0" xfId="0" applyNumberFormat="1" applyFont="1" applyBorder="1"/>
    <xf numFmtId="0" fontId="83" fillId="0" borderId="0" xfId="0" applyFont="1"/>
    <xf numFmtId="0" fontId="79" fillId="4" borderId="39" xfId="0" applyFont="1" applyFill="1" applyBorder="1" applyAlignment="1">
      <alignment vertical="center"/>
    </xf>
    <xf numFmtId="6" fontId="44" fillId="0" borderId="8" xfId="0" applyNumberFormat="1" applyFont="1" applyBorder="1"/>
    <xf numFmtId="0" fontId="0" fillId="21" borderId="55" xfId="0" applyFont="1" applyFill="1" applyBorder="1"/>
    <xf numFmtId="0" fontId="0" fillId="21" borderId="58" xfId="0" applyFont="1" applyFill="1" applyBorder="1"/>
    <xf numFmtId="0" fontId="0" fillId="21" borderId="56" xfId="0" applyFill="1" applyBorder="1"/>
    <xf numFmtId="183" fontId="4" fillId="0" borderId="16" xfId="0" applyNumberFormat="1" applyFont="1" applyBorder="1" applyAlignment="1">
      <alignment horizontal="left"/>
    </xf>
    <xf numFmtId="42" fontId="0" fillId="0" borderId="16" xfId="0" applyNumberFormat="1" applyBorder="1"/>
    <xf numFmtId="3" fontId="0" fillId="0" borderId="0" xfId="0" applyNumberFormat="1" applyBorder="1"/>
    <xf numFmtId="164" fontId="0" fillId="6" borderId="32" xfId="0" applyNumberFormat="1" applyFill="1" applyBorder="1" applyAlignment="1">
      <alignment horizontal="center"/>
    </xf>
    <xf numFmtId="0" fontId="13" fillId="0" borderId="87" xfId="0" applyFont="1" applyBorder="1" applyAlignment="1">
      <alignment wrapText="1"/>
    </xf>
    <xf numFmtId="0" fontId="0" fillId="0" borderId="0" xfId="0"/>
    <xf numFmtId="0" fontId="0" fillId="0" borderId="0" xfId="0" applyAlignment="1">
      <alignment wrapText="1"/>
    </xf>
    <xf numFmtId="0" fontId="0" fillId="0" borderId="57" xfId="0" applyBorder="1"/>
    <xf numFmtId="0" fontId="0" fillId="0" borderId="69" xfId="0" applyBorder="1"/>
    <xf numFmtId="0" fontId="44" fillId="0" borderId="0" xfId="0" applyFont="1"/>
    <xf numFmtId="0" fontId="85" fillId="0" borderId="58" xfId="0" applyFont="1" applyFill="1" applyBorder="1"/>
    <xf numFmtId="165" fontId="0" fillId="0" borderId="0" xfId="1" applyNumberFormat="1" applyFont="1"/>
    <xf numFmtId="0" fontId="13" fillId="0" borderId="88" xfId="0" applyFont="1" applyBorder="1" applyAlignment="1">
      <alignment wrapText="1"/>
    </xf>
    <xf numFmtId="0" fontId="0" fillId="0" borderId="72" xfId="0" applyBorder="1"/>
    <xf numFmtId="164" fontId="29" fillId="0" borderId="0" xfId="28" applyNumberFormat="1" applyFont="1" applyBorder="1"/>
    <xf numFmtId="174" fontId="29" fillId="0" borderId="0" xfId="28" applyNumberFormat="1" applyFont="1" applyBorder="1"/>
    <xf numFmtId="166" fontId="29" fillId="0" borderId="0" xfId="11" applyNumberFormat="1" applyFont="1" applyFill="1" applyBorder="1" applyAlignment="1">
      <alignment horizontal="right"/>
    </xf>
    <xf numFmtId="44" fontId="29" fillId="0" borderId="0" xfId="39" applyFont="1" applyFill="1" applyBorder="1" applyAlignment="1">
      <alignment horizontal="right"/>
    </xf>
    <xf numFmtId="164" fontId="29" fillId="0" borderId="0" xfId="28" applyNumberFormat="1" applyFont="1" applyBorder="1" applyAlignment="1">
      <alignment horizontal="right"/>
    </xf>
    <xf numFmtId="0" fontId="3" fillId="3" borderId="0" xfId="3" applyFont="1" applyFill="1" applyBorder="1" applyAlignment="1">
      <alignment horizontal="center" vertical="center" wrapText="1"/>
    </xf>
    <xf numFmtId="3" fontId="0" fillId="0" borderId="55" xfId="0" applyNumberFormat="1" applyFill="1" applyBorder="1" applyProtection="1"/>
    <xf numFmtId="42" fontId="0" fillId="0" borderId="55" xfId="0" applyNumberFormat="1" applyFill="1" applyBorder="1" applyProtection="1"/>
    <xf numFmtId="37" fontId="0" fillId="0" borderId="55" xfId="0" applyNumberFormat="1" applyFill="1" applyBorder="1" applyProtection="1"/>
    <xf numFmtId="37" fontId="0" fillId="21" borderId="56" xfId="0" applyNumberFormat="1" applyFont="1" applyFill="1" applyBorder="1" applyProtection="1"/>
    <xf numFmtId="165" fontId="0" fillId="21" borderId="55" xfId="1" applyNumberFormat="1" applyFont="1" applyFill="1" applyBorder="1" applyProtection="1"/>
    <xf numFmtId="37" fontId="0" fillId="21" borderId="55" xfId="0" applyNumberFormat="1" applyFont="1" applyFill="1" applyBorder="1" applyProtection="1"/>
    <xf numFmtId="42" fontId="0" fillId="0" borderId="55" xfId="0" applyNumberFormat="1" applyFont="1" applyFill="1" applyBorder="1" applyProtection="1"/>
    <xf numFmtId="42" fontId="0" fillId="22" borderId="55" xfId="0" applyNumberFormat="1" applyFill="1" applyBorder="1" applyProtection="1"/>
    <xf numFmtId="37" fontId="5" fillId="0" borderId="10" xfId="0" applyNumberFormat="1" applyFont="1" applyFill="1" applyBorder="1" applyProtection="1"/>
    <xf numFmtId="37" fontId="5" fillId="23" borderId="10" xfId="0" applyNumberFormat="1" applyFont="1" applyFill="1" applyBorder="1" applyProtection="1"/>
    <xf numFmtId="185" fontId="5" fillId="0" borderId="0" xfId="1" applyNumberFormat="1" applyFont="1" applyFill="1" applyBorder="1" applyProtection="1"/>
    <xf numFmtId="42" fontId="15" fillId="0" borderId="0" xfId="0" applyNumberFormat="1" applyFont="1" applyBorder="1" applyProtection="1"/>
    <xf numFmtId="3" fontId="15" fillId="0" borderId="0" xfId="0" applyNumberFormat="1" applyFont="1" applyBorder="1" applyProtection="1"/>
    <xf numFmtId="3" fontId="25" fillId="17" borderId="10" xfId="0" applyNumberFormat="1" applyFont="1" applyFill="1" applyBorder="1" applyProtection="1"/>
    <xf numFmtId="37" fontId="1" fillId="0" borderId="67" xfId="0" applyNumberFormat="1" applyFont="1" applyFill="1" applyBorder="1" applyProtection="1"/>
    <xf numFmtId="42" fontId="0" fillId="0" borderId="85" xfId="0" applyNumberFormat="1" applyFill="1" applyBorder="1" applyProtection="1"/>
    <xf numFmtId="37" fontId="1" fillId="0" borderId="55" xfId="0" applyNumberFormat="1" applyFont="1" applyFill="1" applyBorder="1" applyProtection="1"/>
    <xf numFmtId="42" fontId="1" fillId="0" borderId="55" xfId="0" applyNumberFormat="1" applyFont="1" applyFill="1" applyBorder="1" applyProtection="1"/>
    <xf numFmtId="3" fontId="1" fillId="0" borderId="55" xfId="0" applyNumberFormat="1" applyFont="1" applyFill="1" applyBorder="1" applyProtection="1"/>
    <xf numFmtId="3" fontId="1" fillId="0" borderId="55" xfId="0" applyNumberFormat="1" applyFont="1" applyBorder="1" applyProtection="1"/>
    <xf numFmtId="37" fontId="1" fillId="0" borderId="84" xfId="0" applyNumberFormat="1" applyFont="1" applyFill="1" applyBorder="1" applyProtection="1"/>
    <xf numFmtId="42" fontId="1" fillId="0" borderId="84" xfId="0" applyNumberFormat="1" applyFont="1" applyFill="1" applyBorder="1" applyProtection="1"/>
    <xf numFmtId="3" fontId="1" fillId="0" borderId="84" xfId="0" applyNumberFormat="1" applyFont="1" applyFill="1" applyBorder="1" applyProtection="1"/>
    <xf numFmtId="42" fontId="0" fillId="0" borderId="84" xfId="0" applyNumberFormat="1" applyFill="1" applyBorder="1" applyProtection="1"/>
    <xf numFmtId="37" fontId="5" fillId="0" borderId="10" xfId="0" applyNumberFormat="1" applyFont="1" applyBorder="1" applyProtection="1"/>
    <xf numFmtId="42" fontId="5" fillId="23" borderId="10" xfId="0" applyNumberFormat="1" applyFont="1" applyFill="1" applyBorder="1" applyProtection="1"/>
    <xf numFmtId="3" fontId="5" fillId="0" borderId="10" xfId="0" applyNumberFormat="1" applyFont="1" applyBorder="1" applyProtection="1"/>
    <xf numFmtId="3" fontId="25" fillId="18" borderId="10" xfId="0" applyNumberFormat="1" applyFont="1" applyFill="1" applyBorder="1" applyProtection="1"/>
    <xf numFmtId="42" fontId="5" fillId="0" borderId="10" xfId="0" applyNumberFormat="1" applyFont="1" applyFill="1" applyBorder="1" applyProtection="1"/>
    <xf numFmtId="3" fontId="5" fillId="0" borderId="10" xfId="0" applyNumberFormat="1" applyFont="1" applyFill="1" applyBorder="1" applyProtection="1"/>
    <xf numFmtId="42" fontId="1" fillId="0" borderId="0" xfId="0" applyNumberFormat="1" applyFont="1" applyBorder="1" applyProtection="1"/>
    <xf numFmtId="3" fontId="1" fillId="0" borderId="0" xfId="0" applyNumberFormat="1" applyFont="1" applyBorder="1" applyProtection="1"/>
    <xf numFmtId="3" fontId="1" fillId="0" borderId="2" xfId="0" applyNumberFormat="1" applyFont="1" applyBorder="1" applyProtection="1"/>
    <xf numFmtId="42" fontId="1" fillId="0" borderId="2" xfId="0" applyNumberFormat="1" applyFont="1" applyBorder="1" applyProtection="1"/>
    <xf numFmtId="3" fontId="75" fillId="19" borderId="53" xfId="0" applyNumberFormat="1" applyFont="1" applyFill="1" applyBorder="1" applyProtection="1"/>
    <xf numFmtId="3" fontId="82" fillId="21" borderId="56" xfId="0" applyNumberFormat="1" applyFont="1" applyFill="1" applyBorder="1" applyProtection="1"/>
    <xf numFmtId="3" fontId="0" fillId="0" borderId="55" xfId="0" applyNumberFormat="1" applyFont="1" applyFill="1" applyBorder="1" applyProtection="1"/>
    <xf numFmtId="37" fontId="0" fillId="0" borderId="56" xfId="0" applyNumberFormat="1" applyFill="1" applyBorder="1" applyProtection="1"/>
    <xf numFmtId="3" fontId="81" fillId="21" borderId="56" xfId="0" applyNumberFormat="1" applyFont="1" applyFill="1" applyBorder="1" applyProtection="1"/>
    <xf numFmtId="3" fontId="1" fillId="0" borderId="56" xfId="0" applyNumberFormat="1" applyFont="1" applyBorder="1" applyProtection="1"/>
    <xf numFmtId="3" fontId="0" fillId="0" borderId="55" xfId="0" applyNumberFormat="1" applyFont="1" applyBorder="1" applyProtection="1"/>
    <xf numFmtId="42" fontId="0" fillId="0" borderId="55" xfId="0" applyNumberFormat="1" applyFont="1" applyBorder="1" applyProtection="1"/>
    <xf numFmtId="3" fontId="81" fillId="21" borderId="78" xfId="0" applyNumberFormat="1" applyFont="1" applyFill="1" applyBorder="1" applyProtection="1"/>
    <xf numFmtId="42" fontId="5" fillId="22" borderId="10" xfId="0" applyNumberFormat="1" applyFont="1" applyFill="1" applyBorder="1" applyProtection="1"/>
    <xf numFmtId="3" fontId="25" fillId="15" borderId="10" xfId="0" applyNumberFormat="1" applyFont="1" applyFill="1" applyBorder="1" applyProtection="1"/>
    <xf numFmtId="3" fontId="1" fillId="0" borderId="83" xfId="0" applyNumberFormat="1" applyFont="1" applyBorder="1" applyProtection="1"/>
    <xf numFmtId="42" fontId="0" fillId="0" borderId="67" xfId="0" applyNumberFormat="1" applyFont="1" applyBorder="1" applyProtection="1"/>
    <xf numFmtId="3" fontId="0" fillId="0" borderId="67" xfId="0" applyNumberFormat="1" applyFont="1" applyBorder="1" applyProtection="1"/>
    <xf numFmtId="3" fontId="78" fillId="0" borderId="56" xfId="0" applyNumberFormat="1" applyFont="1" applyBorder="1" applyProtection="1"/>
    <xf numFmtId="42" fontId="0" fillId="23" borderId="55" xfId="0" applyNumberFormat="1" applyFont="1" applyFill="1" applyBorder="1" applyProtection="1"/>
    <xf numFmtId="42" fontId="0" fillId="23" borderId="67" xfId="0" applyNumberFormat="1" applyFont="1" applyFill="1" applyBorder="1" applyProtection="1"/>
    <xf numFmtId="3" fontId="1" fillId="0" borderId="78" xfId="0" applyNumberFormat="1" applyFont="1" applyBorder="1" applyProtection="1"/>
    <xf numFmtId="42" fontId="0" fillId="0" borderId="60" xfId="0" applyNumberFormat="1" applyFont="1" applyBorder="1" applyProtection="1"/>
    <xf numFmtId="3" fontId="0" fillId="0" borderId="60" xfId="0" applyNumberFormat="1" applyFont="1" applyBorder="1" applyProtection="1"/>
    <xf numFmtId="3" fontId="5" fillId="4" borderId="2" xfId="0" applyNumberFormat="1" applyFont="1" applyFill="1" applyBorder="1" applyProtection="1"/>
    <xf numFmtId="42" fontId="5" fillId="22" borderId="2" xfId="0" applyNumberFormat="1" applyFont="1" applyFill="1" applyBorder="1" applyProtection="1"/>
    <xf numFmtId="185" fontId="5" fillId="0" borderId="2" xfId="0" applyNumberFormat="1" applyFont="1" applyBorder="1" applyProtection="1"/>
    <xf numFmtId="3" fontId="25" fillId="20" borderId="10" xfId="0" applyNumberFormat="1" applyFont="1" applyFill="1" applyBorder="1" applyProtection="1"/>
    <xf numFmtId="3" fontId="1" fillId="0" borderId="81" xfId="0" applyNumberFormat="1" applyFont="1" applyBorder="1" applyProtection="1"/>
    <xf numFmtId="42" fontId="1" fillId="0" borderId="85" xfId="0" applyNumberFormat="1" applyFont="1" applyBorder="1" applyProtection="1"/>
    <xf numFmtId="3" fontId="1" fillId="0" borderId="85" xfId="0" applyNumberFormat="1" applyFont="1" applyBorder="1" applyProtection="1"/>
    <xf numFmtId="42" fontId="1" fillId="0" borderId="55" xfId="0" applyNumberFormat="1" applyFont="1" applyBorder="1" applyProtection="1"/>
    <xf numFmtId="3" fontId="1" fillId="0" borderId="61" xfId="0" applyNumberFormat="1" applyFont="1" applyBorder="1" applyProtection="1"/>
    <xf numFmtId="42" fontId="1" fillId="0" borderId="84" xfId="0" applyNumberFormat="1" applyFont="1" applyBorder="1" applyProtection="1"/>
    <xf numFmtId="3" fontId="1" fillId="0" borderId="84" xfId="0" applyNumberFormat="1" applyFont="1" applyBorder="1" applyProtection="1"/>
    <xf numFmtId="3" fontId="5" fillId="0" borderId="16" xfId="0" applyNumberFormat="1" applyFont="1" applyFill="1" applyBorder="1" applyProtection="1"/>
    <xf numFmtId="42" fontId="5" fillId="0" borderId="16" xfId="0" applyNumberFormat="1" applyFont="1" applyFill="1" applyBorder="1" applyProtection="1"/>
    <xf numFmtId="185" fontId="5" fillId="0" borderId="0" xfId="0" applyNumberFormat="1" applyFont="1" applyBorder="1" applyProtection="1"/>
    <xf numFmtId="185" fontId="5" fillId="4" borderId="86" xfId="0" applyNumberFormat="1" applyFont="1" applyFill="1" applyBorder="1" applyAlignment="1" applyProtection="1">
      <alignment vertical="center"/>
    </xf>
    <xf numFmtId="42" fontId="5" fillId="4" borderId="16" xfId="0" applyNumberFormat="1" applyFont="1" applyFill="1" applyBorder="1" applyAlignment="1" applyProtection="1">
      <alignment vertical="center"/>
    </xf>
    <xf numFmtId="3" fontId="5" fillId="4" borderId="16" xfId="0" applyNumberFormat="1" applyFont="1" applyFill="1" applyBorder="1" applyAlignment="1" applyProtection="1">
      <alignment vertical="center"/>
    </xf>
    <xf numFmtId="185" fontId="20" fillId="0" borderId="0" xfId="0" applyNumberFormat="1" applyFont="1" applyFill="1" applyBorder="1" applyAlignment="1" applyProtection="1">
      <alignment vertical="center"/>
    </xf>
    <xf numFmtId="42" fontId="20" fillId="0" borderId="0" xfId="0" applyNumberFormat="1" applyFont="1" applyFill="1" applyBorder="1" applyAlignment="1" applyProtection="1">
      <alignment vertical="center"/>
    </xf>
    <xf numFmtId="3" fontId="20" fillId="0" borderId="0" xfId="0" applyNumberFormat="1" applyFont="1" applyFill="1" applyBorder="1" applyAlignment="1" applyProtection="1">
      <alignment vertical="center"/>
    </xf>
    <xf numFmtId="184" fontId="76" fillId="0" borderId="0" xfId="0" applyNumberFormat="1" applyFont="1" applyFill="1" applyBorder="1" applyAlignment="1" applyProtection="1">
      <alignment vertical="center"/>
    </xf>
    <xf numFmtId="3" fontId="44" fillId="0" borderId="10" xfId="0" applyNumberFormat="1" applyFont="1" applyBorder="1" applyProtection="1"/>
    <xf numFmtId="42" fontId="20" fillId="0" borderId="10" xfId="0" applyNumberFormat="1" applyFont="1" applyBorder="1" applyProtection="1"/>
    <xf numFmtId="3" fontId="20" fillId="0" borderId="10" xfId="0" applyNumberFormat="1" applyFont="1" applyBorder="1" applyProtection="1"/>
    <xf numFmtId="0" fontId="0" fillId="0" borderId="0" xfId="0" applyProtection="1"/>
    <xf numFmtId="6" fontId="0" fillId="0" borderId="0" xfId="0" applyNumberFormat="1" applyProtection="1"/>
    <xf numFmtId="10" fontId="6" fillId="0" borderId="0" xfId="8" applyNumberFormat="1" applyFont="1" applyProtection="1"/>
    <xf numFmtId="3" fontId="6" fillId="0" borderId="0" xfId="8" applyNumberFormat="1" applyFont="1" applyProtection="1"/>
    <xf numFmtId="0" fontId="0" fillId="0" borderId="0" xfId="0" applyFill="1" applyBorder="1" applyProtection="1"/>
    <xf numFmtId="3" fontId="0" fillId="0" borderId="10" xfId="0" applyNumberFormat="1" applyBorder="1" applyProtection="1"/>
    <xf numFmtId="166" fontId="0" fillId="16" borderId="10" xfId="8" applyNumberFormat="1" applyFont="1" applyFill="1" applyBorder="1" applyAlignment="1" applyProtection="1">
      <alignment horizontal="center"/>
    </xf>
    <xf numFmtId="42" fontId="0" fillId="0" borderId="0" xfId="0" applyNumberFormat="1" applyAlignment="1" applyProtection="1">
      <alignment horizontal="center"/>
    </xf>
    <xf numFmtId="166" fontId="0" fillId="23" borderId="10" xfId="8" applyNumberFormat="1" applyFont="1" applyFill="1" applyBorder="1" applyAlignment="1" applyProtection="1">
      <alignment horizontal="center"/>
    </xf>
    <xf numFmtId="169" fontId="66" fillId="0" borderId="13" xfId="28" applyNumberFormat="1" applyBorder="1" applyAlignment="1">
      <alignment horizontal="right"/>
    </xf>
    <xf numFmtId="169" fontId="66" fillId="0" borderId="7" xfId="28" applyNumberFormat="1" applyBorder="1" applyAlignment="1">
      <alignment horizontal="right"/>
    </xf>
    <xf numFmtId="0" fontId="29" fillId="0" borderId="13" xfId="28" applyFont="1" applyBorder="1"/>
    <xf numFmtId="0" fontId="66" fillId="11" borderId="8" xfId="28" applyFill="1" applyBorder="1"/>
    <xf numFmtId="0" fontId="66" fillId="11" borderId="10" xfId="28" applyFill="1" applyBorder="1"/>
    <xf numFmtId="0" fontId="66" fillId="11" borderId="5" xfId="28" applyFill="1" applyBorder="1"/>
    <xf numFmtId="0" fontId="66" fillId="11" borderId="34" xfId="28" applyFill="1" applyBorder="1"/>
    <xf numFmtId="0" fontId="66" fillId="11" borderId="2" xfId="28" applyFill="1" applyBorder="1"/>
    <xf numFmtId="0" fontId="66" fillId="11" borderId="35" xfId="28" applyFill="1" applyBorder="1"/>
    <xf numFmtId="168" fontId="30" fillId="0" borderId="13" xfId="30" applyNumberFormat="1" applyFont="1" applyBorder="1"/>
    <xf numFmtId="170" fontId="66" fillId="0" borderId="35" xfId="28" applyNumberFormat="1" applyBorder="1"/>
    <xf numFmtId="168" fontId="30" fillId="0" borderId="13" xfId="30" applyNumberFormat="1" applyFont="1" applyBorder="1"/>
    <xf numFmtId="169" fontId="66" fillId="0" borderId="13" xfId="28" applyNumberFormat="1" applyBorder="1" applyAlignment="1">
      <alignment horizontal="right"/>
    </xf>
    <xf numFmtId="169" fontId="66" fillId="0" borderId="13" xfId="28" applyNumberFormat="1" applyBorder="1" applyAlignment="1">
      <alignment horizontal="right"/>
    </xf>
    <xf numFmtId="0" fontId="66" fillId="0" borderId="7" xfId="28" applyBorder="1"/>
    <xf numFmtId="0" fontId="66" fillId="0" borderId="13" xfId="28" applyBorder="1"/>
    <xf numFmtId="169" fontId="66" fillId="0" borderId="13" xfId="28" applyNumberFormat="1" applyBorder="1"/>
    <xf numFmtId="9" fontId="30" fillId="0" borderId="13" xfId="11" applyFont="1" applyBorder="1"/>
    <xf numFmtId="171" fontId="66" fillId="0" borderId="13" xfId="28" applyNumberFormat="1" applyBorder="1"/>
    <xf numFmtId="2" fontId="34" fillId="0" borderId="13" xfId="28" applyNumberFormat="1" applyFont="1" applyBorder="1" applyAlignment="1">
      <alignment horizontal="center"/>
    </xf>
    <xf numFmtId="0" fontId="66" fillId="0" borderId="7" xfId="28" applyBorder="1" applyAlignment="1">
      <alignment horizontal="right"/>
    </xf>
    <xf numFmtId="7" fontId="30" fillId="0" borderId="13" xfId="40" applyNumberFormat="1" applyFont="1" applyBorder="1"/>
    <xf numFmtId="171" fontId="66" fillId="0" borderId="13" xfId="28" applyNumberFormat="1" applyBorder="1"/>
    <xf numFmtId="172" fontId="30" fillId="0" borderId="13" xfId="30" applyNumberFormat="1" applyFont="1" applyBorder="1"/>
    <xf numFmtId="169" fontId="66" fillId="0" borderId="13" xfId="28" applyNumberFormat="1" applyBorder="1" applyAlignment="1">
      <alignment horizontal="right"/>
    </xf>
    <xf numFmtId="169" fontId="66" fillId="0" borderId="13" xfId="28" applyNumberFormat="1" applyBorder="1" applyAlignment="1">
      <alignment horizontal="right"/>
    </xf>
    <xf numFmtId="0" fontId="66" fillId="0" borderId="13" xfId="28" applyBorder="1"/>
    <xf numFmtId="171" fontId="66" fillId="0" borderId="13" xfId="28" applyNumberFormat="1" applyBorder="1"/>
    <xf numFmtId="2" fontId="34" fillId="0" borderId="13" xfId="28" applyNumberFormat="1" applyFont="1" applyBorder="1" applyAlignment="1">
      <alignment horizontal="center"/>
    </xf>
    <xf numFmtId="0" fontId="66" fillId="11" borderId="13" xfId="28" applyFill="1" applyBorder="1"/>
    <xf numFmtId="0" fontId="66" fillId="11" borderId="7" xfId="28" applyFill="1" applyBorder="1"/>
    <xf numFmtId="169" fontId="66" fillId="11" borderId="13" xfId="28" applyNumberFormat="1" applyFill="1" applyBorder="1"/>
    <xf numFmtId="0" fontId="66" fillId="11" borderId="7" xfId="28" applyFill="1" applyBorder="1" applyAlignment="1">
      <alignment horizontal="right"/>
    </xf>
    <xf numFmtId="166" fontId="30" fillId="0" borderId="13" xfId="11" applyNumberFormat="1" applyFont="1" applyBorder="1"/>
    <xf numFmtId="0" fontId="66" fillId="11" borderId="13" xfId="28" applyFill="1" applyBorder="1"/>
    <xf numFmtId="0" fontId="66" fillId="11" borderId="7" xfId="28" applyFill="1" applyBorder="1"/>
    <xf numFmtId="3" fontId="66" fillId="11" borderId="7" xfId="28" applyNumberFormat="1" applyFill="1" applyBorder="1"/>
    <xf numFmtId="0" fontId="101" fillId="0" borderId="0" xfId="156" applyFont="1" applyFill="1" applyAlignment="1">
      <alignment horizontal="right" vertical="top" wrapText="1"/>
    </xf>
    <xf numFmtId="0" fontId="72" fillId="0" borderId="0" xfId="0" applyFont="1" applyAlignment="1">
      <alignment horizontal="center" vertical="top"/>
    </xf>
    <xf numFmtId="0" fontId="72" fillId="0" borderId="0" xfId="0" applyFont="1" applyAlignment="1">
      <alignment vertical="top"/>
    </xf>
    <xf numFmtId="165" fontId="72" fillId="0" borderId="0" xfId="1" applyNumberFormat="1" applyFont="1" applyAlignment="1">
      <alignment vertical="top"/>
    </xf>
    <xf numFmtId="0" fontId="46" fillId="0" borderId="0" xfId="156" applyFont="1" applyBorder="1" applyAlignment="1">
      <alignment vertical="top" wrapText="1"/>
    </xf>
    <xf numFmtId="0" fontId="46" fillId="0" borderId="0" xfId="171" applyFont="1" applyBorder="1" applyAlignment="1">
      <alignment vertical="top" wrapText="1"/>
    </xf>
    <xf numFmtId="165" fontId="72" fillId="0" borderId="0" xfId="1" applyNumberFormat="1" applyFont="1" applyBorder="1" applyAlignment="1">
      <alignment vertical="top"/>
    </xf>
    <xf numFmtId="0" fontId="46" fillId="0" borderId="0" xfId="171" applyFont="1" applyFill="1" applyBorder="1" applyAlignment="1">
      <alignment vertical="top" wrapText="1"/>
    </xf>
    <xf numFmtId="165" fontId="0" fillId="0" borderId="0" xfId="1" applyNumberFormat="1" applyFont="1" applyBorder="1"/>
    <xf numFmtId="172" fontId="72" fillId="0" borderId="0" xfId="7" applyNumberFormat="1" applyFont="1" applyAlignment="1">
      <alignment vertical="top"/>
    </xf>
    <xf numFmtId="0" fontId="6" fillId="0" borderId="0" xfId="0" applyFont="1"/>
    <xf numFmtId="0" fontId="6" fillId="0" borderId="35" xfId="172" applyFont="1" applyFill="1" applyBorder="1" applyAlignment="1">
      <alignment vertical="center" wrapText="1"/>
    </xf>
    <xf numFmtId="0" fontId="6" fillId="0" borderId="35" xfId="172" applyFont="1" applyBorder="1" applyAlignment="1">
      <alignment vertical="center" wrapText="1"/>
    </xf>
    <xf numFmtId="0" fontId="6" fillId="0" borderId="5" xfId="172" applyFont="1" applyBorder="1" applyAlignment="1">
      <alignment vertical="center" wrapText="1"/>
    </xf>
    <xf numFmtId="0" fontId="6" fillId="0" borderId="7" xfId="172" applyFont="1" applyBorder="1" applyAlignment="1">
      <alignment wrapText="1"/>
    </xf>
    <xf numFmtId="0" fontId="6" fillId="0" borderId="10" xfId="172" applyFont="1" applyBorder="1" applyAlignment="1">
      <alignment wrapText="1"/>
    </xf>
    <xf numFmtId="0" fontId="103" fillId="0" borderId="0" xfId="176" applyFont="1"/>
    <xf numFmtId="0" fontId="38" fillId="0" borderId="0" xfId="176"/>
    <xf numFmtId="0" fontId="8" fillId="0" borderId="0" xfId="172" applyFont="1" applyAlignment="1">
      <alignment horizontal="left"/>
    </xf>
    <xf numFmtId="0" fontId="13" fillId="0" borderId="10" xfId="172" applyBorder="1" applyAlignment="1">
      <alignment horizontal="left" vertical="center" wrapText="1"/>
    </xf>
    <xf numFmtId="0" fontId="6" fillId="0" borderId="0" xfId="155"/>
    <xf numFmtId="0" fontId="13" fillId="0" borderId="7" xfId="172" applyBorder="1" applyAlignment="1">
      <alignment horizontal="left" vertical="center" wrapText="1"/>
    </xf>
    <xf numFmtId="0" fontId="3" fillId="3" borderId="2" xfId="172" applyFont="1" applyFill="1" applyBorder="1" applyAlignment="1">
      <alignment horizontal="center" vertical="center" wrapText="1"/>
    </xf>
    <xf numFmtId="0" fontId="3" fillId="3" borderId="10" xfId="172" applyFont="1" applyFill="1" applyBorder="1" applyAlignment="1">
      <alignment horizontal="center" vertical="center" wrapText="1"/>
    </xf>
    <xf numFmtId="0" fontId="21" fillId="0" borderId="0" xfId="0" applyFont="1" applyAlignment="1">
      <alignment horizontal="center"/>
    </xf>
    <xf numFmtId="0" fontId="1" fillId="0" borderId="0" xfId="2" applyFont="1" applyAlignment="1">
      <alignment horizontal="center"/>
    </xf>
    <xf numFmtId="164" fontId="1" fillId="0" borderId="14" xfId="2" applyNumberFormat="1" applyFont="1" applyBorder="1" applyAlignment="1">
      <alignment horizontal="center"/>
    </xf>
    <xf numFmtId="0" fontId="0" fillId="11" borderId="53" xfId="0" applyFill="1" applyBorder="1"/>
    <xf numFmtId="0" fontId="0" fillId="0" borderId="53" xfId="0" applyBorder="1"/>
    <xf numFmtId="0" fontId="29" fillId="0" borderId="13" xfId="28" applyFont="1" applyBorder="1"/>
    <xf numFmtId="168" fontId="30" fillId="0" borderId="13" xfId="30" applyNumberFormat="1" applyFont="1" applyBorder="1"/>
    <xf numFmtId="168" fontId="29" fillId="0" borderId="13" xfId="30" applyNumberFormat="1" applyFont="1" applyBorder="1"/>
    <xf numFmtId="0" fontId="66" fillId="0" borderId="7" xfId="28" applyBorder="1"/>
    <xf numFmtId="0" fontId="66" fillId="0" borderId="13" xfId="28" applyBorder="1"/>
    <xf numFmtId="169" fontId="66" fillId="0" borderId="13" xfId="28" applyNumberFormat="1" applyBorder="1"/>
    <xf numFmtId="9" fontId="30" fillId="0" borderId="13" xfId="11" applyFont="1" applyBorder="1"/>
    <xf numFmtId="171" fontId="66" fillId="0" borderId="13" xfId="28" applyNumberFormat="1" applyBorder="1"/>
    <xf numFmtId="2" fontId="34" fillId="0" borderId="13" xfId="28" applyNumberFormat="1" applyFont="1" applyBorder="1" applyAlignment="1">
      <alignment horizontal="center"/>
    </xf>
    <xf numFmtId="164" fontId="66" fillId="0" borderId="13" xfId="28" applyNumberFormat="1" applyBorder="1"/>
    <xf numFmtId="9" fontId="30" fillId="0" borderId="13" xfId="11" applyFont="1" applyFill="1" applyBorder="1"/>
    <xf numFmtId="0" fontId="66" fillId="0" borderId="13" xfId="28" applyBorder="1"/>
    <xf numFmtId="0" fontId="66" fillId="11" borderId="8" xfId="28" applyFill="1" applyBorder="1"/>
    <xf numFmtId="0" fontId="66" fillId="11" borderId="10" xfId="28" applyFill="1" applyBorder="1"/>
    <xf numFmtId="0" fontId="66" fillId="11" borderId="5" xfId="28" applyFill="1" applyBorder="1"/>
    <xf numFmtId="0" fontId="66" fillId="11" borderId="34" xfId="28" applyFill="1" applyBorder="1"/>
    <xf numFmtId="0" fontId="66" fillId="11" borderId="2" xfId="28" applyFill="1" applyBorder="1"/>
    <xf numFmtId="0" fontId="66" fillId="11" borderId="35" xfId="28" applyFill="1" applyBorder="1"/>
    <xf numFmtId="168" fontId="29" fillId="0" borderId="13" xfId="30" applyNumberFormat="1" applyFont="1" applyBorder="1"/>
    <xf numFmtId="170" fontId="66" fillId="0" borderId="35" xfId="28" applyNumberFormat="1" applyBorder="1"/>
    <xf numFmtId="0" fontId="66" fillId="0" borderId="7" xfId="28" applyBorder="1" applyAlignment="1">
      <alignment horizontal="left" indent="2"/>
    </xf>
    <xf numFmtId="169" fontId="66" fillId="0" borderId="7" xfId="28" applyNumberFormat="1" applyBorder="1" applyAlignment="1">
      <alignment horizontal="right"/>
    </xf>
    <xf numFmtId="0" fontId="66" fillId="0" borderId="13" xfId="28" applyBorder="1"/>
    <xf numFmtId="0" fontId="66" fillId="11" borderId="10" xfId="28" applyFill="1" applyBorder="1"/>
    <xf numFmtId="0" fontId="66" fillId="11" borderId="5" xfId="28" applyFill="1" applyBorder="1"/>
    <xf numFmtId="0" fontId="66" fillId="11" borderId="2" xfId="28" applyFill="1" applyBorder="1"/>
    <xf numFmtId="0" fontId="66" fillId="11" borderId="35" xfId="28" applyFill="1" applyBorder="1"/>
    <xf numFmtId="168" fontId="30" fillId="0" borderId="13" xfId="30" applyNumberFormat="1" applyFont="1" applyBorder="1"/>
    <xf numFmtId="168" fontId="29" fillId="0" borderId="13" xfId="30" applyNumberFormat="1" applyFont="1" applyBorder="1"/>
    <xf numFmtId="170" fontId="66" fillId="0" borderId="35" xfId="28" applyNumberFormat="1" applyBorder="1"/>
    <xf numFmtId="3" fontId="66" fillId="0" borderId="13" xfId="28" applyNumberFormat="1" applyBorder="1"/>
    <xf numFmtId="0" fontId="66" fillId="0" borderId="13" xfId="28" applyBorder="1"/>
    <xf numFmtId="7" fontId="30" fillId="0" borderId="13" xfId="40" applyNumberFormat="1" applyFont="1" applyBorder="1"/>
    <xf numFmtId="171" fontId="66" fillId="0" borderId="13" xfId="28" applyNumberFormat="1" applyBorder="1"/>
    <xf numFmtId="2" fontId="34" fillId="0" borderId="13" xfId="28" applyNumberFormat="1" applyFont="1" applyBorder="1" applyAlignment="1">
      <alignment horizontal="center"/>
    </xf>
    <xf numFmtId="0" fontId="66" fillId="0" borderId="7" xfId="28" applyBorder="1" applyAlignment="1">
      <alignment horizontal="left" indent="2"/>
    </xf>
    <xf numFmtId="169" fontId="66" fillId="0" borderId="13" xfId="28" applyNumberFormat="1" applyBorder="1" applyAlignment="1">
      <alignment horizontal="right"/>
    </xf>
    <xf numFmtId="169" fontId="66" fillId="0" borderId="7" xfId="28" applyNumberFormat="1" applyBorder="1" applyAlignment="1">
      <alignment horizontal="right"/>
    </xf>
    <xf numFmtId="0" fontId="26" fillId="0" borderId="43" xfId="9" applyFill="1" applyBorder="1" applyAlignment="1" applyProtection="1">
      <alignment horizontal="center" wrapText="1"/>
    </xf>
    <xf numFmtId="0" fontId="45" fillId="0" borderId="0" xfId="12"/>
    <xf numFmtId="49" fontId="46" fillId="0" borderId="0" xfId="12" applyNumberFormat="1" applyFont="1" applyFill="1" applyBorder="1" applyAlignment="1">
      <alignment horizontal="left" vertical="center"/>
    </xf>
    <xf numFmtId="0" fontId="45" fillId="0" borderId="0" xfId="12" applyBorder="1"/>
    <xf numFmtId="0" fontId="48" fillId="0" borderId="0" xfId="12" applyFont="1"/>
    <xf numFmtId="0" fontId="45" fillId="0" borderId="0" xfId="12" applyFill="1" applyBorder="1"/>
    <xf numFmtId="0" fontId="45" fillId="0" borderId="48" xfId="12" applyBorder="1"/>
    <xf numFmtId="0" fontId="48" fillId="0" borderId="0" xfId="12" applyFont="1" applyFill="1" applyBorder="1"/>
    <xf numFmtId="0" fontId="3" fillId="3" borderId="2" xfId="12" applyFont="1" applyFill="1" applyBorder="1" applyAlignment="1">
      <alignment horizontal="center" vertical="center" wrapText="1"/>
    </xf>
    <xf numFmtId="0" fontId="52" fillId="3" borderId="2" xfId="12" applyFont="1" applyFill="1" applyBorder="1" applyAlignment="1">
      <alignment horizontal="center" vertical="center" wrapText="1"/>
    </xf>
    <xf numFmtId="0" fontId="52" fillId="3" borderId="0" xfId="12" applyFont="1" applyFill="1" applyBorder="1" applyAlignment="1">
      <alignment horizontal="center" vertical="center" wrapText="1"/>
    </xf>
    <xf numFmtId="42" fontId="48" fillId="0" borderId="0" xfId="12" applyNumberFormat="1" applyFont="1"/>
    <xf numFmtId="0" fontId="20" fillId="0" borderId="0" xfId="12" applyFont="1"/>
    <xf numFmtId="165" fontId="45" fillId="0" borderId="0" xfId="15" applyNumberFormat="1" applyFont="1" applyBorder="1"/>
    <xf numFmtId="165" fontId="45" fillId="0" borderId="0" xfId="15" applyNumberFormat="1" applyFont="1"/>
    <xf numFmtId="0" fontId="54" fillId="0" borderId="0" xfId="17" applyNumberFormat="1" applyFont="1" applyAlignment="1" applyProtection="1">
      <alignment horizontal="left"/>
      <protection locked="0"/>
    </xf>
    <xf numFmtId="44" fontId="45" fillId="0" borderId="0" xfId="15" applyFont="1"/>
    <xf numFmtId="0" fontId="45" fillId="0" borderId="0" xfId="18" applyNumberFormat="1" applyFont="1"/>
    <xf numFmtId="0" fontId="21" fillId="0" borderId="0" xfId="17" applyNumberFormat="1" applyFont="1" applyAlignment="1" applyProtection="1">
      <alignment horizontal="left"/>
      <protection locked="0"/>
    </xf>
    <xf numFmtId="0" fontId="8" fillId="0" borderId="0" xfId="12" applyFont="1"/>
    <xf numFmtId="165" fontId="13" fillId="0" borderId="0" xfId="15" applyNumberFormat="1" applyFont="1"/>
    <xf numFmtId="41" fontId="13" fillId="0" borderId="0" xfId="17" applyNumberFormat="1" applyFont="1" applyFill="1" applyBorder="1" applyAlignment="1" applyProtection="1">
      <alignment horizontal="left"/>
    </xf>
    <xf numFmtId="0" fontId="45" fillId="0" borderId="0" xfId="12" applyFill="1"/>
    <xf numFmtId="165" fontId="20" fillId="0" borderId="0" xfId="15" applyNumberFormat="1" applyFont="1" applyFill="1"/>
    <xf numFmtId="176" fontId="20" fillId="0" borderId="0" xfId="12" applyNumberFormat="1" applyFont="1" applyFill="1" applyAlignment="1">
      <alignment horizontal="center"/>
    </xf>
    <xf numFmtId="165" fontId="45" fillId="0" borderId="0" xfId="15" applyNumberFormat="1" applyFont="1" applyFill="1"/>
    <xf numFmtId="0" fontId="13" fillId="0" borderId="0" xfId="12" applyFont="1" applyAlignment="1">
      <alignment horizontal="left"/>
    </xf>
    <xf numFmtId="9" fontId="39" fillId="0" borderId="0" xfId="18" applyFont="1" applyFill="1" applyBorder="1"/>
    <xf numFmtId="176" fontId="13" fillId="0" borderId="0" xfId="12" applyNumberFormat="1" applyFont="1" applyFill="1" applyAlignment="1">
      <alignment horizontal="left"/>
    </xf>
    <xf numFmtId="165" fontId="48" fillId="0" borderId="0" xfId="15" applyNumberFormat="1" applyFont="1" applyBorder="1"/>
    <xf numFmtId="165" fontId="45" fillId="0" borderId="0" xfId="15" applyNumberFormat="1" applyFont="1" applyFill="1" applyBorder="1"/>
    <xf numFmtId="165" fontId="13" fillId="0" borderId="0" xfId="15" applyNumberFormat="1" applyFont="1" applyFill="1" applyBorder="1"/>
    <xf numFmtId="0" fontId="20" fillId="0" borderId="0" xfId="12" applyFont="1" applyFill="1" applyBorder="1"/>
    <xf numFmtId="165" fontId="20" fillId="0" borderId="0" xfId="15" applyNumberFormat="1" applyFont="1" applyFill="1" applyBorder="1"/>
    <xf numFmtId="0" fontId="13" fillId="0" borderId="0" xfId="12" applyFont="1" applyFill="1" applyBorder="1"/>
    <xf numFmtId="165" fontId="48" fillId="0" borderId="0" xfId="15" applyNumberFormat="1" applyFont="1" applyFill="1" applyBorder="1"/>
    <xf numFmtId="3" fontId="48" fillId="0" borderId="0" xfId="15" applyNumberFormat="1" applyFont="1" applyFill="1" applyBorder="1"/>
    <xf numFmtId="0" fontId="48" fillId="0" borderId="0" xfId="12" applyFont="1" applyFill="1" applyAlignment="1">
      <alignment horizontal="right"/>
    </xf>
    <xf numFmtId="0" fontId="48" fillId="0" borderId="0" xfId="12" applyFont="1" applyAlignment="1">
      <alignment horizontal="right"/>
    </xf>
    <xf numFmtId="2" fontId="13" fillId="0" borderId="0" xfId="12" applyNumberFormat="1" applyFont="1" applyFill="1" applyAlignment="1">
      <alignment horizontal="right"/>
    </xf>
    <xf numFmtId="44" fontId="55" fillId="0" borderId="0" xfId="15" applyFont="1" applyBorder="1" applyAlignment="1">
      <alignment horizontal="center"/>
    </xf>
    <xf numFmtId="166" fontId="48" fillId="0" borderId="0" xfId="12" applyNumberFormat="1" applyFont="1" applyFill="1" applyAlignment="1">
      <alignment horizontal="right"/>
    </xf>
    <xf numFmtId="0" fontId="45" fillId="0" borderId="0" xfId="12" applyAlignment="1">
      <alignment horizontal="right"/>
    </xf>
    <xf numFmtId="44" fontId="60" fillId="0" borderId="0" xfId="15" applyFont="1"/>
    <xf numFmtId="165" fontId="48" fillId="0" borderId="0" xfId="12" applyNumberFormat="1" applyFont="1" applyBorder="1"/>
    <xf numFmtId="172" fontId="45" fillId="0" borderId="0" xfId="13" applyNumberFormat="1" applyFont="1" applyBorder="1"/>
    <xf numFmtId="42" fontId="43" fillId="0" borderId="51" xfId="18" applyNumberFormat="1" applyFont="1" applyFill="1" applyBorder="1"/>
    <xf numFmtId="9" fontId="39" fillId="0" borderId="51" xfId="18" applyFont="1" applyFill="1" applyBorder="1"/>
    <xf numFmtId="0" fontId="45" fillId="0" borderId="32" xfId="12" applyBorder="1"/>
    <xf numFmtId="165" fontId="20" fillId="0" borderId="51" xfId="15" applyNumberFormat="1" applyFont="1" applyFill="1" applyBorder="1"/>
    <xf numFmtId="165" fontId="20" fillId="0" borderId="51" xfId="15" applyNumberFormat="1" applyFont="1" applyBorder="1"/>
    <xf numFmtId="176" fontId="20" fillId="0" borderId="51" xfId="12" applyNumberFormat="1" applyFont="1" applyFill="1" applyBorder="1" applyAlignment="1">
      <alignment horizontal="center"/>
    </xf>
    <xf numFmtId="165" fontId="45" fillId="0" borderId="51" xfId="15" applyNumberFormat="1" applyFont="1" applyFill="1" applyBorder="1"/>
    <xf numFmtId="42" fontId="45" fillId="0" borderId="51" xfId="12" applyNumberFormat="1" applyBorder="1"/>
    <xf numFmtId="165" fontId="48" fillId="0" borderId="51" xfId="15" applyNumberFormat="1" applyFont="1" applyFill="1" applyBorder="1"/>
    <xf numFmtId="165" fontId="45" fillId="0" borderId="51" xfId="15" applyNumberFormat="1" applyFont="1" applyBorder="1"/>
    <xf numFmtId="165" fontId="48" fillId="0" borderId="51" xfId="15" applyNumberFormat="1" applyFont="1" applyBorder="1"/>
    <xf numFmtId="165" fontId="48" fillId="2" borderId="17" xfId="15" applyNumberFormat="1" applyFont="1" applyFill="1" applyBorder="1"/>
    <xf numFmtId="0" fontId="8" fillId="0" borderId="32" xfId="12" applyFont="1" applyBorder="1"/>
    <xf numFmtId="165" fontId="45" fillId="0" borderId="32" xfId="15" applyNumberFormat="1" applyFill="1" applyBorder="1"/>
    <xf numFmtId="1" fontId="56" fillId="0" borderId="52" xfId="18" applyNumberFormat="1" applyFont="1" applyFill="1" applyBorder="1" applyAlignment="1">
      <alignment horizontal="center"/>
    </xf>
    <xf numFmtId="1" fontId="56" fillId="0" borderId="53" xfId="18" applyNumberFormat="1" applyFont="1" applyFill="1" applyBorder="1" applyAlignment="1">
      <alignment horizontal="center"/>
    </xf>
    <xf numFmtId="44" fontId="55" fillId="0" borderId="51" xfId="15" applyFont="1" applyBorder="1" applyAlignment="1">
      <alignment horizontal="center"/>
    </xf>
    <xf numFmtId="165" fontId="45" fillId="0" borderId="32" xfId="12" applyNumberFormat="1" applyBorder="1"/>
    <xf numFmtId="1" fontId="56" fillId="0" borderId="0" xfId="18" applyNumberFormat="1" applyFont="1" applyFill="1" applyBorder="1" applyAlignment="1">
      <alignment horizontal="center"/>
    </xf>
    <xf numFmtId="165" fontId="13" fillId="6" borderId="0" xfId="2" applyNumberFormat="1" applyFill="1"/>
    <xf numFmtId="42" fontId="13" fillId="6" borderId="5" xfId="2" applyNumberFormat="1" applyFill="1" applyBorder="1"/>
    <xf numFmtId="0" fontId="3" fillId="3" borderId="34" xfId="12" applyFont="1" applyFill="1" applyBorder="1" applyAlignment="1">
      <alignment horizontal="center" vertical="center" wrapText="1"/>
    </xf>
    <xf numFmtId="165" fontId="13" fillId="6" borderId="51" xfId="2" applyNumberFormat="1" applyFill="1" applyBorder="1"/>
    <xf numFmtId="3" fontId="13" fillId="6" borderId="51" xfId="2" applyNumberFormat="1" applyFill="1" applyBorder="1"/>
    <xf numFmtId="3" fontId="52" fillId="3" borderId="2" xfId="12" applyNumberFormat="1" applyFont="1" applyFill="1" applyBorder="1" applyAlignment="1">
      <alignment horizontal="center" vertical="center" wrapText="1"/>
    </xf>
    <xf numFmtId="3" fontId="45" fillId="0" borderId="5" xfId="12" applyNumberFormat="1" applyBorder="1"/>
    <xf numFmtId="3" fontId="45" fillId="2" borderId="18" xfId="15" applyNumberFormat="1" applyFont="1" applyFill="1" applyBorder="1"/>
    <xf numFmtId="0" fontId="1" fillId="6" borderId="2" xfId="12" applyFont="1" applyFill="1" applyBorder="1" applyAlignment="1">
      <alignment horizontal="center" vertical="center" wrapText="1"/>
    </xf>
    <xf numFmtId="0" fontId="1" fillId="6" borderId="35" xfId="12" applyFont="1" applyFill="1" applyBorder="1" applyAlignment="1">
      <alignment horizontal="center" vertical="center" wrapText="1"/>
    </xf>
    <xf numFmtId="3" fontId="1" fillId="6" borderId="35" xfId="12" applyNumberFormat="1" applyFont="1" applyFill="1" applyBorder="1" applyAlignment="1">
      <alignment horizontal="center" vertical="center" wrapText="1"/>
    </xf>
    <xf numFmtId="42" fontId="1" fillId="6" borderId="35" xfId="12" applyNumberFormat="1" applyFont="1" applyFill="1" applyBorder="1" applyAlignment="1">
      <alignment horizontal="center" wrapText="1"/>
    </xf>
    <xf numFmtId="166" fontId="45" fillId="0" borderId="7" xfId="18" applyNumberFormat="1" applyFont="1" applyFill="1" applyBorder="1"/>
    <xf numFmtId="165" fontId="45" fillId="0" borderId="0" xfId="12" applyNumberFormat="1" applyBorder="1"/>
    <xf numFmtId="42" fontId="48" fillId="0" borderId="0" xfId="12" applyNumberFormat="1" applyFont="1" applyBorder="1"/>
    <xf numFmtId="9" fontId="20" fillId="0" borderId="0" xfId="18" applyFont="1" applyFill="1" applyBorder="1"/>
    <xf numFmtId="181" fontId="47" fillId="0" borderId="0" xfId="12" applyNumberFormat="1" applyFont="1" applyBorder="1"/>
    <xf numFmtId="42" fontId="47" fillId="0" borderId="32" xfId="12" applyNumberFormat="1" applyFont="1" applyBorder="1"/>
    <xf numFmtId="165" fontId="48" fillId="0" borderId="32" xfId="12" applyNumberFormat="1" applyFont="1" applyBorder="1"/>
    <xf numFmtId="3" fontId="45" fillId="0" borderId="0" xfId="12" applyNumberFormat="1" applyBorder="1"/>
    <xf numFmtId="165" fontId="45" fillId="0" borderId="48" xfId="15" applyNumberFormat="1" applyFont="1" applyFill="1" applyBorder="1"/>
    <xf numFmtId="3" fontId="45" fillId="0" borderId="0" xfId="15" applyNumberFormat="1" applyFont="1" applyFill="1" applyBorder="1"/>
    <xf numFmtId="165" fontId="16" fillId="0" borderId="0" xfId="15" applyNumberFormat="1" applyFont="1" applyFill="1" applyBorder="1"/>
    <xf numFmtId="0" fontId="48" fillId="0" borderId="0" xfId="12" applyFont="1" applyAlignment="1">
      <alignment horizontal="left" indent="2"/>
    </xf>
    <xf numFmtId="0" fontId="19" fillId="0" borderId="7" xfId="12" applyFont="1" applyFill="1" applyBorder="1" applyAlignment="1">
      <alignment horizontal="center"/>
    </xf>
    <xf numFmtId="0" fontId="45" fillId="0" borderId="0" xfId="12" applyBorder="1" applyAlignment="1">
      <alignment horizontal="left" indent="1"/>
    </xf>
    <xf numFmtId="0" fontId="45" fillId="0" borderId="0" xfId="12" applyBorder="1" applyAlignment="1">
      <alignment horizontal="left" indent="2"/>
    </xf>
    <xf numFmtId="0" fontId="48" fillId="0" borderId="50" xfId="12" applyFont="1" applyFill="1" applyBorder="1"/>
    <xf numFmtId="0" fontId="48" fillId="0" borderId="8" xfId="12" applyFont="1" applyFill="1" applyBorder="1"/>
    <xf numFmtId="0" fontId="48" fillId="0" borderId="5" xfId="12" applyFont="1" applyFill="1" applyBorder="1"/>
    <xf numFmtId="0" fontId="48" fillId="0" borderId="35" xfId="12" applyFont="1" applyFill="1" applyBorder="1"/>
    <xf numFmtId="0" fontId="48" fillId="0" borderId="7" xfId="12" applyFont="1" applyFill="1" applyBorder="1"/>
    <xf numFmtId="0" fontId="45" fillId="0" borderId="5" xfId="12" applyFill="1" applyBorder="1"/>
    <xf numFmtId="3" fontId="45" fillId="0" borderId="7" xfId="12" applyNumberFormat="1" applyFill="1" applyBorder="1"/>
    <xf numFmtId="164" fontId="45" fillId="0" borderId="7" xfId="12" applyNumberFormat="1" applyFill="1" applyBorder="1"/>
    <xf numFmtId="0" fontId="104" fillId="0" borderId="5" xfId="12" applyFont="1" applyFill="1" applyBorder="1"/>
    <xf numFmtId="3" fontId="104" fillId="0" borderId="7" xfId="12" applyNumberFormat="1" applyFont="1" applyFill="1" applyBorder="1"/>
    <xf numFmtId="164" fontId="104" fillId="0" borderId="7" xfId="12" applyNumberFormat="1" applyFont="1" applyFill="1" applyBorder="1"/>
    <xf numFmtId="3" fontId="45" fillId="0" borderId="0" xfId="12" applyNumberFormat="1" applyFont="1" applyBorder="1"/>
    <xf numFmtId="3" fontId="47" fillId="0" borderId="0" xfId="15" applyNumberFormat="1" applyFont="1" applyFill="1" applyBorder="1"/>
    <xf numFmtId="165" fontId="13" fillId="0" borderId="51" xfId="15" applyNumberFormat="1" applyFont="1" applyBorder="1"/>
    <xf numFmtId="3" fontId="1" fillId="0" borderId="67" xfId="0" applyNumberFormat="1" applyFont="1" applyFill="1" applyBorder="1" applyProtection="1"/>
    <xf numFmtId="42" fontId="0" fillId="0" borderId="67" xfId="0" applyNumberFormat="1" applyFill="1" applyBorder="1" applyProtection="1"/>
    <xf numFmtId="3" fontId="48" fillId="0" borderId="98" xfId="22" applyNumberFormat="1" applyFont="1" applyFill="1" applyBorder="1"/>
    <xf numFmtId="3" fontId="48" fillId="0" borderId="0" xfId="12" applyNumberFormat="1" applyFont="1" applyBorder="1"/>
    <xf numFmtId="165" fontId="48" fillId="0" borderId="97" xfId="15" applyNumberFormat="1" applyFont="1" applyFill="1" applyBorder="1"/>
    <xf numFmtId="3" fontId="48" fillId="0" borderId="55" xfId="15" applyNumberFormat="1" applyFont="1" applyFill="1" applyBorder="1"/>
    <xf numFmtId="3" fontId="48" fillId="0" borderId="55" xfId="22" applyNumberFormat="1" applyFont="1" applyFill="1" applyBorder="1"/>
    <xf numFmtId="172" fontId="45" fillId="0" borderId="0" xfId="12" applyNumberFormat="1" applyBorder="1"/>
    <xf numFmtId="0" fontId="16" fillId="0" borderId="0" xfId="3"/>
    <xf numFmtId="0" fontId="16" fillId="0" borderId="0" xfId="3" applyBorder="1"/>
    <xf numFmtId="0" fontId="48" fillId="0" borderId="0" xfId="3" applyFont="1"/>
    <xf numFmtId="0" fontId="16" fillId="0" borderId="0" xfId="3" applyFill="1" applyBorder="1"/>
    <xf numFmtId="0" fontId="16" fillId="0" borderId="48" xfId="3" applyBorder="1"/>
    <xf numFmtId="0" fontId="48"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0" fontId="13" fillId="0" borderId="0" xfId="3" applyFont="1" applyAlignment="1">
      <alignment horizontal="left"/>
    </xf>
    <xf numFmtId="165" fontId="16" fillId="0" borderId="0" xfId="22" applyNumberFormat="1" applyFont="1" applyFill="1" applyBorder="1"/>
    <xf numFmtId="0" fontId="20" fillId="0" borderId="0" xfId="3" applyFont="1" applyFill="1" applyBorder="1"/>
    <xf numFmtId="0" fontId="16" fillId="0" borderId="0" xfId="3" applyAlignment="1">
      <alignment horizontal="right"/>
    </xf>
    <xf numFmtId="165" fontId="48" fillId="0" borderId="0" xfId="3" applyNumberFormat="1" applyFont="1" applyBorder="1"/>
    <xf numFmtId="9" fontId="39"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16" fillId="0" borderId="51" xfId="22" applyNumberFormat="1" applyFont="1" applyFill="1" applyBorder="1"/>
    <xf numFmtId="42" fontId="16" fillId="0" borderId="51" xfId="3" applyNumberFormat="1" applyBorder="1"/>
    <xf numFmtId="165" fontId="48" fillId="0" borderId="51" xfId="22" applyNumberFormat="1" applyFont="1" applyFill="1" applyBorder="1"/>
    <xf numFmtId="165" fontId="16" fillId="0" borderId="51" xfId="22" applyNumberFormat="1" applyFont="1" applyBorder="1"/>
    <xf numFmtId="165" fontId="48" fillId="0" borderId="51" xfId="22" applyNumberFormat="1" applyFont="1" applyBorder="1"/>
    <xf numFmtId="3" fontId="48" fillId="0" borderId="34" xfId="22" applyNumberFormat="1" applyFont="1" applyFill="1" applyBorder="1"/>
    <xf numFmtId="165" fontId="48" fillId="2" borderId="17" xfId="22" applyNumberFormat="1" applyFont="1" applyFill="1" applyBorder="1"/>
    <xf numFmtId="1" fontId="56" fillId="0" borderId="52" xfId="4" applyNumberFormat="1" applyFont="1" applyFill="1" applyBorder="1" applyAlignment="1">
      <alignment horizontal="center"/>
    </xf>
    <xf numFmtId="1" fontId="56" fillId="0" borderId="53" xfId="4" applyNumberFormat="1" applyFont="1" applyFill="1" applyBorder="1" applyAlignment="1">
      <alignment horizontal="center"/>
    </xf>
    <xf numFmtId="165" fontId="16" fillId="0" borderId="32" xfId="3" applyNumberFormat="1" applyBorder="1"/>
    <xf numFmtId="1" fontId="56" fillId="0" borderId="0" xfId="4" applyNumberFormat="1" applyFont="1" applyFill="1" applyBorder="1" applyAlignment="1">
      <alignment horizontal="center"/>
    </xf>
    <xf numFmtId="165" fontId="16" fillId="0" borderId="0" xfId="3" applyNumberFormat="1" applyBorder="1"/>
    <xf numFmtId="165" fontId="48" fillId="0" borderId="32" xfId="3" applyNumberFormat="1" applyFont="1" applyBorder="1"/>
    <xf numFmtId="3" fontId="16" fillId="0" borderId="0" xfId="3" applyNumberFormat="1" applyBorder="1"/>
    <xf numFmtId="165" fontId="16" fillId="0" borderId="48" xfId="22" applyNumberFormat="1" applyFont="1" applyFill="1" applyBorder="1"/>
    <xf numFmtId="0" fontId="1" fillId="0" borderId="0" xfId="3" applyFont="1" applyFill="1" applyBorder="1" applyAlignment="1">
      <alignment horizontal="left" indent="2"/>
    </xf>
    <xf numFmtId="0" fontId="16" fillId="0" borderId="0" xfId="3" applyFont="1" applyFill="1" applyBorder="1" applyAlignment="1">
      <alignment horizontal="left" indent="1"/>
    </xf>
    <xf numFmtId="0" fontId="16" fillId="0" borderId="0" xfId="3" applyAlignment="1">
      <alignment horizontal="left" indent="2"/>
    </xf>
    <xf numFmtId="0" fontId="1" fillId="0" borderId="0" xfId="3" applyNumberFormat="1" applyFont="1" applyFill="1" applyBorder="1" applyAlignment="1">
      <alignment horizontal="left" indent="2"/>
    </xf>
    <xf numFmtId="0" fontId="16" fillId="0" borderId="0" xfId="3" applyFont="1" applyBorder="1" applyAlignment="1">
      <alignment horizontal="left" indent="1"/>
    </xf>
    <xf numFmtId="0" fontId="13" fillId="0" borderId="0" xfId="3" applyFont="1" applyFill="1" applyBorder="1" applyAlignment="1">
      <alignment horizontal="left" indent="2"/>
    </xf>
    <xf numFmtId="0" fontId="20" fillId="0" borderId="0" xfId="3" applyFont="1" applyFill="1" applyBorder="1" applyAlignment="1"/>
    <xf numFmtId="165" fontId="16" fillId="0" borderId="32" xfId="3" applyNumberFormat="1" applyFont="1" applyBorder="1"/>
    <xf numFmtId="0" fontId="48" fillId="0" borderId="51" xfId="3" applyFont="1" applyBorder="1"/>
    <xf numFmtId="0" fontId="48" fillId="0" borderId="0" xfId="3" applyFont="1" applyBorder="1"/>
    <xf numFmtId="165" fontId="48" fillId="0" borderId="51" xfId="4" applyNumberFormat="1" applyFont="1" applyFill="1" applyBorder="1"/>
    <xf numFmtId="9" fontId="20" fillId="0" borderId="0" xfId="4" applyNumberFormat="1" applyFont="1" applyFill="1" applyBorder="1"/>
    <xf numFmtId="3" fontId="48" fillId="0" borderId="98" xfId="15" applyNumberFormat="1" applyFont="1" applyFill="1" applyBorder="1"/>
    <xf numFmtId="42" fontId="1" fillId="0" borderId="67" xfId="0" applyNumberFormat="1" applyFont="1" applyFill="1" applyBorder="1" applyProtection="1"/>
    <xf numFmtId="0" fontId="16" fillId="0" borderId="0" xfId="3"/>
    <xf numFmtId="0" fontId="16" fillId="0" borderId="0" xfId="3" applyBorder="1"/>
    <xf numFmtId="0" fontId="48" fillId="0" borderId="0" xfId="3" applyFont="1"/>
    <xf numFmtId="0" fontId="16" fillId="0" borderId="0" xfId="3" applyFill="1" applyBorder="1"/>
    <xf numFmtId="0" fontId="48"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39" fillId="0" borderId="0" xfId="4" applyFont="1" applyFill="1" applyBorder="1"/>
    <xf numFmtId="165" fontId="48" fillId="0" borderId="0" xfId="22" applyNumberFormat="1" applyFont="1" applyBorder="1"/>
    <xf numFmtId="165" fontId="16" fillId="0" borderId="0" xfId="22" applyNumberFormat="1" applyFont="1" applyFill="1" applyBorder="1"/>
    <xf numFmtId="0" fontId="20" fillId="0" borderId="0" xfId="3" applyFont="1" applyFill="1" applyBorder="1"/>
    <xf numFmtId="0" fontId="13" fillId="0" borderId="0" xfId="3"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8" fillId="0" borderId="0" xfId="3" applyNumberFormat="1" applyFont="1" applyBorder="1"/>
    <xf numFmtId="9" fontId="39"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8" fillId="0" borderId="51" xfId="22" applyNumberFormat="1" applyFont="1" applyFill="1" applyBorder="1"/>
    <xf numFmtId="165" fontId="48" fillId="0" borderId="51" xfId="22" applyNumberFormat="1" applyFont="1" applyBorder="1"/>
    <xf numFmtId="165" fontId="48"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16" fillId="0" borderId="51" xfId="22" applyNumberFormat="1" applyBorder="1"/>
    <xf numFmtId="165" fontId="16" fillId="0" borderId="32" xfId="22" applyNumberFormat="1" applyBorder="1"/>
    <xf numFmtId="165" fontId="48" fillId="0" borderId="32" xfId="22" applyNumberFormat="1" applyFont="1" applyBorder="1"/>
    <xf numFmtId="165" fontId="48" fillId="2" borderId="18" xfId="22" applyNumberFormat="1" applyFont="1" applyFill="1" applyBorder="1"/>
    <xf numFmtId="165" fontId="48" fillId="2" borderId="19" xfId="22" applyNumberFormat="1" applyFont="1" applyFill="1" applyBorder="1"/>
    <xf numFmtId="3" fontId="48" fillId="0" borderId="8" xfId="22" applyNumberFormat="1" applyFont="1" applyFill="1" applyBorder="1"/>
    <xf numFmtId="3" fontId="48" fillId="0" borderId="10" xfId="22" applyNumberFormat="1" applyFont="1" applyFill="1" applyBorder="1"/>
    <xf numFmtId="165" fontId="16" fillId="0" borderId="32" xfId="3" applyNumberFormat="1" applyBorder="1"/>
    <xf numFmtId="0" fontId="49" fillId="0" borderId="0" xfId="3" applyFont="1" applyAlignment="1">
      <alignment horizontal="center"/>
    </xf>
    <xf numFmtId="165" fontId="16" fillId="0" borderId="0" xfId="3" applyNumberFormat="1" applyBorder="1"/>
    <xf numFmtId="42" fontId="48" fillId="0" borderId="0" xfId="3" applyNumberFormat="1" applyFont="1" applyBorder="1"/>
    <xf numFmtId="9" fontId="20" fillId="0" borderId="0" xfId="4" applyFont="1" applyFill="1" applyBorder="1"/>
    <xf numFmtId="42" fontId="48" fillId="0" borderId="32" xfId="3" applyNumberFormat="1" applyFont="1" applyBorder="1"/>
    <xf numFmtId="165" fontId="48" fillId="0" borderId="32" xfId="3" applyNumberFormat="1" applyFont="1" applyBorder="1"/>
    <xf numFmtId="181" fontId="48" fillId="0" borderId="51" xfId="3" applyNumberFormat="1" applyFont="1" applyBorder="1"/>
    <xf numFmtId="165" fontId="48" fillId="0" borderId="5" xfId="22" applyNumberFormat="1" applyFont="1" applyFill="1" applyBorder="1"/>
    <xf numFmtId="165" fontId="16" fillId="0" borderId="51" xfId="3" applyNumberFormat="1" applyBorder="1"/>
    <xf numFmtId="165" fontId="13" fillId="0" borderId="51" xfId="22" applyNumberFormat="1" applyFont="1" applyBorder="1"/>
    <xf numFmtId="0" fontId="48" fillId="0" borderId="0" xfId="3" applyFont="1" applyFill="1" applyAlignment="1">
      <alignment horizontal="right"/>
    </xf>
    <xf numFmtId="166" fontId="48" fillId="0" borderId="0" xfId="3" applyNumberFormat="1" applyFont="1" applyFill="1" applyAlignment="1">
      <alignment horizontal="right"/>
    </xf>
    <xf numFmtId="0" fontId="16" fillId="0" borderId="0" xfId="3"/>
    <xf numFmtId="0" fontId="16" fillId="0" borderId="0" xfId="3" applyBorder="1"/>
    <xf numFmtId="0" fontId="48" fillId="0" borderId="0" xfId="3" applyFont="1"/>
    <xf numFmtId="0" fontId="16" fillId="0" borderId="0" xfId="3" applyFill="1" applyBorder="1"/>
    <xf numFmtId="0" fontId="48"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39" fillId="0" borderId="0" xfId="4" applyFont="1" applyFill="1" applyBorder="1"/>
    <xf numFmtId="165" fontId="48" fillId="0" borderId="0" xfId="22" applyNumberFormat="1" applyFont="1" applyBorder="1"/>
    <xf numFmtId="165" fontId="16" fillId="0" borderId="0" xfId="22" applyNumberFormat="1" applyFont="1" applyFill="1" applyBorder="1"/>
    <xf numFmtId="0" fontId="20" fillId="0" borderId="0" xfId="3" applyFont="1" applyFill="1" applyBorder="1"/>
    <xf numFmtId="0" fontId="13" fillId="0" borderId="0" xfId="3" applyFont="1" applyFill="1" applyBorder="1"/>
    <xf numFmtId="165" fontId="48"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8" fillId="0" borderId="0" xfId="3" applyNumberFormat="1" applyFont="1" applyBorder="1"/>
    <xf numFmtId="9" fontId="39"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8" fillId="0" borderId="51" xfId="22" applyNumberFormat="1" applyFont="1" applyFill="1" applyBorder="1"/>
    <xf numFmtId="165" fontId="48" fillId="0" borderId="51" xfId="22" applyNumberFormat="1" applyFont="1" applyBorder="1"/>
    <xf numFmtId="165" fontId="16" fillId="0" borderId="51" xfId="22" applyNumberFormat="1" applyFill="1" applyBorder="1"/>
    <xf numFmtId="165" fontId="16" fillId="0" borderId="32" xfId="22" applyNumberFormat="1" applyFill="1" applyBorder="1"/>
    <xf numFmtId="165" fontId="16" fillId="0" borderId="51" xfId="22" applyNumberFormat="1" applyBorder="1"/>
    <xf numFmtId="165" fontId="16" fillId="0" borderId="32" xfId="22" applyNumberFormat="1" applyBorder="1"/>
    <xf numFmtId="165" fontId="48" fillId="2" borderId="19" xfId="22" applyNumberFormat="1" applyFont="1" applyFill="1" applyBorder="1"/>
    <xf numFmtId="3" fontId="48" fillId="0" borderId="8" xfId="22" applyNumberFormat="1" applyFont="1" applyFill="1" applyBorder="1"/>
    <xf numFmtId="3" fontId="48" fillId="0" borderId="10" xfId="22" applyNumberFormat="1" applyFont="1" applyFill="1" applyBorder="1"/>
    <xf numFmtId="165" fontId="16" fillId="0" borderId="32" xfId="3" applyNumberFormat="1" applyBorder="1"/>
    <xf numFmtId="0" fontId="49" fillId="0" borderId="0" xfId="3" applyFont="1" applyAlignment="1">
      <alignment horizontal="center"/>
    </xf>
    <xf numFmtId="165" fontId="16" fillId="0" borderId="0" xfId="3" applyNumberFormat="1" applyBorder="1"/>
    <xf numFmtId="42" fontId="48" fillId="0" borderId="0" xfId="3" applyNumberFormat="1" applyFont="1" applyBorder="1"/>
    <xf numFmtId="9" fontId="20" fillId="0" borderId="0" xfId="4" applyFont="1" applyFill="1" applyBorder="1"/>
    <xf numFmtId="181" fontId="48" fillId="0" borderId="0" xfId="3" applyNumberFormat="1" applyFont="1" applyBorder="1"/>
    <xf numFmtId="42" fontId="48" fillId="0" borderId="32" xfId="3" applyNumberFormat="1" applyFont="1" applyBorder="1"/>
    <xf numFmtId="165" fontId="48" fillId="0" borderId="32" xfId="3" applyNumberFormat="1" applyFont="1" applyBorder="1"/>
    <xf numFmtId="165" fontId="16" fillId="0" borderId="0" xfId="3" applyNumberFormat="1" applyFont="1" applyBorder="1"/>
    <xf numFmtId="181" fontId="48" fillId="0" borderId="51" xfId="3" applyNumberFormat="1" applyFont="1" applyBorder="1"/>
    <xf numFmtId="165" fontId="16" fillId="0" borderId="32" xfId="3" applyNumberFormat="1" applyFont="1" applyBorder="1"/>
    <xf numFmtId="165" fontId="48" fillId="0" borderId="5" xfId="22" applyNumberFormat="1" applyFont="1" applyFill="1" applyBorder="1"/>
    <xf numFmtId="165" fontId="13" fillId="0" borderId="51" xfId="22" applyNumberFormat="1" applyFont="1" applyBorder="1"/>
    <xf numFmtId="0" fontId="16" fillId="0" borderId="0" xfId="3"/>
    <xf numFmtId="0" fontId="16" fillId="0" borderId="0" xfId="3" applyBorder="1"/>
    <xf numFmtId="0" fontId="16" fillId="0" borderId="0" xfId="3" applyFill="1" applyBorder="1"/>
    <xf numFmtId="0" fontId="48" fillId="0" borderId="0" xfId="3" applyFont="1" applyFill="1" applyBorder="1"/>
    <xf numFmtId="0" fontId="20" fillId="0" borderId="0" xfId="3" applyFont="1"/>
    <xf numFmtId="165" fontId="16" fillId="0" borderId="0" xfId="22" applyNumberFormat="1" applyFont="1" applyBorder="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39" fillId="0" borderId="0" xfId="4" applyFont="1" applyFill="1" applyBorder="1"/>
    <xf numFmtId="165" fontId="16" fillId="0" borderId="0" xfId="22" applyNumberFormat="1" applyFont="1" applyFill="1" applyBorder="1"/>
    <xf numFmtId="165" fontId="13" fillId="0" borderId="0" xfId="22" applyNumberFormat="1" applyFont="1" applyFill="1" applyBorder="1"/>
    <xf numFmtId="0" fontId="20" fillId="0" borderId="0" xfId="3" applyFont="1" applyFill="1" applyBorder="1"/>
    <xf numFmtId="165" fontId="20" fillId="0" borderId="0" xfId="22" applyNumberFormat="1" applyFont="1" applyFill="1" applyBorder="1"/>
    <xf numFmtId="0" fontId="13" fillId="0" borderId="0" xfId="3" applyFont="1" applyFill="1" applyBorder="1"/>
    <xf numFmtId="165" fontId="48" fillId="0" borderId="0" xfId="22" applyNumberFormat="1" applyFont="1" applyFill="1" applyBorder="1"/>
    <xf numFmtId="3" fontId="48"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0" fontId="59" fillId="0" borderId="0" xfId="3" applyFont="1" applyAlignment="1">
      <alignment horizontal="left"/>
    </xf>
    <xf numFmtId="42" fontId="43" fillId="0" borderId="51" xfId="4" applyNumberFormat="1" applyFont="1" applyFill="1" applyBorder="1"/>
    <xf numFmtId="9" fontId="39"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16" fillId="0" borderId="51" xfId="22" applyNumberFormat="1" applyFont="1" applyFill="1" applyBorder="1"/>
    <xf numFmtId="165" fontId="48" fillId="0" borderId="51" xfId="22" applyNumberFormat="1" applyFont="1" applyFill="1" applyBorder="1"/>
    <xf numFmtId="165" fontId="16" fillId="0" borderId="51" xfId="22" applyNumberFormat="1" applyFont="1" applyBorder="1"/>
    <xf numFmtId="165" fontId="48" fillId="0" borderId="51" xfId="22" applyNumberFormat="1" applyFont="1" applyBorder="1"/>
    <xf numFmtId="9" fontId="39" fillId="0" borderId="32" xfId="4" applyFont="1" applyFill="1" applyBorder="1"/>
    <xf numFmtId="42" fontId="43" fillId="0" borderId="32" xfId="4" applyNumberFormat="1" applyFont="1" applyFill="1" applyBorder="1"/>
    <xf numFmtId="165" fontId="20" fillId="0" borderId="32" xfId="22" applyNumberFormat="1" applyFont="1" applyFill="1" applyBorder="1"/>
    <xf numFmtId="165" fontId="20" fillId="0" borderId="0" xfId="22" applyNumberFormat="1" applyFont="1" applyBorder="1"/>
    <xf numFmtId="176" fontId="20" fillId="0" borderId="32" xfId="3" applyNumberFormat="1" applyFont="1" applyFill="1" applyBorder="1" applyAlignment="1">
      <alignment horizontal="center"/>
    </xf>
    <xf numFmtId="165" fontId="16" fillId="0" borderId="51" xfId="22" applyNumberFormat="1" applyFill="1" applyBorder="1"/>
    <xf numFmtId="165" fontId="16" fillId="0" borderId="32" xfId="22" applyNumberFormat="1" applyFill="1" applyBorder="1"/>
    <xf numFmtId="165" fontId="48" fillId="0" borderId="32" xfId="22" applyNumberFormat="1" applyFont="1" applyFill="1" applyBorder="1"/>
    <xf numFmtId="165" fontId="16" fillId="0" borderId="51" xfId="22" applyNumberFormat="1" applyBorder="1"/>
    <xf numFmtId="165" fontId="16" fillId="0" borderId="32" xfId="22" applyNumberFormat="1" applyBorder="1"/>
    <xf numFmtId="165" fontId="48" fillId="0" borderId="32" xfId="22" applyNumberFormat="1" applyFont="1" applyBorder="1"/>
    <xf numFmtId="165" fontId="16" fillId="0" borderId="32" xfId="3" applyNumberFormat="1" applyBorder="1"/>
    <xf numFmtId="0" fontId="16" fillId="0" borderId="51" xfId="3" applyBorder="1"/>
    <xf numFmtId="0" fontId="49" fillId="0" borderId="0" xfId="3" applyFont="1" applyAlignment="1">
      <alignment horizontal="center"/>
    </xf>
    <xf numFmtId="9" fontId="20" fillId="0" borderId="0" xfId="4" applyFont="1" applyFill="1" applyBorder="1"/>
    <xf numFmtId="165" fontId="16" fillId="0" borderId="32" xfId="22" applyNumberFormat="1" applyFont="1" applyBorder="1"/>
    <xf numFmtId="165" fontId="13" fillId="0" borderId="0" xfId="22" applyNumberFormat="1" applyFont="1" applyBorder="1"/>
    <xf numFmtId="176" fontId="13" fillId="0" borderId="0" xfId="3" applyNumberFormat="1" applyFont="1" applyFill="1" applyBorder="1" applyAlignment="1">
      <alignment horizontal="center"/>
    </xf>
    <xf numFmtId="0" fontId="16" fillId="0" borderId="0" xfId="3" applyFont="1" applyBorder="1"/>
    <xf numFmtId="165" fontId="16" fillId="0" borderId="32" xfId="22" applyNumberFormat="1" applyFont="1" applyFill="1" applyBorder="1"/>
    <xf numFmtId="165" fontId="13" fillId="0" borderId="51" xfId="22" applyNumberFormat="1" applyFont="1" applyBorder="1"/>
    <xf numFmtId="165" fontId="13" fillId="0" borderId="32" xfId="22" applyNumberFormat="1" applyFont="1" applyBorder="1"/>
    <xf numFmtId="42" fontId="0" fillId="22" borderId="55" xfId="0" applyNumberFormat="1" applyFont="1" applyFill="1" applyBorder="1" applyProtection="1"/>
    <xf numFmtId="0" fontId="16" fillId="0" borderId="0" xfId="3"/>
    <xf numFmtId="42" fontId="48" fillId="0" borderId="0" xfId="3" applyNumberFormat="1" applyFont="1"/>
    <xf numFmtId="165" fontId="16" fillId="0" borderId="0" xfId="3" applyNumberFormat="1"/>
    <xf numFmtId="0" fontId="16" fillId="0" borderId="0" xfId="3" applyFill="1"/>
    <xf numFmtId="9" fontId="39" fillId="0" borderId="0" xfId="4" applyFont="1" applyFill="1" applyBorder="1"/>
    <xf numFmtId="42" fontId="16" fillId="0" borderId="0" xfId="3" applyNumberFormat="1" applyFill="1"/>
    <xf numFmtId="165" fontId="16" fillId="0" borderId="0" xfId="3" applyNumberFormat="1" applyFill="1"/>
    <xf numFmtId="0" fontId="48" fillId="0" borderId="0" xfId="3" applyFont="1" applyFill="1" applyAlignment="1">
      <alignment horizontal="right"/>
    </xf>
    <xf numFmtId="0" fontId="48" fillId="0" borderId="0" xfId="3" applyFont="1" applyAlignment="1">
      <alignment horizontal="right"/>
    </xf>
    <xf numFmtId="165" fontId="65" fillId="0" borderId="0" xfId="3" applyNumberFormat="1" applyFont="1"/>
    <xf numFmtId="9" fontId="56" fillId="0" borderId="0" xfId="4" applyFont="1" applyFill="1" applyBorder="1"/>
    <xf numFmtId="44" fontId="48" fillId="0" borderId="0" xfId="3" applyNumberFormat="1" applyFont="1" applyAlignment="1">
      <alignment horizontal="right"/>
    </xf>
    <xf numFmtId="3" fontId="48" fillId="0" borderId="0" xfId="3" applyNumberFormat="1" applyFont="1" applyAlignment="1">
      <alignment horizontal="right"/>
    </xf>
    <xf numFmtId="166" fontId="48" fillId="0" borderId="0" xfId="3" applyNumberFormat="1" applyFont="1" applyFill="1" applyAlignment="1">
      <alignment horizontal="right"/>
    </xf>
    <xf numFmtId="0" fontId="16" fillId="0" borderId="0" xfId="3" applyAlignment="1">
      <alignment horizontal="right"/>
    </xf>
    <xf numFmtId="165" fontId="16" fillId="0" borderId="0" xfId="22" applyNumberFormat="1" applyFont="1" applyFill="1" applyBorder="1"/>
    <xf numFmtId="3" fontId="16" fillId="0" borderId="0" xfId="22" applyNumberFormat="1" applyFill="1" applyBorder="1"/>
    <xf numFmtId="0" fontId="16" fillId="0" borderId="0" xfId="3" applyAlignment="1">
      <alignment horizontal="right"/>
    </xf>
    <xf numFmtId="9" fontId="20" fillId="0" borderId="0" xfId="4" applyFont="1" applyFill="1" applyBorder="1"/>
    <xf numFmtId="0" fontId="16" fillId="0" borderId="0" xfId="3" applyFill="1" applyBorder="1"/>
    <xf numFmtId="0" fontId="48" fillId="0" borderId="0" xfId="3" applyFont="1"/>
    <xf numFmtId="0" fontId="16" fillId="0" borderId="0" xfId="3" applyBorder="1"/>
    <xf numFmtId="0" fontId="16" fillId="0" borderId="0" xfId="3"/>
    <xf numFmtId="0" fontId="66" fillId="0" borderId="7" xfId="28" applyBorder="1"/>
    <xf numFmtId="0" fontId="66" fillId="0" borderId="13" xfId="28" applyBorder="1"/>
    <xf numFmtId="169" fontId="66" fillId="0" borderId="13" xfId="28" applyNumberFormat="1" applyBorder="1"/>
    <xf numFmtId="9" fontId="30" fillId="0" borderId="13" xfId="11" applyFont="1" applyBorder="1"/>
    <xf numFmtId="7" fontId="30" fillId="0" borderId="13" xfId="40" applyNumberFormat="1" applyFont="1" applyBorder="1"/>
    <xf numFmtId="171" fontId="66" fillId="0" borderId="13" xfId="28" applyNumberFormat="1" applyBorder="1"/>
    <xf numFmtId="2" fontId="34" fillId="0" borderId="13" xfId="28" applyNumberFormat="1" applyFont="1" applyBorder="1" applyAlignment="1">
      <alignment horizontal="center"/>
    </xf>
    <xf numFmtId="164" fontId="66" fillId="0" borderId="13" xfId="28" applyNumberFormat="1" applyBorder="1"/>
    <xf numFmtId="169" fontId="66" fillId="0" borderId="12" xfId="28" applyNumberFormat="1" applyFill="1" applyBorder="1"/>
    <xf numFmtId="0" fontId="48"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39" fillId="0" borderId="0" xfId="4" applyFont="1" applyFill="1" applyBorder="1"/>
    <xf numFmtId="165" fontId="48" fillId="0" borderId="0" xfId="22" applyNumberFormat="1" applyFont="1" applyBorder="1"/>
    <xf numFmtId="0" fontId="20" fillId="0" borderId="0" xfId="3" applyFont="1" applyFill="1" applyBorder="1"/>
    <xf numFmtId="165" fontId="20" fillId="0" borderId="0" xfId="22" applyNumberFormat="1" applyFont="1" applyFill="1" applyBorder="1"/>
    <xf numFmtId="0" fontId="13" fillId="0" borderId="0" xfId="3" applyFont="1" applyFill="1" applyBorder="1"/>
    <xf numFmtId="165" fontId="48" fillId="0" borderId="0" xfId="22" applyNumberFormat="1" applyFont="1" applyFill="1" applyBorder="1"/>
    <xf numFmtId="3" fontId="48"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0" fontId="16" fillId="0" borderId="0" xfId="3" applyAlignment="1">
      <alignment horizontal="right"/>
    </xf>
    <xf numFmtId="165" fontId="48" fillId="0" borderId="0" xfId="3" applyNumberFormat="1" applyFont="1" applyBorder="1"/>
    <xf numFmtId="9" fontId="39"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48" fillId="0" borderId="51" xfId="22" applyNumberFormat="1" applyFont="1" applyFill="1" applyBorder="1"/>
    <xf numFmtId="165" fontId="48" fillId="0" borderId="51" xfId="22" applyNumberFormat="1" applyFont="1" applyBorder="1"/>
    <xf numFmtId="165" fontId="48"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48" fillId="0" borderId="32" xfId="22" applyNumberFormat="1" applyFont="1" applyFill="1" applyBorder="1"/>
    <xf numFmtId="165" fontId="16" fillId="0" borderId="51" xfId="22" applyNumberFormat="1" applyBorder="1"/>
    <xf numFmtId="165" fontId="16" fillId="0" borderId="32" xfId="22" applyNumberFormat="1" applyBorder="1"/>
    <xf numFmtId="3" fontId="48" fillId="0" borderId="8" xfId="22" applyNumberFormat="1" applyFont="1" applyFill="1" applyBorder="1"/>
    <xf numFmtId="3" fontId="48" fillId="0" borderId="5" xfId="22" applyNumberFormat="1" applyFont="1" applyFill="1" applyBorder="1"/>
    <xf numFmtId="165" fontId="16" fillId="0" borderId="32" xfId="3" applyNumberFormat="1" applyBorder="1"/>
    <xf numFmtId="3" fontId="16" fillId="0" borderId="32" xfId="22" applyNumberFormat="1" applyFill="1" applyBorder="1"/>
    <xf numFmtId="0" fontId="49" fillId="0" borderId="0" xfId="3" applyFont="1" applyAlignment="1">
      <alignment horizontal="center"/>
    </xf>
    <xf numFmtId="165" fontId="16" fillId="0" borderId="0" xfId="3" applyNumberFormat="1" applyBorder="1"/>
    <xf numFmtId="42" fontId="48" fillId="0" borderId="0" xfId="3" applyNumberFormat="1" applyFont="1" applyBorder="1"/>
    <xf numFmtId="9" fontId="20" fillId="0" borderId="0" xfId="4" applyFont="1" applyFill="1" applyBorder="1"/>
    <xf numFmtId="42" fontId="48" fillId="0" borderId="32" xfId="3" applyNumberFormat="1" applyFont="1" applyBorder="1"/>
    <xf numFmtId="165" fontId="48" fillId="0" borderId="32" xfId="3" applyNumberFormat="1" applyFont="1" applyBorder="1"/>
    <xf numFmtId="0" fontId="16" fillId="0" borderId="0" xfId="3" applyAlignment="1">
      <alignment horizontal="left" indent="2"/>
    </xf>
    <xf numFmtId="0" fontId="13" fillId="0" borderId="0" xfId="3" applyFont="1" applyAlignment="1">
      <alignment horizontal="left" indent="1"/>
    </xf>
    <xf numFmtId="42" fontId="16" fillId="0" borderId="32" xfId="3" applyNumberFormat="1" applyFont="1" applyBorder="1"/>
    <xf numFmtId="42" fontId="20" fillId="0" borderId="51" xfId="4" applyNumberFormat="1" applyFont="1" applyFill="1" applyBorder="1"/>
    <xf numFmtId="0" fontId="16" fillId="0" borderId="50" xfId="3" applyBorder="1"/>
    <xf numFmtId="3" fontId="48" fillId="0" borderId="32" xfId="22" applyNumberFormat="1" applyFont="1" applyFill="1" applyBorder="1"/>
    <xf numFmtId="0" fontId="13" fillId="0" borderId="0" xfId="3" applyFont="1" applyAlignment="1">
      <alignment horizontal="left" indent="2"/>
    </xf>
    <xf numFmtId="165" fontId="13" fillId="0" borderId="51" xfId="22" applyNumberFormat="1" applyFont="1" applyBorder="1"/>
    <xf numFmtId="0" fontId="16" fillId="0" borderId="0" xfId="3"/>
    <xf numFmtId="42" fontId="48" fillId="0" borderId="0" xfId="3" applyNumberFormat="1" applyFont="1"/>
    <xf numFmtId="165" fontId="16" fillId="0" borderId="0" xfId="3" applyNumberFormat="1"/>
    <xf numFmtId="0" fontId="54" fillId="0" borderId="0" xfId="23" applyNumberFormat="1" applyFont="1" applyAlignment="1" applyProtection="1">
      <alignment horizontal="left"/>
      <protection locked="0"/>
    </xf>
    <xf numFmtId="0" fontId="16" fillId="0" borderId="0" xfId="3" applyFill="1"/>
    <xf numFmtId="9" fontId="39" fillId="0" borderId="0" xfId="4" applyFont="1" applyFill="1" applyBorder="1"/>
    <xf numFmtId="42" fontId="16" fillId="0" borderId="0" xfId="3" applyNumberFormat="1" applyFill="1"/>
    <xf numFmtId="165" fontId="16" fillId="0" borderId="0" xfId="3" applyNumberFormat="1" applyFill="1"/>
    <xf numFmtId="0" fontId="48" fillId="0" borderId="0" xfId="3" applyFont="1" applyFill="1" applyAlignment="1">
      <alignment horizontal="right"/>
    </xf>
    <xf numFmtId="0" fontId="48" fillId="0" borderId="0" xfId="3" applyFont="1" applyAlignment="1">
      <alignment horizontal="right"/>
    </xf>
    <xf numFmtId="165" fontId="65" fillId="0" borderId="0" xfId="3" applyNumberFormat="1" applyFont="1"/>
    <xf numFmtId="9" fontId="56" fillId="0" borderId="0" xfId="4" applyFont="1" applyFill="1" applyBorder="1"/>
    <xf numFmtId="44" fontId="48" fillId="0" borderId="0" xfId="3" applyNumberFormat="1" applyFont="1" applyAlignment="1">
      <alignment horizontal="right"/>
    </xf>
    <xf numFmtId="3" fontId="48" fillId="0" borderId="0" xfId="3" applyNumberFormat="1" applyFont="1" applyAlignment="1">
      <alignment horizontal="right"/>
    </xf>
    <xf numFmtId="166" fontId="48" fillId="0" borderId="0" xfId="3" applyNumberFormat="1" applyFont="1" applyFill="1" applyAlignment="1">
      <alignment horizontal="right"/>
    </xf>
    <xf numFmtId="0" fontId="16" fillId="0" borderId="0" xfId="3" applyAlignment="1">
      <alignment horizontal="right"/>
    </xf>
    <xf numFmtId="0" fontId="13" fillId="0" borderId="0" xfId="2" applyFont="1" applyAlignment="1">
      <alignment wrapText="1"/>
    </xf>
    <xf numFmtId="0" fontId="16" fillId="0" borderId="0" xfId="3"/>
    <xf numFmtId="0" fontId="16" fillId="0" borderId="0" xfId="3" applyBorder="1"/>
    <xf numFmtId="0" fontId="48" fillId="0" borderId="0" xfId="3" applyFont="1"/>
    <xf numFmtId="0" fontId="16" fillId="0" borderId="0" xfId="3" applyFill="1" applyBorder="1"/>
    <xf numFmtId="0" fontId="48" fillId="0" borderId="0" xfId="3" applyFont="1" applyFill="1" applyBorder="1"/>
    <xf numFmtId="0" fontId="20" fillId="0" borderId="0" xfId="3" applyFont="1"/>
    <xf numFmtId="0" fontId="8" fillId="0" borderId="0" xfId="3" applyFont="1"/>
    <xf numFmtId="0" fontId="13" fillId="0" borderId="0" xfId="3" applyFont="1" applyAlignment="1">
      <alignment horizontal="left"/>
    </xf>
    <xf numFmtId="165" fontId="48" fillId="0" borderId="0" xfId="22" applyNumberFormat="1" applyFont="1" applyBorder="1"/>
    <xf numFmtId="0" fontId="20" fillId="0" borderId="0" xfId="3" applyFont="1" applyFill="1" applyBorder="1"/>
    <xf numFmtId="0" fontId="13" fillId="0" borderId="0" xfId="3" applyFont="1" applyFill="1" applyBorder="1"/>
    <xf numFmtId="165" fontId="48" fillId="0" borderId="0" xfId="22" applyNumberFormat="1" applyFont="1" applyFill="1" applyBorder="1"/>
    <xf numFmtId="165" fontId="16" fillId="0" borderId="0" xfId="22" applyNumberFormat="1" applyBorder="1"/>
    <xf numFmtId="165" fontId="16" fillId="0" borderId="0" xfId="22" applyNumberFormat="1" applyFill="1" applyBorder="1"/>
    <xf numFmtId="165" fontId="48" fillId="0" borderId="0" xfId="3" applyNumberFormat="1" applyFont="1" applyBorder="1"/>
    <xf numFmtId="42" fontId="43" fillId="0" borderId="51" xfId="4" applyNumberFormat="1" applyFont="1" applyFill="1" applyBorder="1"/>
    <xf numFmtId="9" fontId="39"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48" fillId="0" borderId="51" xfId="22" applyNumberFormat="1" applyFont="1" applyFill="1" applyBorder="1"/>
    <xf numFmtId="165" fontId="48" fillId="0" borderId="51" xfId="22" applyNumberFormat="1" applyFont="1" applyBorder="1"/>
    <xf numFmtId="165" fontId="16" fillId="0" borderId="51" xfId="22" applyNumberFormat="1" applyFill="1" applyBorder="1"/>
    <xf numFmtId="165" fontId="16" fillId="0" borderId="32" xfId="22" applyNumberFormat="1" applyFill="1" applyBorder="1"/>
    <xf numFmtId="165" fontId="16" fillId="0" borderId="51" xfId="22" applyNumberFormat="1" applyBorder="1"/>
    <xf numFmtId="165" fontId="16" fillId="0" borderId="32" xfId="22" applyNumberFormat="1" applyBorder="1"/>
    <xf numFmtId="3" fontId="48" fillId="0" borderId="8" xfId="22" applyNumberFormat="1" applyFont="1" applyFill="1" applyBorder="1"/>
    <xf numFmtId="3" fontId="48" fillId="0" borderId="10" xfId="22" applyNumberFormat="1" applyFont="1" applyFill="1" applyBorder="1"/>
    <xf numFmtId="3" fontId="48" fillId="0" borderId="5" xfId="22" applyNumberFormat="1" applyFont="1" applyFill="1" applyBorder="1"/>
    <xf numFmtId="165" fontId="16" fillId="0" borderId="32" xfId="3" applyNumberFormat="1" applyBorder="1"/>
    <xf numFmtId="0" fontId="49" fillId="0" borderId="0" xfId="3" applyFont="1" applyAlignment="1">
      <alignment horizontal="center"/>
    </xf>
    <xf numFmtId="165" fontId="16" fillId="0" borderId="0" xfId="3" applyNumberFormat="1" applyBorder="1"/>
    <xf numFmtId="42" fontId="48" fillId="0" borderId="0" xfId="3" applyNumberFormat="1" applyFont="1" applyBorder="1"/>
    <xf numFmtId="181" fontId="48" fillId="0" borderId="0" xfId="3" applyNumberFormat="1" applyFont="1" applyBorder="1"/>
    <xf numFmtId="42" fontId="48" fillId="0" borderId="32" xfId="3" applyNumberFormat="1" applyFont="1" applyBorder="1"/>
    <xf numFmtId="165" fontId="48" fillId="0" borderId="32" xfId="3" applyNumberFormat="1" applyFont="1" applyBorder="1"/>
    <xf numFmtId="165" fontId="13" fillId="0" borderId="51" xfId="22" applyNumberFormat="1" applyFont="1" applyBorder="1"/>
    <xf numFmtId="0" fontId="16" fillId="0" borderId="0" xfId="3"/>
    <xf numFmtId="42" fontId="48" fillId="0" borderId="0" xfId="3" applyNumberFormat="1" applyFont="1"/>
    <xf numFmtId="165" fontId="16" fillId="0" borderId="0" xfId="3" applyNumberFormat="1"/>
    <xf numFmtId="0" fontId="16" fillId="0" borderId="0" xfId="3" applyFill="1"/>
    <xf numFmtId="9" fontId="39" fillId="0" borderId="0" xfId="4" applyFont="1" applyFill="1" applyBorder="1"/>
    <xf numFmtId="42" fontId="16" fillId="0" borderId="0" xfId="3" applyNumberFormat="1" applyFill="1"/>
    <xf numFmtId="165" fontId="16" fillId="0" borderId="0" xfId="3" applyNumberFormat="1" applyFill="1"/>
    <xf numFmtId="0" fontId="48" fillId="0" borderId="0" xfId="3" applyFont="1" applyFill="1" applyAlignment="1">
      <alignment horizontal="right"/>
    </xf>
    <xf numFmtId="0" fontId="48" fillId="0" borderId="0" xfId="3" applyFont="1" applyAlignment="1">
      <alignment horizontal="right"/>
    </xf>
    <xf numFmtId="165" fontId="65" fillId="0" borderId="0" xfId="3" applyNumberFormat="1" applyFont="1"/>
    <xf numFmtId="9" fontId="56" fillId="0" borderId="0" xfId="4" applyFont="1" applyFill="1" applyBorder="1"/>
    <xf numFmtId="44" fontId="48" fillId="0" borderId="0" xfId="3" applyNumberFormat="1" applyFont="1" applyAlignment="1">
      <alignment horizontal="right"/>
    </xf>
    <xf numFmtId="3" fontId="48" fillId="0" borderId="0" xfId="3" applyNumberFormat="1" applyFont="1" applyAlignment="1">
      <alignment horizontal="right"/>
    </xf>
    <xf numFmtId="166" fontId="48" fillId="0" borderId="0" xfId="3" applyNumberFormat="1" applyFont="1" applyFill="1" applyAlignment="1">
      <alignment horizontal="right"/>
    </xf>
    <xf numFmtId="0" fontId="16" fillId="0" borderId="0" xfId="3" applyAlignment="1">
      <alignment horizontal="right"/>
    </xf>
    <xf numFmtId="0" fontId="16" fillId="0" borderId="0" xfId="3"/>
    <xf numFmtId="0" fontId="16" fillId="0" borderId="0" xfId="3" applyBorder="1"/>
    <xf numFmtId="0" fontId="48" fillId="0" borderId="0" xfId="3" applyFont="1"/>
    <xf numFmtId="0" fontId="16" fillId="0" borderId="0" xfId="3" applyFill="1" applyBorder="1"/>
    <xf numFmtId="0" fontId="48"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39" fillId="0" borderId="0" xfId="4" applyFont="1" applyFill="1" applyBorder="1"/>
    <xf numFmtId="165" fontId="48" fillId="0" borderId="0" xfId="22" applyNumberFormat="1" applyFont="1" applyBorder="1"/>
    <xf numFmtId="165" fontId="16" fillId="0" borderId="0" xfId="22" applyNumberFormat="1" applyFont="1" applyFill="1" applyBorder="1"/>
    <xf numFmtId="0" fontId="20" fillId="0" borderId="0" xfId="3" applyFont="1" applyFill="1" applyBorder="1"/>
    <xf numFmtId="165" fontId="20" fillId="0" borderId="0" xfId="22" applyNumberFormat="1" applyFont="1" applyFill="1" applyBorder="1"/>
    <xf numFmtId="165" fontId="48"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8" fillId="0" borderId="0" xfId="3" applyNumberFormat="1" applyFont="1" applyBorder="1"/>
    <xf numFmtId="42" fontId="43" fillId="0" borderId="51" xfId="4" applyNumberFormat="1" applyFont="1" applyFill="1" applyBorder="1"/>
    <xf numFmtId="9" fontId="39"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165" fontId="16" fillId="0" borderId="51" xfId="22" applyNumberFormat="1" applyFont="1" applyFill="1" applyBorder="1"/>
    <xf numFmtId="42" fontId="16" fillId="0" borderId="51" xfId="3" applyNumberFormat="1" applyBorder="1"/>
    <xf numFmtId="165" fontId="48" fillId="0" borderId="51" xfId="22" applyNumberFormat="1" applyFont="1" applyFill="1" applyBorder="1"/>
    <xf numFmtId="165" fontId="48" fillId="0" borderId="51" xfId="22" applyNumberFormat="1" applyFont="1" applyBorder="1"/>
    <xf numFmtId="3" fontId="48" fillId="0" borderId="34" xfId="22" applyNumberFormat="1" applyFont="1" applyFill="1" applyBorder="1"/>
    <xf numFmtId="165" fontId="16" fillId="0" borderId="51" xfId="22" applyNumberFormat="1" applyFill="1" applyBorder="1"/>
    <xf numFmtId="165" fontId="16" fillId="0" borderId="32" xfId="22" applyNumberFormat="1" applyFill="1" applyBorder="1"/>
    <xf numFmtId="165" fontId="48" fillId="0" borderId="32" xfId="22" applyNumberFormat="1" applyFont="1" applyFill="1" applyBorder="1"/>
    <xf numFmtId="165" fontId="16" fillId="0" borderId="51" xfId="22" applyNumberFormat="1" applyBorder="1"/>
    <xf numFmtId="165" fontId="16" fillId="0" borderId="32" xfId="22" applyNumberFormat="1" applyBorder="1"/>
    <xf numFmtId="165" fontId="16" fillId="0" borderId="32" xfId="3" applyNumberFormat="1" applyBorder="1"/>
    <xf numFmtId="0" fontId="16" fillId="0" borderId="51" xfId="3" applyBorder="1"/>
    <xf numFmtId="3" fontId="16" fillId="0" borderId="51" xfId="22" applyNumberFormat="1" applyFill="1" applyBorder="1"/>
    <xf numFmtId="3" fontId="16" fillId="0" borderId="32" xfId="22" applyNumberFormat="1" applyFill="1" applyBorder="1"/>
    <xf numFmtId="3" fontId="48" fillId="0" borderId="2" xfId="22" applyNumberFormat="1" applyFont="1" applyFill="1" applyBorder="1"/>
    <xf numFmtId="3" fontId="48" fillId="0" borderId="35" xfId="22" applyNumberFormat="1" applyFont="1" applyFill="1" applyBorder="1"/>
    <xf numFmtId="167" fontId="61" fillId="0" borderId="2" xfId="22" applyNumberFormat="1" applyFont="1" applyFill="1" applyBorder="1" applyAlignment="1">
      <alignment horizontal="center"/>
    </xf>
    <xf numFmtId="3" fontId="16" fillId="0" borderId="5" xfId="3" applyNumberFormat="1" applyBorder="1"/>
    <xf numFmtId="165" fontId="16" fillId="0" borderId="0" xfId="3" applyNumberFormat="1" applyBorder="1"/>
    <xf numFmtId="42" fontId="48" fillId="0" borderId="0" xfId="3" applyNumberFormat="1" applyFont="1" applyBorder="1"/>
    <xf numFmtId="9" fontId="20" fillId="0" borderId="0" xfId="4" applyFont="1" applyFill="1" applyBorder="1"/>
    <xf numFmtId="42" fontId="48" fillId="0" borderId="32" xfId="3" applyNumberFormat="1" applyFont="1" applyBorder="1"/>
    <xf numFmtId="165" fontId="48" fillId="0" borderId="32" xfId="3" applyNumberFormat="1" applyFont="1" applyBorder="1"/>
    <xf numFmtId="0" fontId="16" fillId="0" borderId="0" xfId="3" applyAlignment="1">
      <alignment horizontal="left" indent="1"/>
    </xf>
    <xf numFmtId="0" fontId="16" fillId="0" borderId="0" xfId="3" applyAlignment="1">
      <alignment horizontal="left" indent="2"/>
    </xf>
    <xf numFmtId="0" fontId="16" fillId="0" borderId="0" xfId="3" applyFont="1" applyBorder="1" applyAlignment="1">
      <alignment horizontal="left" indent="1"/>
    </xf>
    <xf numFmtId="0" fontId="13" fillId="0" borderId="0" xfId="3" applyFont="1" applyFill="1" applyBorder="1" applyAlignment="1">
      <alignment horizontal="left" indent="2"/>
    </xf>
    <xf numFmtId="165" fontId="16" fillId="0" borderId="51" xfId="4" applyNumberFormat="1" applyFont="1" applyFill="1" applyBorder="1"/>
    <xf numFmtId="42" fontId="16" fillId="0" borderId="32" xfId="3" applyNumberFormat="1" applyFont="1" applyBorder="1"/>
    <xf numFmtId="165" fontId="48" fillId="2" borderId="38" xfId="22" applyNumberFormat="1" applyFont="1" applyFill="1" applyBorder="1"/>
    <xf numFmtId="165" fontId="48" fillId="2" borderId="16" xfId="22" applyNumberFormat="1" applyFont="1" applyFill="1" applyBorder="1"/>
    <xf numFmtId="165" fontId="48" fillId="2" borderId="49" xfId="22" applyNumberFormat="1" applyFont="1" applyFill="1" applyBorder="1"/>
    <xf numFmtId="165" fontId="16" fillId="0" borderId="34" xfId="22" applyNumberFormat="1" applyFill="1" applyBorder="1"/>
    <xf numFmtId="165" fontId="16" fillId="0" borderId="2" xfId="22" applyNumberFormat="1" applyFill="1" applyBorder="1"/>
    <xf numFmtId="165" fontId="16" fillId="0" borderId="35" xfId="22" applyNumberFormat="1" applyFill="1" applyBorder="1"/>
    <xf numFmtId="0" fontId="16" fillId="0" borderId="0" xfId="3"/>
    <xf numFmtId="3" fontId="16" fillId="0" borderId="0" xfId="3" applyNumberFormat="1"/>
    <xf numFmtId="0" fontId="16" fillId="0" borderId="0" xfId="3" applyBorder="1"/>
    <xf numFmtId="0" fontId="48" fillId="0" borderId="0" xfId="3" applyFont="1"/>
    <xf numFmtId="0" fontId="16" fillId="0" borderId="0" xfId="3" applyFill="1" applyBorder="1"/>
    <xf numFmtId="0" fontId="48"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176" fontId="20" fillId="0" borderId="0" xfId="3" applyNumberFormat="1" applyFont="1" applyFill="1" applyAlignment="1">
      <alignment horizontal="center"/>
    </xf>
    <xf numFmtId="0" fontId="13" fillId="0" borderId="0" xfId="3" applyFont="1" applyAlignment="1">
      <alignment horizontal="left"/>
    </xf>
    <xf numFmtId="9" fontId="39" fillId="0" borderId="0" xfId="4" applyFont="1" applyFill="1" applyBorder="1"/>
    <xf numFmtId="165" fontId="48" fillId="0" borderId="0" xfId="22" applyNumberFormat="1" applyFont="1" applyBorder="1"/>
    <xf numFmtId="0" fontId="20" fillId="0" borderId="0" xfId="3" applyFont="1" applyFill="1" applyBorder="1"/>
    <xf numFmtId="165" fontId="20" fillId="0" borderId="0" xfId="22" applyNumberFormat="1" applyFont="1" applyFill="1" applyBorder="1"/>
    <xf numFmtId="0" fontId="13" fillId="0" borderId="0" xfId="3" applyFont="1" applyFill="1" applyBorder="1"/>
    <xf numFmtId="165" fontId="48" fillId="0" borderId="0" xfId="22" applyNumberFormat="1" applyFont="1" applyFill="1" applyBorder="1"/>
    <xf numFmtId="3" fontId="48"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0" fontId="16" fillId="0" borderId="0" xfId="3" applyAlignment="1">
      <alignment horizontal="right"/>
    </xf>
    <xf numFmtId="165" fontId="48" fillId="0" borderId="0" xfId="3" applyNumberFormat="1" applyFont="1" applyBorder="1"/>
    <xf numFmtId="9" fontId="39"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8" fillId="0" borderId="51" xfId="22" applyNumberFormat="1" applyFont="1" applyFill="1" applyBorder="1"/>
    <xf numFmtId="165" fontId="48" fillId="0" borderId="51" xfId="22" applyNumberFormat="1" applyFont="1" applyBorder="1"/>
    <xf numFmtId="165" fontId="48"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48" fillId="0" borderId="32" xfId="22" applyNumberFormat="1" applyFont="1" applyFill="1" applyBorder="1"/>
    <xf numFmtId="165" fontId="16" fillId="0" borderId="51" xfId="22" applyNumberFormat="1" applyBorder="1"/>
    <xf numFmtId="165" fontId="16" fillId="0" borderId="32" xfId="22" applyNumberFormat="1" applyBorder="1"/>
    <xf numFmtId="165" fontId="16" fillId="0" borderId="32" xfId="3" applyNumberFormat="1" applyBorder="1"/>
    <xf numFmtId="0" fontId="49" fillId="0" borderId="0" xfId="3" applyFont="1" applyAlignment="1">
      <alignment horizontal="center"/>
    </xf>
    <xf numFmtId="165" fontId="16" fillId="0" borderId="0" xfId="3" applyNumberFormat="1" applyBorder="1"/>
    <xf numFmtId="42" fontId="48" fillId="0" borderId="0" xfId="3" applyNumberFormat="1" applyFont="1" applyBorder="1"/>
    <xf numFmtId="9" fontId="20" fillId="0" borderId="0" xfId="4" applyFont="1" applyFill="1" applyBorder="1"/>
    <xf numFmtId="42" fontId="48" fillId="0" borderId="32" xfId="3" applyNumberFormat="1" applyFont="1" applyBorder="1"/>
    <xf numFmtId="165" fontId="48" fillId="0" borderId="32" xfId="3" applyNumberFormat="1" applyFont="1" applyBorder="1"/>
    <xf numFmtId="181" fontId="48" fillId="0" borderId="51" xfId="3" applyNumberFormat="1" applyFont="1" applyBorder="1"/>
    <xf numFmtId="165" fontId="13" fillId="0" borderId="51" xfId="22" applyNumberFormat="1" applyFont="1" applyBorder="1"/>
    <xf numFmtId="0" fontId="16" fillId="0" borderId="0" xfId="3"/>
    <xf numFmtId="0" fontId="16" fillId="0" borderId="0" xfId="3" applyBorder="1"/>
    <xf numFmtId="0" fontId="48" fillId="0" borderId="0" xfId="3" applyFont="1"/>
    <xf numFmtId="0" fontId="16" fillId="0" borderId="0" xfId="3" applyFill="1" applyBorder="1"/>
    <xf numFmtId="0" fontId="48" fillId="0" borderId="0" xfId="3" applyFont="1" applyFill="1" applyBorder="1"/>
    <xf numFmtId="0" fontId="20" fillId="0" borderId="0" xfId="3" applyFont="1"/>
    <xf numFmtId="0" fontId="8" fillId="0" borderId="0" xfId="3" applyFont="1"/>
    <xf numFmtId="41" fontId="13" fillId="0" borderId="0" xfId="23" applyNumberFormat="1" applyFont="1" applyFill="1" applyBorder="1" applyAlignment="1" applyProtection="1">
      <alignment horizontal="left"/>
    </xf>
    <xf numFmtId="165" fontId="20" fillId="0" borderId="0" xfId="22" applyNumberFormat="1" applyFont="1" applyFill="1"/>
    <xf numFmtId="0" fontId="13" fillId="0" borderId="0" xfId="3" applyFont="1" applyAlignment="1">
      <alignment horizontal="left"/>
    </xf>
    <xf numFmtId="9" fontId="39" fillId="0" borderId="0" xfId="4" applyFont="1" applyFill="1" applyBorder="1"/>
    <xf numFmtId="165" fontId="48" fillId="0" borderId="0" xfId="22" applyNumberFormat="1" applyFont="1" applyBorder="1"/>
    <xf numFmtId="165" fontId="16" fillId="0" borderId="0" xfId="22" applyNumberFormat="1" applyFont="1" applyFill="1" applyBorder="1"/>
    <xf numFmtId="0" fontId="20" fillId="0" borderId="0" xfId="3" applyFont="1" applyFill="1" applyBorder="1"/>
    <xf numFmtId="0" fontId="13" fillId="0" borderId="0" xfId="3" applyFont="1" applyFill="1" applyBorder="1"/>
    <xf numFmtId="165" fontId="48" fillId="0" borderId="0" xfId="22" applyNumberFormat="1" applyFont="1" applyFill="1" applyBorder="1"/>
    <xf numFmtId="3" fontId="48" fillId="0" borderId="0" xfId="22" applyNumberFormat="1" applyFont="1" applyFill="1" applyBorder="1"/>
    <xf numFmtId="2" fontId="13" fillId="0" borderId="0" xfId="3" applyNumberFormat="1" applyFont="1" applyFill="1" applyAlignment="1">
      <alignment horizontal="right"/>
    </xf>
    <xf numFmtId="165" fontId="16" fillId="0" borderId="0" xfId="22" applyNumberFormat="1" applyFill="1"/>
    <xf numFmtId="165" fontId="16" fillId="0" borderId="0" xfId="22" applyNumberFormat="1"/>
    <xf numFmtId="165" fontId="16" fillId="0" borderId="0" xfId="22" applyNumberFormat="1" applyBorder="1"/>
    <xf numFmtId="165" fontId="16" fillId="0" borderId="0" xfId="22" applyNumberFormat="1" applyFill="1" applyBorder="1"/>
    <xf numFmtId="3" fontId="16" fillId="0" borderId="0" xfId="22" applyNumberFormat="1" applyFill="1" applyBorder="1"/>
    <xf numFmtId="0" fontId="16" fillId="0" borderId="0" xfId="3" applyAlignment="1">
      <alignment horizontal="right"/>
    </xf>
    <xf numFmtId="165" fontId="48" fillId="0" borderId="0" xfId="3" applyNumberFormat="1" applyFont="1" applyBorder="1"/>
    <xf numFmtId="9" fontId="39" fillId="0" borderId="51" xfId="4" applyFont="1" applyFill="1" applyBorder="1"/>
    <xf numFmtId="0" fontId="16" fillId="0" borderId="32" xfId="3" applyBorder="1"/>
    <xf numFmtId="165" fontId="20" fillId="0" borderId="51" xfId="22" applyNumberFormat="1" applyFont="1" applyFill="1" applyBorder="1"/>
    <xf numFmtId="176" fontId="20" fillId="0" borderId="51" xfId="3" applyNumberFormat="1" applyFont="1" applyFill="1" applyBorder="1" applyAlignment="1">
      <alignment horizontal="center"/>
    </xf>
    <xf numFmtId="42" fontId="16" fillId="0" borderId="51" xfId="3" applyNumberFormat="1" applyBorder="1"/>
    <xf numFmtId="165" fontId="48" fillId="0" borderId="51" xfId="22" applyNumberFormat="1" applyFont="1" applyFill="1" applyBorder="1"/>
    <xf numFmtId="165" fontId="48" fillId="0" borderId="51" xfId="22" applyNumberFormat="1" applyFont="1" applyBorder="1"/>
    <xf numFmtId="165" fontId="48" fillId="2" borderId="17" xfId="22" applyNumberFormat="1" applyFont="1" applyFill="1" applyBorder="1"/>
    <xf numFmtId="165" fontId="16" fillId="0" borderId="51" xfId="22" applyNumberFormat="1" applyFill="1" applyBorder="1"/>
    <xf numFmtId="165" fontId="16" fillId="0" borderId="32" xfId="22" applyNumberFormat="1" applyFill="1" applyBorder="1"/>
    <xf numFmtId="165" fontId="48" fillId="0" borderId="32" xfId="22" applyNumberFormat="1" applyFont="1" applyFill="1" applyBorder="1"/>
    <xf numFmtId="165" fontId="16" fillId="0" borderId="51" xfId="22" applyNumberFormat="1" applyBorder="1"/>
    <xf numFmtId="165" fontId="16" fillId="0" borderId="32" xfId="22" applyNumberFormat="1" applyBorder="1"/>
    <xf numFmtId="165" fontId="48" fillId="2" borderId="18" xfId="22" applyNumberFormat="1" applyFont="1" applyFill="1" applyBorder="1"/>
    <xf numFmtId="165" fontId="48" fillId="2" borderId="19" xfId="22" applyNumberFormat="1" applyFont="1" applyFill="1" applyBorder="1"/>
    <xf numFmtId="165" fontId="16" fillId="0" borderId="32" xfId="3" applyNumberFormat="1" applyBorder="1"/>
    <xf numFmtId="0" fontId="49" fillId="0" borderId="0" xfId="3" applyFont="1" applyAlignment="1">
      <alignment horizontal="center"/>
    </xf>
    <xf numFmtId="165" fontId="16" fillId="0" borderId="0" xfId="3" applyNumberFormat="1" applyBorder="1"/>
    <xf numFmtId="42" fontId="48" fillId="0" borderId="0" xfId="3" applyNumberFormat="1" applyFont="1" applyBorder="1"/>
    <xf numFmtId="9" fontId="20" fillId="0" borderId="0" xfId="4" applyFont="1" applyFill="1" applyBorder="1"/>
    <xf numFmtId="42" fontId="48" fillId="0" borderId="32" xfId="3" applyNumberFormat="1" applyFont="1" applyBorder="1"/>
    <xf numFmtId="165" fontId="48" fillId="0" borderId="32" xfId="3" applyNumberFormat="1" applyFont="1" applyBorder="1"/>
    <xf numFmtId="181" fontId="48" fillId="0" borderId="51" xfId="3" applyNumberFormat="1" applyFont="1" applyBorder="1"/>
    <xf numFmtId="0" fontId="48" fillId="0" borderId="0" xfId="3" applyFont="1" applyFill="1" applyAlignment="1">
      <alignment horizontal="right"/>
    </xf>
    <xf numFmtId="166" fontId="48" fillId="0" borderId="0" xfId="3" applyNumberFormat="1" applyFont="1" applyFill="1" applyAlignment="1">
      <alignment horizontal="right"/>
    </xf>
    <xf numFmtId="165" fontId="3" fillId="0" borderId="0" xfId="1" applyNumberFormat="1" applyFont="1" applyFill="1" applyBorder="1" applyAlignment="1">
      <alignment horizontal="center" vertical="center" wrapText="1"/>
    </xf>
    <xf numFmtId="165" fontId="1" fillId="0" borderId="0" xfId="1" applyNumberFormat="1" applyFont="1" applyFill="1" applyBorder="1" applyAlignment="1">
      <alignment horizontal="center" vertical="center" wrapText="1"/>
    </xf>
    <xf numFmtId="165" fontId="1" fillId="0" borderId="0" xfId="1" applyNumberFormat="1" applyFont="1" applyAlignment="1">
      <alignment horizontal="right" wrapText="1"/>
    </xf>
    <xf numFmtId="0" fontId="66" fillId="0" borderId="7" xfId="28" applyBorder="1"/>
    <xf numFmtId="0" fontId="66" fillId="0" borderId="13" xfId="28" applyBorder="1"/>
    <xf numFmtId="169" fontId="66" fillId="0" borderId="13" xfId="28" applyNumberFormat="1" applyBorder="1"/>
    <xf numFmtId="9" fontId="30" fillId="0" borderId="13" xfId="11" applyFont="1" applyBorder="1"/>
    <xf numFmtId="7" fontId="30" fillId="0" borderId="13" xfId="40" applyNumberFormat="1" applyFont="1" applyBorder="1"/>
    <xf numFmtId="171" fontId="66" fillId="0" borderId="13" xfId="28" applyNumberFormat="1" applyBorder="1"/>
    <xf numFmtId="164" fontId="66" fillId="0" borderId="13" xfId="28" applyNumberFormat="1" applyBorder="1"/>
    <xf numFmtId="7" fontId="30" fillId="0" borderId="13" xfId="40" applyNumberFormat="1" applyFont="1" applyBorder="1"/>
    <xf numFmtId="7" fontId="30" fillId="0" borderId="13" xfId="40" applyNumberFormat="1" applyFont="1" applyBorder="1"/>
    <xf numFmtId="0" fontId="66" fillId="0" borderId="13" xfId="28" applyBorder="1"/>
    <xf numFmtId="165" fontId="13" fillId="0" borderId="0" xfId="16" applyNumberFormat="1" applyFont="1"/>
    <xf numFmtId="186" fontId="13" fillId="0" borderId="0" xfId="16" applyNumberFormat="1" applyFont="1" applyBorder="1"/>
    <xf numFmtId="0" fontId="0" fillId="0" borderId="0" xfId="0"/>
    <xf numFmtId="0" fontId="0" fillId="0" borderId="0" xfId="0" applyAlignment="1">
      <alignment wrapText="1"/>
    </xf>
    <xf numFmtId="0" fontId="0" fillId="0" borderId="0" xfId="0" applyBorder="1"/>
    <xf numFmtId="0" fontId="0" fillId="23" borderId="8" xfId="0" applyFill="1" applyBorder="1"/>
    <xf numFmtId="0" fontId="105" fillId="0" borderId="0" xfId="177" applyFill="1" applyAlignment="1">
      <alignment wrapText="1"/>
    </xf>
    <xf numFmtId="165" fontId="26" fillId="0" borderId="0" xfId="9" applyNumberFormat="1" applyAlignment="1" applyProtection="1"/>
    <xf numFmtId="0" fontId="105" fillId="0" borderId="0" xfId="177" applyFill="1" applyAlignment="1">
      <alignment wrapText="1"/>
    </xf>
    <xf numFmtId="3" fontId="106" fillId="0" borderId="16" xfId="9" applyNumberFormat="1" applyFont="1" applyBorder="1" applyAlignment="1" applyProtection="1">
      <alignment horizontal="center" vertical="center" wrapText="1"/>
    </xf>
    <xf numFmtId="0" fontId="107" fillId="0" borderId="0" xfId="178"/>
    <xf numFmtId="0" fontId="107" fillId="0" borderId="0" xfId="178" applyBorder="1"/>
    <xf numFmtId="0" fontId="47" fillId="0" borderId="0" xfId="178" applyFont="1"/>
    <xf numFmtId="0" fontId="107" fillId="0" borderId="0" xfId="178" applyFill="1" applyBorder="1"/>
    <xf numFmtId="0" fontId="47" fillId="0" borderId="0" xfId="178" applyFont="1" applyFill="1" applyBorder="1"/>
    <xf numFmtId="0" fontId="20" fillId="0" borderId="0" xfId="178" applyFont="1"/>
    <xf numFmtId="0" fontId="8" fillId="0" borderId="0" xfId="178" applyFont="1"/>
    <xf numFmtId="41" fontId="13" fillId="0" borderId="0" xfId="181" applyNumberFormat="1" applyFont="1" applyFill="1" applyBorder="1" applyAlignment="1" applyProtection="1">
      <alignment horizontal="left"/>
    </xf>
    <xf numFmtId="165" fontId="20" fillId="0" borderId="0" xfId="180" applyNumberFormat="1" applyFont="1" applyFill="1"/>
    <xf numFmtId="176" fontId="20" fillId="0" borderId="0" xfId="178" applyNumberFormat="1" applyFont="1" applyFill="1" applyAlignment="1">
      <alignment horizontal="center"/>
    </xf>
    <xf numFmtId="0" fontId="13" fillId="0" borderId="0" xfId="178" applyFont="1" applyAlignment="1">
      <alignment horizontal="left"/>
    </xf>
    <xf numFmtId="9" fontId="39" fillId="0" borderId="0" xfId="182" applyFont="1" applyFill="1" applyBorder="1"/>
    <xf numFmtId="165" fontId="47" fillId="0" borderId="0" xfId="180" applyNumberFormat="1" applyFont="1" applyBorder="1"/>
    <xf numFmtId="165" fontId="107" fillId="0" borderId="0" xfId="180" applyNumberFormat="1" applyFont="1" applyFill="1" applyBorder="1"/>
    <xf numFmtId="0" fontId="20" fillId="0" borderId="0" xfId="178" applyFont="1" applyFill="1" applyBorder="1"/>
    <xf numFmtId="0" fontId="13" fillId="0" borderId="0" xfId="178" applyFont="1" applyFill="1" applyBorder="1"/>
    <xf numFmtId="165" fontId="47" fillId="0" borderId="0" xfId="180" applyNumberFormat="1" applyFont="1" applyFill="1" applyBorder="1"/>
    <xf numFmtId="3" fontId="47" fillId="0" borderId="0" xfId="180" applyNumberFormat="1" applyFont="1" applyFill="1" applyBorder="1"/>
    <xf numFmtId="0" fontId="47" fillId="0" borderId="0" xfId="178" applyFont="1" applyAlignment="1">
      <alignment horizontal="right"/>
    </xf>
    <xf numFmtId="2" fontId="13" fillId="0" borderId="0" xfId="178" applyNumberFormat="1" applyFont="1" applyFill="1" applyAlignment="1">
      <alignment horizontal="right"/>
    </xf>
    <xf numFmtId="165" fontId="107" fillId="0" borderId="0" xfId="180" applyNumberFormat="1" applyFill="1"/>
    <xf numFmtId="165" fontId="107" fillId="0" borderId="0" xfId="180" applyNumberFormat="1"/>
    <xf numFmtId="165" fontId="107" fillId="0" borderId="0" xfId="180" applyNumberFormat="1" applyBorder="1"/>
    <xf numFmtId="165" fontId="107" fillId="0" borderId="0" xfId="180" applyNumberFormat="1" applyFill="1" applyBorder="1"/>
    <xf numFmtId="3" fontId="107" fillId="0" borderId="0" xfId="180" applyNumberFormat="1" applyFill="1" applyBorder="1"/>
    <xf numFmtId="0" fontId="107" fillId="0" borderId="0" xfId="178" applyAlignment="1">
      <alignment horizontal="right"/>
    </xf>
    <xf numFmtId="165" fontId="47" fillId="0" borderId="0" xfId="178" applyNumberFormat="1" applyFont="1" applyBorder="1"/>
    <xf numFmtId="42" fontId="43" fillId="0" borderId="51" xfId="182" applyNumberFormat="1" applyFont="1" applyFill="1" applyBorder="1"/>
    <xf numFmtId="9" fontId="39" fillId="0" borderId="51" xfId="182" applyFont="1" applyFill="1" applyBorder="1"/>
    <xf numFmtId="0" fontId="107" fillId="0" borderId="32" xfId="178" applyBorder="1"/>
    <xf numFmtId="165" fontId="20" fillId="0" borderId="51" xfId="180" applyNumberFormat="1" applyFont="1" applyFill="1" applyBorder="1"/>
    <xf numFmtId="176" fontId="20" fillId="0" borderId="51" xfId="178" applyNumberFormat="1" applyFont="1" applyFill="1" applyBorder="1" applyAlignment="1">
      <alignment horizontal="center"/>
    </xf>
    <xf numFmtId="42" fontId="107" fillId="0" borderId="51" xfId="178" applyNumberFormat="1" applyBorder="1"/>
    <xf numFmtId="165" fontId="47" fillId="0" borderId="51" xfId="180" applyNumberFormat="1" applyFont="1" applyFill="1" applyBorder="1"/>
    <xf numFmtId="165" fontId="47" fillId="0" borderId="51" xfId="180" applyNumberFormat="1" applyFont="1" applyBorder="1"/>
    <xf numFmtId="0" fontId="107" fillId="0" borderId="53" xfId="178" applyBorder="1"/>
    <xf numFmtId="165" fontId="107" fillId="0" borderId="51" xfId="180" applyNumberFormat="1" applyFill="1" applyBorder="1"/>
    <xf numFmtId="165" fontId="107" fillId="0" borderId="32" xfId="180" applyNumberFormat="1" applyFill="1" applyBorder="1"/>
    <xf numFmtId="165" fontId="107" fillId="0" borderId="51" xfId="180" applyNumberFormat="1" applyBorder="1"/>
    <xf numFmtId="165" fontId="107" fillId="0" borderId="32" xfId="180" applyNumberFormat="1" applyBorder="1"/>
    <xf numFmtId="3" fontId="47" fillId="0" borderId="8" xfId="180" applyNumberFormat="1" applyFont="1" applyFill="1" applyBorder="1"/>
    <xf numFmtId="3" fontId="47" fillId="0" borderId="5" xfId="180" applyNumberFormat="1" applyFont="1" applyFill="1" applyBorder="1"/>
    <xf numFmtId="165" fontId="107" fillId="0" borderId="32" xfId="178" applyNumberFormat="1" applyBorder="1"/>
    <xf numFmtId="0" fontId="107" fillId="0" borderId="51" xfId="178" applyBorder="1"/>
    <xf numFmtId="0" fontId="49" fillId="0" borderId="0" xfId="178" applyFont="1" applyAlignment="1">
      <alignment horizontal="center"/>
    </xf>
    <xf numFmtId="165" fontId="107" fillId="0" borderId="0" xfId="178" applyNumberFormat="1" applyBorder="1"/>
    <xf numFmtId="42" fontId="47" fillId="0" borderId="0" xfId="178" applyNumberFormat="1" applyFont="1" applyBorder="1"/>
    <xf numFmtId="9" fontId="20" fillId="0" borderId="0" xfId="182" applyFont="1" applyFill="1" applyBorder="1"/>
    <xf numFmtId="181" fontId="108" fillId="0" borderId="0" xfId="178" applyNumberFormat="1" applyFont="1" applyBorder="1"/>
    <xf numFmtId="42" fontId="108" fillId="0" borderId="32" xfId="178" applyNumberFormat="1" applyFont="1" applyBorder="1"/>
    <xf numFmtId="0" fontId="107" fillId="0" borderId="0" xfId="178" applyAlignment="1">
      <alignment horizontal="left" indent="1"/>
    </xf>
    <xf numFmtId="3" fontId="16" fillId="0" borderId="0" xfId="180" applyNumberFormat="1" applyFont="1" applyFill="1" applyBorder="1"/>
    <xf numFmtId="165" fontId="16" fillId="0" borderId="0" xfId="180" applyNumberFormat="1" applyFont="1" applyFill="1" applyBorder="1"/>
    <xf numFmtId="0" fontId="107" fillId="0" borderId="0" xfId="178" applyAlignment="1">
      <alignment horizontal="left" indent="2"/>
    </xf>
    <xf numFmtId="0" fontId="16" fillId="0" borderId="0" xfId="178" applyFont="1" applyBorder="1" applyAlignment="1">
      <alignment horizontal="left" indent="1"/>
    </xf>
    <xf numFmtId="42" fontId="16" fillId="0" borderId="32" xfId="178" applyNumberFormat="1" applyFont="1" applyBorder="1"/>
    <xf numFmtId="165" fontId="47" fillId="2" borderId="38" xfId="180" applyNumberFormat="1" applyFont="1" applyFill="1" applyBorder="1"/>
    <xf numFmtId="165" fontId="107" fillId="0" borderId="34" xfId="180" applyNumberFormat="1" applyFill="1" applyBorder="1"/>
    <xf numFmtId="165" fontId="107" fillId="0" borderId="2" xfId="180" applyNumberFormat="1" applyFill="1" applyBorder="1"/>
    <xf numFmtId="165" fontId="107" fillId="0" borderId="35" xfId="180" applyNumberFormat="1" applyFill="1" applyBorder="1"/>
    <xf numFmtId="42" fontId="20" fillId="0" borderId="51" xfId="182" applyNumberFormat="1" applyFont="1" applyFill="1" applyBorder="1"/>
    <xf numFmtId="0" fontId="16" fillId="0" borderId="0" xfId="178" applyFont="1" applyFill="1" applyBorder="1" applyAlignment="1">
      <alignment horizontal="left" indent="2"/>
    </xf>
    <xf numFmtId="0" fontId="107" fillId="0" borderId="52" xfId="178" applyBorder="1"/>
    <xf numFmtId="0" fontId="107" fillId="0" borderId="50" xfId="178" applyBorder="1"/>
    <xf numFmtId="3" fontId="47" fillId="0" borderId="51" xfId="180" applyNumberFormat="1" applyFont="1" applyFill="1" applyBorder="1"/>
    <xf numFmtId="3" fontId="47" fillId="0" borderId="32" xfId="180" applyNumberFormat="1" applyFont="1" applyFill="1" applyBorder="1"/>
    <xf numFmtId="3" fontId="16" fillId="0" borderId="51" xfId="180" applyNumberFormat="1" applyFont="1" applyFill="1" applyBorder="1"/>
    <xf numFmtId="3" fontId="16" fillId="0" borderId="32" xfId="180" applyNumberFormat="1" applyFont="1" applyFill="1" applyBorder="1"/>
    <xf numFmtId="3" fontId="16" fillId="0" borderId="34" xfId="180" applyNumberFormat="1" applyFont="1" applyFill="1" applyBorder="1"/>
    <xf numFmtId="3" fontId="16" fillId="0" borderId="2" xfId="180" applyNumberFormat="1" applyFont="1" applyFill="1" applyBorder="1"/>
    <xf numFmtId="165" fontId="13" fillId="0" borderId="51" xfId="180" applyNumberFormat="1" applyFont="1" applyBorder="1"/>
    <xf numFmtId="165" fontId="44" fillId="0" borderId="0" xfId="0" applyNumberFormat="1" applyFont="1"/>
    <xf numFmtId="165" fontId="16" fillId="0" borderId="51" xfId="22" applyNumberFormat="1" applyFont="1" applyFill="1" applyBorder="1"/>
    <xf numFmtId="165" fontId="16" fillId="0" borderId="0" xfId="3" applyNumberFormat="1" applyBorder="1"/>
    <xf numFmtId="165" fontId="16" fillId="0" borderId="0" xfId="3" applyNumberFormat="1" applyFont="1" applyBorder="1"/>
    <xf numFmtId="0" fontId="1" fillId="0" borderId="0" xfId="3" applyFont="1" applyBorder="1" applyAlignment="1">
      <alignment horizontal="left" indent="2"/>
    </xf>
    <xf numFmtId="3" fontId="16" fillId="0" borderId="0" xfId="3" applyNumberFormat="1" applyBorder="1"/>
    <xf numFmtId="49" fontId="46" fillId="0" borderId="0" xfId="3" applyNumberFormat="1" applyFont="1" applyFill="1" applyBorder="1" applyAlignment="1">
      <alignment horizontal="left" vertical="center"/>
    </xf>
    <xf numFmtId="165" fontId="16" fillId="0" borderId="0" xfId="22" applyNumberFormat="1"/>
    <xf numFmtId="165" fontId="16" fillId="0" borderId="0" xfId="22" applyNumberFormat="1" applyFill="1" applyBorder="1"/>
    <xf numFmtId="165" fontId="16" fillId="0" borderId="51" xfId="22" applyNumberFormat="1" applyFont="1" applyFill="1" applyBorder="1"/>
    <xf numFmtId="165" fontId="16" fillId="0" borderId="51" xfId="22" applyNumberFormat="1" applyFill="1" applyBorder="1"/>
    <xf numFmtId="165" fontId="16" fillId="0" borderId="32" xfId="22" applyNumberFormat="1" applyFill="1" applyBorder="1"/>
    <xf numFmtId="0" fontId="16" fillId="0" borderId="0" xfId="3" applyFill="1" applyBorder="1"/>
    <xf numFmtId="165" fontId="16" fillId="0" borderId="0" xfId="22" applyNumberFormat="1" applyFont="1" applyFill="1" applyBorder="1"/>
    <xf numFmtId="3" fontId="16" fillId="0" borderId="0" xfId="22" applyNumberFormat="1" applyFill="1" applyBorder="1"/>
    <xf numFmtId="165" fontId="16" fillId="0" borderId="32" xfId="22" applyNumberFormat="1" applyFill="1" applyBorder="1"/>
    <xf numFmtId="165" fontId="16" fillId="0" borderId="32" xfId="3" applyNumberFormat="1" applyBorder="1"/>
    <xf numFmtId="3" fontId="16" fillId="0" borderId="51" xfId="22" applyNumberFormat="1" applyFill="1" applyBorder="1"/>
    <xf numFmtId="3" fontId="16" fillId="0" borderId="32" xfId="22" applyNumberFormat="1" applyFill="1" applyBorder="1"/>
    <xf numFmtId="0" fontId="16" fillId="0" borderId="0" xfId="3" applyAlignment="1">
      <alignment horizontal="left" indent="2"/>
    </xf>
    <xf numFmtId="0" fontId="13" fillId="0" borderId="0" xfId="3" applyFont="1" applyFill="1" applyBorder="1" applyAlignment="1">
      <alignment horizontal="left" indent="2"/>
    </xf>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169" fontId="66" fillId="0" borderId="13" xfId="28" applyNumberFormat="1" applyFill="1" applyBorder="1" applyAlignment="1">
      <alignment horizontal="right"/>
    </xf>
    <xf numFmtId="169" fontId="66" fillId="0" borderId="7" xfId="28" applyNumberFormat="1" applyBorder="1" applyAlignment="1">
      <alignment horizontal="right"/>
    </xf>
    <xf numFmtId="10" fontId="0" fillId="0" borderId="0" xfId="8" applyNumberFormat="1" applyFont="1"/>
    <xf numFmtId="37" fontId="0" fillId="0" borderId="55" xfId="0" quotePrefix="1" applyNumberFormat="1" applyFill="1" applyBorder="1" applyAlignment="1" applyProtection="1">
      <alignment horizontal="right"/>
    </xf>
    <xf numFmtId="0" fontId="66" fillId="0" borderId="7" xfId="28" applyBorder="1"/>
    <xf numFmtId="7" fontId="30" fillId="0" borderId="13" xfId="40" applyNumberFormat="1" applyFont="1" applyBorder="1"/>
    <xf numFmtId="171" fontId="66" fillId="0" borderId="13" xfId="28" applyNumberFormat="1" applyBorder="1"/>
    <xf numFmtId="2" fontId="34" fillId="0" borderId="13" xfId="28" applyNumberFormat="1" applyFont="1" applyBorder="1" applyAlignment="1">
      <alignment horizontal="center"/>
    </xf>
    <xf numFmtId="164" fontId="66" fillId="0" borderId="13" xfId="28" applyNumberFormat="1" applyBorder="1"/>
    <xf numFmtId="10" fontId="30" fillId="0" borderId="13" xfId="11" applyNumberFormat="1" applyFont="1" applyBorder="1"/>
    <xf numFmtId="0" fontId="66" fillId="11" borderId="13" xfId="28" applyFill="1" applyBorder="1"/>
    <xf numFmtId="0" fontId="66" fillId="11" borderId="7" xfId="28" applyFill="1" applyBorder="1"/>
    <xf numFmtId="169" fontId="66" fillId="11" borderId="13" xfId="28" applyNumberFormat="1" applyFill="1" applyBorder="1"/>
    <xf numFmtId="0" fontId="66" fillId="11" borderId="7" xfId="28" applyFill="1" applyBorder="1" applyAlignment="1">
      <alignment horizontal="right"/>
    </xf>
    <xf numFmtId="0" fontId="66" fillId="11" borderId="13" xfId="28" applyFill="1" applyBorder="1" applyAlignment="1">
      <alignment horizontal="right"/>
    </xf>
    <xf numFmtId="169" fontId="66" fillId="0" borderId="13" xfId="28" applyNumberFormat="1" applyFill="1" applyBorder="1"/>
    <xf numFmtId="0" fontId="66" fillId="11" borderId="13" xfId="28" applyFill="1" applyBorder="1"/>
    <xf numFmtId="1" fontId="66" fillId="11" borderId="7" xfId="28" applyNumberFormat="1" applyFill="1" applyBorder="1"/>
    <xf numFmtId="1" fontId="66" fillId="11" borderId="13" xfId="28" applyNumberFormat="1" applyFill="1" applyBorder="1"/>
    <xf numFmtId="0" fontId="66" fillId="0" borderId="13" xfId="28" applyFill="1" applyBorder="1"/>
    <xf numFmtId="1" fontId="66" fillId="0" borderId="13" xfId="28" applyNumberFormat="1" applyFill="1" applyBorder="1"/>
    <xf numFmtId="7" fontId="30" fillId="0" borderId="13" xfId="40" applyNumberFormat="1" applyFont="1" applyBorder="1"/>
    <xf numFmtId="7" fontId="38" fillId="0" borderId="13" xfId="40" applyNumberFormat="1" applyFont="1" applyBorder="1"/>
    <xf numFmtId="7" fontId="30" fillId="0" borderId="13" xfId="40" applyNumberFormat="1" applyFont="1" applyBorder="1"/>
    <xf numFmtId="0" fontId="66" fillId="11" borderId="7" xfId="28" applyFill="1" applyBorder="1"/>
    <xf numFmtId="10" fontId="30" fillId="0" borderId="13" xfId="11" applyNumberFormat="1" applyFont="1" applyFill="1" applyBorder="1"/>
    <xf numFmtId="0" fontId="66" fillId="11" borderId="13" xfId="28" applyFill="1" applyBorder="1"/>
    <xf numFmtId="169" fontId="66" fillId="0" borderId="13" xfId="28" applyNumberFormat="1" applyBorder="1" applyAlignment="1">
      <alignment horizontal="right"/>
    </xf>
    <xf numFmtId="169" fontId="66" fillId="0" borderId="13" xfId="28" applyNumberFormat="1" applyBorder="1" applyAlignment="1">
      <alignment horizontal="right"/>
    </xf>
    <xf numFmtId="7" fontId="30" fillId="0" borderId="13" xfId="40" applyNumberFormat="1" applyFont="1" applyBorder="1"/>
    <xf numFmtId="0" fontId="66" fillId="11" borderId="8" xfId="28" applyFill="1" applyBorder="1"/>
    <xf numFmtId="0" fontId="66" fillId="11" borderId="10" xfId="28" applyFill="1" applyBorder="1"/>
    <xf numFmtId="0" fontId="66" fillId="11" borderId="5" xfId="28" applyFill="1" applyBorder="1"/>
    <xf numFmtId="175" fontId="66" fillId="0" borderId="35" xfId="28" applyNumberFormat="1" applyBorder="1"/>
    <xf numFmtId="0" fontId="66" fillId="0" borderId="13" xfId="28" applyBorder="1"/>
    <xf numFmtId="0" fontId="66" fillId="0" borderId="13" xfId="28" applyBorder="1"/>
    <xf numFmtId="1" fontId="29" fillId="0" borderId="13" xfId="28" applyNumberFormat="1" applyFont="1" applyBorder="1"/>
    <xf numFmtId="168" fontId="30" fillId="0" borderId="13" xfId="30" applyNumberFormat="1" applyFont="1" applyBorder="1"/>
    <xf numFmtId="169" fontId="66" fillId="0" borderId="7" xfId="28" applyNumberFormat="1" applyBorder="1" applyAlignment="1">
      <alignment horizontal="right"/>
    </xf>
    <xf numFmtId="164" fontId="66" fillId="0" borderId="7" xfId="28" applyNumberFormat="1" applyBorder="1" applyAlignment="1">
      <alignment horizontal="right"/>
    </xf>
    <xf numFmtId="7" fontId="30" fillId="0" borderId="13" xfId="40" applyNumberFormat="1" applyFont="1" applyBorder="1"/>
    <xf numFmtId="0" fontId="29" fillId="0" borderId="13" xfId="28" applyFont="1" applyBorder="1"/>
    <xf numFmtId="168" fontId="30" fillId="0" borderId="13" xfId="30" applyNumberFormat="1" applyFont="1" applyBorder="1"/>
    <xf numFmtId="0" fontId="66" fillId="0" borderId="13" xfId="28" applyFill="1" applyBorder="1"/>
    <xf numFmtId="6" fontId="66" fillId="0" borderId="7" xfId="28" applyNumberFormat="1" applyBorder="1" applyAlignment="1">
      <alignment horizontal="right"/>
    </xf>
    <xf numFmtId="164" fontId="66" fillId="0" borderId="7" xfId="28" applyNumberFormat="1" applyBorder="1" applyAlignment="1">
      <alignment horizontal="right"/>
    </xf>
    <xf numFmtId="0" fontId="28" fillId="0" borderId="16" xfId="28" applyFont="1" applyBorder="1" applyAlignment="1">
      <alignment horizontal="center"/>
    </xf>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8" fillId="0" borderId="38" xfId="28" applyFont="1" applyBorder="1" applyAlignment="1">
      <alignment horizontal="center"/>
    </xf>
    <xf numFmtId="0" fontId="29" fillId="0" borderId="0" xfId="28" applyFont="1"/>
    <xf numFmtId="0" fontId="66" fillId="0" borderId="7" xfId="28" applyBorder="1" applyAlignment="1">
      <alignment horizontal="left" indent="2"/>
    </xf>
    <xf numFmtId="0" fontId="66" fillId="0" borderId="13" xfId="28" applyBorder="1" applyAlignment="1">
      <alignment horizontal="left" indent="2"/>
    </xf>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169" fontId="29" fillId="0" borderId="0" xfId="28" applyNumberFormat="1" applyFont="1" applyAlignment="1">
      <alignment horizontal="right"/>
    </xf>
    <xf numFmtId="0" fontId="29" fillId="4" borderId="21" xfId="28" applyFont="1" applyFill="1" applyBorder="1"/>
    <xf numFmtId="169" fontId="66" fillId="4" borderId="22" xfId="28" applyNumberFormat="1" applyFill="1" applyBorder="1" applyAlignment="1">
      <alignment horizontal="right"/>
    </xf>
    <xf numFmtId="169" fontId="66" fillId="4" borderId="23" xfId="28" applyNumberFormat="1" applyFill="1" applyBorder="1" applyAlignment="1">
      <alignment horizontal="right"/>
    </xf>
    <xf numFmtId="164" fontId="29" fillId="4" borderId="21" xfId="28" applyNumberFormat="1" applyFont="1" applyFill="1" applyBorder="1"/>
    <xf numFmtId="164" fontId="66" fillId="0" borderId="13" xfId="28" applyNumberFormat="1" applyBorder="1" applyAlignment="1">
      <alignment horizontal="left" indent="2"/>
    </xf>
    <xf numFmtId="164" fontId="66" fillId="0" borderId="7" xfId="28" applyNumberFormat="1" applyBorder="1" applyAlignment="1">
      <alignment horizontal="left" indent="2"/>
    </xf>
    <xf numFmtId="0" fontId="66" fillId="0" borderId="7" xfId="28" applyBorder="1" applyAlignment="1">
      <alignment horizontal="left" indent="2"/>
    </xf>
    <xf numFmtId="169" fontId="66" fillId="0" borderId="13" xfId="28" applyNumberFormat="1" applyBorder="1" applyAlignment="1">
      <alignment horizontal="right"/>
    </xf>
    <xf numFmtId="169" fontId="29" fillId="0" borderId="0" xfId="28" applyNumberFormat="1" applyFont="1" applyAlignment="1">
      <alignment horizontal="right"/>
    </xf>
    <xf numFmtId="169" fontId="66" fillId="4" borderId="23" xfId="28" applyNumberFormat="1" applyFill="1" applyBorder="1" applyAlignment="1">
      <alignment horizontal="right"/>
    </xf>
    <xf numFmtId="0" fontId="66" fillId="0" borderId="7" xfId="28" applyBorder="1" applyAlignment="1">
      <alignment horizontal="left" indent="2"/>
    </xf>
    <xf numFmtId="169" fontId="66" fillId="0" borderId="7" xfId="28" applyNumberFormat="1" applyBorder="1" applyAlignment="1">
      <alignment horizontal="right"/>
    </xf>
    <xf numFmtId="0" fontId="66" fillId="0" borderId="7" xfId="28" applyBorder="1" applyAlignment="1">
      <alignment horizontal="left" indent="2"/>
    </xf>
    <xf numFmtId="169" fontId="66" fillId="0" borderId="7" xfId="28" applyNumberFormat="1" applyBorder="1" applyAlignment="1">
      <alignment horizontal="right"/>
    </xf>
    <xf numFmtId="0" fontId="66" fillId="0" borderId="7" xfId="28" applyBorder="1" applyAlignment="1">
      <alignment horizontal="left" indent="2"/>
    </xf>
    <xf numFmtId="169" fontId="66" fillId="0" borderId="13" xfId="28" applyNumberFormat="1" applyBorder="1" applyAlignment="1">
      <alignment horizontal="right"/>
    </xf>
    <xf numFmtId="169" fontId="66" fillId="0" borderId="7" xfId="28" applyNumberFormat="1" applyBorder="1" applyAlignment="1">
      <alignment horizontal="right"/>
    </xf>
    <xf numFmtId="169" fontId="29" fillId="0" borderId="0" xfId="28" applyNumberFormat="1" applyFont="1" applyAlignment="1">
      <alignment horizontal="right"/>
    </xf>
    <xf numFmtId="169" fontId="66" fillId="4" borderId="22" xfId="28" applyNumberFormat="1" applyFill="1" applyBorder="1" applyAlignment="1">
      <alignment horizontal="right"/>
    </xf>
    <xf numFmtId="0" fontId="109" fillId="0" borderId="7" xfId="28" applyFont="1" applyBorder="1" applyAlignment="1">
      <alignment horizontal="left" indent="2"/>
    </xf>
    <xf numFmtId="0" fontId="66" fillId="0" borderId="7" xfId="28" applyBorder="1" applyAlignment="1">
      <alignment horizontal="left" indent="2"/>
    </xf>
    <xf numFmtId="169" fontId="66" fillId="0" borderId="7" xfId="28" applyNumberFormat="1" applyBorder="1" applyAlignment="1">
      <alignment horizontal="right"/>
    </xf>
    <xf numFmtId="169" fontId="66" fillId="4" borderId="22" xfId="28" applyNumberFormat="1" applyFill="1" applyBorder="1" applyAlignment="1">
      <alignment horizontal="right"/>
    </xf>
    <xf numFmtId="0" fontId="66" fillId="0" borderId="7" xfId="28" applyBorder="1" applyAlignment="1">
      <alignment horizontal="left" indent="2"/>
    </xf>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4" borderId="22" xfId="28" applyNumberFormat="1" applyFill="1" applyBorder="1" applyAlignment="1">
      <alignment horizontal="right"/>
    </xf>
    <xf numFmtId="0" fontId="66" fillId="0" borderId="7" xfId="28" applyBorder="1" applyAlignment="1">
      <alignment horizontal="left" indent="2"/>
    </xf>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4" borderId="22" xfId="28" applyNumberFormat="1" applyFill="1" applyBorder="1" applyAlignment="1">
      <alignment horizontal="right"/>
    </xf>
    <xf numFmtId="0" fontId="109" fillId="0" borderId="7" xfId="28" applyFont="1" applyBorder="1" applyAlignment="1">
      <alignment horizontal="left" indent="2"/>
    </xf>
    <xf numFmtId="164" fontId="66" fillId="0" borderId="32" xfId="28" applyNumberFormat="1" applyBorder="1" applyAlignment="1">
      <alignment horizontal="left" indent="2"/>
    </xf>
    <xf numFmtId="0" fontId="66" fillId="0" borderId="32" xfId="28" applyBorder="1" applyAlignment="1">
      <alignment horizontal="left" indent="2"/>
    </xf>
    <xf numFmtId="169" fontId="66" fillId="0" borderId="51" xfId="28" applyNumberFormat="1" applyBorder="1" applyAlignment="1">
      <alignment horizontal="right"/>
    </xf>
    <xf numFmtId="174" fontId="29" fillId="4" borderId="27" xfId="28" applyNumberFormat="1" applyFont="1" applyFill="1" applyBorder="1" applyAlignment="1">
      <alignment horizontal="right"/>
    </xf>
    <xf numFmtId="174" fontId="29" fillId="0" borderId="29" xfId="28" applyNumberFormat="1" applyFont="1" applyBorder="1" applyAlignment="1">
      <alignment horizontal="right"/>
    </xf>
    <xf numFmtId="174" fontId="29" fillId="0" borderId="42" xfId="28" applyNumberFormat="1" applyFont="1" applyBorder="1" applyAlignment="1">
      <alignment horizontal="right"/>
    </xf>
    <xf numFmtId="0" fontId="0" fillId="0" borderId="7" xfId="0" applyFill="1" applyBorder="1"/>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8" fillId="0" borderId="16" xfId="28" applyFont="1" applyBorder="1" applyAlignment="1">
      <alignment horizontal="center"/>
    </xf>
    <xf numFmtId="0" fontId="28" fillId="0" borderId="38" xfId="28" applyFont="1" applyBorder="1" applyAlignment="1">
      <alignment horizontal="center"/>
    </xf>
    <xf numFmtId="165" fontId="0" fillId="0" borderId="51" xfId="182" applyNumberFormat="1" applyFont="1" applyFill="1" applyBorder="1"/>
    <xf numFmtId="42" fontId="47" fillId="0" borderId="51" xfId="0" applyNumberFormat="1" applyFont="1" applyBorder="1"/>
    <xf numFmtId="42" fontId="47" fillId="0" borderId="0" xfId="0" applyNumberFormat="1" applyFont="1" applyBorder="1"/>
    <xf numFmtId="3" fontId="0" fillId="0" borderId="51" xfId="180" applyNumberFormat="1" applyFont="1" applyFill="1" applyBorder="1"/>
    <xf numFmtId="3" fontId="107" fillId="0" borderId="51" xfId="180" applyNumberFormat="1" applyFont="1" applyFill="1" applyBorder="1"/>
    <xf numFmtId="3" fontId="107" fillId="0" borderId="34" xfId="0" applyNumberFormat="1" applyFont="1" applyBorder="1"/>
    <xf numFmtId="165" fontId="48" fillId="2" borderId="18" xfId="20" applyNumberFormat="1" applyFont="1" applyFill="1" applyBorder="1"/>
    <xf numFmtId="42" fontId="13" fillId="0" borderId="51" xfId="182" applyNumberFormat="1" applyFont="1" applyFill="1" applyBorder="1"/>
    <xf numFmtId="0" fontId="0" fillId="0" borderId="52" xfId="0" applyBorder="1"/>
    <xf numFmtId="42" fontId="21" fillId="0" borderId="19" xfId="0" applyNumberFormat="1" applyFont="1" applyBorder="1" applyAlignment="1">
      <alignment horizontal="center" vertical="center" wrapText="1"/>
    </xf>
    <xf numFmtId="3" fontId="21" fillId="16" borderId="37" xfId="0" applyNumberFormat="1" applyFont="1" applyFill="1" applyBorder="1"/>
    <xf numFmtId="165" fontId="6" fillId="0" borderId="100" xfId="1" applyNumberFormat="1" applyFont="1" applyFill="1" applyBorder="1" applyProtection="1"/>
    <xf numFmtId="165" fontId="0" fillId="21" borderId="100" xfId="1" applyNumberFormat="1" applyFont="1" applyFill="1" applyBorder="1" applyProtection="1"/>
    <xf numFmtId="165" fontId="0" fillId="0" borderId="100" xfId="1" applyNumberFormat="1" applyFont="1" applyFill="1" applyBorder="1" applyProtection="1"/>
    <xf numFmtId="165" fontId="5" fillId="0" borderId="101" xfId="1" applyNumberFormat="1" applyFont="1" applyFill="1" applyBorder="1" applyProtection="1"/>
    <xf numFmtId="42" fontId="1" fillId="0" borderId="99" xfId="0" applyNumberFormat="1" applyFont="1" applyFill="1" applyBorder="1" applyProtection="1"/>
    <xf numFmtId="3" fontId="25" fillId="17" borderId="101" xfId="0" applyNumberFormat="1" applyFont="1" applyFill="1" applyBorder="1" applyProtection="1"/>
    <xf numFmtId="165" fontId="1" fillId="0" borderId="102" xfId="1" applyNumberFormat="1" applyFont="1" applyFill="1" applyBorder="1" applyProtection="1"/>
    <xf numFmtId="165" fontId="1" fillId="0" borderId="103" xfId="1" applyNumberFormat="1" applyFont="1" applyFill="1" applyBorder="1" applyProtection="1"/>
    <xf numFmtId="165" fontId="1" fillId="0" borderId="100" xfId="1" applyNumberFormat="1" applyFont="1" applyFill="1" applyBorder="1" applyProtection="1"/>
    <xf numFmtId="42" fontId="5" fillId="0" borderId="101" xfId="0" applyNumberFormat="1" applyFont="1" applyBorder="1" applyProtection="1"/>
    <xf numFmtId="3" fontId="25" fillId="18" borderId="101" xfId="0" applyNumberFormat="1" applyFont="1" applyFill="1" applyBorder="1" applyProtection="1"/>
    <xf numFmtId="42" fontId="1" fillId="0" borderId="99" xfId="0" applyNumberFormat="1" applyFont="1" applyBorder="1" applyProtection="1"/>
    <xf numFmtId="42" fontId="1" fillId="0" borderId="104" xfId="0" applyNumberFormat="1" applyFont="1" applyBorder="1" applyProtection="1"/>
    <xf numFmtId="3" fontId="75" fillId="19" borderId="105" xfId="0" applyNumberFormat="1" applyFont="1" applyFill="1" applyBorder="1" applyProtection="1"/>
    <xf numFmtId="3" fontId="25" fillId="15" borderId="101" xfId="0" applyNumberFormat="1" applyFont="1" applyFill="1" applyBorder="1" applyProtection="1"/>
    <xf numFmtId="42" fontId="5" fillId="4" borderId="101" xfId="0" applyNumberFormat="1" applyFont="1" applyFill="1" applyBorder="1" applyProtection="1"/>
    <xf numFmtId="3" fontId="25" fillId="20" borderId="101" xfId="0" applyNumberFormat="1" applyFont="1" applyFill="1" applyBorder="1" applyProtection="1"/>
    <xf numFmtId="165" fontId="5" fillId="0" borderId="49" xfId="1" applyNumberFormat="1" applyFont="1" applyFill="1" applyBorder="1" applyProtection="1"/>
    <xf numFmtId="0" fontId="28" fillId="0" borderId="0" xfId="28" applyFont="1" applyBorder="1" applyAlignment="1">
      <alignment horizontal="center"/>
    </xf>
    <xf numFmtId="0" fontId="66" fillId="0" borderId="16" xfId="28" applyBorder="1"/>
    <xf numFmtId="0" fontId="66" fillId="0" borderId="7" xfId="28" applyBorder="1" applyAlignment="1">
      <alignment horizontal="left" indent="2"/>
    </xf>
    <xf numFmtId="0" fontId="66" fillId="0" borderId="0" xfId="28"/>
    <xf numFmtId="0" fontId="66" fillId="0" borderId="7" xfId="28" applyBorder="1" applyAlignment="1">
      <alignment horizontal="left" indent="2"/>
    </xf>
    <xf numFmtId="0" fontId="66" fillId="0" borderId="7" xfId="28" applyBorder="1" applyAlignment="1">
      <alignment horizontal="left" indent="2"/>
    </xf>
    <xf numFmtId="169" fontId="29" fillId="0" borderId="0" xfId="28" applyNumberFormat="1" applyFont="1" applyAlignment="1">
      <alignment horizontal="right"/>
    </xf>
    <xf numFmtId="0" fontId="66" fillId="0" borderId="7" xfId="28" applyBorder="1" applyAlignment="1">
      <alignment horizontal="left" indent="2"/>
    </xf>
    <xf numFmtId="169" fontId="66" fillId="0" borderId="7" xfId="28" applyNumberFormat="1" applyBorder="1" applyAlignment="1">
      <alignment horizontal="right"/>
    </xf>
    <xf numFmtId="0" fontId="66" fillId="0" borderId="0" xfId="28" applyBorder="1"/>
    <xf numFmtId="164" fontId="66" fillId="0" borderId="7" xfId="28" applyNumberFormat="1" applyBorder="1" applyAlignment="1">
      <alignment horizontal="left" indent="2"/>
    </xf>
    <xf numFmtId="169" fontId="66" fillId="0" borderId="12" xfId="28" applyNumberFormat="1" applyBorder="1" applyAlignment="1">
      <alignment horizontal="right"/>
    </xf>
    <xf numFmtId="0" fontId="110" fillId="0" borderId="0" xfId="28" applyFont="1" applyAlignment="1">
      <alignment horizontal="left"/>
    </xf>
    <xf numFmtId="0" fontId="66" fillId="0" borderId="7" xfId="28" applyBorder="1" applyAlignment="1">
      <alignment horizontal="left" indent="2"/>
    </xf>
    <xf numFmtId="169" fontId="66" fillId="0" borderId="13" xfId="28" applyNumberFormat="1" applyBorder="1" applyAlignment="1">
      <alignment horizontal="right"/>
    </xf>
    <xf numFmtId="169" fontId="66" fillId="0" borderId="7" xfId="28" applyNumberFormat="1" applyBorder="1" applyAlignment="1">
      <alignment horizontal="right"/>
    </xf>
    <xf numFmtId="0" fontId="66" fillId="0" borderId="7" xfId="28" applyBorder="1" applyAlignment="1">
      <alignment horizontal="left" indent="2"/>
    </xf>
    <xf numFmtId="0" fontId="66" fillId="0" borderId="7" xfId="28" applyBorder="1" applyAlignment="1">
      <alignment horizontal="left" indent="2"/>
    </xf>
    <xf numFmtId="169" fontId="66" fillId="0" borderId="13" xfId="28" applyNumberFormat="1" applyBorder="1" applyAlignment="1">
      <alignment horizontal="right"/>
    </xf>
    <xf numFmtId="169" fontId="29" fillId="0" borderId="0" xfId="28" applyNumberFormat="1" applyFont="1" applyAlignment="1">
      <alignment horizontal="right"/>
    </xf>
    <xf numFmtId="169" fontId="66" fillId="4" borderId="22" xfId="28" applyNumberFormat="1" applyFill="1" applyBorder="1" applyAlignment="1">
      <alignment horizontal="right"/>
    </xf>
    <xf numFmtId="0" fontId="66" fillId="0" borderId="7" xfId="28" applyBorder="1" applyAlignment="1">
      <alignment horizontal="left" indent="2"/>
    </xf>
    <xf numFmtId="0" fontId="66" fillId="0" borderId="0" xfId="28"/>
    <xf numFmtId="0" fontId="66" fillId="0" borderId="7" xfId="28" applyBorder="1" applyAlignment="1">
      <alignment horizontal="left" indent="2"/>
    </xf>
    <xf numFmtId="169" fontId="66" fillId="0" borderId="7" xfId="28" applyNumberFormat="1" applyBorder="1" applyAlignment="1">
      <alignment horizontal="right"/>
    </xf>
    <xf numFmtId="0" fontId="66" fillId="0" borderId="0" xfId="28" applyBorder="1"/>
    <xf numFmtId="169" fontId="66" fillId="0" borderId="12" xfId="28" applyNumberFormat="1" applyBorder="1" applyAlignment="1">
      <alignment horizontal="right"/>
    </xf>
    <xf numFmtId="169" fontId="66" fillId="0" borderId="13" xfId="28" applyNumberFormat="1" applyBorder="1" applyAlignment="1">
      <alignment horizontal="right"/>
    </xf>
    <xf numFmtId="169" fontId="29" fillId="0" borderId="0" xfId="28" applyNumberFormat="1" applyFont="1" applyAlignment="1">
      <alignment horizontal="right"/>
    </xf>
    <xf numFmtId="169" fontId="66" fillId="4" borderId="22" xfId="28" applyNumberFormat="1" applyFill="1" applyBorder="1" applyAlignment="1">
      <alignment horizontal="right"/>
    </xf>
    <xf numFmtId="169" fontId="66" fillId="4" borderId="23" xfId="28" applyNumberFormat="1" applyFill="1" applyBorder="1" applyAlignment="1">
      <alignment horizontal="right"/>
    </xf>
    <xf numFmtId="0" fontId="16" fillId="0" borderId="0" xfId="185" applyNumberFormat="1" applyFont="1" applyFill="1" applyBorder="1" applyAlignment="1" applyProtection="1"/>
    <xf numFmtId="0" fontId="66" fillId="0" borderId="7" xfId="28" applyBorder="1" applyAlignment="1">
      <alignment horizontal="left" indent="2"/>
    </xf>
    <xf numFmtId="0" fontId="27" fillId="0" borderId="0" xfId="28" applyFont="1"/>
    <xf numFmtId="169" fontId="66" fillId="0" borderId="13" xfId="28" applyNumberFormat="1" applyBorder="1" applyAlignment="1">
      <alignment horizontal="right"/>
    </xf>
    <xf numFmtId="169" fontId="29" fillId="0" borderId="0" xfId="28" applyNumberFormat="1" applyFont="1" applyAlignment="1">
      <alignment horizontal="right"/>
    </xf>
    <xf numFmtId="169" fontId="66" fillId="4" borderId="22" xfId="28" applyNumberFormat="1" applyFill="1" applyBorder="1" applyAlignment="1">
      <alignment horizontal="right"/>
    </xf>
    <xf numFmtId="164" fontId="29" fillId="0" borderId="45" xfId="28" applyNumberFormat="1" applyFont="1" applyBorder="1"/>
    <xf numFmtId="0" fontId="0" fillId="0" borderId="83" xfId="0" applyBorder="1"/>
    <xf numFmtId="37" fontId="0" fillId="0" borderId="67" xfId="0" applyNumberFormat="1" applyFill="1" applyBorder="1" applyProtection="1"/>
    <xf numFmtId="0" fontId="28" fillId="0" borderId="16" xfId="28" applyFont="1" applyBorder="1" applyAlignment="1">
      <alignment horizontal="center"/>
    </xf>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8" fillId="0" borderId="38" xfId="28" applyFont="1" applyBorder="1" applyAlignment="1">
      <alignment horizontal="center"/>
    </xf>
    <xf numFmtId="165" fontId="1" fillId="0" borderId="2" xfId="1" applyNumberFormat="1" applyFont="1" applyBorder="1" applyProtection="1"/>
    <xf numFmtId="165" fontId="1" fillId="0" borderId="85" xfId="1" applyNumberFormat="1" applyFont="1" applyBorder="1" applyProtection="1"/>
    <xf numFmtId="42" fontId="78" fillId="0" borderId="2" xfId="0" applyNumberFormat="1" applyFont="1" applyBorder="1" applyProtection="1"/>
    <xf numFmtId="165" fontId="1" fillId="0" borderId="104" xfId="1" applyNumberFormat="1" applyFont="1" applyFill="1" applyBorder="1" applyProtection="1"/>
    <xf numFmtId="0" fontId="107" fillId="0" borderId="0" xfId="178"/>
    <xf numFmtId="0" fontId="8" fillId="0" borderId="0" xfId="186" applyFont="1"/>
    <xf numFmtId="3" fontId="105" fillId="0" borderId="0" xfId="186" applyNumberFormat="1"/>
    <xf numFmtId="0" fontId="105" fillId="0" borderId="0" xfId="186" applyBorder="1" applyAlignment="1">
      <alignment horizontal="left" vertical="center" wrapText="1"/>
    </xf>
    <xf numFmtId="9" fontId="105" fillId="0" borderId="0" xfId="182" applyFont="1" applyBorder="1" applyAlignment="1">
      <alignment horizontal="center" vertical="center" wrapText="1"/>
    </xf>
    <xf numFmtId="0" fontId="111" fillId="0" borderId="0" xfId="186" applyFont="1"/>
    <xf numFmtId="0" fontId="0" fillId="0" borderId="34" xfId="0" applyBorder="1"/>
    <xf numFmtId="0" fontId="0" fillId="0" borderId="28" xfId="0" applyBorder="1"/>
    <xf numFmtId="165" fontId="1" fillId="0" borderId="113" xfId="1" applyNumberFormat="1" applyFont="1" applyFill="1" applyBorder="1" applyProtection="1"/>
    <xf numFmtId="165" fontId="1" fillId="0" borderId="99" xfId="1" applyNumberFormat="1" applyFont="1" applyFill="1" applyBorder="1" applyProtection="1"/>
    <xf numFmtId="0" fontId="0" fillId="0" borderId="57" xfId="0" applyBorder="1" applyAlignment="1">
      <alignment vertical="center"/>
    </xf>
    <xf numFmtId="0" fontId="107" fillId="0" borderId="0" xfId="178"/>
    <xf numFmtId="0" fontId="8" fillId="0" borderId="0" xfId="186" applyFont="1"/>
    <xf numFmtId="165" fontId="105" fillId="0" borderId="0" xfId="186" applyNumberFormat="1"/>
    <xf numFmtId="0" fontId="105" fillId="0" borderId="47" xfId="186" applyBorder="1"/>
    <xf numFmtId="43" fontId="105" fillId="0" borderId="0" xfId="186" applyNumberFormat="1"/>
    <xf numFmtId="0" fontId="111" fillId="0" borderId="0" xfId="186" applyFont="1"/>
    <xf numFmtId="42" fontId="78" fillId="0" borderId="85" xfId="0" applyNumberFormat="1" applyFont="1" applyBorder="1" applyProtection="1"/>
    <xf numFmtId="0" fontId="0" fillId="0" borderId="68" xfId="0" applyFont="1" applyBorder="1"/>
    <xf numFmtId="0" fontId="0" fillId="0" borderId="57" xfId="0" applyFont="1" applyBorder="1"/>
    <xf numFmtId="3" fontId="112" fillId="0" borderId="56" xfId="0" applyNumberFormat="1" applyFont="1" applyBorder="1" applyProtection="1"/>
    <xf numFmtId="165" fontId="85" fillId="0" borderId="100" xfId="1" applyNumberFormat="1" applyFont="1" applyFill="1" applyBorder="1" applyProtection="1"/>
    <xf numFmtId="3" fontId="85" fillId="0" borderId="55" xfId="0" applyNumberFormat="1" applyFont="1" applyFill="1" applyBorder="1" applyProtection="1"/>
    <xf numFmtId="0" fontId="85" fillId="0" borderId="55" xfId="0" applyFont="1" applyBorder="1"/>
    <xf numFmtId="0" fontId="85" fillId="0" borderId="58" xfId="0" applyFont="1" applyBorder="1"/>
    <xf numFmtId="37" fontId="85" fillId="0" borderId="55" xfId="0" applyNumberFormat="1" applyFont="1" applyFill="1" applyBorder="1" applyProtection="1"/>
    <xf numFmtId="164" fontId="85" fillId="0" borderId="55" xfId="0" applyNumberFormat="1" applyFont="1" applyFill="1" applyBorder="1" applyAlignment="1" applyProtection="1">
      <alignment horizontal="right"/>
    </xf>
    <xf numFmtId="164" fontId="85" fillId="0" borderId="55" xfId="0" applyNumberFormat="1" applyFont="1" applyBorder="1" applyAlignment="1" applyProtection="1">
      <alignment horizontal="right"/>
    </xf>
    <xf numFmtId="185" fontId="5" fillId="0" borderId="0" xfId="0" applyNumberFormat="1" applyFont="1" applyFill="1" applyBorder="1" applyAlignment="1" applyProtection="1">
      <alignment vertical="center"/>
    </xf>
    <xf numFmtId="42"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vertical="center"/>
    </xf>
    <xf numFmtId="3" fontId="85" fillId="0" borderId="55" xfId="0" quotePrefix="1" applyNumberFormat="1" applyFont="1" applyFill="1" applyBorder="1" applyAlignment="1" applyProtection="1">
      <alignment horizontal="center"/>
    </xf>
    <xf numFmtId="165" fontId="85" fillId="0" borderId="55" xfId="1" applyNumberFormat="1" applyFont="1" applyFill="1" applyBorder="1" applyProtection="1"/>
    <xf numFmtId="165" fontId="85" fillId="0" borderId="55" xfId="1" quotePrefix="1" applyNumberFormat="1" applyFont="1" applyFill="1" applyBorder="1" applyAlignment="1" applyProtection="1">
      <alignment horizontal="center"/>
    </xf>
    <xf numFmtId="165" fontId="85" fillId="0" borderId="55" xfId="1" applyNumberFormat="1" applyFont="1" applyFill="1" applyBorder="1" applyAlignment="1" applyProtection="1">
      <alignment horizontal="right"/>
    </xf>
    <xf numFmtId="165" fontId="85" fillId="0" borderId="55" xfId="1" applyNumberFormat="1" applyFont="1" applyBorder="1" applyAlignment="1" applyProtection="1">
      <alignment horizontal="right"/>
    </xf>
    <xf numFmtId="165" fontId="85" fillId="0" borderId="100" xfId="1" applyNumberFormat="1" applyFont="1" applyFill="1" applyBorder="1" applyAlignment="1" applyProtection="1">
      <alignment horizontal="right"/>
    </xf>
    <xf numFmtId="176" fontId="13" fillId="0" borderId="0" xfId="178" applyNumberFormat="1" applyFont="1" applyFill="1" applyAlignment="1">
      <alignment horizontal="left"/>
    </xf>
    <xf numFmtId="165" fontId="16" fillId="0" borderId="51" xfId="180" applyNumberFormat="1" applyFont="1" applyBorder="1"/>
    <xf numFmtId="0" fontId="13" fillId="0" borderId="0" xfId="178" applyFont="1" applyAlignment="1">
      <alignment horizontal="left" indent="2"/>
    </xf>
    <xf numFmtId="165" fontId="16" fillId="0" borderId="0" xfId="178" applyNumberFormat="1" applyFont="1" applyBorder="1"/>
    <xf numFmtId="165" fontId="16" fillId="0" borderId="32" xfId="178" applyNumberFormat="1" applyFont="1" applyBorder="1"/>
    <xf numFmtId="0" fontId="59" fillId="0" borderId="0" xfId="178" applyFont="1" applyAlignment="1">
      <alignment horizontal="left" indent="2"/>
    </xf>
    <xf numFmtId="0" fontId="47" fillId="0" borderId="0" xfId="178" applyFont="1" applyFill="1" applyBorder="1"/>
    <xf numFmtId="165" fontId="47" fillId="0" borderId="32" xfId="178" applyNumberFormat="1" applyFont="1" applyBorder="1"/>
    <xf numFmtId="165" fontId="16" fillId="0" borderId="51" xfId="180" applyNumberFormat="1" applyFont="1" applyBorder="1"/>
    <xf numFmtId="0" fontId="16" fillId="0" borderId="0" xfId="178" applyFont="1" applyFill="1" applyBorder="1" applyAlignment="1">
      <alignment horizontal="left" indent="2"/>
    </xf>
    <xf numFmtId="165" fontId="16" fillId="0" borderId="32" xfId="178" applyNumberFormat="1" applyFont="1" applyBorder="1"/>
    <xf numFmtId="165" fontId="47" fillId="0" borderId="51" xfId="180" applyNumberFormat="1" applyFont="1" applyBorder="1"/>
    <xf numFmtId="165" fontId="47" fillId="0" borderId="32" xfId="180" applyNumberFormat="1" applyFont="1" applyBorder="1"/>
    <xf numFmtId="0" fontId="13" fillId="0" borderId="0" xfId="178" applyFont="1" applyAlignment="1">
      <alignment horizontal="left" indent="2"/>
    </xf>
    <xf numFmtId="0" fontId="47" fillId="0" borderId="0" xfId="178" applyFont="1" applyFill="1" applyBorder="1"/>
    <xf numFmtId="165" fontId="47" fillId="0" borderId="0" xfId="180" applyNumberFormat="1" applyFont="1" applyBorder="1"/>
    <xf numFmtId="165" fontId="47" fillId="0" borderId="51" xfId="180" applyNumberFormat="1" applyFont="1" applyBorder="1"/>
    <xf numFmtId="165" fontId="47" fillId="0" borderId="32" xfId="180" applyNumberFormat="1" applyFont="1" applyBorder="1"/>
    <xf numFmtId="169" fontId="45" fillId="0" borderId="8" xfId="12" applyNumberFormat="1" applyFill="1" applyBorder="1" applyAlignment="1">
      <alignment wrapText="1"/>
    </xf>
    <xf numFmtId="169" fontId="45" fillId="0" borderId="10" xfId="12" applyNumberFormat="1" applyFill="1" applyBorder="1" applyAlignment="1">
      <alignment wrapText="1"/>
    </xf>
    <xf numFmtId="169" fontId="45" fillId="0" borderId="5" xfId="12" applyNumberFormat="1" applyFill="1" applyBorder="1" applyAlignment="1">
      <alignment wrapText="1"/>
    </xf>
    <xf numFmtId="0" fontId="48" fillId="0" borderId="52" xfId="12" applyFont="1" applyFill="1" applyBorder="1" applyAlignment="1"/>
    <xf numFmtId="0" fontId="45" fillId="0" borderId="53" xfId="12" applyFill="1" applyBorder="1" applyAlignment="1"/>
    <xf numFmtId="0" fontId="45" fillId="0" borderId="50" xfId="12" applyFill="1" applyBorder="1" applyAlignment="1"/>
    <xf numFmtId="0" fontId="45" fillId="0" borderId="34" xfId="12" applyFill="1" applyBorder="1" applyAlignment="1"/>
    <xf numFmtId="0" fontId="45" fillId="0" borderId="2" xfId="12" applyFill="1" applyBorder="1" applyAlignment="1"/>
    <xf numFmtId="0" fontId="45" fillId="0" borderId="35" xfId="12" applyFill="1" applyBorder="1" applyAlignment="1"/>
    <xf numFmtId="0" fontId="13" fillId="0" borderId="0" xfId="187" applyFont="1" applyAlignment="1">
      <alignment horizontal="left"/>
    </xf>
    <xf numFmtId="165" fontId="20" fillId="0" borderId="51" xfId="189" applyNumberFormat="1" applyFont="1" applyBorder="1"/>
    <xf numFmtId="165" fontId="113" fillId="0" borderId="32" xfId="187" applyNumberFormat="1" applyBorder="1"/>
    <xf numFmtId="165" fontId="13" fillId="0" borderId="51" xfId="189" applyNumberFormat="1" applyFont="1" applyBorder="1"/>
    <xf numFmtId="0" fontId="20" fillId="0" borderId="0" xfId="187" applyFont="1" applyAlignment="1">
      <alignment horizontal="left"/>
    </xf>
    <xf numFmtId="165" fontId="47" fillId="0" borderId="32" xfId="187" applyNumberFormat="1" applyFont="1" applyBorder="1"/>
    <xf numFmtId="0" fontId="113" fillId="0" borderId="0" xfId="187"/>
    <xf numFmtId="42" fontId="47" fillId="0" borderId="0" xfId="187" applyNumberFormat="1" applyFont="1"/>
    <xf numFmtId="165" fontId="113" fillId="0" borderId="0" xfId="187" applyNumberFormat="1"/>
    <xf numFmtId="0" fontId="113" fillId="0" borderId="0" xfId="187" applyFill="1"/>
    <xf numFmtId="9" fontId="39" fillId="0" borderId="0" xfId="191" applyFont="1" applyFill="1" applyBorder="1"/>
    <xf numFmtId="42" fontId="113" fillId="0" borderId="0" xfId="187" applyNumberFormat="1" applyFill="1"/>
    <xf numFmtId="165" fontId="113" fillId="0" borderId="0" xfId="187" applyNumberFormat="1" applyFill="1"/>
    <xf numFmtId="0" fontId="47" fillId="0" borderId="0" xfId="187" applyFont="1" applyFill="1"/>
    <xf numFmtId="0" fontId="47" fillId="0" borderId="0" xfId="187" applyFont="1" applyFill="1" applyAlignment="1">
      <alignment horizontal="right"/>
    </xf>
    <xf numFmtId="0" fontId="47" fillId="0" borderId="0" xfId="187" applyFont="1" applyAlignment="1">
      <alignment horizontal="right"/>
    </xf>
    <xf numFmtId="0" fontId="47" fillId="0" borderId="0" xfId="187" quotePrefix="1" applyFont="1"/>
    <xf numFmtId="165" fontId="114" fillId="0" borderId="0" xfId="187" applyNumberFormat="1" applyFont="1"/>
    <xf numFmtId="9" fontId="56" fillId="0" borderId="0" xfId="191" applyFont="1" applyFill="1" applyBorder="1"/>
    <xf numFmtId="44" fontId="47" fillId="0" borderId="0" xfId="187" applyNumberFormat="1" applyFont="1" applyAlignment="1">
      <alignment horizontal="right"/>
    </xf>
    <xf numFmtId="3" fontId="47" fillId="0" borderId="0" xfId="187" applyNumberFormat="1" applyFont="1" applyAlignment="1">
      <alignment horizontal="right"/>
    </xf>
    <xf numFmtId="166" fontId="47" fillId="0" borderId="0" xfId="187" applyNumberFormat="1" applyFont="1" applyFill="1" applyAlignment="1">
      <alignment horizontal="right"/>
    </xf>
    <xf numFmtId="0" fontId="113" fillId="0" borderId="0" xfId="187" applyAlignment="1">
      <alignment horizontal="right"/>
    </xf>
    <xf numFmtId="0" fontId="21" fillId="0" borderId="0" xfId="0" applyFont="1" applyAlignment="1">
      <alignment horizontal="center"/>
    </xf>
    <xf numFmtId="0" fontId="13" fillId="0" borderId="32" xfId="0" applyFont="1" applyBorder="1" applyAlignment="1">
      <alignment wrapText="1"/>
    </xf>
    <xf numFmtId="165" fontId="6" fillId="0" borderId="0" xfId="1" applyNumberFormat="1" applyFont="1"/>
    <xf numFmtId="0" fontId="21" fillId="0" borderId="0" xfId="0" applyFont="1" applyFill="1" applyBorder="1" applyAlignment="1"/>
    <xf numFmtId="3" fontId="13" fillId="0" borderId="0" xfId="2" applyNumberFormat="1" applyAlignment="1">
      <alignment horizontal="center"/>
    </xf>
    <xf numFmtId="3" fontId="5" fillId="0" borderId="8" xfId="5" applyNumberFormat="1" applyFont="1" applyFill="1" applyBorder="1" applyAlignment="1">
      <alignment horizontal="center" vertical="center" wrapText="1"/>
    </xf>
    <xf numFmtId="172" fontId="0" fillId="0" borderId="0" xfId="7" applyNumberFormat="1" applyFont="1" applyAlignment="1">
      <alignment horizontal="center"/>
    </xf>
    <xf numFmtId="0" fontId="66" fillId="0" borderId="10" xfId="28" applyFill="1" applyBorder="1"/>
    <xf numFmtId="0" fontId="66" fillId="0" borderId="5" xfId="28" applyFill="1" applyBorder="1"/>
    <xf numFmtId="170" fontId="66" fillId="0" borderId="35" xfId="28" applyNumberFormat="1" applyFill="1" applyBorder="1"/>
    <xf numFmtId="168" fontId="30" fillId="0" borderId="13" xfId="30" applyNumberFormat="1" applyFont="1" applyFill="1" applyBorder="1"/>
    <xf numFmtId="0" fontId="66" fillId="0" borderId="13" xfId="28" applyFont="1" applyBorder="1"/>
    <xf numFmtId="2" fontId="119" fillId="0" borderId="13" xfId="28" applyNumberFormat="1" applyFont="1" applyBorder="1" applyAlignment="1">
      <alignment horizontal="center"/>
    </xf>
    <xf numFmtId="2" fontId="119" fillId="0" borderId="13" xfId="0" applyNumberFormat="1" applyFont="1" applyBorder="1" applyAlignment="1">
      <alignment horizontal="center"/>
    </xf>
    <xf numFmtId="2" fontId="119" fillId="0" borderId="21" xfId="0" applyNumberFormat="1" applyFont="1" applyBorder="1" applyAlignment="1">
      <alignment horizontal="center"/>
    </xf>
    <xf numFmtId="2" fontId="119" fillId="0" borderId="22" xfId="0" applyNumberFormat="1" applyFont="1" applyBorder="1" applyAlignment="1">
      <alignment horizontal="center"/>
    </xf>
    <xf numFmtId="172" fontId="103" fillId="0" borderId="13" xfId="30" applyNumberFormat="1" applyFont="1" applyBorder="1"/>
    <xf numFmtId="2" fontId="119" fillId="0" borderId="12" xfId="0" applyNumberFormat="1" applyFont="1" applyBorder="1" applyAlignment="1">
      <alignment horizontal="center"/>
    </xf>
    <xf numFmtId="0" fontId="103" fillId="11" borderId="8" xfId="0" applyFont="1" applyFill="1" applyBorder="1"/>
    <xf numFmtId="9" fontId="119" fillId="0" borderId="0" xfId="0" applyNumberFormat="1" applyFont="1"/>
    <xf numFmtId="172" fontId="119" fillId="0" borderId="0" xfId="0" applyNumberFormat="1" applyFont="1"/>
    <xf numFmtId="0" fontId="119" fillId="0" borderId="0" xfId="0" applyFont="1"/>
    <xf numFmtId="0" fontId="83" fillId="0" borderId="0" xfId="2" applyFont="1"/>
    <xf numFmtId="0" fontId="7" fillId="0" borderId="0" xfId="0" applyFont="1"/>
    <xf numFmtId="0" fontId="13" fillId="0" borderId="0" xfId="3" applyFont="1" applyAlignment="1">
      <alignment horizontal="center"/>
    </xf>
    <xf numFmtId="0" fontId="120" fillId="0" borderId="0" xfId="9" applyFont="1" applyAlignment="1" applyProtection="1">
      <alignment horizontal="center"/>
    </xf>
    <xf numFmtId="0" fontId="120" fillId="0" borderId="32" xfId="9" applyFont="1" applyBorder="1" applyAlignment="1" applyProtection="1">
      <alignment horizontal="center" vertical="top"/>
    </xf>
    <xf numFmtId="0" fontId="120" fillId="0" borderId="0" xfId="9" applyFont="1" applyAlignment="1" applyProtection="1"/>
    <xf numFmtId="0" fontId="120" fillId="0" borderId="0" xfId="9" applyFont="1" applyAlignment="1" applyProtection="1">
      <alignment horizontal="right" wrapText="1"/>
    </xf>
    <xf numFmtId="0" fontId="120" fillId="0" borderId="0" xfId="9" applyFont="1" applyAlignment="1" applyProtection="1">
      <alignment horizontal="center" vertical="top"/>
    </xf>
    <xf numFmtId="0" fontId="120" fillId="0" borderId="0" xfId="9" applyFont="1" applyAlignment="1" applyProtection="1">
      <alignment horizontal="center" vertical="center"/>
    </xf>
    <xf numFmtId="0" fontId="113" fillId="0" borderId="0" xfId="187"/>
    <xf numFmtId="0" fontId="47" fillId="0" borderId="0" xfId="187" applyFont="1"/>
    <xf numFmtId="0" fontId="47" fillId="0" borderId="0" xfId="187" applyFont="1" applyFill="1" applyBorder="1" applyAlignment="1">
      <alignment horizontal="right"/>
    </xf>
    <xf numFmtId="0" fontId="113" fillId="0" borderId="32" xfId="187" applyBorder="1"/>
    <xf numFmtId="165" fontId="113" fillId="0" borderId="51" xfId="189" applyNumberFormat="1" applyFont="1" applyBorder="1"/>
    <xf numFmtId="0" fontId="113" fillId="0" borderId="50" xfId="187" applyBorder="1"/>
    <xf numFmtId="165" fontId="113" fillId="0" borderId="52" xfId="189" applyNumberFormat="1" applyFont="1" applyBorder="1"/>
    <xf numFmtId="0" fontId="47" fillId="0" borderId="53" xfId="187" applyFont="1" applyFill="1" applyBorder="1" applyAlignment="1">
      <alignment horizontal="right"/>
    </xf>
    <xf numFmtId="165" fontId="47" fillId="0" borderId="53" xfId="187" applyNumberFormat="1" applyFont="1" applyBorder="1" applyAlignment="1">
      <alignment horizontal="right"/>
    </xf>
    <xf numFmtId="165" fontId="47" fillId="0" borderId="0" xfId="187" applyNumberFormat="1" applyFont="1" applyBorder="1" applyAlignment="1">
      <alignment horizontal="right"/>
    </xf>
    <xf numFmtId="165" fontId="113" fillId="0" borderId="34" xfId="189" applyNumberFormat="1" applyFont="1" applyBorder="1"/>
    <xf numFmtId="9" fontId="39" fillId="0" borderId="2" xfId="191" applyFont="1" applyFill="1" applyBorder="1"/>
    <xf numFmtId="44" fontId="47" fillId="0" borderId="2" xfId="187" applyNumberFormat="1" applyFont="1" applyBorder="1" applyAlignment="1">
      <alignment horizontal="right"/>
    </xf>
    <xf numFmtId="0" fontId="47" fillId="0" borderId="35" xfId="187" quotePrefix="1" applyFont="1" applyBorder="1"/>
    <xf numFmtId="0" fontId="120" fillId="0" borderId="0" xfId="9" applyFont="1" applyFill="1" applyAlignment="1" applyProtection="1">
      <alignment horizontal="center"/>
    </xf>
    <xf numFmtId="0" fontId="26" fillId="0" borderId="0" xfId="9" applyFill="1" applyAlignment="1" applyProtection="1">
      <alignment horizontal="center"/>
    </xf>
    <xf numFmtId="0" fontId="26" fillId="0" borderId="0" xfId="9" applyFill="1" applyBorder="1" applyAlignment="1" applyProtection="1">
      <alignment horizontal="center"/>
    </xf>
    <xf numFmtId="0" fontId="29" fillId="0" borderId="0" xfId="28" applyFont="1" applyFill="1"/>
    <xf numFmtId="8" fontId="29" fillId="0" borderId="0" xfId="28" applyNumberFormat="1" applyFont="1" applyFill="1" applyAlignment="1">
      <alignment horizontal="right"/>
    </xf>
    <xf numFmtId="9" fontId="29" fillId="0" borderId="0" xfId="11" applyFont="1" applyFill="1"/>
    <xf numFmtId="169" fontId="66" fillId="0" borderId="13" xfId="28" applyNumberFormat="1" applyBorder="1" applyAlignment="1">
      <alignment horizontal="right"/>
    </xf>
    <xf numFmtId="169" fontId="66" fillId="0" borderId="7" xfId="28" applyNumberFormat="1" applyBorder="1" applyAlignment="1">
      <alignment horizontal="right"/>
    </xf>
    <xf numFmtId="169" fontId="66" fillId="0" borderId="7" xfId="28" applyNumberFormat="1" applyBorder="1" applyAlignment="1">
      <alignment horizontal="right"/>
    </xf>
    <xf numFmtId="169" fontId="66" fillId="0" borderId="7" xfId="28" applyNumberFormat="1" applyBorder="1" applyAlignment="1">
      <alignment horizontal="right"/>
    </xf>
    <xf numFmtId="169" fontId="66" fillId="0" borderId="13" xfId="28" applyNumberFormat="1" applyBorder="1" applyAlignment="1">
      <alignment horizontal="right"/>
    </xf>
    <xf numFmtId="165" fontId="0" fillId="0" borderId="0" xfId="0" applyNumberFormat="1"/>
    <xf numFmtId="165" fontId="0" fillId="0" borderId="0" xfId="0" applyNumberFormat="1"/>
    <xf numFmtId="165" fontId="0" fillId="0" borderId="0" xfId="0" applyNumberFormat="1"/>
    <xf numFmtId="165" fontId="0" fillId="0" borderId="0" xfId="0" applyNumberFormat="1"/>
    <xf numFmtId="165" fontId="14" fillId="0" borderId="0" xfId="1" applyNumberFormat="1" applyFont="1" applyAlignment="1">
      <alignment horizontal="right" wrapText="1"/>
    </xf>
    <xf numFmtId="165" fontId="0" fillId="0" borderId="0" xfId="1" applyNumberFormat="1" applyFont="1"/>
    <xf numFmtId="165" fontId="0" fillId="0" borderId="0" xfId="0" applyNumberFormat="1"/>
    <xf numFmtId="44" fontId="29" fillId="4" borderId="27" xfId="1" applyFont="1" applyFill="1" applyBorder="1" applyAlignment="1">
      <alignment horizontal="right"/>
    </xf>
    <xf numFmtId="44" fontId="29" fillId="0" borderId="27" xfId="1" applyFont="1" applyFill="1" applyBorder="1" applyAlignment="1">
      <alignment horizontal="right"/>
    </xf>
    <xf numFmtId="7" fontId="30" fillId="0" borderId="13" xfId="1" applyNumberFormat="1" applyFont="1" applyBorder="1"/>
    <xf numFmtId="174" fontId="30" fillId="0" borderId="13" xfId="7" applyNumberFormat="1" applyFont="1" applyBorder="1"/>
    <xf numFmtId="174" fontId="29" fillId="0" borderId="13" xfId="7" applyNumberFormat="1" applyFont="1" applyBorder="1"/>
    <xf numFmtId="0" fontId="66" fillId="0" borderId="0" xfId="28"/>
    <xf numFmtId="0" fontId="66" fillId="0" borderId="0" xfId="28" applyFill="1"/>
    <xf numFmtId="0" fontId="66" fillId="0" borderId="0" xfId="28" applyFill="1" applyBorder="1"/>
    <xf numFmtId="165" fontId="0" fillId="0" borderId="0" xfId="1" applyNumberFormat="1" applyFont="1" applyBorder="1"/>
    <xf numFmtId="165" fontId="3" fillId="0" borderId="0" xfId="1" applyNumberFormat="1" applyFont="1" applyFill="1" applyBorder="1" applyAlignment="1">
      <alignment horizontal="center" vertical="center" wrapText="1"/>
    </xf>
    <xf numFmtId="165" fontId="1" fillId="0" borderId="0" xfId="1" applyNumberFormat="1" applyFont="1" applyFill="1" applyBorder="1" applyAlignment="1">
      <alignment horizontal="center" vertical="center" wrapText="1"/>
    </xf>
    <xf numFmtId="165" fontId="0" fillId="0" borderId="0" xfId="1" applyNumberFormat="1" applyFont="1" applyAlignment="1">
      <alignment horizontal="center"/>
    </xf>
    <xf numFmtId="2" fontId="119" fillId="0" borderId="13" xfId="0" applyNumberFormat="1" applyFont="1" applyBorder="1" applyAlignment="1">
      <alignment horizontal="center"/>
    </xf>
    <xf numFmtId="2" fontId="119" fillId="0" borderId="21" xfId="0" applyNumberFormat="1" applyFont="1" applyBorder="1" applyAlignment="1">
      <alignment horizontal="center"/>
    </xf>
    <xf numFmtId="2" fontId="119" fillId="0" borderId="22" xfId="0" applyNumberFormat="1" applyFont="1" applyBorder="1" applyAlignment="1">
      <alignment horizontal="center"/>
    </xf>
    <xf numFmtId="0" fontId="120" fillId="0" borderId="0" xfId="9" applyFont="1" applyAlignment="1" applyProtection="1"/>
    <xf numFmtId="0" fontId="66" fillId="0" borderId="7" xfId="28" applyBorder="1" applyAlignment="1">
      <alignment horizontal="left" indent="2"/>
    </xf>
    <xf numFmtId="169" fontId="66" fillId="0" borderId="13" xfId="28" applyNumberFormat="1" applyBorder="1" applyAlignment="1">
      <alignment horizontal="right"/>
    </xf>
    <xf numFmtId="169" fontId="66" fillId="0" borderId="11" xfId="28" applyNumberFormat="1" applyBorder="1" applyAlignment="1">
      <alignment horizontal="right"/>
    </xf>
    <xf numFmtId="164" fontId="66" fillId="0" borderId="7" xfId="28" applyNumberFormat="1" applyBorder="1" applyAlignment="1">
      <alignment horizontal="left" indent="2"/>
    </xf>
    <xf numFmtId="169" fontId="66" fillId="0" borderId="7" xfId="28" applyNumberFormat="1" applyBorder="1" applyAlignment="1">
      <alignment horizontal="right"/>
    </xf>
    <xf numFmtId="169" fontId="66" fillId="0" borderId="7" xfId="28" applyNumberFormat="1" applyBorder="1" applyAlignment="1">
      <alignment horizontal="right"/>
    </xf>
    <xf numFmtId="169" fontId="66" fillId="0" borderId="7" xfId="28" applyNumberFormat="1" applyBorder="1" applyAlignment="1">
      <alignment horizontal="right"/>
    </xf>
    <xf numFmtId="0" fontId="66" fillId="0" borderId="0" xfId="28"/>
    <xf numFmtId="169" fontId="66" fillId="0" borderId="13" xfId="28" applyNumberFormat="1" applyBorder="1" applyAlignment="1">
      <alignment horizontal="right"/>
    </xf>
    <xf numFmtId="169" fontId="66" fillId="0" borderId="7" xfId="28" applyNumberFormat="1" applyBorder="1" applyAlignment="1">
      <alignment horizontal="right"/>
    </xf>
    <xf numFmtId="0" fontId="30" fillId="0" borderId="13" xfId="28" applyFont="1" applyBorder="1" applyAlignment="1">
      <alignment horizontal="left" indent="2"/>
    </xf>
    <xf numFmtId="169" fontId="66" fillId="0" borderId="7" xfId="28" applyNumberFormat="1" applyBorder="1" applyAlignment="1">
      <alignment horizontal="right"/>
    </xf>
    <xf numFmtId="0" fontId="30" fillId="0" borderId="7" xfId="28" applyFont="1" applyBorder="1" applyAlignment="1">
      <alignment horizontal="left" indent="2"/>
    </xf>
    <xf numFmtId="169" fontId="66" fillId="0" borderId="7" xfId="28" applyNumberFormat="1" applyBorder="1" applyAlignment="1">
      <alignment horizontal="right"/>
    </xf>
    <xf numFmtId="169" fontId="66" fillId="0" borderId="7" xfId="28" applyNumberFormat="1" applyBorder="1" applyAlignment="1">
      <alignment horizontal="right"/>
    </xf>
    <xf numFmtId="0" fontId="26" fillId="0" borderId="43" xfId="9" applyFill="1" applyBorder="1" applyAlignment="1" applyProtection="1">
      <alignment horizontal="center" wrapText="1"/>
    </xf>
    <xf numFmtId="37" fontId="0" fillId="0" borderId="0" xfId="1" applyNumberFormat="1" applyFont="1"/>
    <xf numFmtId="166" fontId="0" fillId="0" borderId="0" xfId="8" applyNumberFormat="1" applyFont="1" applyFill="1" applyBorder="1"/>
    <xf numFmtId="166" fontId="0" fillId="0" borderId="0" xfId="8" applyNumberFormat="1" applyFont="1"/>
    <xf numFmtId="0" fontId="0" fillId="0" borderId="0" xfId="0"/>
    <xf numFmtId="0" fontId="0" fillId="0" borderId="0" xfId="0" applyAlignment="1">
      <alignment horizontal="center"/>
    </xf>
    <xf numFmtId="0" fontId="0" fillId="0" borderId="0" xfId="0" applyFill="1"/>
    <xf numFmtId="0" fontId="0" fillId="0" borderId="0" xfId="0" applyFill="1" applyBorder="1"/>
    <xf numFmtId="0" fontId="27" fillId="0" borderId="0" xfId="0" applyFont="1"/>
    <xf numFmtId="0" fontId="27" fillId="0" borderId="0" xfId="0" applyFont="1" applyAlignment="1">
      <alignment horizontal="left"/>
    </xf>
    <xf numFmtId="0" fontId="28" fillId="0" borderId="0" xfId="0" applyFont="1"/>
    <xf numFmtId="0" fontId="29" fillId="0" borderId="21" xfId="0" applyFont="1" applyBorder="1" applyAlignment="1">
      <alignment horizontal="center"/>
    </xf>
    <xf numFmtId="0" fontId="29" fillId="0" borderId="22" xfId="0" applyFont="1" applyBorder="1" applyAlignment="1">
      <alignment horizontal="center"/>
    </xf>
    <xf numFmtId="0" fontId="29" fillId="0" borderId="23" xfId="0" applyFont="1" applyBorder="1" applyAlignment="1">
      <alignment horizontal="center"/>
    </xf>
    <xf numFmtId="0" fontId="29" fillId="0" borderId="21" xfId="0" applyFont="1" applyFill="1" applyBorder="1" applyAlignment="1">
      <alignment horizontal="center"/>
    </xf>
    <xf numFmtId="0" fontId="29" fillId="0" borderId="23" xfId="0" applyFont="1" applyFill="1" applyBorder="1" applyAlignment="1">
      <alignment horizontal="center"/>
    </xf>
    <xf numFmtId="164" fontId="0" fillId="4" borderId="25" xfId="0" applyNumberFormat="1" applyFont="1" applyFill="1" applyBorder="1" applyAlignment="1">
      <alignment horizontal="right"/>
    </xf>
    <xf numFmtId="164" fontId="0" fillId="4" borderId="26" xfId="0" applyNumberFormat="1" applyFont="1" applyFill="1" applyBorder="1" applyAlignment="1">
      <alignment horizontal="right"/>
    </xf>
    <xf numFmtId="164" fontId="29" fillId="4" borderId="27" xfId="0" applyNumberFormat="1" applyFont="1" applyFill="1" applyBorder="1" applyAlignment="1">
      <alignment horizontal="right"/>
    </xf>
    <xf numFmtId="164" fontId="0" fillId="0" borderId="28" xfId="0" applyNumberFormat="1" applyBorder="1"/>
    <xf numFmtId="164" fontId="0" fillId="0" borderId="13" xfId="0" applyNumberFormat="1" applyBorder="1"/>
    <xf numFmtId="164" fontId="29" fillId="0" borderId="29" xfId="0" applyNumberFormat="1" applyFont="1" applyBorder="1"/>
    <xf numFmtId="0" fontId="31" fillId="0" borderId="0" xfId="0" applyFont="1"/>
    <xf numFmtId="0" fontId="32" fillId="0" borderId="0" xfId="0" applyFont="1"/>
    <xf numFmtId="0" fontId="27" fillId="4" borderId="1" xfId="0" applyFont="1" applyFill="1" applyBorder="1" applyAlignment="1">
      <alignment horizontal="center"/>
    </xf>
    <xf numFmtId="0" fontId="27" fillId="0" borderId="24" xfId="0" applyFont="1" applyFill="1" applyBorder="1" applyAlignment="1">
      <alignment horizontal="center"/>
    </xf>
    <xf numFmtId="0" fontId="27" fillId="0" borderId="32" xfId="0" applyFont="1" applyBorder="1"/>
    <xf numFmtId="0" fontId="27" fillId="0" borderId="12" xfId="0" applyFont="1" applyBorder="1" applyAlignment="1">
      <alignment horizontal="center"/>
    </xf>
    <xf numFmtId="0" fontId="29" fillId="0" borderId="0" xfId="0" applyFont="1" applyFill="1" applyBorder="1"/>
    <xf numFmtId="0" fontId="27" fillId="0" borderId="23" xfId="0" applyFont="1" applyBorder="1"/>
    <xf numFmtId="0" fontId="27" fillId="0" borderId="21" xfId="0" applyFont="1" applyFill="1" applyBorder="1" applyAlignment="1">
      <alignment horizontal="center"/>
    </xf>
    <xf numFmtId="0" fontId="27" fillId="0" borderId="22" xfId="0" applyFont="1" applyFill="1" applyBorder="1" applyAlignment="1">
      <alignment horizontal="center"/>
    </xf>
    <xf numFmtId="0" fontId="27" fillId="0" borderId="23" xfId="0" applyFont="1" applyFill="1" applyBorder="1" applyAlignment="1">
      <alignment horizontal="center"/>
    </xf>
    <xf numFmtId="0" fontId="29" fillId="4" borderId="21" xfId="0" applyFont="1" applyFill="1" applyBorder="1"/>
    <xf numFmtId="169" fontId="0" fillId="4" borderId="22" xfId="0" applyNumberFormat="1" applyFill="1" applyBorder="1" applyAlignment="1">
      <alignment horizontal="right"/>
    </xf>
    <xf numFmtId="169" fontId="0" fillId="4" borderId="23" xfId="0" applyNumberFormat="1" applyFill="1" applyBorder="1" applyAlignment="1">
      <alignment horizontal="right"/>
    </xf>
    <xf numFmtId="0" fontId="29" fillId="0" borderId="13" xfId="0" applyFont="1" applyBorder="1"/>
    <xf numFmtId="164" fontId="0" fillId="0" borderId="13" xfId="0" applyNumberFormat="1" applyBorder="1" applyAlignment="1">
      <alignment horizontal="left" indent="2"/>
    </xf>
    <xf numFmtId="0" fontId="0" fillId="0" borderId="13" xfId="0" applyBorder="1" applyAlignment="1">
      <alignment horizontal="left" indent="2"/>
    </xf>
    <xf numFmtId="169" fontId="0" fillId="0" borderId="13" xfId="0" applyNumberFormat="1" applyBorder="1" applyAlignment="1">
      <alignment horizontal="right"/>
    </xf>
    <xf numFmtId="0" fontId="0" fillId="11" borderId="8" xfId="0" applyFill="1" applyBorder="1"/>
    <xf numFmtId="0" fontId="0" fillId="11" borderId="10" xfId="0" applyFill="1" applyBorder="1"/>
    <xf numFmtId="0" fontId="0" fillId="11" borderId="5" xfId="0" applyFill="1" applyBorder="1"/>
    <xf numFmtId="164" fontId="0" fillId="0" borderId="7" xfId="0" applyNumberFormat="1" applyBorder="1" applyAlignment="1">
      <alignment horizontal="left" indent="2"/>
    </xf>
    <xf numFmtId="0" fontId="0" fillId="0" borderId="7" xfId="0" applyBorder="1" applyAlignment="1">
      <alignment horizontal="left" indent="2"/>
    </xf>
    <xf numFmtId="169" fontId="0" fillId="0" borderId="7" xfId="0" applyNumberFormat="1" applyBorder="1" applyAlignment="1">
      <alignment horizontal="right"/>
    </xf>
    <xf numFmtId="0" fontId="0" fillId="0" borderId="13" xfId="0" applyBorder="1"/>
    <xf numFmtId="169" fontId="0" fillId="0" borderId="11" xfId="0" applyNumberFormat="1" applyBorder="1" applyAlignment="1">
      <alignment horizontal="right"/>
    </xf>
    <xf numFmtId="0" fontId="0" fillId="11" borderId="5" xfId="0" applyFill="1" applyBorder="1" applyAlignment="1">
      <alignment horizontal="center"/>
    </xf>
    <xf numFmtId="0" fontId="33" fillId="0" borderId="0" xfId="0" applyFont="1"/>
    <xf numFmtId="164" fontId="29" fillId="4" borderId="21" xfId="0" applyNumberFormat="1" applyFont="1" applyFill="1" applyBorder="1"/>
    <xf numFmtId="169" fontId="29" fillId="0" borderId="0" xfId="0" applyNumberFormat="1" applyFont="1" applyAlignment="1">
      <alignment horizontal="right"/>
    </xf>
    <xf numFmtId="0" fontId="29" fillId="0" borderId="0" xfId="0" applyFont="1"/>
    <xf numFmtId="8" fontId="29" fillId="0" borderId="0" xfId="0" applyNumberFormat="1" applyFont="1" applyAlignment="1">
      <alignment horizontal="right"/>
    </xf>
    <xf numFmtId="0" fontId="29" fillId="4" borderId="0" xfId="0" applyFont="1" applyFill="1"/>
    <xf numFmtId="0" fontId="27" fillId="6" borderId="36" xfId="0" applyFont="1" applyFill="1" applyBorder="1"/>
    <xf numFmtId="0" fontId="0" fillId="6" borderId="37" xfId="0" applyFill="1" applyBorder="1"/>
    <xf numFmtId="0" fontId="0" fillId="0" borderId="39" xfId="0" applyBorder="1"/>
    <xf numFmtId="0" fontId="29" fillId="0" borderId="21" xfId="0" applyFont="1" applyBorder="1"/>
    <xf numFmtId="0" fontId="29" fillId="0" borderId="22" xfId="0" applyFont="1" applyBorder="1"/>
    <xf numFmtId="0" fontId="29" fillId="0" borderId="23" xfId="0" applyFont="1" applyBorder="1"/>
    <xf numFmtId="0" fontId="29" fillId="0" borderId="40" xfId="0" applyFont="1" applyBorder="1" applyAlignment="1">
      <alignment horizontal="center"/>
    </xf>
    <xf numFmtId="0" fontId="29" fillId="0" borderId="41" xfId="0" applyFont="1" applyBorder="1" applyAlignment="1">
      <alignment horizontal="center"/>
    </xf>
    <xf numFmtId="0" fontId="29" fillId="0" borderId="42" xfId="0" applyFont="1" applyBorder="1" applyAlignment="1">
      <alignment horizontal="center"/>
    </xf>
    <xf numFmtId="171" fontId="0" fillId="0" borderId="13" xfId="0" applyNumberFormat="1" applyBorder="1"/>
    <xf numFmtId="0" fontId="0" fillId="0" borderId="7" xfId="0" applyBorder="1"/>
    <xf numFmtId="169" fontId="0" fillId="0" borderId="13" xfId="0" applyNumberFormat="1" applyBorder="1"/>
    <xf numFmtId="0" fontId="0" fillId="0" borderId="7" xfId="0" applyBorder="1" applyAlignment="1">
      <alignment horizontal="right"/>
    </xf>
    <xf numFmtId="164" fontId="0" fillId="0" borderId="0" xfId="0" applyNumberFormat="1"/>
    <xf numFmtId="169" fontId="0" fillId="0" borderId="0" xfId="0" applyNumberFormat="1"/>
    <xf numFmtId="9" fontId="29" fillId="0" borderId="0" xfId="0" applyNumberFormat="1" applyFont="1"/>
    <xf numFmtId="172" fontId="29" fillId="0" borderId="0" xfId="0" applyNumberFormat="1" applyFont="1"/>
    <xf numFmtId="171" fontId="29" fillId="0" borderId="23" xfId="0" applyNumberFormat="1" applyFont="1" applyBorder="1"/>
    <xf numFmtId="7" fontId="29" fillId="0" borderId="0" xfId="0" applyNumberFormat="1" applyFont="1"/>
    <xf numFmtId="164" fontId="29" fillId="0" borderId="22" xfId="0" applyNumberFormat="1" applyFont="1" applyBorder="1"/>
    <xf numFmtId="169" fontId="0" fillId="0" borderId="7" xfId="0" applyNumberFormat="1" applyFill="1" applyBorder="1" applyAlignment="1">
      <alignment horizontal="right"/>
    </xf>
    <xf numFmtId="0" fontId="0" fillId="0" borderId="13" xfId="0" applyFill="1" applyBorder="1" applyAlignment="1">
      <alignment horizontal="left" indent="2"/>
    </xf>
    <xf numFmtId="169" fontId="0" fillId="0" borderId="13" xfId="0" applyNumberFormat="1" applyFill="1" applyBorder="1" applyAlignment="1">
      <alignment horizontal="right"/>
    </xf>
    <xf numFmtId="0" fontId="0" fillId="0" borderId="7" xfId="0" applyFill="1" applyBorder="1" applyAlignment="1">
      <alignment horizontal="left" indent="2"/>
    </xf>
    <xf numFmtId="164" fontId="0" fillId="0" borderId="7" xfId="0" applyNumberFormat="1" applyBorder="1" applyAlignment="1">
      <alignment horizontal="right"/>
    </xf>
    <xf numFmtId="6" fontId="0" fillId="0" borderId="7" xfId="0" applyNumberFormat="1" applyBorder="1" applyAlignment="1">
      <alignment horizontal="right"/>
    </xf>
    <xf numFmtId="174" fontId="29" fillId="4" borderId="27" xfId="0" applyNumberFormat="1" applyFont="1" applyFill="1" applyBorder="1" applyAlignment="1">
      <alignment horizontal="center"/>
    </xf>
    <xf numFmtId="174" fontId="29" fillId="0" borderId="29" xfId="0" applyNumberFormat="1" applyFont="1" applyBorder="1"/>
    <xf numFmtId="0" fontId="29" fillId="0" borderId="0" xfId="0" applyFont="1" applyAlignment="1">
      <alignment horizontal="right"/>
    </xf>
    <xf numFmtId="164" fontId="29" fillId="0" borderId="45" xfId="0" applyNumberFormat="1" applyFont="1" applyBorder="1"/>
    <xf numFmtId="175" fontId="0" fillId="0" borderId="35" xfId="0" applyNumberFormat="1" applyBorder="1"/>
    <xf numFmtId="174" fontId="29" fillId="0" borderId="0" xfId="0" applyNumberFormat="1" applyFont="1"/>
    <xf numFmtId="6" fontId="43" fillId="0" borderId="7" xfId="0" applyNumberFormat="1" applyFont="1" applyFill="1" applyBorder="1" applyAlignment="1" applyProtection="1">
      <alignment horizontal="right"/>
    </xf>
    <xf numFmtId="169" fontId="66" fillId="0" borderId="7" xfId="28" applyNumberFormat="1" applyBorder="1" applyAlignment="1">
      <alignment horizontal="right"/>
    </xf>
    <xf numFmtId="169" fontId="66" fillId="0" borderId="11" xfId="28" applyNumberFormat="1" applyBorder="1" applyAlignment="1">
      <alignment horizontal="right"/>
    </xf>
    <xf numFmtId="7" fontId="30" fillId="0" borderId="13" xfId="40" applyNumberFormat="1" applyFont="1" applyBorder="1"/>
    <xf numFmtId="0" fontId="66" fillId="11" borderId="8" xfId="28" applyFill="1" applyBorder="1"/>
    <xf numFmtId="0" fontId="66" fillId="11" borderId="10" xfId="28" applyFill="1" applyBorder="1"/>
    <xf numFmtId="0" fontId="66" fillId="11" borderId="5" xfId="28" applyFill="1" applyBorder="1"/>
    <xf numFmtId="0" fontId="66" fillId="11" borderId="5" xfId="28" applyFill="1" applyBorder="1" applyAlignment="1">
      <alignment horizontal="center"/>
    </xf>
    <xf numFmtId="0" fontId="66" fillId="11" borderId="34" xfId="28" applyFill="1" applyBorder="1"/>
    <xf numFmtId="0" fontId="66" fillId="11" borderId="2" xfId="28" applyFill="1" applyBorder="1"/>
    <xf numFmtId="0" fontId="66" fillId="11" borderId="35" xfId="28" applyFill="1" applyBorder="1"/>
    <xf numFmtId="170" fontId="66" fillId="0" borderId="35" xfId="28" applyNumberFormat="1" applyBorder="1"/>
    <xf numFmtId="0" fontId="66" fillId="0" borderId="13" xfId="28" applyBorder="1"/>
    <xf numFmtId="7" fontId="30" fillId="0" borderId="13" xfId="40" applyNumberFormat="1" applyFont="1" applyBorder="1"/>
    <xf numFmtId="1" fontId="66" fillId="0" borderId="13" xfId="28" applyNumberFormat="1" applyBorder="1"/>
    <xf numFmtId="0" fontId="66" fillId="0" borderId="13" xfId="28" applyBorder="1"/>
    <xf numFmtId="0" fontId="66" fillId="0" borderId="13" xfId="28" applyFill="1" applyBorder="1"/>
    <xf numFmtId="7" fontId="30" fillId="0" borderId="13" xfId="40" applyNumberFormat="1" applyFont="1" applyBorder="1"/>
    <xf numFmtId="9" fontId="30" fillId="0" borderId="13" xfId="11" applyFont="1" applyBorder="1"/>
    <xf numFmtId="9" fontId="29" fillId="4" borderId="0" xfId="11" applyFont="1" applyFill="1"/>
    <xf numFmtId="10" fontId="30" fillId="0" borderId="0" xfId="11" applyNumberFormat="1" applyFont="1"/>
    <xf numFmtId="166" fontId="29" fillId="4" borderId="27" xfId="11" applyNumberFormat="1" applyFont="1" applyFill="1" applyBorder="1" applyAlignment="1">
      <alignment horizontal="right"/>
    </xf>
    <xf numFmtId="166" fontId="29" fillId="0" borderId="27" xfId="11" applyNumberFormat="1" applyFont="1" applyFill="1" applyBorder="1" applyAlignment="1">
      <alignment horizontal="right"/>
    </xf>
    <xf numFmtId="0" fontId="26" fillId="0" borderId="43" xfId="9" applyFill="1" applyBorder="1" applyAlignment="1" applyProtection="1">
      <alignment horizontal="center" wrapText="1"/>
    </xf>
    <xf numFmtId="0" fontId="66" fillId="0" borderId="13" xfId="28" applyBorder="1"/>
    <xf numFmtId="169" fontId="66" fillId="0" borderId="13" xfId="28" applyNumberFormat="1" applyBorder="1"/>
    <xf numFmtId="9" fontId="30" fillId="0" borderId="13" xfId="11" applyFont="1" applyBorder="1"/>
    <xf numFmtId="171" fontId="66" fillId="0" borderId="13" xfId="28" applyNumberFormat="1" applyBorder="1"/>
    <xf numFmtId="2" fontId="34" fillId="0" borderId="13" xfId="28" applyNumberFormat="1" applyFont="1" applyBorder="1" applyAlignment="1">
      <alignment horizontal="center"/>
    </xf>
    <xf numFmtId="164" fontId="66" fillId="0" borderId="13" xfId="28" applyNumberFormat="1" applyBorder="1"/>
    <xf numFmtId="0" fontId="66" fillId="11" borderId="8" xfId="28" applyFill="1" applyBorder="1"/>
    <xf numFmtId="0" fontId="66" fillId="11" borderId="10" xfId="28" applyFill="1" applyBorder="1"/>
    <xf numFmtId="0" fontId="66" fillId="11" borderId="5" xfId="28" applyFill="1" applyBorder="1"/>
    <xf numFmtId="0" fontId="66" fillId="11" borderId="34" xfId="28" applyFill="1" applyBorder="1"/>
    <xf numFmtId="0" fontId="66" fillId="11" borderId="2" xfId="28" applyFill="1" applyBorder="1"/>
    <xf numFmtId="0" fontId="66" fillId="11" borderId="35" xfId="28" applyFill="1" applyBorder="1"/>
    <xf numFmtId="175" fontId="66" fillId="0" borderId="35" xfId="28" applyNumberFormat="1" applyBorder="1"/>
    <xf numFmtId="1" fontId="66" fillId="0" borderId="13" xfId="28" applyNumberFormat="1" applyBorder="1"/>
    <xf numFmtId="7" fontId="30" fillId="0" borderId="13" xfId="40" applyNumberFormat="1" applyFont="1" applyBorder="1"/>
    <xf numFmtId="0" fontId="66" fillId="11" borderId="10" xfId="28" applyFill="1" applyBorder="1"/>
    <xf numFmtId="0" fontId="66" fillId="11" borderId="5" xfId="28" applyFill="1" applyBorder="1"/>
    <xf numFmtId="0" fontId="66" fillId="11" borderId="2" xfId="28" applyFill="1" applyBorder="1"/>
    <xf numFmtId="0" fontId="66" fillId="11" borderId="35" xfId="28" applyFill="1" applyBorder="1"/>
    <xf numFmtId="0" fontId="66" fillId="0" borderId="7" xfId="28" applyBorder="1"/>
    <xf numFmtId="0" fontId="66" fillId="0" borderId="13" xfId="28" applyBorder="1"/>
    <xf numFmtId="169" fontId="66" fillId="0" borderId="13" xfId="28" applyNumberFormat="1" applyBorder="1"/>
    <xf numFmtId="9" fontId="30" fillId="0" borderId="13" xfId="11" applyFont="1" applyBorder="1"/>
    <xf numFmtId="7" fontId="30" fillId="0" borderId="13" xfId="40" applyNumberFormat="1" applyFont="1" applyBorder="1"/>
    <xf numFmtId="171" fontId="66" fillId="0" borderId="13" xfId="28" applyNumberFormat="1" applyBorder="1"/>
    <xf numFmtId="2" fontId="34" fillId="0" borderId="13" xfId="28" applyNumberFormat="1" applyFont="1" applyBorder="1" applyAlignment="1">
      <alignment horizontal="center"/>
    </xf>
    <xf numFmtId="164" fontId="66" fillId="0" borderId="13" xfId="28" applyNumberFormat="1" applyBorder="1"/>
    <xf numFmtId="169" fontId="66" fillId="2" borderId="13" xfId="28" applyNumberFormat="1" applyFill="1" applyBorder="1"/>
    <xf numFmtId="165" fontId="16" fillId="0" borderId="51" xfId="189" applyNumberFormat="1" applyFont="1" applyBorder="1"/>
    <xf numFmtId="0" fontId="113" fillId="0" borderId="0" xfId="187"/>
    <xf numFmtId="42" fontId="47" fillId="0" borderId="0" xfId="187" applyNumberFormat="1" applyFont="1"/>
    <xf numFmtId="165" fontId="113" fillId="0" borderId="0" xfId="187" applyNumberFormat="1"/>
    <xf numFmtId="0" fontId="113" fillId="0" borderId="0" xfId="187" applyFill="1"/>
    <xf numFmtId="165" fontId="20" fillId="0" borderId="0" xfId="189" applyNumberFormat="1" applyFont="1" applyFill="1"/>
    <xf numFmtId="176" fontId="20" fillId="0" borderId="0" xfId="187" applyNumberFormat="1" applyFont="1" applyFill="1" applyAlignment="1">
      <alignment horizontal="center"/>
    </xf>
    <xf numFmtId="165" fontId="113" fillId="0" borderId="0" xfId="189" applyNumberFormat="1" applyFont="1" applyFill="1"/>
    <xf numFmtId="9" fontId="39" fillId="0" borderId="0" xfId="191" applyFont="1" applyFill="1" applyBorder="1"/>
    <xf numFmtId="42" fontId="113" fillId="0" borderId="0" xfId="187" applyNumberFormat="1" applyFill="1"/>
    <xf numFmtId="165" fontId="113" fillId="0" borderId="0" xfId="187" applyNumberFormat="1" applyFill="1"/>
    <xf numFmtId="0" fontId="47" fillId="0" borderId="0" xfId="187" applyFont="1" applyFill="1"/>
    <xf numFmtId="0" fontId="47" fillId="0" borderId="0" xfId="187" applyFont="1" applyFill="1" applyAlignment="1">
      <alignment horizontal="right"/>
    </xf>
    <xf numFmtId="0" fontId="47" fillId="0" borderId="0" xfId="187" applyFont="1" applyAlignment="1">
      <alignment horizontal="right"/>
    </xf>
    <xf numFmtId="0" fontId="47" fillId="0" borderId="0" xfId="187" quotePrefix="1" applyFont="1"/>
    <xf numFmtId="165" fontId="114" fillId="0" borderId="0" xfId="187" applyNumberFormat="1" applyFont="1"/>
    <xf numFmtId="9" fontId="56" fillId="0" borderId="0" xfId="191" applyFont="1" applyFill="1" applyBorder="1"/>
    <xf numFmtId="44" fontId="47" fillId="0" borderId="0" xfId="187" applyNumberFormat="1" applyFont="1" applyAlignment="1">
      <alignment horizontal="right"/>
    </xf>
    <xf numFmtId="3" fontId="47" fillId="0" borderId="0" xfId="187" applyNumberFormat="1" applyFont="1" applyAlignment="1">
      <alignment horizontal="right"/>
    </xf>
    <xf numFmtId="166" fontId="47" fillId="0" borderId="0" xfId="187" applyNumberFormat="1" applyFont="1" applyFill="1" applyAlignment="1">
      <alignment horizontal="right"/>
    </xf>
    <xf numFmtId="0" fontId="113" fillId="0" borderId="0" xfId="187" applyAlignment="1">
      <alignment horizontal="right"/>
    </xf>
    <xf numFmtId="0" fontId="113" fillId="0" borderId="51" xfId="187" applyBorder="1"/>
    <xf numFmtId="0" fontId="113" fillId="0" borderId="52" xfId="187" applyBorder="1"/>
    <xf numFmtId="165" fontId="113" fillId="0" borderId="50" xfId="187" applyNumberFormat="1" applyFill="1" applyBorder="1"/>
    <xf numFmtId="165" fontId="113" fillId="0" borderId="32" xfId="187" applyNumberFormat="1" applyFill="1" applyBorder="1"/>
    <xf numFmtId="165" fontId="113" fillId="0" borderId="35" xfId="187" applyNumberFormat="1" applyFill="1" applyBorder="1"/>
    <xf numFmtId="165" fontId="113" fillId="0" borderId="52" xfId="189" applyNumberFormat="1" applyFont="1" applyBorder="1" applyAlignment="1">
      <alignment horizontal="right"/>
    </xf>
    <xf numFmtId="165" fontId="113" fillId="0" borderId="51" xfId="189" applyNumberFormat="1" applyFont="1" applyBorder="1" applyAlignment="1">
      <alignment horizontal="right"/>
    </xf>
    <xf numFmtId="165" fontId="113" fillId="0" borderId="34" xfId="189" applyNumberFormat="1" applyFont="1" applyBorder="1" applyAlignment="1">
      <alignment horizontal="right"/>
    </xf>
    <xf numFmtId="0" fontId="113" fillId="0" borderId="34" xfId="187" applyBorder="1"/>
    <xf numFmtId="0" fontId="113" fillId="0" borderId="0" xfId="187"/>
    <xf numFmtId="42" fontId="47" fillId="0" borderId="0" xfId="187" applyNumberFormat="1" applyFont="1"/>
    <xf numFmtId="165" fontId="113" fillId="0" borderId="0" xfId="187" applyNumberFormat="1"/>
    <xf numFmtId="0" fontId="113" fillId="0" borderId="0" xfId="187" applyFill="1"/>
    <xf numFmtId="9" fontId="39" fillId="0" borderId="0" xfId="191" applyFont="1" applyFill="1" applyBorder="1"/>
    <xf numFmtId="42" fontId="113" fillId="0" borderId="0" xfId="187" applyNumberFormat="1" applyFill="1"/>
    <xf numFmtId="165" fontId="113" fillId="0" borderId="0" xfId="187" applyNumberFormat="1" applyFill="1"/>
    <xf numFmtId="0" fontId="47" fillId="0" borderId="0" xfId="187" applyFont="1" applyFill="1"/>
    <xf numFmtId="0" fontId="47" fillId="0" borderId="0" xfId="187" applyFont="1" applyFill="1" applyAlignment="1">
      <alignment horizontal="right"/>
    </xf>
    <xf numFmtId="0" fontId="47" fillId="0" borderId="0" xfId="187" applyFont="1" applyAlignment="1">
      <alignment horizontal="right"/>
    </xf>
    <xf numFmtId="0" fontId="47" fillId="0" borderId="0" xfId="187" quotePrefix="1" applyFont="1"/>
    <xf numFmtId="165" fontId="114" fillId="0" borderId="0" xfId="187" applyNumberFormat="1" applyFont="1"/>
    <xf numFmtId="9" fontId="56" fillId="0" borderId="0" xfId="191" applyFont="1" applyFill="1" applyBorder="1"/>
    <xf numFmtId="44" fontId="47" fillId="0" borderId="0" xfId="187" applyNumberFormat="1" applyFont="1" applyAlignment="1">
      <alignment horizontal="right"/>
    </xf>
    <xf numFmtId="3" fontId="47" fillId="0" borderId="0" xfId="187" applyNumberFormat="1" applyFont="1" applyAlignment="1">
      <alignment horizontal="right"/>
    </xf>
    <xf numFmtId="166" fontId="47" fillId="0" borderId="0" xfId="187" applyNumberFormat="1" applyFont="1" applyFill="1" applyAlignment="1">
      <alignment horizontal="right"/>
    </xf>
    <xf numFmtId="0" fontId="113" fillId="0" borderId="0" xfId="187" applyAlignment="1">
      <alignment horizontal="right"/>
    </xf>
    <xf numFmtId="0" fontId="113" fillId="0" borderId="0" xfId="187"/>
    <xf numFmtId="42" fontId="47" fillId="0" borderId="0" xfId="187" applyNumberFormat="1" applyFont="1"/>
    <xf numFmtId="165" fontId="113" fillId="0" borderId="0" xfId="187" applyNumberFormat="1"/>
    <xf numFmtId="0" fontId="113" fillId="0" borderId="0" xfId="187" applyFill="1"/>
    <xf numFmtId="9" fontId="39" fillId="0" borderId="0" xfId="191" applyFont="1" applyFill="1" applyBorder="1"/>
    <xf numFmtId="42" fontId="113" fillId="0" borderId="0" xfId="187" applyNumberFormat="1" applyFill="1"/>
    <xf numFmtId="165" fontId="113" fillId="0" borderId="0" xfId="187" applyNumberFormat="1" applyFill="1"/>
    <xf numFmtId="0" fontId="47" fillId="0" borderId="0" xfId="187" applyFont="1" applyFill="1"/>
    <xf numFmtId="0" fontId="47" fillId="0" borderId="0" xfId="187" applyFont="1" applyFill="1" applyAlignment="1">
      <alignment horizontal="right"/>
    </xf>
    <xf numFmtId="0" fontId="47" fillId="0" borderId="0" xfId="187" applyFont="1" applyAlignment="1">
      <alignment horizontal="right"/>
    </xf>
    <xf numFmtId="0" fontId="47" fillId="0" borderId="0" xfId="187" quotePrefix="1" applyFont="1"/>
    <xf numFmtId="165" fontId="114" fillId="0" borderId="0" xfId="187" applyNumberFormat="1" applyFont="1"/>
    <xf numFmtId="9" fontId="56" fillId="0" borderId="0" xfId="191" applyFont="1" applyFill="1" applyBorder="1"/>
    <xf numFmtId="44" fontId="47" fillId="0" borderId="0" xfId="187" applyNumberFormat="1" applyFont="1" applyAlignment="1">
      <alignment horizontal="right"/>
    </xf>
    <xf numFmtId="3" fontId="47" fillId="0" borderId="0" xfId="187" applyNumberFormat="1" applyFont="1" applyAlignment="1">
      <alignment horizontal="right"/>
    </xf>
    <xf numFmtId="166" fontId="47" fillId="0" borderId="0" xfId="187" applyNumberFormat="1" applyFont="1" applyFill="1" applyAlignment="1">
      <alignment horizontal="right"/>
    </xf>
    <xf numFmtId="0" fontId="113" fillId="0" borderId="0" xfId="187" applyAlignment="1">
      <alignment horizontal="right"/>
    </xf>
    <xf numFmtId="0" fontId="113" fillId="0" borderId="0" xfId="187"/>
    <xf numFmtId="42" fontId="47" fillId="0" borderId="0" xfId="187" applyNumberFormat="1" applyFont="1"/>
    <xf numFmtId="165" fontId="113" fillId="0" borderId="0" xfId="187" applyNumberFormat="1"/>
    <xf numFmtId="0" fontId="113" fillId="0" borderId="0" xfId="187" applyFill="1"/>
    <xf numFmtId="9" fontId="39" fillId="0" borderId="0" xfId="191" applyFont="1" applyFill="1" applyBorder="1"/>
    <xf numFmtId="42" fontId="113" fillId="0" borderId="0" xfId="187" applyNumberFormat="1" applyFill="1"/>
    <xf numFmtId="165" fontId="113" fillId="0" borderId="0" xfId="187" applyNumberFormat="1" applyFill="1"/>
    <xf numFmtId="0" fontId="47" fillId="0" borderId="0" xfId="187" applyFont="1" applyFill="1"/>
    <xf numFmtId="0" fontId="47" fillId="0" borderId="0" xfId="187" applyFont="1" applyFill="1" applyAlignment="1">
      <alignment horizontal="right"/>
    </xf>
    <xf numFmtId="0" fontId="47" fillId="0" borderId="0" xfId="187" applyFont="1" applyAlignment="1">
      <alignment horizontal="right"/>
    </xf>
    <xf numFmtId="0" fontId="47" fillId="0" borderId="0" xfId="187" quotePrefix="1" applyFont="1"/>
    <xf numFmtId="165" fontId="114" fillId="0" borderId="0" xfId="187" applyNumberFormat="1" applyFont="1"/>
    <xf numFmtId="9" fontId="56" fillId="0" borderId="0" xfId="191" applyFont="1" applyFill="1" applyBorder="1"/>
    <xf numFmtId="44" fontId="47" fillId="0" borderId="0" xfId="187" applyNumberFormat="1" applyFont="1" applyAlignment="1">
      <alignment horizontal="right"/>
    </xf>
    <xf numFmtId="3" fontId="47" fillId="0" borderId="0" xfId="187" applyNumberFormat="1" applyFont="1" applyAlignment="1">
      <alignment horizontal="right"/>
    </xf>
    <xf numFmtId="166" fontId="47" fillId="0" borderId="0" xfId="187" applyNumberFormat="1" applyFont="1" applyFill="1" applyAlignment="1">
      <alignment horizontal="right"/>
    </xf>
    <xf numFmtId="0" fontId="113" fillId="0" borderId="0" xfId="187" applyAlignment="1">
      <alignment horizontal="right"/>
    </xf>
    <xf numFmtId="0" fontId="113" fillId="0" borderId="0" xfId="187"/>
    <xf numFmtId="42" fontId="47" fillId="0" borderId="0" xfId="187" applyNumberFormat="1" applyFont="1"/>
    <xf numFmtId="165" fontId="113" fillId="0" borderId="0" xfId="187" applyNumberFormat="1"/>
    <xf numFmtId="0" fontId="113" fillId="0" borderId="0" xfId="187" applyFill="1"/>
    <xf numFmtId="9" fontId="39" fillId="0" borderId="0" xfId="191" applyFont="1" applyFill="1" applyBorder="1"/>
    <xf numFmtId="42" fontId="113" fillId="0" borderId="0" xfId="187" applyNumberFormat="1" applyFill="1"/>
    <xf numFmtId="165" fontId="113" fillId="0" borderId="0" xfId="187" applyNumberFormat="1" applyFill="1"/>
    <xf numFmtId="0" fontId="47" fillId="0" borderId="0" xfId="187" applyFont="1" applyFill="1"/>
    <xf numFmtId="0" fontId="47" fillId="0" borderId="0" xfId="187" applyFont="1" applyFill="1" applyAlignment="1">
      <alignment horizontal="right"/>
    </xf>
    <xf numFmtId="0" fontId="47" fillId="0" borderId="0" xfId="187" applyFont="1" applyAlignment="1">
      <alignment horizontal="right"/>
    </xf>
    <xf numFmtId="0" fontId="47" fillId="0" borderId="0" xfId="187" quotePrefix="1" applyFont="1"/>
    <xf numFmtId="165" fontId="114" fillId="0" borderId="0" xfId="187" applyNumberFormat="1" applyFont="1"/>
    <xf numFmtId="9" fontId="56" fillId="0" borderId="0" xfId="191" applyFont="1" applyFill="1" applyBorder="1"/>
    <xf numFmtId="44" fontId="47" fillId="0" borderId="0" xfId="187" applyNumberFormat="1" applyFont="1" applyAlignment="1">
      <alignment horizontal="right"/>
    </xf>
    <xf numFmtId="3" fontId="47" fillId="0" borderId="0" xfId="187" applyNumberFormat="1" applyFont="1" applyAlignment="1">
      <alignment horizontal="right"/>
    </xf>
    <xf numFmtId="166" fontId="47" fillId="0" borderId="0" xfId="187" applyNumberFormat="1" applyFont="1" applyFill="1" applyAlignment="1">
      <alignment horizontal="right"/>
    </xf>
    <xf numFmtId="0" fontId="113" fillId="0" borderId="0" xfId="187" applyAlignment="1">
      <alignment horizontal="right"/>
    </xf>
    <xf numFmtId="0" fontId="113" fillId="0" borderId="0" xfId="187"/>
    <xf numFmtId="42" fontId="47" fillId="0" borderId="0" xfId="187" applyNumberFormat="1" applyFont="1"/>
    <xf numFmtId="165" fontId="113" fillId="0" borderId="0" xfId="187" applyNumberFormat="1"/>
    <xf numFmtId="0" fontId="113" fillId="0" borderId="0" xfId="187" applyFill="1"/>
    <xf numFmtId="9" fontId="39" fillId="0" borderId="0" xfId="191" applyFont="1" applyFill="1" applyBorder="1"/>
    <xf numFmtId="42" fontId="113" fillId="0" borderId="0" xfId="187" applyNumberFormat="1" applyFill="1"/>
    <xf numFmtId="165" fontId="113" fillId="0" borderId="0" xfId="187" applyNumberFormat="1" applyFill="1"/>
    <xf numFmtId="0" fontId="47" fillId="0" borderId="0" xfId="187" applyFont="1" applyFill="1"/>
    <xf numFmtId="0" fontId="47" fillId="0" borderId="0" xfId="187" applyFont="1" applyFill="1" applyAlignment="1">
      <alignment horizontal="right"/>
    </xf>
    <xf numFmtId="0" fontId="47" fillId="0" borderId="0" xfId="187" applyFont="1" applyAlignment="1">
      <alignment horizontal="right"/>
    </xf>
    <xf numFmtId="0" fontId="47" fillId="0" borderId="0" xfId="187" quotePrefix="1" applyFont="1"/>
    <xf numFmtId="165" fontId="114" fillId="0" borderId="0" xfId="187" applyNumberFormat="1" applyFont="1"/>
    <xf numFmtId="9" fontId="56" fillId="0" borderId="0" xfId="191" applyFont="1" applyFill="1" applyBorder="1"/>
    <xf numFmtId="44" fontId="47" fillId="0" borderId="0" xfId="187" applyNumberFormat="1" applyFont="1" applyAlignment="1">
      <alignment horizontal="right"/>
    </xf>
    <xf numFmtId="3" fontId="47" fillId="0" borderId="0" xfId="187" applyNumberFormat="1" applyFont="1" applyAlignment="1">
      <alignment horizontal="right"/>
    </xf>
    <xf numFmtId="166" fontId="47" fillId="0" borderId="0" xfId="187" applyNumberFormat="1" applyFont="1" applyFill="1" applyAlignment="1">
      <alignment horizontal="right"/>
    </xf>
    <xf numFmtId="0" fontId="113" fillId="0" borderId="0" xfId="187" applyAlignment="1">
      <alignment horizontal="right"/>
    </xf>
    <xf numFmtId="0" fontId="113" fillId="0" borderId="0" xfId="187"/>
    <xf numFmtId="42" fontId="47" fillId="0" borderId="0" xfId="187" applyNumberFormat="1" applyFont="1"/>
    <xf numFmtId="165" fontId="113" fillId="0" borderId="0" xfId="187" applyNumberFormat="1"/>
    <xf numFmtId="0" fontId="113" fillId="0" borderId="0" xfId="187" applyFill="1"/>
    <xf numFmtId="9" fontId="39" fillId="0" borderId="0" xfId="191" applyFont="1" applyFill="1" applyBorder="1"/>
    <xf numFmtId="42" fontId="113" fillId="0" borderId="0" xfId="187" applyNumberFormat="1" applyFill="1"/>
    <xf numFmtId="165" fontId="113" fillId="0" borderId="0" xfId="187" applyNumberFormat="1" applyFill="1"/>
    <xf numFmtId="0" fontId="47" fillId="0" borderId="0" xfId="187" applyFont="1" applyFill="1"/>
    <xf numFmtId="0" fontId="47" fillId="0" borderId="0" xfId="187" applyFont="1" applyFill="1" applyAlignment="1">
      <alignment horizontal="right"/>
    </xf>
    <xf numFmtId="0" fontId="47" fillId="0" borderId="0" xfId="187" applyFont="1" applyAlignment="1">
      <alignment horizontal="right"/>
    </xf>
    <xf numFmtId="0" fontId="47" fillId="0" borderId="0" xfId="187" quotePrefix="1" applyFont="1"/>
    <xf numFmtId="165" fontId="114" fillId="0" borderId="0" xfId="187" applyNumberFormat="1" applyFont="1"/>
    <xf numFmtId="9" fontId="56" fillId="0" borderId="0" xfId="191" applyFont="1" applyFill="1" applyBorder="1"/>
    <xf numFmtId="44" fontId="47" fillId="0" borderId="0" xfId="187" applyNumberFormat="1" applyFont="1" applyAlignment="1">
      <alignment horizontal="right"/>
    </xf>
    <xf numFmtId="3" fontId="47" fillId="0" borderId="0" xfId="187" applyNumberFormat="1" applyFont="1" applyAlignment="1">
      <alignment horizontal="right"/>
    </xf>
    <xf numFmtId="166" fontId="47" fillId="0" borderId="0" xfId="187" applyNumberFormat="1" applyFont="1" applyFill="1" applyAlignment="1">
      <alignment horizontal="right"/>
    </xf>
    <xf numFmtId="0" fontId="113" fillId="0" borderId="0" xfId="187" applyAlignment="1">
      <alignment horizontal="right"/>
    </xf>
    <xf numFmtId="0" fontId="113" fillId="0" borderId="0" xfId="187"/>
    <xf numFmtId="0" fontId="115" fillId="0" borderId="99" xfId="190" applyBorder="1"/>
    <xf numFmtId="0" fontId="115" fillId="0" borderId="0" xfId="190" applyBorder="1"/>
    <xf numFmtId="0" fontId="115" fillId="0" borderId="16" xfId="190" applyBorder="1"/>
    <xf numFmtId="0" fontId="20" fillId="0" borderId="49" xfId="190" applyFont="1" applyBorder="1"/>
    <xf numFmtId="0" fontId="20" fillId="0" borderId="38" xfId="190" applyFont="1" applyBorder="1" applyAlignment="1">
      <alignment horizontal="center"/>
    </xf>
    <xf numFmtId="0" fontId="20" fillId="0" borderId="49" xfId="190" applyFont="1" applyBorder="1" applyAlignment="1">
      <alignment horizontal="center"/>
    </xf>
    <xf numFmtId="0" fontId="1" fillId="0" borderId="0" xfId="190" applyFont="1" applyBorder="1" applyAlignment="1">
      <alignment horizontal="left"/>
    </xf>
    <xf numFmtId="0" fontId="5" fillId="0" borderId="0" xfId="190" applyNumberFormat="1" applyFont="1" applyFill="1" applyBorder="1" applyAlignment="1">
      <alignment horizontal="right"/>
    </xf>
    <xf numFmtId="165" fontId="20" fillId="0" borderId="17" xfId="190" applyNumberFormat="1" applyFont="1" applyBorder="1"/>
    <xf numFmtId="165" fontId="20" fillId="0" borderId="19" xfId="190" applyNumberFormat="1" applyFont="1" applyBorder="1"/>
    <xf numFmtId="165" fontId="20" fillId="0" borderId="0" xfId="190" applyNumberFormat="1" applyFont="1" applyBorder="1"/>
    <xf numFmtId="172" fontId="20" fillId="0" borderId="0" xfId="190" applyNumberFormat="1" applyFont="1" applyBorder="1"/>
    <xf numFmtId="0" fontId="1" fillId="0" borderId="0" xfId="190" applyNumberFormat="1" applyFont="1" applyFill="1" applyBorder="1" applyAlignment="1">
      <alignment horizontal="left" indent="2"/>
    </xf>
    <xf numFmtId="165" fontId="115" fillId="0" borderId="0" xfId="190" applyNumberFormat="1" applyBorder="1"/>
    <xf numFmtId="172" fontId="115" fillId="0" borderId="0" xfId="190" applyNumberFormat="1" applyBorder="1"/>
    <xf numFmtId="3" fontId="115" fillId="0" borderId="0" xfId="190" applyNumberFormat="1" applyBorder="1"/>
    <xf numFmtId="0" fontId="5" fillId="0" borderId="20" xfId="190" applyNumberFormat="1" applyFont="1" applyFill="1" applyBorder="1" applyAlignment="1">
      <alignment horizontal="left"/>
    </xf>
    <xf numFmtId="3" fontId="115" fillId="0" borderId="0" xfId="190" applyNumberFormat="1"/>
    <xf numFmtId="0" fontId="115" fillId="0" borderId="36" xfId="190" applyBorder="1"/>
    <xf numFmtId="0" fontId="115" fillId="0" borderId="47" xfId="190" applyBorder="1"/>
    <xf numFmtId="0" fontId="20" fillId="0" borderId="16" xfId="190" applyFont="1" applyBorder="1" applyAlignment="1">
      <alignment horizontal="center"/>
    </xf>
    <xf numFmtId="43" fontId="115" fillId="0" borderId="23" xfId="190" applyNumberFormat="1" applyFont="1" applyBorder="1" applyAlignment="1">
      <alignment horizontal="left" vertical="center" wrapText="1"/>
    </xf>
    <xf numFmtId="0" fontId="115" fillId="0" borderId="23" xfId="190" applyBorder="1" applyAlignment="1">
      <alignment horizontal="left" vertical="center" wrapText="1"/>
    </xf>
    <xf numFmtId="0" fontId="115" fillId="0" borderId="0" xfId="190" applyBorder="1" applyAlignment="1">
      <alignment vertical="center" wrapText="1"/>
    </xf>
    <xf numFmtId="0" fontId="5" fillId="0" borderId="20" xfId="190" applyFont="1" applyBorder="1" applyAlignment="1">
      <alignment horizontal="left" vertical="center" wrapText="1"/>
    </xf>
    <xf numFmtId="187" fontId="20" fillId="0" borderId="47" xfId="190" applyNumberFormat="1" applyFont="1" applyBorder="1" applyAlignment="1">
      <alignment horizontal="center" vertical="center" wrapText="1"/>
    </xf>
    <xf numFmtId="187" fontId="20" fillId="0" borderId="99" xfId="190" applyNumberFormat="1" applyFont="1" applyBorder="1" applyAlignment="1">
      <alignment horizontal="center" vertical="center" wrapText="1"/>
    </xf>
    <xf numFmtId="9" fontId="20" fillId="0" borderId="17" xfId="191" applyFont="1" applyBorder="1" applyAlignment="1">
      <alignment horizontal="center" vertical="center" wrapText="1"/>
    </xf>
    <xf numFmtId="9" fontId="20" fillId="0" borderId="19" xfId="191" applyFont="1" applyBorder="1" applyAlignment="1">
      <alignment horizontal="center" vertical="center" wrapText="1"/>
    </xf>
    <xf numFmtId="9" fontId="115" fillId="0" borderId="47" xfId="191" applyFont="1" applyBorder="1" applyAlignment="1">
      <alignment horizontal="center" vertical="center" wrapText="1"/>
    </xf>
    <xf numFmtId="9" fontId="115" fillId="0" borderId="99" xfId="191" applyFont="1" applyBorder="1" applyAlignment="1">
      <alignment horizontal="center" vertical="center" wrapText="1"/>
    </xf>
    <xf numFmtId="165" fontId="115" fillId="0" borderId="47" xfId="190" applyNumberFormat="1" applyBorder="1" applyAlignment="1">
      <alignment vertical="center" wrapText="1"/>
    </xf>
    <xf numFmtId="165" fontId="115" fillId="0" borderId="99" xfId="190" applyNumberFormat="1" applyBorder="1" applyAlignment="1">
      <alignment vertical="center" wrapText="1"/>
    </xf>
    <xf numFmtId="172" fontId="115" fillId="0" borderId="47" xfId="190" applyNumberFormat="1" applyBorder="1" applyAlignment="1">
      <alignment vertical="center" wrapText="1"/>
    </xf>
    <xf numFmtId="3" fontId="115" fillId="0" borderId="99" xfId="190" applyNumberFormat="1" applyBorder="1" applyAlignment="1">
      <alignment vertical="center" wrapText="1"/>
    </xf>
    <xf numFmtId="187" fontId="115" fillId="0" borderId="47" xfId="189" applyNumberFormat="1" applyFont="1" applyBorder="1" applyAlignment="1">
      <alignment vertical="center" wrapText="1"/>
    </xf>
    <xf numFmtId="187" fontId="115" fillId="0" borderId="99" xfId="189" applyNumberFormat="1" applyFont="1" applyBorder="1" applyAlignment="1">
      <alignment vertical="center" wrapText="1"/>
    </xf>
    <xf numFmtId="0" fontId="1" fillId="0" borderId="1" xfId="190" applyFont="1" applyBorder="1" applyAlignment="1">
      <alignment horizontal="left" vertical="center" wrapText="1"/>
    </xf>
    <xf numFmtId="0" fontId="5" fillId="0" borderId="1" xfId="190" applyFont="1" applyFill="1" applyBorder="1" applyAlignment="1">
      <alignment horizontal="left" vertical="center" wrapText="1"/>
    </xf>
    <xf numFmtId="165" fontId="116" fillId="0" borderId="17" xfId="190" applyNumberFormat="1" applyFont="1" applyBorder="1" applyAlignment="1">
      <alignment vertical="center" wrapText="1"/>
    </xf>
    <xf numFmtId="165" fontId="116" fillId="0" borderId="18" xfId="190" applyNumberFormat="1" applyFont="1" applyBorder="1" applyAlignment="1">
      <alignment vertical="center" wrapText="1"/>
    </xf>
    <xf numFmtId="172" fontId="116" fillId="0" borderId="17" xfId="190" applyNumberFormat="1" applyFont="1" applyBorder="1" applyAlignment="1">
      <alignment vertical="center" wrapText="1"/>
    </xf>
    <xf numFmtId="172" fontId="116" fillId="0" borderId="18" xfId="190" applyNumberFormat="1" applyFont="1" applyBorder="1" applyAlignment="1">
      <alignment vertical="center" wrapText="1"/>
    </xf>
    <xf numFmtId="187" fontId="116" fillId="0" borderId="17" xfId="189" applyNumberFormat="1" applyFont="1" applyBorder="1" applyAlignment="1">
      <alignment vertical="center" wrapText="1"/>
    </xf>
    <xf numFmtId="187" fontId="116" fillId="0" borderId="19" xfId="189" applyNumberFormat="1" applyFont="1" applyBorder="1" applyAlignment="1">
      <alignment vertical="center" wrapText="1"/>
    </xf>
    <xf numFmtId="0" fontId="1" fillId="0" borderId="24" xfId="190" applyFont="1" applyBorder="1" applyAlignment="1">
      <alignment horizontal="left" vertical="center" wrapText="1"/>
    </xf>
    <xf numFmtId="9" fontId="115" fillId="0" borderId="38" xfId="191" applyFont="1" applyBorder="1" applyAlignment="1">
      <alignment horizontal="center" vertical="center" wrapText="1"/>
    </xf>
    <xf numFmtId="9" fontId="115" fillId="0" borderId="49" xfId="191" applyFont="1" applyBorder="1" applyAlignment="1">
      <alignment horizontal="center" vertical="center" wrapText="1"/>
    </xf>
    <xf numFmtId="0" fontId="115" fillId="0" borderId="0" xfId="190" applyBorder="1" applyAlignment="1">
      <alignment horizontal="left" vertical="center" wrapText="1"/>
    </xf>
    <xf numFmtId="9" fontId="115" fillId="0" borderId="0" xfId="191" applyFont="1" applyBorder="1" applyAlignment="1">
      <alignment horizontal="center" vertical="center" wrapText="1"/>
    </xf>
    <xf numFmtId="9" fontId="20" fillId="0" borderId="18" xfId="191" applyFont="1" applyBorder="1" applyAlignment="1">
      <alignment horizontal="center" vertical="center" wrapText="1"/>
    </xf>
    <xf numFmtId="0" fontId="115" fillId="0" borderId="112" xfId="190" applyBorder="1" applyAlignment="1">
      <alignment horizontal="left" vertical="center" wrapText="1"/>
    </xf>
    <xf numFmtId="0" fontId="115" fillId="0" borderId="31" xfId="190" applyBorder="1" applyAlignment="1">
      <alignment horizontal="left" vertical="center" wrapText="1"/>
    </xf>
    <xf numFmtId="0" fontId="115" fillId="0" borderId="40" xfId="190" applyBorder="1" applyAlignment="1">
      <alignment horizontal="left" vertical="center" wrapText="1"/>
    </xf>
    <xf numFmtId="0" fontId="115" fillId="0" borderId="42" xfId="190" applyBorder="1" applyAlignment="1">
      <alignment horizontal="left" vertical="center" wrapText="1"/>
    </xf>
    <xf numFmtId="0" fontId="20" fillId="0" borderId="45" xfId="190" applyFont="1" applyBorder="1" applyAlignment="1">
      <alignment horizontal="center"/>
    </xf>
    <xf numFmtId="0" fontId="20" fillId="0" borderId="109" xfId="190" applyFont="1" applyBorder="1" applyAlignment="1">
      <alignment horizontal="center"/>
    </xf>
    <xf numFmtId="0" fontId="115" fillId="0" borderId="21" xfId="190" applyBorder="1" applyAlignment="1">
      <alignment horizontal="left" vertical="center" wrapText="1"/>
    </xf>
    <xf numFmtId="0" fontId="115" fillId="0" borderId="47" xfId="190" applyBorder="1" applyAlignment="1">
      <alignment vertical="center" wrapText="1"/>
    </xf>
    <xf numFmtId="0" fontId="115" fillId="0" borderId="0" xfId="190" applyAlignment="1">
      <alignment vertical="center" wrapText="1"/>
    </xf>
    <xf numFmtId="165" fontId="115" fillId="0" borderId="38" xfId="190" applyNumberFormat="1" applyBorder="1" applyAlignment="1">
      <alignment vertical="center" wrapText="1"/>
    </xf>
    <xf numFmtId="165" fontId="115" fillId="0" borderId="49" xfId="190" applyNumberFormat="1" applyBorder="1" applyAlignment="1">
      <alignment vertical="center" wrapText="1"/>
    </xf>
    <xf numFmtId="3" fontId="115" fillId="0" borderId="49" xfId="190" applyNumberFormat="1" applyBorder="1" applyAlignment="1">
      <alignment vertical="center" wrapText="1"/>
    </xf>
    <xf numFmtId="0" fontId="115" fillId="0" borderId="38" xfId="190" applyBorder="1" applyAlignment="1">
      <alignment vertical="center" wrapText="1"/>
    </xf>
    <xf numFmtId="0" fontId="5" fillId="0" borderId="0" xfId="190" applyNumberFormat="1" applyFont="1" applyFill="1" applyBorder="1" applyAlignment="1">
      <alignment horizontal="right" vertical="center" wrapText="1"/>
    </xf>
    <xf numFmtId="165" fontId="20" fillId="0" borderId="17" xfId="190" applyNumberFormat="1" applyFont="1" applyBorder="1" applyAlignment="1">
      <alignment vertical="center" wrapText="1"/>
    </xf>
    <xf numFmtId="165" fontId="20" fillId="0" borderId="19" xfId="190" applyNumberFormat="1" applyFont="1" applyBorder="1" applyAlignment="1">
      <alignment vertical="center" wrapText="1"/>
    </xf>
    <xf numFmtId="172" fontId="20" fillId="0" borderId="17" xfId="190" applyNumberFormat="1" applyFont="1" applyBorder="1" applyAlignment="1">
      <alignment vertical="center" wrapText="1"/>
    </xf>
    <xf numFmtId="172" fontId="20" fillId="0" borderId="19" xfId="190" applyNumberFormat="1" applyFont="1" applyBorder="1" applyAlignment="1">
      <alignment vertical="center" wrapText="1"/>
    </xf>
    <xf numFmtId="0" fontId="1" fillId="0" borderId="14" xfId="190" applyFont="1" applyBorder="1" applyAlignment="1">
      <alignment horizontal="left" vertical="center" wrapText="1"/>
    </xf>
    <xf numFmtId="0" fontId="118" fillId="0" borderId="14" xfId="190" applyFont="1" applyFill="1" applyBorder="1" applyAlignment="1">
      <alignment horizontal="left" vertical="center" wrapText="1"/>
    </xf>
    <xf numFmtId="0" fontId="1" fillId="0" borderId="3" xfId="190" applyNumberFormat="1" applyFont="1" applyFill="1" applyBorder="1" applyAlignment="1">
      <alignment horizontal="left" vertical="center" wrapText="1"/>
    </xf>
    <xf numFmtId="165" fontId="115" fillId="0" borderId="106" xfId="190" applyNumberFormat="1" applyBorder="1" applyAlignment="1">
      <alignment vertical="center" wrapText="1"/>
    </xf>
    <xf numFmtId="165" fontId="115" fillId="0" borderId="110" xfId="190" applyNumberFormat="1" applyBorder="1" applyAlignment="1">
      <alignment vertical="center" wrapText="1"/>
    </xf>
    <xf numFmtId="172" fontId="115" fillId="0" borderId="106" xfId="190" applyNumberFormat="1" applyBorder="1" applyAlignment="1">
      <alignment vertical="center" wrapText="1"/>
    </xf>
    <xf numFmtId="3" fontId="115" fillId="0" borderId="110" xfId="190" applyNumberFormat="1" applyBorder="1" applyAlignment="1">
      <alignment vertical="center" wrapText="1"/>
    </xf>
    <xf numFmtId="187" fontId="115" fillId="0" borderId="106" xfId="189" applyNumberFormat="1" applyFont="1" applyBorder="1" applyAlignment="1">
      <alignment vertical="center" wrapText="1"/>
    </xf>
    <xf numFmtId="187" fontId="115" fillId="0" borderId="110" xfId="189" applyNumberFormat="1" applyFont="1" applyBorder="1" applyAlignment="1">
      <alignment vertical="center" wrapText="1"/>
    </xf>
    <xf numFmtId="9" fontId="115" fillId="0" borderId="106" xfId="191" applyFont="1" applyBorder="1" applyAlignment="1">
      <alignment horizontal="center" vertical="center" wrapText="1"/>
    </xf>
    <xf numFmtId="9" fontId="115" fillId="0" borderId="110" xfId="191" applyFont="1" applyBorder="1" applyAlignment="1">
      <alignment horizontal="center" vertical="center" wrapText="1"/>
    </xf>
    <xf numFmtId="0" fontId="1" fillId="0" borderId="6" xfId="190" applyNumberFormat="1" applyFont="1" applyFill="1" applyBorder="1" applyAlignment="1">
      <alignment horizontal="left" vertical="center" wrapText="1"/>
    </xf>
    <xf numFmtId="165" fontId="115" fillId="0" borderId="64" xfId="190" applyNumberFormat="1" applyBorder="1" applyAlignment="1">
      <alignment vertical="center" wrapText="1"/>
    </xf>
    <xf numFmtId="165" fontId="115" fillId="0" borderId="101" xfId="190" applyNumberFormat="1" applyBorder="1" applyAlignment="1">
      <alignment vertical="center" wrapText="1"/>
    </xf>
    <xf numFmtId="172" fontId="115" fillId="0" borderId="64" xfId="190" applyNumberFormat="1" applyBorder="1" applyAlignment="1">
      <alignment vertical="center" wrapText="1"/>
    </xf>
    <xf numFmtId="3" fontId="115" fillId="0" borderId="101" xfId="190" applyNumberFormat="1" applyBorder="1" applyAlignment="1">
      <alignment vertical="center" wrapText="1"/>
    </xf>
    <xf numFmtId="187" fontId="115" fillId="0" borderId="64" xfId="189" applyNumberFormat="1" applyFont="1" applyBorder="1" applyAlignment="1">
      <alignment vertical="center" wrapText="1"/>
    </xf>
    <xf numFmtId="187" fontId="115" fillId="0" borderId="101" xfId="189" applyNumberFormat="1" applyFont="1" applyBorder="1" applyAlignment="1">
      <alignment vertical="center" wrapText="1"/>
    </xf>
    <xf numFmtId="9" fontId="115" fillId="0" borderId="64" xfId="191" applyFont="1" applyBorder="1" applyAlignment="1">
      <alignment horizontal="center" vertical="center" wrapText="1"/>
    </xf>
    <xf numFmtId="9" fontId="115" fillId="0" borderId="101" xfId="191" applyFont="1" applyBorder="1" applyAlignment="1">
      <alignment horizontal="center" vertical="center" wrapText="1"/>
    </xf>
    <xf numFmtId="0" fontId="115" fillId="0" borderId="25" xfId="190" applyBorder="1" applyAlignment="1">
      <alignment horizontal="left" vertical="center" wrapText="1"/>
    </xf>
    <xf numFmtId="0" fontId="115" fillId="0" borderId="27" xfId="190" applyBorder="1" applyAlignment="1">
      <alignment horizontal="left" vertical="center" wrapText="1"/>
    </xf>
    <xf numFmtId="0" fontId="115" fillId="0" borderId="44" xfId="190" applyBorder="1" applyAlignment="1">
      <alignment horizontal="left" vertical="center" wrapText="1"/>
    </xf>
    <xf numFmtId="0" fontId="115" fillId="0" borderId="108" xfId="190" applyBorder="1" applyAlignment="1">
      <alignment horizontal="left" vertical="center" wrapText="1"/>
    </xf>
    <xf numFmtId="0" fontId="20" fillId="0" borderId="1" xfId="190" applyFont="1" applyBorder="1" applyAlignment="1">
      <alignment horizontal="left" vertical="center" wrapText="1"/>
    </xf>
    <xf numFmtId="0" fontId="20" fillId="0" borderId="24" xfId="190" applyFont="1" applyBorder="1" applyAlignment="1">
      <alignment vertical="center" wrapText="1"/>
    </xf>
    <xf numFmtId="165" fontId="115" fillId="0" borderId="70" xfId="190" applyNumberFormat="1" applyBorder="1" applyAlignment="1">
      <alignment vertical="center" wrapText="1"/>
    </xf>
    <xf numFmtId="165" fontId="115" fillId="0" borderId="104" xfId="190" applyNumberFormat="1" applyBorder="1" applyAlignment="1">
      <alignment vertical="center" wrapText="1"/>
    </xf>
    <xf numFmtId="3" fontId="115" fillId="0" borderId="70" xfId="190" applyNumberFormat="1" applyBorder="1" applyAlignment="1">
      <alignment vertical="center" wrapText="1"/>
    </xf>
    <xf numFmtId="3" fontId="115" fillId="0" borderId="104" xfId="190" applyNumberFormat="1" applyBorder="1" applyAlignment="1">
      <alignment vertical="center" wrapText="1"/>
    </xf>
    <xf numFmtId="3" fontId="115" fillId="0" borderId="38" xfId="190" applyNumberFormat="1" applyBorder="1" applyAlignment="1">
      <alignment vertical="center" wrapText="1"/>
    </xf>
    <xf numFmtId="3" fontId="115" fillId="0" borderId="47" xfId="190" applyNumberFormat="1" applyBorder="1" applyAlignment="1">
      <alignment vertical="center" wrapText="1"/>
    </xf>
    <xf numFmtId="165" fontId="115" fillId="0" borderId="17" xfId="190" applyNumberFormat="1" applyBorder="1" applyAlignment="1">
      <alignment vertical="center" wrapText="1"/>
    </xf>
    <xf numFmtId="165" fontId="115" fillId="0" borderId="19" xfId="190" applyNumberFormat="1" applyBorder="1" applyAlignment="1">
      <alignment vertical="center" wrapText="1"/>
    </xf>
    <xf numFmtId="3" fontId="115" fillId="0" borderId="17" xfId="190" applyNumberFormat="1" applyBorder="1" applyAlignment="1">
      <alignment vertical="center" wrapText="1"/>
    </xf>
    <xf numFmtId="3" fontId="115" fillId="0" borderId="19" xfId="190" applyNumberFormat="1" applyBorder="1" applyAlignment="1">
      <alignment vertical="center" wrapText="1"/>
    </xf>
    <xf numFmtId="0" fontId="115" fillId="0" borderId="14" xfId="190" applyBorder="1" applyAlignment="1">
      <alignment vertical="center" wrapText="1"/>
    </xf>
    <xf numFmtId="0" fontId="20" fillId="0" borderId="17" xfId="190" applyFont="1" applyBorder="1" applyAlignment="1">
      <alignment vertical="center" wrapText="1"/>
    </xf>
    <xf numFmtId="9" fontId="115" fillId="0" borderId="17" xfId="191" applyFont="1" applyBorder="1" applyAlignment="1">
      <alignment horizontal="center" vertical="center" wrapText="1"/>
    </xf>
    <xf numFmtId="9" fontId="115" fillId="0" borderId="18" xfId="191" applyFont="1" applyBorder="1" applyAlignment="1">
      <alignment horizontal="center" vertical="center" wrapText="1"/>
    </xf>
    <xf numFmtId="9" fontId="115" fillId="0" borderId="107" xfId="191" applyFont="1" applyBorder="1" applyAlignment="1">
      <alignment horizontal="center" vertical="center" wrapText="1"/>
    </xf>
    <xf numFmtId="9" fontId="115" fillId="0" borderId="10" xfId="191" applyFont="1" applyBorder="1" applyAlignment="1">
      <alignment horizontal="center" vertical="center" wrapText="1"/>
    </xf>
    <xf numFmtId="3" fontId="115" fillId="0" borderId="106" xfId="190" applyNumberFormat="1" applyBorder="1" applyAlignment="1">
      <alignment vertical="center" wrapText="1"/>
    </xf>
    <xf numFmtId="3" fontId="115" fillId="0" borderId="64" xfId="190" applyNumberFormat="1" applyBorder="1" applyAlignment="1">
      <alignment vertical="center" wrapText="1"/>
    </xf>
    <xf numFmtId="0" fontId="118" fillId="0" borderId="6" xfId="190" applyNumberFormat="1" applyFont="1" applyFill="1" applyBorder="1" applyAlignment="1">
      <alignment horizontal="left" vertical="center" wrapText="1"/>
    </xf>
    <xf numFmtId="0" fontId="118" fillId="0" borderId="3" xfId="190" applyFont="1" applyFill="1" applyBorder="1" applyAlignment="1">
      <alignment horizontal="left" vertical="center" wrapText="1" indent="2"/>
    </xf>
    <xf numFmtId="0" fontId="118" fillId="0" borderId="6" xfId="190" applyNumberFormat="1" applyFont="1" applyFill="1" applyBorder="1" applyAlignment="1">
      <alignment horizontal="left" vertical="center" wrapText="1" indent="2"/>
    </xf>
    <xf numFmtId="0" fontId="1" fillId="0" borderId="24" xfId="190" applyNumberFormat="1" applyFont="1" applyFill="1" applyBorder="1" applyAlignment="1">
      <alignment horizontal="left" vertical="center" wrapText="1" indent="2"/>
    </xf>
    <xf numFmtId="0" fontId="115" fillId="0" borderId="3" xfId="190" applyBorder="1" applyAlignment="1">
      <alignment horizontal="left" vertical="center" wrapText="1" indent="2"/>
    </xf>
    <xf numFmtId="0" fontId="115" fillId="0" borderId="6" xfId="190" applyBorder="1" applyAlignment="1">
      <alignment horizontal="left" vertical="center" wrapText="1" indent="2"/>
    </xf>
    <xf numFmtId="0" fontId="115" fillId="0" borderId="14" xfId="190" applyBorder="1" applyAlignment="1">
      <alignment horizontal="left" vertical="center" wrapText="1" indent="2"/>
    </xf>
    <xf numFmtId="0" fontId="115" fillId="0" borderId="4" xfId="190" applyBorder="1" applyAlignment="1">
      <alignment horizontal="left" vertical="center" wrapText="1" indent="2"/>
    </xf>
    <xf numFmtId="0" fontId="115" fillId="0" borderId="24" xfId="190" applyBorder="1" applyAlignment="1">
      <alignment horizontal="left" vertical="center" wrapText="1" indent="2"/>
    </xf>
    <xf numFmtId="0" fontId="115" fillId="0" borderId="36" xfId="190" applyBorder="1" applyAlignment="1">
      <alignment vertical="center" wrapText="1"/>
    </xf>
    <xf numFmtId="9" fontId="13" fillId="0" borderId="38" xfId="191" applyFont="1" applyBorder="1" applyAlignment="1">
      <alignment horizontal="center" vertical="center" wrapText="1"/>
    </xf>
    <xf numFmtId="9" fontId="20" fillId="0" borderId="16" xfId="191" applyFont="1" applyBorder="1" applyAlignment="1">
      <alignment horizontal="center" vertical="center" wrapText="1"/>
    </xf>
    <xf numFmtId="0" fontId="67" fillId="0" borderId="44" xfId="190" applyFont="1" applyBorder="1" applyAlignment="1">
      <alignment horizontal="left" vertical="center" wrapText="1"/>
    </xf>
    <xf numFmtId="0" fontId="67" fillId="0" borderId="108" xfId="190" applyFont="1" applyBorder="1" applyAlignment="1">
      <alignment horizontal="left" vertical="center" wrapText="1"/>
    </xf>
    <xf numFmtId="0" fontId="67" fillId="0" borderId="112" xfId="190" applyFont="1" applyBorder="1" applyAlignment="1">
      <alignment horizontal="left" vertical="center" wrapText="1"/>
    </xf>
    <xf numFmtId="0" fontId="67" fillId="0" borderId="31" xfId="190" applyFont="1" applyBorder="1" applyAlignment="1">
      <alignment horizontal="left" vertical="center" wrapText="1"/>
    </xf>
    <xf numFmtId="0" fontId="67" fillId="0" borderId="21" xfId="190" applyFont="1" applyBorder="1" applyAlignment="1">
      <alignment horizontal="left" vertical="center" wrapText="1"/>
    </xf>
    <xf numFmtId="0" fontId="67" fillId="0" borderId="23" xfId="190" applyFont="1" applyBorder="1" applyAlignment="1">
      <alignment horizontal="left" vertical="center" wrapText="1"/>
    </xf>
    <xf numFmtId="0" fontId="67" fillId="0" borderId="25" xfId="190" applyFont="1" applyBorder="1" applyAlignment="1">
      <alignment horizontal="left" vertical="center" wrapText="1"/>
    </xf>
    <xf numFmtId="0" fontId="67" fillId="0" borderId="27" xfId="190" applyFont="1" applyBorder="1" applyAlignment="1">
      <alignment horizontal="left" vertical="center" wrapText="1"/>
    </xf>
    <xf numFmtId="0" fontId="67" fillId="0" borderId="40" xfId="190" applyFont="1" applyBorder="1" applyAlignment="1">
      <alignment horizontal="left" vertical="center" wrapText="1"/>
    </xf>
    <xf numFmtId="0" fontId="67" fillId="0" borderId="42" xfId="190" applyFont="1" applyBorder="1" applyAlignment="1">
      <alignment horizontal="left" vertical="center" wrapText="1"/>
    </xf>
    <xf numFmtId="0" fontId="113" fillId="0" borderId="0" xfId="187"/>
    <xf numFmtId="0" fontId="115" fillId="0" borderId="16" xfId="190" applyBorder="1"/>
    <xf numFmtId="0" fontId="5" fillId="0" borderId="0" xfId="190" applyNumberFormat="1" applyFont="1" applyFill="1" applyBorder="1" applyAlignment="1">
      <alignment horizontal="right"/>
    </xf>
    <xf numFmtId="165" fontId="20" fillId="0" borderId="17" xfId="190" applyNumberFormat="1" applyFont="1" applyBorder="1"/>
    <xf numFmtId="165" fontId="20" fillId="0" borderId="19" xfId="190" applyNumberFormat="1" applyFont="1" applyBorder="1"/>
    <xf numFmtId="172" fontId="20" fillId="0" borderId="17" xfId="190" applyNumberFormat="1" applyFont="1" applyBorder="1"/>
    <xf numFmtId="172" fontId="20" fillId="0" borderId="19" xfId="190" applyNumberFormat="1" applyFont="1" applyBorder="1"/>
    <xf numFmtId="0" fontId="115" fillId="0" borderId="47" xfId="190" applyBorder="1"/>
    <xf numFmtId="0" fontId="20" fillId="0" borderId="45" xfId="190" applyFont="1" applyBorder="1" applyAlignment="1">
      <alignment horizontal="center"/>
    </xf>
    <xf numFmtId="0" fontId="115" fillId="0" borderId="21" xfId="190" applyBorder="1" applyAlignment="1">
      <alignment horizontal="left" vertical="center" wrapText="1"/>
    </xf>
    <xf numFmtId="0" fontId="115" fillId="0" borderId="28" xfId="190" applyBorder="1" applyAlignment="1">
      <alignment horizontal="left" vertical="center" wrapText="1"/>
    </xf>
    <xf numFmtId="0" fontId="115" fillId="0" borderId="44" xfId="190" applyBorder="1" applyAlignment="1">
      <alignment horizontal="left" vertical="center" wrapText="1"/>
    </xf>
    <xf numFmtId="0" fontId="20" fillId="0" borderId="47" xfId="190" applyFont="1" applyBorder="1" applyAlignment="1">
      <alignment horizontal="center"/>
    </xf>
    <xf numFmtId="0" fontId="20" fillId="0" borderId="99" xfId="190" applyFont="1" applyBorder="1" applyAlignment="1">
      <alignment horizontal="center"/>
    </xf>
    <xf numFmtId="0" fontId="20" fillId="0" borderId="0" xfId="190" applyFont="1" applyBorder="1"/>
    <xf numFmtId="0" fontId="20" fillId="0" borderId="0" xfId="190" applyFont="1" applyBorder="1" applyAlignment="1">
      <alignment horizontal="center"/>
    </xf>
    <xf numFmtId="0" fontId="115" fillId="0" borderId="19" xfId="190" applyBorder="1" applyAlignment="1">
      <alignment horizontal="left" vertical="center" wrapText="1"/>
    </xf>
    <xf numFmtId="0" fontId="115" fillId="0" borderId="104" xfId="190" applyBorder="1" applyAlignment="1">
      <alignment horizontal="left" vertical="center" wrapText="1"/>
    </xf>
    <xf numFmtId="0" fontId="20" fillId="0" borderId="111" xfId="190" applyFont="1" applyBorder="1" applyAlignment="1">
      <alignment horizontal="center"/>
    </xf>
    <xf numFmtId="0" fontId="115" fillId="0" borderId="101" xfId="190" applyBorder="1" applyAlignment="1">
      <alignment horizontal="left" vertical="center" wrapText="1"/>
    </xf>
    <xf numFmtId="0" fontId="20" fillId="0" borderId="1" xfId="190" applyFont="1" applyBorder="1" applyAlignment="1">
      <alignment vertical="center"/>
    </xf>
    <xf numFmtId="165" fontId="20" fillId="0" borderId="17" xfId="190" applyNumberFormat="1" applyFont="1" applyBorder="1" applyAlignment="1">
      <alignment horizontal="center" vertical="center"/>
    </xf>
    <xf numFmtId="165" fontId="20" fillId="0" borderId="19" xfId="190" applyNumberFormat="1" applyFont="1" applyBorder="1" applyAlignment="1">
      <alignment horizontal="center" vertical="center"/>
    </xf>
    <xf numFmtId="172" fontId="20" fillId="0" borderId="17" xfId="190" applyNumberFormat="1" applyFont="1" applyBorder="1" applyAlignment="1">
      <alignment horizontal="center" vertical="center"/>
    </xf>
    <xf numFmtId="172" fontId="20" fillId="0" borderId="19" xfId="190" applyNumberFormat="1" applyFont="1" applyBorder="1" applyAlignment="1">
      <alignment horizontal="center" vertical="center"/>
    </xf>
    <xf numFmtId="187" fontId="20" fillId="0" borderId="17" xfId="190" applyNumberFormat="1" applyFont="1" applyBorder="1" applyAlignment="1">
      <alignment vertical="center"/>
    </xf>
    <xf numFmtId="187" fontId="20" fillId="0" borderId="18" xfId="190" applyNumberFormat="1" applyFont="1" applyBorder="1" applyAlignment="1">
      <alignment vertical="center"/>
    </xf>
    <xf numFmtId="9" fontId="20" fillId="0" borderId="17" xfId="191" applyFont="1" applyBorder="1" applyAlignment="1">
      <alignment horizontal="center" vertical="center"/>
    </xf>
    <xf numFmtId="9" fontId="20" fillId="0" borderId="19" xfId="191" applyFont="1" applyBorder="1" applyAlignment="1">
      <alignment horizontal="center" vertical="center"/>
    </xf>
    <xf numFmtId="0" fontId="118" fillId="0" borderId="3" xfId="190" applyFont="1" applyFill="1" applyBorder="1" applyAlignment="1">
      <alignment horizontal="left" vertical="center"/>
    </xf>
    <xf numFmtId="165" fontId="115" fillId="0" borderId="106" xfId="190" applyNumberFormat="1" applyBorder="1" applyAlignment="1">
      <alignment vertical="center"/>
    </xf>
    <xf numFmtId="165" fontId="115" fillId="0" borderId="110" xfId="190" applyNumberFormat="1" applyBorder="1" applyAlignment="1">
      <alignment vertical="center"/>
    </xf>
    <xf numFmtId="172" fontId="115" fillId="0" borderId="106" xfId="190" applyNumberFormat="1" applyBorder="1" applyAlignment="1">
      <alignment vertical="center"/>
    </xf>
    <xf numFmtId="3" fontId="115" fillId="0" borderId="110" xfId="190" applyNumberFormat="1" applyBorder="1" applyAlignment="1">
      <alignment vertical="center"/>
    </xf>
    <xf numFmtId="187" fontId="115" fillId="0" borderId="106" xfId="190" applyNumberFormat="1" applyBorder="1" applyAlignment="1">
      <alignment vertical="center"/>
    </xf>
    <xf numFmtId="187" fontId="115" fillId="0" borderId="107" xfId="190" applyNumberFormat="1" applyBorder="1" applyAlignment="1">
      <alignment vertical="center"/>
    </xf>
    <xf numFmtId="9" fontId="115" fillId="0" borderId="106" xfId="191" applyFont="1" applyBorder="1" applyAlignment="1">
      <alignment horizontal="center" vertical="center"/>
    </xf>
    <xf numFmtId="9" fontId="115" fillId="0" borderId="110" xfId="191" applyFont="1" applyBorder="1" applyAlignment="1">
      <alignment horizontal="center" vertical="center"/>
    </xf>
    <xf numFmtId="0" fontId="118" fillId="0" borderId="6" xfId="190" applyNumberFormat="1" applyFont="1" applyFill="1" applyBorder="1" applyAlignment="1">
      <alignment horizontal="left" vertical="center"/>
    </xf>
    <xf numFmtId="165" fontId="115" fillId="0" borderId="64" xfId="190" applyNumberFormat="1" applyBorder="1" applyAlignment="1">
      <alignment vertical="center"/>
    </xf>
    <xf numFmtId="165" fontId="115" fillId="0" borderId="101" xfId="190" applyNumberFormat="1" applyBorder="1" applyAlignment="1">
      <alignment vertical="center"/>
    </xf>
    <xf numFmtId="172" fontId="115" fillId="0" borderId="64" xfId="190" applyNumberFormat="1" applyBorder="1" applyAlignment="1">
      <alignment vertical="center"/>
    </xf>
    <xf numFmtId="0" fontId="115" fillId="0" borderId="101" xfId="190" applyBorder="1" applyAlignment="1">
      <alignment vertical="center"/>
    </xf>
    <xf numFmtId="187" fontId="115" fillId="0" borderId="64" xfId="190" applyNumberFormat="1" applyBorder="1" applyAlignment="1">
      <alignment vertical="center"/>
    </xf>
    <xf numFmtId="187" fontId="115" fillId="0" borderId="10" xfId="190" applyNumberFormat="1" applyBorder="1" applyAlignment="1">
      <alignment vertical="center"/>
    </xf>
    <xf numFmtId="9" fontId="115" fillId="0" borderId="64" xfId="191" applyFont="1" applyBorder="1" applyAlignment="1">
      <alignment horizontal="center" vertical="center"/>
    </xf>
    <xf numFmtId="9" fontId="115" fillId="0" borderId="101" xfId="191" applyFont="1" applyBorder="1" applyAlignment="1">
      <alignment horizontal="center" vertical="center"/>
    </xf>
    <xf numFmtId="3" fontId="115" fillId="0" borderId="101" xfId="190" applyNumberFormat="1" applyBorder="1" applyAlignment="1">
      <alignment vertical="center"/>
    </xf>
    <xf numFmtId="0" fontId="118" fillId="0" borderId="14" xfId="190" applyNumberFormat="1" applyFont="1" applyFill="1" applyBorder="1" applyAlignment="1">
      <alignment horizontal="left" vertical="center"/>
    </xf>
    <xf numFmtId="165" fontId="115" fillId="0" borderId="47" xfId="190" applyNumberFormat="1" applyBorder="1" applyAlignment="1">
      <alignment vertical="center"/>
    </xf>
    <xf numFmtId="165" fontId="115" fillId="0" borderId="99" xfId="190" applyNumberFormat="1" applyBorder="1" applyAlignment="1">
      <alignment vertical="center"/>
    </xf>
    <xf numFmtId="172" fontId="115" fillId="0" borderId="47" xfId="190" applyNumberFormat="1" applyBorder="1" applyAlignment="1">
      <alignment vertical="center"/>
    </xf>
    <xf numFmtId="3" fontId="115" fillId="0" borderId="99" xfId="190" applyNumberFormat="1" applyBorder="1" applyAlignment="1">
      <alignment vertical="center"/>
    </xf>
    <xf numFmtId="187" fontId="115" fillId="0" borderId="47" xfId="190" applyNumberFormat="1" applyBorder="1" applyAlignment="1">
      <alignment vertical="center"/>
    </xf>
    <xf numFmtId="187" fontId="115" fillId="0" borderId="0" xfId="190" applyNumberFormat="1" applyBorder="1" applyAlignment="1">
      <alignment vertical="center"/>
    </xf>
    <xf numFmtId="9" fontId="115" fillId="0" borderId="47" xfId="191" applyFont="1" applyBorder="1" applyAlignment="1">
      <alignment horizontal="center" vertical="center"/>
    </xf>
    <xf numFmtId="9" fontId="115" fillId="0" borderId="99" xfId="191" applyFont="1" applyBorder="1" applyAlignment="1">
      <alignment horizontal="center" vertical="center"/>
    </xf>
    <xf numFmtId="0" fontId="117" fillId="0" borderId="1" xfId="190" applyNumberFormat="1" applyFont="1" applyFill="1" applyBorder="1" applyAlignment="1">
      <alignment horizontal="left" vertical="center"/>
    </xf>
    <xf numFmtId="165" fontId="116" fillId="0" borderId="17" xfId="190" applyNumberFormat="1" applyFont="1" applyBorder="1" applyAlignment="1">
      <alignment horizontal="center" vertical="center"/>
    </xf>
    <xf numFmtId="165" fontId="20" fillId="0" borderId="18" xfId="190" applyNumberFormat="1" applyFont="1" applyBorder="1" applyAlignment="1">
      <alignment horizontal="center" vertical="center"/>
    </xf>
    <xf numFmtId="172" fontId="20" fillId="0" borderId="18" xfId="190" applyNumberFormat="1" applyFont="1" applyBorder="1" applyAlignment="1">
      <alignment horizontal="center" vertical="center"/>
    </xf>
    <xf numFmtId="187" fontId="116" fillId="0" borderId="17" xfId="190" applyNumberFormat="1" applyFont="1" applyBorder="1" applyAlignment="1">
      <alignment vertical="center"/>
    </xf>
    <xf numFmtId="187" fontId="116" fillId="0" borderId="18" xfId="190" applyNumberFormat="1" applyFont="1" applyBorder="1" applyAlignment="1">
      <alignment vertical="center"/>
    </xf>
    <xf numFmtId="0" fontId="118" fillId="0" borderId="4" xfId="190" applyFont="1" applyFill="1" applyBorder="1" applyAlignment="1">
      <alignment horizontal="left" vertical="center"/>
    </xf>
    <xf numFmtId="165" fontId="115" fillId="0" borderId="70" xfId="190" applyNumberFormat="1" applyBorder="1" applyAlignment="1">
      <alignment vertical="center"/>
    </xf>
    <xf numFmtId="165" fontId="115" fillId="0" borderId="104" xfId="190" applyNumberFormat="1" applyBorder="1" applyAlignment="1">
      <alignment vertical="center"/>
    </xf>
    <xf numFmtId="165" fontId="13" fillId="0" borderId="104" xfId="190" applyNumberFormat="1" applyFont="1" applyBorder="1" applyAlignment="1">
      <alignment horizontal="center" vertical="center"/>
    </xf>
    <xf numFmtId="172" fontId="115" fillId="0" borderId="70" xfId="190" applyNumberFormat="1" applyBorder="1" applyAlignment="1">
      <alignment vertical="center"/>
    </xf>
    <xf numFmtId="3" fontId="115" fillId="0" borderId="104" xfId="190" applyNumberFormat="1" applyBorder="1" applyAlignment="1">
      <alignment vertical="center"/>
    </xf>
    <xf numFmtId="187" fontId="115" fillId="0" borderId="70" xfId="190" applyNumberFormat="1" applyBorder="1" applyAlignment="1">
      <alignment vertical="center"/>
    </xf>
    <xf numFmtId="187" fontId="115" fillId="0" borderId="2" xfId="190" applyNumberFormat="1" applyBorder="1" applyAlignment="1">
      <alignment vertical="center"/>
    </xf>
    <xf numFmtId="9" fontId="115" fillId="0" borderId="70" xfId="191" applyFont="1" applyBorder="1" applyAlignment="1">
      <alignment horizontal="center" vertical="center"/>
    </xf>
    <xf numFmtId="9" fontId="115" fillId="0" borderId="104" xfId="191" applyFont="1" applyBorder="1" applyAlignment="1">
      <alignment horizontal="center" vertical="center"/>
    </xf>
    <xf numFmtId="0" fontId="118" fillId="0" borderId="6" xfId="190" applyFont="1" applyFill="1" applyBorder="1" applyAlignment="1">
      <alignment horizontal="left" vertical="center"/>
    </xf>
    <xf numFmtId="0" fontId="118" fillId="0" borderId="24" xfId="190" applyNumberFormat="1" applyFont="1" applyFill="1" applyBorder="1" applyAlignment="1">
      <alignment horizontal="left" vertical="center"/>
    </xf>
    <xf numFmtId="165" fontId="115" fillId="0" borderId="38" xfId="190" applyNumberFormat="1" applyBorder="1" applyAlignment="1">
      <alignment vertical="center"/>
    </xf>
    <xf numFmtId="165" fontId="115" fillId="0" borderId="49" xfId="190" applyNumberFormat="1" applyBorder="1" applyAlignment="1">
      <alignment vertical="center"/>
    </xf>
    <xf numFmtId="172" fontId="115" fillId="0" borderId="38" xfId="190" applyNumberFormat="1" applyBorder="1" applyAlignment="1">
      <alignment vertical="center"/>
    </xf>
    <xf numFmtId="3" fontId="115" fillId="0" borderId="49" xfId="190" applyNumberFormat="1" applyBorder="1" applyAlignment="1">
      <alignment vertical="center"/>
    </xf>
    <xf numFmtId="187" fontId="115" fillId="0" borderId="38" xfId="190" applyNumberFormat="1" applyBorder="1" applyAlignment="1">
      <alignment vertical="center"/>
    </xf>
    <xf numFmtId="187" fontId="115" fillId="0" borderId="16" xfId="190" applyNumberFormat="1" applyBorder="1" applyAlignment="1">
      <alignment vertical="center"/>
    </xf>
    <xf numFmtId="9" fontId="115" fillId="0" borderId="38" xfId="191" applyFont="1" applyBorder="1" applyAlignment="1">
      <alignment horizontal="center" vertical="center"/>
    </xf>
    <xf numFmtId="9" fontId="115" fillId="0" borderId="49" xfId="191" applyFont="1" applyBorder="1" applyAlignment="1">
      <alignment horizontal="center" vertical="center"/>
    </xf>
    <xf numFmtId="0" fontId="115" fillId="0" borderId="1" xfId="190" applyBorder="1" applyAlignment="1">
      <alignment vertical="center"/>
    </xf>
    <xf numFmtId="0" fontId="1" fillId="0" borderId="4" xfId="190" applyNumberFormat="1" applyFont="1" applyFill="1" applyBorder="1" applyAlignment="1">
      <alignment horizontal="left" vertical="center"/>
    </xf>
    <xf numFmtId="0" fontId="1" fillId="0" borderId="6" xfId="190" applyNumberFormat="1" applyFont="1" applyFill="1" applyBorder="1" applyAlignment="1">
      <alignment horizontal="left" vertical="center"/>
    </xf>
    <xf numFmtId="0" fontId="1" fillId="0" borderId="9" xfId="190" applyNumberFormat="1" applyFont="1" applyFill="1" applyBorder="1" applyAlignment="1">
      <alignment horizontal="left" vertical="center"/>
    </xf>
    <xf numFmtId="0" fontId="1" fillId="0" borderId="4" xfId="190" applyFont="1" applyBorder="1" applyAlignment="1">
      <alignment horizontal="left" vertical="center"/>
    </xf>
    <xf numFmtId="0" fontId="1" fillId="0" borderId="6" xfId="190" applyFont="1" applyBorder="1" applyAlignment="1">
      <alignment horizontal="left" vertical="center"/>
    </xf>
    <xf numFmtId="0" fontId="1" fillId="0" borderId="24" xfId="190" applyFont="1" applyBorder="1" applyAlignment="1">
      <alignment horizontal="left" vertical="center"/>
    </xf>
    <xf numFmtId="1" fontId="20" fillId="0" borderId="25" xfId="190" applyNumberFormat="1" applyFont="1" applyBorder="1" applyAlignment="1">
      <alignment horizontal="right"/>
    </xf>
    <xf numFmtId="1" fontId="20" fillId="0" borderId="27" xfId="190" applyNumberFormat="1" applyFont="1" applyBorder="1" applyAlignment="1">
      <alignment horizontal="right"/>
    </xf>
    <xf numFmtId="0" fontId="115" fillId="0" borderId="44" xfId="190" applyBorder="1"/>
    <xf numFmtId="0" fontId="115" fillId="0" borderId="108" xfId="190" applyBorder="1"/>
    <xf numFmtId="165" fontId="115" fillId="0" borderId="44" xfId="190" applyNumberFormat="1" applyBorder="1"/>
    <xf numFmtId="165" fontId="115" fillId="0" borderId="108" xfId="190" applyNumberFormat="1" applyBorder="1"/>
    <xf numFmtId="0" fontId="115" fillId="0" borderId="45" xfId="190" applyBorder="1"/>
    <xf numFmtId="0" fontId="115" fillId="0" borderId="109" xfId="190" applyBorder="1"/>
    <xf numFmtId="0" fontId="115" fillId="0" borderId="28" xfId="190" applyBorder="1"/>
    <xf numFmtId="0" fontId="115" fillId="0" borderId="29" xfId="190" applyBorder="1"/>
    <xf numFmtId="0" fontId="20" fillId="0" borderId="45" xfId="190" applyFont="1" applyBorder="1" applyAlignment="1">
      <alignment horizontal="right"/>
    </xf>
    <xf numFmtId="0" fontId="20" fillId="0" borderId="109" xfId="190" applyFont="1" applyBorder="1" applyAlignment="1">
      <alignment horizontal="right"/>
    </xf>
    <xf numFmtId="0" fontId="115" fillId="0" borderId="40" xfId="190" applyBorder="1"/>
    <xf numFmtId="0" fontId="115" fillId="0" borderId="42" xfId="190" applyBorder="1"/>
    <xf numFmtId="0" fontId="1" fillId="0" borderId="6" xfId="190" applyFont="1" applyFill="1" applyBorder="1" applyAlignment="1" applyProtection="1">
      <alignment horizontal="left" vertical="center"/>
      <protection locked="0"/>
    </xf>
    <xf numFmtId="0" fontId="1" fillId="0" borderId="6" xfId="190" applyNumberFormat="1" applyFont="1" applyFill="1" applyBorder="1" applyAlignment="1" applyProtection="1">
      <alignment horizontal="left" vertical="center"/>
      <protection locked="0"/>
    </xf>
    <xf numFmtId="165" fontId="13" fillId="0" borderId="64" xfId="190" applyNumberFormat="1" applyFont="1" applyBorder="1" applyAlignment="1">
      <alignment horizontal="center" vertical="center"/>
    </xf>
    <xf numFmtId="165" fontId="13" fillId="0" borderId="101" xfId="190" applyNumberFormat="1" applyFont="1" applyBorder="1" applyAlignment="1">
      <alignment horizontal="center" vertical="center"/>
    </xf>
    <xf numFmtId="0" fontId="39" fillId="0" borderId="25" xfId="190" applyFont="1" applyBorder="1" applyAlignment="1">
      <alignment horizontal="left" vertical="center" wrapText="1"/>
    </xf>
    <xf numFmtId="0" fontId="39" fillId="0" borderId="110" xfId="190" applyFont="1" applyBorder="1" applyAlignment="1">
      <alignment horizontal="left" vertical="center" wrapText="1"/>
    </xf>
    <xf numFmtId="0" fontId="39" fillId="0" borderId="28" xfId="190" applyFont="1" applyBorder="1" applyAlignment="1">
      <alignment horizontal="left" vertical="center" wrapText="1"/>
    </xf>
    <xf numFmtId="0" fontId="39" fillId="0" borderId="104" xfId="190" applyFont="1" applyBorder="1" applyAlignment="1">
      <alignment horizontal="left" vertical="center" wrapText="1"/>
    </xf>
    <xf numFmtId="0" fontId="39" fillId="0" borderId="44" xfId="190" applyFont="1" applyBorder="1" applyAlignment="1">
      <alignment horizontal="left" vertical="center" wrapText="1"/>
    </xf>
    <xf numFmtId="0" fontId="39" fillId="0" borderId="101" xfId="190" applyFont="1" applyBorder="1" applyAlignment="1">
      <alignment horizontal="left" vertical="center" wrapText="1"/>
    </xf>
    <xf numFmtId="0" fontId="39" fillId="0" borderId="112" xfId="190" applyFont="1" applyBorder="1" applyAlignment="1">
      <alignment horizontal="left" vertical="center" wrapText="1"/>
    </xf>
    <xf numFmtId="0" fontId="39" fillId="0" borderId="99" xfId="190" applyFont="1" applyBorder="1" applyAlignment="1">
      <alignment horizontal="left" vertical="center" wrapText="1"/>
    </xf>
    <xf numFmtId="0" fontId="13" fillId="0" borderId="40" xfId="190" applyFont="1" applyBorder="1" applyAlignment="1">
      <alignment horizontal="left" vertical="center" wrapText="1"/>
    </xf>
    <xf numFmtId="0" fontId="13" fillId="0" borderId="49" xfId="190" applyFont="1" applyBorder="1" applyAlignment="1">
      <alignment horizontal="left" vertical="center" wrapText="1"/>
    </xf>
    <xf numFmtId="0" fontId="122" fillId="24" borderId="114" xfId="28" applyFont="1" applyFill="1" applyBorder="1" applyAlignment="1">
      <alignment horizontal="center"/>
    </xf>
    <xf numFmtId="0" fontId="0" fillId="0" borderId="0" xfId="0" applyAlignment="1">
      <alignment wrapText="1"/>
    </xf>
    <xf numFmtId="0" fontId="66" fillId="0" borderId="0" xfId="28"/>
    <xf numFmtId="0" fontId="66" fillId="0" borderId="0" xfId="28" applyFill="1" applyBorder="1"/>
    <xf numFmtId="0" fontId="27" fillId="0" borderId="0" xfId="28" applyFont="1" applyAlignment="1">
      <alignment horizontal="left"/>
    </xf>
    <xf numFmtId="0" fontId="66" fillId="0" borderId="7" xfId="28" applyBorder="1" applyAlignment="1">
      <alignment horizontal="left" indent="2"/>
    </xf>
    <xf numFmtId="169" fontId="66" fillId="0" borderId="13" xfId="28" applyNumberFormat="1" applyBorder="1" applyAlignment="1">
      <alignment horizontal="right"/>
    </xf>
    <xf numFmtId="169" fontId="66" fillId="0" borderId="7" xfId="28" applyNumberFormat="1" applyBorder="1" applyAlignment="1">
      <alignment horizontal="right"/>
    </xf>
    <xf numFmtId="164" fontId="66" fillId="0" borderId="7" xfId="28" applyNumberFormat="1" applyBorder="1" applyAlignment="1">
      <alignment horizontal="left" indent="2"/>
    </xf>
    <xf numFmtId="165" fontId="6" fillId="0" borderId="0" xfId="5" applyNumberFormat="1" applyFont="1" applyAlignment="1">
      <alignment horizontal="right" wrapText="1"/>
    </xf>
    <xf numFmtId="164" fontId="123" fillId="0" borderId="0" xfId="2" applyNumberFormat="1" applyFont="1" applyAlignment="1">
      <alignment horizontal="center"/>
    </xf>
    <xf numFmtId="164" fontId="124" fillId="0" borderId="0" xfId="2" applyNumberFormat="1" applyFont="1" applyAlignment="1">
      <alignment horizontal="center"/>
    </xf>
    <xf numFmtId="164" fontId="0" fillId="0" borderId="0" xfId="0" applyNumberFormat="1" applyAlignment="1">
      <alignment horizontal="left"/>
    </xf>
    <xf numFmtId="165" fontId="6" fillId="0" borderId="0" xfId="1" applyNumberFormat="1" applyFont="1" applyAlignment="1">
      <alignment horizontal="right" wrapText="1"/>
    </xf>
    <xf numFmtId="0" fontId="21" fillId="0" borderId="0" xfId="2" applyFont="1" applyFill="1" applyBorder="1" applyAlignment="1"/>
    <xf numFmtId="0" fontId="47" fillId="0" borderId="0" xfId="3" applyFont="1"/>
    <xf numFmtId="0" fontId="13" fillId="0" borderId="0" xfId="187" applyFont="1" applyFill="1" applyBorder="1"/>
    <xf numFmtId="0" fontId="16" fillId="0" borderId="0" xfId="187" applyFont="1"/>
    <xf numFmtId="165" fontId="16" fillId="0" borderId="0" xfId="189" applyNumberFormat="1" applyFont="1"/>
    <xf numFmtId="165" fontId="16" fillId="0" borderId="0" xfId="189" applyNumberFormat="1" applyFont="1" applyBorder="1"/>
    <xf numFmtId="165" fontId="16" fillId="0" borderId="51" xfId="189" applyNumberFormat="1" applyFont="1" applyFill="1" applyBorder="1"/>
    <xf numFmtId="0" fontId="113" fillId="0" borderId="0" xfId="187"/>
    <xf numFmtId="0" fontId="113" fillId="0" borderId="0" xfId="187" applyBorder="1"/>
    <xf numFmtId="42" fontId="47" fillId="0" borderId="0" xfId="187" applyNumberFormat="1" applyFont="1"/>
    <xf numFmtId="165" fontId="113" fillId="0" borderId="0" xfId="187" applyNumberFormat="1"/>
    <xf numFmtId="0" fontId="113" fillId="0" borderId="0" xfId="187" applyFill="1"/>
    <xf numFmtId="165" fontId="20" fillId="0" borderId="0" xfId="189" applyNumberFormat="1" applyFont="1" applyFill="1"/>
    <xf numFmtId="176" fontId="20" fillId="0" borderId="0" xfId="187" applyNumberFormat="1" applyFont="1" applyFill="1" applyAlignment="1">
      <alignment horizontal="center"/>
    </xf>
    <xf numFmtId="9" fontId="39" fillId="0" borderId="0" xfId="191" applyFont="1" applyFill="1" applyBorder="1"/>
    <xf numFmtId="42" fontId="113" fillId="0" borderId="0" xfId="187" applyNumberFormat="1" applyFill="1"/>
    <xf numFmtId="165" fontId="113" fillId="0" borderId="0" xfId="187" applyNumberFormat="1" applyFill="1"/>
    <xf numFmtId="0" fontId="47" fillId="0" borderId="0" xfId="187" applyFont="1" applyFill="1"/>
    <xf numFmtId="0" fontId="47" fillId="0" borderId="0" xfId="187" applyFont="1" applyFill="1" applyAlignment="1">
      <alignment horizontal="right"/>
    </xf>
    <xf numFmtId="0" fontId="47" fillId="0" borderId="0" xfId="187" applyFont="1" applyAlignment="1">
      <alignment horizontal="right"/>
    </xf>
    <xf numFmtId="0" fontId="47" fillId="0" borderId="0" xfId="187" quotePrefix="1" applyFont="1"/>
    <xf numFmtId="9" fontId="56" fillId="0" borderId="0" xfId="191" applyFont="1" applyFill="1" applyBorder="1"/>
    <xf numFmtId="44" fontId="47" fillId="0" borderId="0" xfId="187" applyNumberFormat="1" applyFont="1" applyAlignment="1">
      <alignment horizontal="right"/>
    </xf>
    <xf numFmtId="165" fontId="113" fillId="0" borderId="0" xfId="189" applyNumberFormat="1" applyFill="1"/>
    <xf numFmtId="165" fontId="113" fillId="0" borderId="0" xfId="189" applyNumberFormat="1"/>
    <xf numFmtId="3" fontId="47" fillId="0" borderId="0" xfId="187" applyNumberFormat="1" applyFont="1" applyAlignment="1">
      <alignment horizontal="right"/>
    </xf>
    <xf numFmtId="166" fontId="47" fillId="0" borderId="0" xfId="187" applyNumberFormat="1" applyFont="1" applyFill="1" applyAlignment="1">
      <alignment horizontal="right"/>
    </xf>
    <xf numFmtId="0" fontId="113" fillId="0" borderId="0" xfId="187" applyAlignment="1">
      <alignment horizontal="right"/>
    </xf>
    <xf numFmtId="165" fontId="113" fillId="0" borderId="0" xfId="187" applyNumberFormat="1" applyFont="1"/>
    <xf numFmtId="0" fontId="28" fillId="0" borderId="0" xfId="0" applyFont="1" applyFill="1" applyAlignment="1">
      <alignment horizontal="right"/>
    </xf>
    <xf numFmtId="169" fontId="37" fillId="0" borderId="0" xfId="10" applyNumberFormat="1" applyFill="1" applyAlignment="1" applyProtection="1">
      <alignment horizontal="right"/>
    </xf>
    <xf numFmtId="169" fontId="29" fillId="0" borderId="0" xfId="0" applyNumberFormat="1" applyFont="1" applyFill="1" applyAlignment="1">
      <alignment horizontal="right"/>
    </xf>
    <xf numFmtId="0" fontId="29" fillId="0" borderId="0" xfId="0" applyFont="1" applyFill="1"/>
    <xf numFmtId="3" fontId="29" fillId="0" borderId="0" xfId="0" applyNumberFormat="1" applyFont="1" applyFill="1" applyAlignment="1">
      <alignment horizontal="right"/>
    </xf>
    <xf numFmtId="169" fontId="28" fillId="0" borderId="0" xfId="0" applyNumberFormat="1" applyFont="1" applyFill="1" applyAlignment="1">
      <alignment horizontal="right"/>
    </xf>
    <xf numFmtId="174" fontId="29" fillId="0" borderId="0" xfId="7" applyNumberFormat="1" applyFont="1" applyBorder="1"/>
    <xf numFmtId="174" fontId="30" fillId="0" borderId="0" xfId="7" applyNumberFormat="1" applyFont="1" applyBorder="1"/>
    <xf numFmtId="0" fontId="29" fillId="0" borderId="0" xfId="0" applyFont="1" applyBorder="1"/>
    <xf numFmtId="175" fontId="0" fillId="0" borderId="0" xfId="0" applyNumberFormat="1" applyBorder="1"/>
    <xf numFmtId="0" fontId="0" fillId="11" borderId="0" xfId="0" applyFill="1" applyBorder="1"/>
    <xf numFmtId="174" fontId="29" fillId="0" borderId="12" xfId="7" applyNumberFormat="1" applyFont="1" applyBorder="1"/>
    <xf numFmtId="0" fontId="29" fillId="0" borderId="12" xfId="0" applyFont="1" applyBorder="1"/>
    <xf numFmtId="0" fontId="0" fillId="0" borderId="12" xfId="0" applyBorder="1"/>
    <xf numFmtId="175" fontId="0" fillId="0" borderId="32" xfId="0" applyNumberFormat="1" applyBorder="1"/>
    <xf numFmtId="0" fontId="0" fillId="11" borderId="50" xfId="0" applyFill="1" applyBorder="1"/>
    <xf numFmtId="0" fontId="0" fillId="11" borderId="52" xfId="0" applyFill="1" applyBorder="1"/>
    <xf numFmtId="44" fontId="0" fillId="0" borderId="0" xfId="0" applyNumberFormat="1"/>
    <xf numFmtId="164" fontId="0" fillId="0" borderId="0" xfId="0" applyNumberFormat="1" applyBorder="1"/>
    <xf numFmtId="7" fontId="30" fillId="0" borderId="0" xfId="1" applyNumberFormat="1" applyFont="1" applyBorder="1"/>
    <xf numFmtId="168" fontId="0" fillId="0" borderId="0" xfId="0" applyNumberFormat="1"/>
    <xf numFmtId="0" fontId="66" fillId="0" borderId="0" xfId="28"/>
    <xf numFmtId="0" fontId="66" fillId="0" borderId="7" xfId="28" applyBorder="1"/>
    <xf numFmtId="0" fontId="66" fillId="0" borderId="13" xfId="28" applyBorder="1"/>
    <xf numFmtId="0" fontId="38" fillId="0" borderId="7" xfId="28" applyFont="1" applyBorder="1"/>
    <xf numFmtId="9" fontId="30" fillId="0" borderId="13" xfId="11" applyFont="1" applyBorder="1"/>
    <xf numFmtId="164" fontId="30" fillId="0" borderId="13" xfId="11" applyNumberFormat="1" applyFont="1" applyBorder="1"/>
    <xf numFmtId="0" fontId="66" fillId="0" borderId="13" xfId="28" applyFill="1" applyBorder="1"/>
    <xf numFmtId="9" fontId="66" fillId="0" borderId="0" xfId="28" applyNumberFormat="1"/>
    <xf numFmtId="0" fontId="66" fillId="11" borderId="8" xfId="28" applyFill="1" applyBorder="1"/>
    <xf numFmtId="0" fontId="66" fillId="11" borderId="10" xfId="28" applyFill="1" applyBorder="1"/>
    <xf numFmtId="0" fontId="66" fillId="11" borderId="5" xfId="28" applyFill="1" applyBorder="1"/>
    <xf numFmtId="0" fontId="66" fillId="11" borderId="5" xfId="28" applyFill="1" applyBorder="1" applyAlignment="1">
      <alignment horizontal="center"/>
    </xf>
    <xf numFmtId="170" fontId="66" fillId="0" borderId="35" xfId="28" applyNumberFormat="1" applyBorder="1"/>
    <xf numFmtId="0" fontId="32" fillId="11" borderId="8" xfId="28" applyFont="1" applyFill="1" applyBorder="1"/>
    <xf numFmtId="0" fontId="32" fillId="11" borderId="10" xfId="28" applyFont="1" applyFill="1" applyBorder="1"/>
    <xf numFmtId="0" fontId="32" fillId="11" borderId="5" xfId="28" applyFont="1" applyFill="1" applyBorder="1"/>
    <xf numFmtId="0" fontId="66" fillId="0" borderId="13" xfId="28" applyBorder="1"/>
    <xf numFmtId="0" fontId="29" fillId="0" borderId="13" xfId="28" applyFont="1" applyBorder="1"/>
    <xf numFmtId="168" fontId="30" fillId="0" borderId="13" xfId="30" applyNumberFormat="1" applyFont="1" applyBorder="1"/>
    <xf numFmtId="168" fontId="29" fillId="0" borderId="13" xfId="30" applyNumberFormat="1" applyFont="1" applyBorder="1"/>
    <xf numFmtId="169" fontId="66" fillId="0" borderId="13" xfId="28" applyNumberFormat="1" applyBorder="1" applyAlignment="1">
      <alignment horizontal="right"/>
    </xf>
    <xf numFmtId="169" fontId="66" fillId="0" borderId="7" xfId="28" applyNumberFormat="1" applyBorder="1" applyAlignment="1">
      <alignment horizontal="right"/>
    </xf>
    <xf numFmtId="171" fontId="66" fillId="0" borderId="13" xfId="28" applyNumberFormat="1" applyBorder="1"/>
    <xf numFmtId="2" fontId="34" fillId="0" borderId="13" xfId="28" applyNumberFormat="1" applyFont="1" applyBorder="1" applyAlignment="1">
      <alignment horizontal="center"/>
    </xf>
    <xf numFmtId="9" fontId="38" fillId="0" borderId="13" xfId="11" applyFont="1" applyBorder="1"/>
    <xf numFmtId="9" fontId="32" fillId="0" borderId="13" xfId="11" applyFont="1" applyFill="1" applyBorder="1"/>
    <xf numFmtId="169" fontId="66" fillId="0" borderId="13" xfId="28" applyNumberFormat="1" applyFill="1" applyBorder="1"/>
    <xf numFmtId="0" fontId="66" fillId="0" borderId="13" xfId="28" applyFill="1" applyBorder="1"/>
    <xf numFmtId="9" fontId="30" fillId="0" borderId="13" xfId="11" applyFont="1" applyFill="1" applyBorder="1"/>
    <xf numFmtId="0" fontId="66" fillId="0" borderId="13" xfId="28" applyBorder="1"/>
    <xf numFmtId="169" fontId="66" fillId="0" borderId="13" xfId="28" applyNumberFormat="1" applyBorder="1" applyAlignment="1">
      <alignment horizontal="right"/>
    </xf>
    <xf numFmtId="0" fontId="66" fillId="0" borderId="13" xfId="28" applyBorder="1"/>
    <xf numFmtId="7" fontId="30" fillId="0" borderId="13" xfId="40" applyNumberFormat="1" applyFont="1" applyBorder="1"/>
    <xf numFmtId="7" fontId="30" fillId="0" borderId="13" xfId="40" applyNumberFormat="1" applyFont="1" applyBorder="1"/>
    <xf numFmtId="9" fontId="32" fillId="0" borderId="13" xfId="11" applyFont="1" applyBorder="1"/>
    <xf numFmtId="0" fontId="66" fillId="0" borderId="7" xfId="28" applyBorder="1"/>
    <xf numFmtId="171" fontId="66" fillId="0" borderId="13" xfId="28" applyNumberFormat="1" applyBorder="1"/>
    <xf numFmtId="2" fontId="34" fillId="0" borderId="13" xfId="28" applyNumberFormat="1" applyFont="1" applyBorder="1" applyAlignment="1">
      <alignment horizontal="center"/>
    </xf>
    <xf numFmtId="164" fontId="66" fillId="0" borderId="13" xfId="28" applyNumberFormat="1" applyBorder="1"/>
    <xf numFmtId="9" fontId="30" fillId="0" borderId="13" xfId="11" applyFont="1" applyBorder="1"/>
    <xf numFmtId="0" fontId="66" fillId="0" borderId="13" xfId="28" applyBorder="1"/>
    <xf numFmtId="0" fontId="86" fillId="24" borderId="0" xfId="28" applyFont="1" applyFill="1" applyBorder="1"/>
    <xf numFmtId="0" fontId="86" fillId="0" borderId="0" xfId="28" applyFont="1" applyFill="1" applyBorder="1"/>
    <xf numFmtId="0" fontId="122" fillId="0" borderId="0" xfId="28" applyFont="1" applyFill="1" applyBorder="1" applyAlignment="1">
      <alignment horizontal="center"/>
    </xf>
    <xf numFmtId="42" fontId="125" fillId="0" borderId="8" xfId="12" applyNumberFormat="1" applyFont="1" applyBorder="1"/>
    <xf numFmtId="42" fontId="125" fillId="0" borderId="10" xfId="12" applyNumberFormat="1" applyFont="1" applyBorder="1"/>
    <xf numFmtId="42" fontId="125" fillId="0" borderId="5" xfId="12" applyNumberFormat="1" applyFont="1" applyBorder="1"/>
    <xf numFmtId="0" fontId="125" fillId="0" borderId="53" xfId="18" applyNumberFormat="1" applyFont="1" applyBorder="1"/>
    <xf numFmtId="0" fontId="125" fillId="0" borderId="53" xfId="12" applyFont="1" applyBorder="1"/>
    <xf numFmtId="181" fontId="125" fillId="0" borderId="50" xfId="12" applyNumberFormat="1" applyFont="1" applyBorder="1"/>
    <xf numFmtId="165" fontId="125" fillId="2" borderId="17" xfId="15" applyNumberFormat="1" applyFont="1" applyFill="1" applyBorder="1"/>
    <xf numFmtId="165" fontId="125" fillId="2" borderId="18" xfId="15" applyNumberFormat="1" applyFont="1" applyFill="1" applyBorder="1"/>
    <xf numFmtId="165" fontId="125" fillId="2" borderId="33" xfId="15" applyNumberFormat="1" applyFont="1" applyFill="1" applyBorder="1"/>
    <xf numFmtId="165" fontId="80" fillId="0" borderId="0" xfId="1" applyNumberFormat="1" applyFont="1"/>
    <xf numFmtId="0" fontId="0" fillId="21" borderId="57" xfId="0" applyFont="1" applyFill="1" applyBorder="1" applyAlignment="1">
      <alignment horizontal="left"/>
    </xf>
    <xf numFmtId="0" fontId="70" fillId="21" borderId="57" xfId="0" applyFont="1" applyFill="1" applyBorder="1"/>
    <xf numFmtId="0" fontId="74" fillId="21" borderId="57" xfId="0" applyFont="1" applyFill="1" applyBorder="1"/>
    <xf numFmtId="0" fontId="0" fillId="0" borderId="57" xfId="0" applyFont="1" applyFill="1" applyBorder="1"/>
    <xf numFmtId="0" fontId="0" fillId="0" borderId="56" xfId="0" applyFont="1" applyFill="1" applyBorder="1"/>
    <xf numFmtId="0" fontId="0" fillId="0" borderId="58" xfId="0" applyFont="1" applyFill="1" applyBorder="1"/>
    <xf numFmtId="0" fontId="0" fillId="21" borderId="57" xfId="0" applyFont="1" applyFill="1" applyBorder="1"/>
    <xf numFmtId="0" fontId="0" fillId="21" borderId="56" xfId="0" applyFont="1" applyFill="1" applyBorder="1"/>
    <xf numFmtId="0" fontId="0" fillId="21" borderId="72" xfId="0" applyFont="1" applyFill="1" applyBorder="1"/>
    <xf numFmtId="0" fontId="0" fillId="0" borderId="57" xfId="0" applyNumberFormat="1" applyFont="1" applyBorder="1" applyAlignment="1">
      <alignment horizontal="left"/>
    </xf>
    <xf numFmtId="49" fontId="0" fillId="0" borderId="57" xfId="0" applyNumberFormat="1" applyFont="1" applyBorder="1" applyAlignment="1"/>
    <xf numFmtId="42" fontId="0" fillId="0" borderId="57" xfId="0" applyNumberFormat="1" applyFont="1" applyBorder="1"/>
    <xf numFmtId="0" fontId="0" fillId="0" borderId="58" xfId="0" applyFont="1" applyBorder="1"/>
    <xf numFmtId="42" fontId="0" fillId="21" borderId="55" xfId="0" applyNumberFormat="1" applyFont="1" applyFill="1" applyBorder="1" applyProtection="1"/>
    <xf numFmtId="3" fontId="0" fillId="21" borderId="55" xfId="0" applyNumberFormat="1" applyFont="1" applyFill="1" applyBorder="1" applyProtection="1"/>
    <xf numFmtId="3" fontId="0" fillId="0" borderId="0" xfId="0" applyNumberFormat="1" applyFont="1" applyFill="1" applyProtection="1"/>
    <xf numFmtId="42" fontId="0" fillId="21" borderId="0" xfId="0" applyNumberFormat="1" applyFont="1" applyFill="1" applyBorder="1" applyProtection="1"/>
    <xf numFmtId="42" fontId="0" fillId="21" borderId="60" xfId="0" applyNumberFormat="1" applyFont="1" applyFill="1" applyBorder="1" applyProtection="1"/>
    <xf numFmtId="3" fontId="0" fillId="21" borderId="60" xfId="0" applyNumberFormat="1" applyFont="1" applyFill="1" applyBorder="1" applyProtection="1"/>
    <xf numFmtId="42" fontId="5" fillId="4" borderId="118" xfId="0" applyNumberFormat="1" applyFont="1" applyFill="1" applyBorder="1" applyAlignment="1" applyProtection="1">
      <alignment vertical="center"/>
    </xf>
    <xf numFmtId="0" fontId="27" fillId="24" borderId="0" xfId="0" applyFont="1" applyFill="1"/>
    <xf numFmtId="164" fontId="0" fillId="24" borderId="30" xfId="0" applyNumberFormat="1" applyFill="1" applyBorder="1"/>
    <xf numFmtId="164" fontId="0" fillId="24" borderId="11" xfId="0" applyNumberFormat="1" applyFill="1" applyBorder="1"/>
    <xf numFmtId="164" fontId="29" fillId="24" borderId="31" xfId="0" applyNumberFormat="1" applyFont="1" applyFill="1" applyBorder="1"/>
    <xf numFmtId="164" fontId="0" fillId="24" borderId="44" xfId="0" applyNumberFormat="1" applyFill="1" applyBorder="1"/>
    <xf numFmtId="164" fontId="0" fillId="24" borderId="7" xfId="0" applyNumberFormat="1" applyFill="1" applyBorder="1"/>
    <xf numFmtId="164" fontId="29" fillId="24" borderId="29" xfId="0" applyNumberFormat="1" applyFont="1" applyFill="1" applyBorder="1"/>
    <xf numFmtId="174" fontId="29" fillId="24" borderId="29" xfId="0" applyNumberFormat="1" applyFont="1" applyFill="1" applyBorder="1"/>
    <xf numFmtId="165" fontId="45" fillId="0" borderId="17" xfId="15" applyNumberFormat="1" applyFont="1" applyFill="1" applyBorder="1"/>
    <xf numFmtId="42" fontId="45" fillId="24" borderId="8" xfId="12" applyNumberFormat="1" applyFill="1" applyBorder="1"/>
    <xf numFmtId="42" fontId="45" fillId="24" borderId="10" xfId="12" applyNumberFormat="1" applyFill="1" applyBorder="1"/>
    <xf numFmtId="42" fontId="45" fillId="24" borderId="2" xfId="12" applyNumberFormat="1" applyFill="1" applyBorder="1"/>
    <xf numFmtId="181" fontId="45" fillId="24" borderId="50" xfId="12" applyNumberFormat="1" applyFill="1" applyBorder="1"/>
    <xf numFmtId="42" fontId="45" fillId="24" borderId="5" xfId="12" applyNumberFormat="1" applyFill="1" applyBorder="1"/>
    <xf numFmtId="3" fontId="45" fillId="24" borderId="5" xfId="12" applyNumberFormat="1" applyFill="1" applyBorder="1"/>
    <xf numFmtId="165" fontId="45" fillId="24" borderId="53" xfId="18" applyNumberFormat="1" applyFont="1" applyFill="1" applyBorder="1"/>
    <xf numFmtId="165" fontId="45" fillId="24" borderId="53" xfId="12" applyNumberFormat="1" applyFill="1" applyBorder="1"/>
    <xf numFmtId="42" fontId="16" fillId="24" borderId="8" xfId="3" applyNumberFormat="1" applyFill="1" applyBorder="1"/>
    <xf numFmtId="42" fontId="16" fillId="24" borderId="10" xfId="3" applyNumberFormat="1" applyFill="1" applyBorder="1"/>
    <xf numFmtId="165" fontId="16" fillId="24" borderId="53" xfId="3" applyNumberFormat="1" applyFill="1" applyBorder="1"/>
    <xf numFmtId="181" fontId="16" fillId="24" borderId="50" xfId="3" applyNumberFormat="1" applyFill="1" applyBorder="1"/>
    <xf numFmtId="42" fontId="16" fillId="24" borderId="5" xfId="3" applyNumberFormat="1" applyFill="1" applyBorder="1"/>
    <xf numFmtId="3" fontId="16" fillId="24" borderId="5" xfId="3" applyNumberFormat="1" applyFill="1" applyBorder="1"/>
    <xf numFmtId="165" fontId="16" fillId="0" borderId="17" xfId="20" applyNumberFormat="1" applyFont="1" applyFill="1" applyBorder="1"/>
    <xf numFmtId="165" fontId="16" fillId="0" borderId="18" xfId="20" applyNumberFormat="1" applyFont="1" applyFill="1" applyBorder="1"/>
    <xf numFmtId="165" fontId="16" fillId="24" borderId="53" xfId="4" applyNumberFormat="1" applyFont="1" applyFill="1" applyBorder="1"/>
    <xf numFmtId="181" fontId="16" fillId="24" borderId="53" xfId="3" applyNumberFormat="1" applyFill="1" applyBorder="1"/>
    <xf numFmtId="165" fontId="5" fillId="24" borderId="7" xfId="5" applyNumberFormat="1" applyFont="1" applyFill="1" applyBorder="1" applyAlignment="1">
      <alignment horizontal="center" vertical="center" wrapText="1"/>
    </xf>
    <xf numFmtId="165" fontId="5" fillId="24" borderId="7" xfId="5" applyNumberFormat="1" applyFont="1" applyFill="1" applyBorder="1" applyAlignment="1">
      <alignment vertical="center" wrapText="1"/>
    </xf>
    <xf numFmtId="165" fontId="5" fillId="24" borderId="8" xfId="5" applyNumberFormat="1" applyFont="1" applyFill="1" applyBorder="1" applyAlignment="1">
      <alignment horizontal="center" vertical="center" wrapText="1"/>
    </xf>
    <xf numFmtId="165" fontId="5" fillId="24" borderId="6" xfId="5" applyNumberFormat="1" applyFont="1" applyFill="1" applyBorder="1" applyAlignment="1">
      <alignment horizontal="center" vertical="center" wrapText="1"/>
    </xf>
    <xf numFmtId="3" fontId="5" fillId="24" borderId="8" xfId="5" applyNumberFormat="1" applyFont="1" applyFill="1" applyBorder="1" applyAlignment="1">
      <alignment horizontal="center" vertical="center" wrapText="1"/>
    </xf>
    <xf numFmtId="0" fontId="27" fillId="24" borderId="0" xfId="28" applyFont="1" applyFill="1"/>
    <xf numFmtId="164" fontId="66" fillId="24" borderId="44" xfId="28" applyNumberFormat="1" applyFill="1" applyBorder="1"/>
    <xf numFmtId="164" fontId="66" fillId="24" borderId="7" xfId="28" applyNumberFormat="1" applyFill="1" applyBorder="1"/>
    <xf numFmtId="164" fontId="29" fillId="24" borderId="29" xfId="28" applyNumberFormat="1" applyFont="1" applyFill="1" applyBorder="1"/>
    <xf numFmtId="174" fontId="29" fillId="24" borderId="29" xfId="28" applyNumberFormat="1" applyFont="1" applyFill="1" applyBorder="1" applyAlignment="1">
      <alignment horizontal="right"/>
    </xf>
    <xf numFmtId="164" fontId="66" fillId="24" borderId="30" xfId="28" applyNumberFormat="1" applyFill="1" applyBorder="1"/>
    <xf numFmtId="164" fontId="66" fillId="24" borderId="11" xfId="28" applyNumberFormat="1" applyFill="1" applyBorder="1"/>
    <xf numFmtId="168" fontId="29" fillId="24" borderId="31" xfId="28" applyNumberFormat="1" applyFont="1" applyFill="1" applyBorder="1"/>
    <xf numFmtId="165" fontId="5" fillId="24" borderId="7" xfId="16" applyNumberFormat="1" applyFont="1" applyFill="1" applyBorder="1" applyAlignment="1">
      <alignment horizontal="center" vertical="center" wrapText="1"/>
    </xf>
    <xf numFmtId="165" fontId="5" fillId="24" borderId="7" xfId="16" applyNumberFormat="1" applyFont="1" applyFill="1" applyBorder="1" applyAlignment="1">
      <alignment vertical="center" wrapText="1"/>
    </xf>
    <xf numFmtId="165" fontId="5" fillId="24" borderId="8" xfId="16" applyNumberFormat="1" applyFont="1" applyFill="1" applyBorder="1" applyAlignment="1">
      <alignment horizontal="center" vertical="center" wrapText="1"/>
    </xf>
    <xf numFmtId="165" fontId="5" fillId="24" borderId="6" xfId="16" applyNumberFormat="1" applyFont="1" applyFill="1" applyBorder="1" applyAlignment="1">
      <alignment horizontal="center" vertical="center" wrapText="1"/>
    </xf>
    <xf numFmtId="174" fontId="29" fillId="24" borderId="29" xfId="28" applyNumberFormat="1" applyFont="1" applyFill="1" applyBorder="1"/>
    <xf numFmtId="165" fontId="5" fillId="24" borderId="7" xfId="1" applyNumberFormat="1" applyFont="1" applyFill="1" applyBorder="1" applyAlignment="1">
      <alignment horizontal="center" vertical="center" wrapText="1"/>
    </xf>
    <xf numFmtId="165" fontId="5" fillId="24" borderId="7" xfId="1" applyNumberFormat="1" applyFont="1" applyFill="1" applyBorder="1" applyAlignment="1">
      <alignment vertical="center" wrapText="1"/>
    </xf>
    <xf numFmtId="165" fontId="5" fillId="24" borderId="8" xfId="1" applyNumberFormat="1" applyFont="1" applyFill="1" applyBorder="1" applyAlignment="1">
      <alignment horizontal="center" vertical="center" wrapText="1"/>
    </xf>
    <xf numFmtId="165" fontId="5" fillId="24" borderId="6" xfId="1" applyNumberFormat="1" applyFont="1" applyFill="1" applyBorder="1" applyAlignment="1">
      <alignment horizontal="center" vertical="center" wrapText="1"/>
    </xf>
    <xf numFmtId="0" fontId="127" fillId="0" borderId="0" xfId="0" applyFont="1"/>
    <xf numFmtId="164" fontId="0" fillId="0" borderId="112" xfId="0" applyNumberFormat="1" applyBorder="1"/>
    <xf numFmtId="164" fontId="0" fillId="0" borderId="12" xfId="0" applyNumberFormat="1" applyBorder="1"/>
    <xf numFmtId="164" fontId="29" fillId="0" borderId="31" xfId="0" applyNumberFormat="1" applyFont="1" applyBorder="1"/>
    <xf numFmtId="164" fontId="29" fillId="24" borderId="109" xfId="0" applyNumberFormat="1" applyFont="1" applyFill="1" applyBorder="1"/>
    <xf numFmtId="168" fontId="29" fillId="24" borderId="109" xfId="0" applyNumberFormat="1" applyFont="1" applyFill="1" applyBorder="1"/>
    <xf numFmtId="168" fontId="29" fillId="0" borderId="42" xfId="0" applyNumberFormat="1" applyFont="1" applyBorder="1"/>
    <xf numFmtId="168" fontId="29" fillId="24" borderId="24" xfId="0" applyNumberFormat="1" applyFont="1" applyFill="1" applyBorder="1"/>
    <xf numFmtId="164" fontId="29" fillId="0" borderId="40" xfId="0" applyNumberFormat="1" applyFont="1" applyBorder="1"/>
    <xf numFmtId="0" fontId="129" fillId="0" borderId="0" xfId="0" applyFont="1" applyAlignment="1">
      <alignment horizontal="right"/>
    </xf>
    <xf numFmtId="42" fontId="45" fillId="0" borderId="2" xfId="12" applyNumberFormat="1" applyBorder="1"/>
    <xf numFmtId="42" fontId="45" fillId="0" borderId="50" xfId="12" applyNumberFormat="1" applyBorder="1"/>
    <xf numFmtId="0" fontId="47" fillId="0" borderId="0" xfId="12" applyFont="1" applyAlignment="1">
      <alignment horizontal="right"/>
    </xf>
    <xf numFmtId="0" fontId="16" fillId="0" borderId="0" xfId="12" applyFont="1" applyAlignment="1">
      <alignment horizontal="right"/>
    </xf>
    <xf numFmtId="3" fontId="45" fillId="0" borderId="39" xfId="12" applyNumberFormat="1" applyBorder="1"/>
    <xf numFmtId="3" fontId="45" fillId="24" borderId="119" xfId="12" applyNumberFormat="1" applyFill="1" applyBorder="1"/>
    <xf numFmtId="0" fontId="47" fillId="24" borderId="32" xfId="12" applyFont="1" applyFill="1" applyBorder="1" applyAlignment="1">
      <alignment horizontal="right"/>
    </xf>
    <xf numFmtId="42" fontId="45" fillId="0" borderId="53" xfId="12" applyNumberFormat="1" applyBorder="1"/>
    <xf numFmtId="42" fontId="16" fillId="0" borderId="53" xfId="3" applyNumberFormat="1" applyBorder="1"/>
    <xf numFmtId="42" fontId="16" fillId="0" borderId="50" xfId="3" applyNumberFormat="1" applyBorder="1"/>
    <xf numFmtId="0" fontId="47" fillId="0" borderId="0" xfId="3" applyFont="1" applyAlignment="1">
      <alignment horizontal="right"/>
    </xf>
    <xf numFmtId="0" fontId="47" fillId="24" borderId="32" xfId="3" applyFont="1" applyFill="1" applyBorder="1" applyAlignment="1">
      <alignment horizontal="right"/>
    </xf>
    <xf numFmtId="0" fontId="16" fillId="0" borderId="0" xfId="3" applyFont="1" applyAlignment="1">
      <alignment horizontal="right"/>
    </xf>
    <xf numFmtId="0" fontId="0" fillId="0" borderId="0" xfId="0" applyFill="1" applyAlignment="1">
      <alignment horizontal="right"/>
    </xf>
    <xf numFmtId="0" fontId="44" fillId="24" borderId="0" xfId="0" applyFont="1" applyFill="1" applyAlignment="1">
      <alignment horizontal="right"/>
    </xf>
    <xf numFmtId="3" fontId="5" fillId="14" borderId="8" xfId="5" applyNumberFormat="1" applyFont="1" applyFill="1" applyBorder="1" applyAlignment="1">
      <alignment horizontal="center" vertical="center" wrapText="1"/>
    </xf>
    <xf numFmtId="0" fontId="129" fillId="0" borderId="0" xfId="28" applyFont="1"/>
    <xf numFmtId="164" fontId="66" fillId="0" borderId="112" xfId="28" applyNumberFormat="1" applyBorder="1"/>
    <xf numFmtId="164" fontId="66" fillId="0" borderId="12" xfId="28" applyNumberFormat="1" applyBorder="1"/>
    <xf numFmtId="168" fontId="29" fillId="0" borderId="31" xfId="28" applyNumberFormat="1" applyFont="1" applyBorder="1"/>
    <xf numFmtId="0" fontId="27" fillId="24" borderId="0" xfId="28" applyFont="1" applyFill="1" applyAlignment="1">
      <alignment horizontal="right"/>
    </xf>
    <xf numFmtId="0" fontId="129" fillId="0" borderId="0" xfId="28" applyFont="1" applyAlignment="1">
      <alignment horizontal="right"/>
    </xf>
    <xf numFmtId="164" fontId="29" fillId="0" borderId="31" xfId="28" applyNumberFormat="1" applyFont="1" applyBorder="1"/>
    <xf numFmtId="164" fontId="29" fillId="24" borderId="109" xfId="28" applyNumberFormat="1" applyFont="1" applyFill="1" applyBorder="1"/>
    <xf numFmtId="168" fontId="29" fillId="24" borderId="109" xfId="28" applyNumberFormat="1" applyFont="1" applyFill="1" applyBorder="1"/>
    <xf numFmtId="0" fontId="10" fillId="0" borderId="0" xfId="0" applyFont="1" applyAlignment="1"/>
    <xf numFmtId="0" fontId="13" fillId="0" borderId="0" xfId="2" applyFill="1" applyAlignment="1">
      <alignment horizontal="right"/>
    </xf>
    <xf numFmtId="0" fontId="20" fillId="24" borderId="0" xfId="2" applyFont="1" applyFill="1" applyAlignment="1">
      <alignment horizontal="right"/>
    </xf>
    <xf numFmtId="0" fontId="1" fillId="0" borderId="0" xfId="2" applyFont="1" applyFill="1" applyAlignment="1">
      <alignment horizontal="right"/>
    </xf>
    <xf numFmtId="0" fontId="5" fillId="24" borderId="0" xfId="2" applyFont="1" applyFill="1" applyAlignment="1">
      <alignment horizontal="right"/>
    </xf>
    <xf numFmtId="166" fontId="16" fillId="0" borderId="5" xfId="8" applyNumberFormat="1" applyFont="1" applyFill="1" applyBorder="1"/>
    <xf numFmtId="0" fontId="27" fillId="24" borderId="0" xfId="0" applyFont="1" applyFill="1" applyAlignment="1">
      <alignment horizontal="right"/>
    </xf>
    <xf numFmtId="0" fontId="0" fillId="21" borderId="57" xfId="0" applyFill="1" applyBorder="1"/>
    <xf numFmtId="0" fontId="0" fillId="0" borderId="57" xfId="0" applyFill="1" applyBorder="1"/>
    <xf numFmtId="42" fontId="0" fillId="0" borderId="0" xfId="0" applyNumberFormat="1"/>
    <xf numFmtId="42" fontId="25" fillId="17" borderId="10" xfId="0" applyNumberFormat="1" applyFont="1" applyFill="1" applyBorder="1" applyProtection="1"/>
    <xf numFmtId="42" fontId="25" fillId="18" borderId="10" xfId="0" applyNumberFormat="1" applyFont="1" applyFill="1" applyBorder="1" applyProtection="1"/>
    <xf numFmtId="42" fontId="1" fillId="0" borderId="67" xfId="0" applyNumberFormat="1" applyFont="1" applyBorder="1" applyProtection="1"/>
    <xf numFmtId="42" fontId="75" fillId="19" borderId="53" xfId="0" applyNumberFormat="1" applyFont="1" applyFill="1" applyBorder="1" applyProtection="1"/>
    <xf numFmtId="42" fontId="25" fillId="15" borderId="10" xfId="0" applyNumberFormat="1" applyFont="1" applyFill="1" applyBorder="1" applyProtection="1"/>
    <xf numFmtId="42" fontId="25" fillId="20" borderId="10" xfId="0" applyNumberFormat="1" applyFont="1" applyFill="1" applyBorder="1" applyProtection="1"/>
    <xf numFmtId="42" fontId="0" fillId="0" borderId="0" xfId="0" applyNumberFormat="1" applyProtection="1"/>
    <xf numFmtId="42" fontId="6" fillId="0" borderId="0" xfId="8" applyNumberFormat="1" applyFont="1" applyProtection="1"/>
    <xf numFmtId="42" fontId="0" fillId="0" borderId="0" xfId="8" applyNumberFormat="1" applyFont="1"/>
    <xf numFmtId="42" fontId="21" fillId="16" borderId="37" xfId="0" applyNumberFormat="1" applyFont="1" applyFill="1" applyBorder="1"/>
    <xf numFmtId="42" fontId="25" fillId="17" borderId="101" xfId="0" applyNumberFormat="1" applyFont="1" applyFill="1" applyBorder="1" applyProtection="1"/>
    <xf numFmtId="42" fontId="25" fillId="18" borderId="101" xfId="0" applyNumberFormat="1" applyFont="1" applyFill="1" applyBorder="1" applyProtection="1"/>
    <xf numFmtId="42" fontId="75" fillId="19" borderId="105" xfId="0" applyNumberFormat="1" applyFont="1" applyFill="1" applyBorder="1" applyProtection="1"/>
    <xf numFmtId="42" fontId="25" fillId="15" borderId="101" xfId="0" applyNumberFormat="1" applyFont="1" applyFill="1" applyBorder="1" applyProtection="1"/>
    <xf numFmtId="42" fontId="25" fillId="20" borderId="101" xfId="0" applyNumberFormat="1" applyFont="1" applyFill="1" applyBorder="1" applyProtection="1"/>
    <xf numFmtId="42" fontId="5" fillId="0" borderId="49" xfId="1" applyNumberFormat="1" applyFont="1" applyFill="1" applyBorder="1" applyProtection="1"/>
    <xf numFmtId="42" fontId="76" fillId="0" borderId="0" xfId="0" applyNumberFormat="1" applyFont="1" applyFill="1" applyBorder="1" applyAlignment="1" applyProtection="1">
      <alignment vertical="center"/>
    </xf>
    <xf numFmtId="42" fontId="44" fillId="0" borderId="5" xfId="0" applyNumberFormat="1" applyFont="1" applyBorder="1" applyProtection="1"/>
    <xf numFmtId="37" fontId="0" fillId="0" borderId="61" xfId="0" applyNumberFormat="1" applyFill="1" applyBorder="1" applyProtection="1"/>
    <xf numFmtId="37" fontId="0" fillId="0" borderId="84" xfId="0" applyNumberFormat="1" applyFill="1" applyBorder="1" applyProtection="1"/>
    <xf numFmtId="37" fontId="1" fillId="0" borderId="61" xfId="0" applyNumberFormat="1" applyFont="1" applyFill="1" applyBorder="1" applyProtection="1"/>
    <xf numFmtId="42" fontId="1" fillId="0" borderId="60" xfId="0" applyNumberFormat="1" applyFont="1" applyBorder="1" applyProtection="1"/>
    <xf numFmtId="3" fontId="1" fillId="0" borderId="60" xfId="0" applyNumberFormat="1" applyFont="1" applyBorder="1" applyProtection="1"/>
    <xf numFmtId="42" fontId="1" fillId="0" borderId="10" xfId="0" applyNumberFormat="1" applyFont="1" applyBorder="1" applyProtection="1"/>
    <xf numFmtId="42" fontId="0" fillId="21" borderId="84" xfId="0" applyNumberFormat="1" applyFont="1" applyFill="1" applyBorder="1" applyProtection="1"/>
    <xf numFmtId="42" fontId="0" fillId="0" borderId="84" xfId="0" applyNumberFormat="1" applyFont="1" applyBorder="1" applyProtection="1"/>
    <xf numFmtId="42" fontId="0" fillId="0" borderId="10" xfId="0" applyNumberFormat="1" applyFont="1" applyBorder="1" applyProtection="1"/>
    <xf numFmtId="3" fontId="1" fillId="0" borderId="34" xfId="0" applyNumberFormat="1" applyFont="1" applyBorder="1" applyProtection="1"/>
    <xf numFmtId="42" fontId="0" fillId="0" borderId="51" xfId="0" applyNumberFormat="1" applyBorder="1" applyProtection="1"/>
    <xf numFmtId="42" fontId="44" fillId="14" borderId="10" xfId="0" applyNumberFormat="1" applyFont="1" applyFill="1" applyBorder="1" applyProtection="1"/>
    <xf numFmtId="37" fontId="0" fillId="0" borderId="56" xfId="0" applyNumberFormat="1" applyFont="1" applyFill="1" applyBorder="1" applyProtection="1"/>
    <xf numFmtId="42" fontId="85" fillId="0" borderId="55" xfId="0" applyNumberFormat="1" applyFont="1" applyFill="1" applyBorder="1" applyProtection="1"/>
    <xf numFmtId="42" fontId="44" fillId="0" borderId="2" xfId="0" applyNumberFormat="1" applyFont="1" applyBorder="1" applyProtection="1"/>
    <xf numFmtId="42" fontId="44" fillId="0" borderId="10" xfId="0" applyNumberFormat="1" applyFont="1" applyFill="1" applyBorder="1" applyProtection="1"/>
    <xf numFmtId="3" fontId="5" fillId="0" borderId="8" xfId="0" applyNumberFormat="1" applyFont="1" applyBorder="1" applyProtection="1"/>
    <xf numFmtId="42" fontId="5" fillId="0" borderId="10" xfId="0" applyNumberFormat="1" applyFont="1" applyBorder="1" applyProtection="1"/>
    <xf numFmtId="37" fontId="44" fillId="0" borderId="8" xfId="0" applyNumberFormat="1" applyFont="1" applyFill="1" applyBorder="1" applyProtection="1"/>
    <xf numFmtId="37" fontId="44" fillId="0" borderId="10" xfId="0" applyNumberFormat="1" applyFont="1" applyFill="1" applyBorder="1" applyProtection="1"/>
    <xf numFmtId="42" fontId="21" fillId="0" borderId="18" xfId="0" applyNumberFormat="1" applyFont="1" applyBorder="1" applyAlignment="1">
      <alignment horizontal="center" vertical="center" wrapText="1"/>
    </xf>
    <xf numFmtId="42" fontId="0" fillId="0" borderId="100" xfId="0" applyNumberFormat="1" applyFill="1" applyBorder="1" applyProtection="1"/>
    <xf numFmtId="42" fontId="85" fillId="0" borderId="100" xfId="0" applyNumberFormat="1" applyFont="1" applyFill="1" applyBorder="1" applyProtection="1"/>
    <xf numFmtId="42" fontId="0" fillId="0" borderId="113" xfId="0" applyNumberFormat="1" applyFill="1" applyBorder="1" applyProtection="1"/>
    <xf numFmtId="42" fontId="44" fillId="0" borderId="101" xfId="0" applyNumberFormat="1" applyFont="1" applyFill="1" applyBorder="1" applyProtection="1"/>
    <xf numFmtId="42" fontId="1" fillId="0" borderId="102" xfId="0" applyNumberFormat="1" applyFont="1" applyFill="1" applyBorder="1" applyProtection="1"/>
    <xf numFmtId="0" fontId="0" fillId="0" borderId="54" xfId="0" applyNumberFormat="1" applyFont="1" applyBorder="1" applyAlignment="1">
      <alignment horizontal="left"/>
    </xf>
    <xf numFmtId="42" fontId="1" fillId="0" borderId="113" xfId="0" applyNumberFormat="1" applyFont="1" applyFill="1" applyBorder="1" applyProtection="1"/>
    <xf numFmtId="42" fontId="5" fillId="0" borderId="101" xfId="0" applyNumberFormat="1" applyFont="1" applyFill="1" applyBorder="1" applyProtection="1"/>
    <xf numFmtId="42" fontId="1" fillId="0" borderId="103" xfId="0" applyNumberFormat="1" applyFont="1" applyBorder="1" applyProtection="1"/>
    <xf numFmtId="42" fontId="1" fillId="0" borderId="120" xfId="0" applyNumberFormat="1" applyFont="1" applyBorder="1" applyProtection="1"/>
    <xf numFmtId="42" fontId="0" fillId="21" borderId="100" xfId="0" applyNumberFormat="1" applyFont="1" applyFill="1" applyBorder="1" applyProtection="1"/>
    <xf numFmtId="42" fontId="0" fillId="0" borderId="100" xfId="0" applyNumberFormat="1" applyFont="1" applyFill="1" applyBorder="1" applyProtection="1"/>
    <xf numFmtId="42" fontId="0" fillId="21" borderId="113" xfId="0" applyNumberFormat="1" applyFont="1" applyFill="1" applyBorder="1" applyProtection="1"/>
    <xf numFmtId="42" fontId="0" fillId="0" borderId="102" xfId="0" applyNumberFormat="1" applyFont="1" applyBorder="1" applyProtection="1"/>
    <xf numFmtId="42" fontId="0" fillId="0" borderId="113" xfId="0" applyNumberFormat="1" applyFont="1" applyBorder="1" applyProtection="1"/>
    <xf numFmtId="42" fontId="44" fillId="0" borderId="104" xfId="0" applyNumberFormat="1" applyFont="1" applyBorder="1" applyProtection="1"/>
    <xf numFmtId="42" fontId="0" fillId="0" borderId="101" xfId="0" applyNumberFormat="1" applyFont="1" applyBorder="1" applyProtection="1"/>
    <xf numFmtId="42" fontId="44" fillId="14" borderId="101" xfId="0" applyNumberFormat="1" applyFont="1" applyFill="1" applyBorder="1" applyProtection="1"/>
    <xf numFmtId="42" fontId="1" fillId="0" borderId="102" xfId="0" applyNumberFormat="1" applyFont="1" applyBorder="1" applyProtection="1"/>
    <xf numFmtId="42" fontId="1" fillId="0" borderId="101" xfId="0" applyNumberFormat="1" applyFont="1" applyBorder="1" applyProtection="1"/>
    <xf numFmtId="0" fontId="44" fillId="14" borderId="121" xfId="0" applyFont="1" applyFill="1" applyBorder="1"/>
    <xf numFmtId="0" fontId="44" fillId="14" borderId="82" xfId="0" applyFont="1" applyFill="1" applyBorder="1"/>
    <xf numFmtId="3" fontId="5" fillId="14" borderId="82" xfId="1" applyNumberFormat="1" applyFont="1" applyFill="1" applyBorder="1" applyProtection="1"/>
    <xf numFmtId="42" fontId="5" fillId="14" borderId="82" xfId="1" applyNumberFormat="1" applyFont="1" applyFill="1" applyBorder="1" applyProtection="1"/>
    <xf numFmtId="42" fontId="5" fillId="14" borderId="111" xfId="1" applyNumberFormat="1" applyFont="1" applyFill="1" applyBorder="1" applyProtection="1"/>
    <xf numFmtId="0" fontId="44" fillId="14" borderId="106" xfId="0" applyFont="1" applyFill="1" applyBorder="1"/>
    <xf numFmtId="0" fontId="44" fillId="14" borderId="107" xfId="0" applyFont="1" applyFill="1" applyBorder="1"/>
    <xf numFmtId="3" fontId="5" fillId="14" borderId="107" xfId="1" applyNumberFormat="1" applyFont="1" applyFill="1" applyBorder="1" applyProtection="1"/>
    <xf numFmtId="3" fontId="5" fillId="14" borderId="110" xfId="1" applyNumberFormat="1" applyFont="1" applyFill="1" applyBorder="1" applyProtection="1"/>
    <xf numFmtId="42" fontId="1" fillId="0" borderId="48" xfId="0" applyNumberFormat="1" applyFont="1" applyBorder="1" applyProtection="1"/>
    <xf numFmtId="42" fontId="1" fillId="0" borderId="16" xfId="0" applyNumberFormat="1" applyFont="1" applyBorder="1" applyProtection="1"/>
    <xf numFmtId="42" fontId="5" fillId="0" borderId="49" xfId="0" applyNumberFormat="1" applyFont="1" applyFill="1" applyBorder="1" applyProtection="1"/>
    <xf numFmtId="166" fontId="0" fillId="0" borderId="51" xfId="8" applyNumberFormat="1" applyFont="1" applyBorder="1"/>
    <xf numFmtId="0" fontId="21" fillId="0" borderId="0" xfId="0" applyFont="1" applyAlignment="1">
      <alignment horizontal="center"/>
    </xf>
    <xf numFmtId="0" fontId="130" fillId="0" borderId="0" xfId="28" applyFont="1" applyAlignment="1">
      <alignment horizontal="left"/>
    </xf>
    <xf numFmtId="0" fontId="130" fillId="0" borderId="0" xfId="28" applyFont="1"/>
    <xf numFmtId="0" fontId="130" fillId="0" borderId="0" xfId="0" applyFont="1" applyAlignment="1">
      <alignment horizontal="left"/>
    </xf>
    <xf numFmtId="0" fontId="130" fillId="0" borderId="0" xfId="0" applyFont="1"/>
    <xf numFmtId="49" fontId="60" fillId="0" borderId="0" xfId="20" applyNumberFormat="1" applyFont="1"/>
    <xf numFmtId="49" fontId="3" fillId="3" borderId="2" xfId="3" applyNumberFormat="1" applyFont="1" applyFill="1" applyBorder="1" applyAlignment="1">
      <alignment horizontal="center" vertical="center" wrapText="1"/>
    </xf>
    <xf numFmtId="49" fontId="3" fillId="6" borderId="2" xfId="3" applyNumberFormat="1" applyFont="1" applyFill="1" applyBorder="1" applyAlignment="1">
      <alignment horizontal="center" vertical="center" wrapText="1"/>
    </xf>
    <xf numFmtId="49" fontId="13" fillId="6" borderId="0" xfId="2" applyNumberFormat="1" applyFill="1"/>
    <xf numFmtId="49" fontId="16" fillId="0" borderId="10" xfId="3" applyNumberFormat="1" applyBorder="1"/>
    <xf numFmtId="49" fontId="16" fillId="24" borderId="10" xfId="3" applyNumberFormat="1" applyFill="1" applyBorder="1"/>
    <xf numFmtId="49" fontId="16" fillId="0" borderId="17" xfId="20" applyNumberFormat="1" applyFont="1" applyFill="1" applyBorder="1"/>
    <xf numFmtId="49" fontId="55" fillId="0" borderId="0" xfId="20" applyNumberFormat="1" applyFont="1" applyBorder="1" applyAlignment="1">
      <alignment horizontal="center"/>
    </xf>
    <xf numFmtId="49" fontId="39" fillId="0" borderId="0" xfId="4" applyNumberFormat="1" applyFont="1" applyFill="1" applyBorder="1"/>
    <xf numFmtId="49" fontId="20" fillId="0" borderId="0" xfId="20" applyNumberFormat="1" applyFont="1" applyFill="1"/>
    <xf numFmtId="49" fontId="13" fillId="0" borderId="0" xfId="3" applyNumberFormat="1" applyFont="1" applyFill="1" applyAlignment="1">
      <alignment horizontal="left"/>
    </xf>
    <xf numFmtId="49" fontId="20" fillId="0" borderId="0" xfId="3" applyNumberFormat="1" applyFont="1" applyFill="1" applyAlignment="1">
      <alignment horizontal="center"/>
    </xf>
    <xf numFmtId="49" fontId="16" fillId="0" borderId="0" xfId="20" applyNumberFormat="1" applyFill="1"/>
    <xf numFmtId="49" fontId="16" fillId="0" borderId="0" xfId="20" applyNumberFormat="1"/>
    <xf numFmtId="49" fontId="16" fillId="0" borderId="0" xfId="20" applyNumberFormat="1" applyBorder="1"/>
    <xf numFmtId="49" fontId="16" fillId="0" borderId="0" xfId="20" applyNumberFormat="1" applyFill="1" applyBorder="1"/>
    <xf numFmtId="49" fontId="20" fillId="0" borderId="0" xfId="20" applyNumberFormat="1" applyFont="1" applyFill="1" applyBorder="1"/>
    <xf numFmtId="49" fontId="20" fillId="0" borderId="0" xfId="3" applyNumberFormat="1" applyFont="1" applyBorder="1" applyAlignment="1">
      <alignment horizontal="center"/>
    </xf>
    <xf numFmtId="49" fontId="20" fillId="0" borderId="0" xfId="3" applyNumberFormat="1" applyFont="1" applyFill="1" applyBorder="1" applyAlignment="1">
      <alignment horizontal="center" wrapText="1"/>
    </xf>
    <xf numFmtId="49" fontId="16" fillId="0" borderId="0" xfId="20" applyNumberFormat="1" applyBorder="1" applyAlignment="1">
      <alignment horizontal="center"/>
    </xf>
    <xf numFmtId="49" fontId="16" fillId="0" borderId="0" xfId="3" applyNumberFormat="1"/>
    <xf numFmtId="49" fontId="0" fillId="0" borderId="0" xfId="0" applyNumberFormat="1"/>
    <xf numFmtId="49" fontId="16" fillId="0" borderId="0" xfId="20" applyNumberFormat="1" applyAlignment="1">
      <alignment horizontal="center"/>
    </xf>
    <xf numFmtId="0" fontId="126" fillId="0" borderId="0" xfId="23" applyNumberFormat="1" applyFont="1" applyAlignment="1" applyProtection="1">
      <alignment horizontal="left" indent="10"/>
      <protection locked="0"/>
    </xf>
    <xf numFmtId="0" fontId="131" fillId="0" borderId="0" xfId="28" applyFont="1"/>
    <xf numFmtId="49" fontId="45" fillId="0" borderId="0" xfId="18" applyNumberFormat="1" applyFont="1"/>
    <xf numFmtId="49" fontId="52" fillId="3" borderId="2" xfId="12" applyNumberFormat="1" applyFont="1" applyFill="1" applyBorder="1" applyAlignment="1">
      <alignment horizontal="center" vertical="center" wrapText="1"/>
    </xf>
    <xf numFmtId="49" fontId="1" fillId="6" borderId="2" xfId="12" applyNumberFormat="1" applyFont="1" applyFill="1" applyBorder="1" applyAlignment="1">
      <alignment horizontal="center" vertical="center" wrapText="1"/>
    </xf>
    <xf numFmtId="49" fontId="45" fillId="0" borderId="10" xfId="12" applyNumberFormat="1" applyBorder="1"/>
    <xf numFmtId="49" fontId="45" fillId="24" borderId="10" xfId="12" applyNumberFormat="1" applyFill="1" applyBorder="1"/>
    <xf numFmtId="49" fontId="45" fillId="0" borderId="17" xfId="15" applyNumberFormat="1" applyFont="1" applyFill="1" applyBorder="1"/>
    <xf numFmtId="49" fontId="55" fillId="0" borderId="51" xfId="15" applyNumberFormat="1" applyFont="1" applyBorder="1" applyAlignment="1">
      <alignment horizontal="center"/>
    </xf>
    <xf numFmtId="49" fontId="39" fillId="0" borderId="51" xfId="18" applyNumberFormat="1" applyFont="1" applyFill="1" applyBorder="1"/>
    <xf numFmtId="49" fontId="20" fillId="0" borderId="0" xfId="22" applyNumberFormat="1" applyFont="1" applyFill="1"/>
    <xf numFmtId="49" fontId="13" fillId="0" borderId="0" xfId="3" applyNumberFormat="1" applyFont="1" applyFill="1" applyAlignment="1">
      <alignment horizontal="right"/>
    </xf>
    <xf numFmtId="49" fontId="13" fillId="0" borderId="0" xfId="178" applyNumberFormat="1" applyFont="1" applyFill="1" applyAlignment="1">
      <alignment horizontal="left"/>
    </xf>
    <xf numFmtId="49" fontId="13" fillId="0" borderId="0" xfId="178" applyNumberFormat="1" applyFont="1" applyFill="1" applyAlignment="1">
      <alignment horizontal="right"/>
    </xf>
    <xf numFmtId="49" fontId="16" fillId="0" borderId="0" xfId="22" applyNumberFormat="1" applyFont="1" applyFill="1"/>
    <xf numFmtId="49" fontId="16" fillId="0" borderId="0" xfId="22" applyNumberFormat="1" applyFont="1"/>
    <xf numFmtId="49" fontId="16" fillId="0" borderId="50" xfId="22" applyNumberFormat="1" applyFont="1" applyBorder="1"/>
    <xf numFmtId="49" fontId="16" fillId="0" borderId="32" xfId="22" applyNumberFormat="1" applyFont="1" applyFill="1" applyBorder="1"/>
    <xf numFmtId="49" fontId="16" fillId="0" borderId="35" xfId="3" applyNumberFormat="1" applyBorder="1"/>
    <xf numFmtId="49" fontId="48" fillId="0" borderId="35" xfId="22" applyNumberFormat="1" applyFont="1" applyFill="1" applyBorder="1"/>
    <xf numFmtId="49" fontId="20" fillId="0" borderId="0" xfId="22" applyNumberFormat="1" applyFont="1" applyFill="1" applyBorder="1"/>
    <xf numFmtId="49" fontId="45" fillId="0" borderId="0" xfId="15" applyNumberFormat="1" applyFont="1" applyFill="1" applyBorder="1"/>
    <xf numFmtId="49" fontId="45" fillId="0" borderId="0" xfId="12" applyNumberFormat="1" applyBorder="1"/>
    <xf numFmtId="49" fontId="48" fillId="0" borderId="0" xfId="15" applyNumberFormat="1" applyFont="1" applyFill="1" applyBorder="1"/>
    <xf numFmtId="49" fontId="20" fillId="0" borderId="0" xfId="15" applyNumberFormat="1" applyFont="1" applyFill="1" applyBorder="1"/>
    <xf numFmtId="49" fontId="45" fillId="0" borderId="0" xfId="12" applyNumberFormat="1"/>
    <xf numFmtId="49" fontId="5" fillId="6" borderId="2" xfId="3" applyNumberFormat="1" applyFont="1" applyFill="1" applyBorder="1" applyAlignment="1">
      <alignment horizontal="center" vertical="center" wrapText="1"/>
    </xf>
    <xf numFmtId="49" fontId="60" fillId="0" borderId="0" xfId="20" applyNumberFormat="1" applyFont="1" applyAlignment="1">
      <alignment horizontal="center"/>
    </xf>
    <xf numFmtId="49" fontId="13" fillId="6" borderId="0" xfId="2" applyNumberFormat="1" applyFill="1" applyAlignment="1">
      <alignment horizontal="center"/>
    </xf>
    <xf numFmtId="49" fontId="16" fillId="0" borderId="10" xfId="3" applyNumberFormat="1" applyBorder="1" applyAlignment="1">
      <alignment horizontal="center"/>
    </xf>
    <xf numFmtId="49" fontId="16" fillId="0" borderId="53" xfId="3" applyNumberFormat="1" applyBorder="1" applyAlignment="1">
      <alignment horizontal="center"/>
    </xf>
    <xf numFmtId="49" fontId="16" fillId="24" borderId="53" xfId="4" applyNumberFormat="1" applyFont="1" applyFill="1" applyBorder="1" applyAlignment="1">
      <alignment horizontal="center"/>
    </xf>
    <xf numFmtId="49" fontId="16" fillId="0" borderId="17" xfId="20" applyNumberFormat="1" applyFont="1" applyFill="1" applyBorder="1" applyAlignment="1">
      <alignment horizontal="center"/>
    </xf>
    <xf numFmtId="49" fontId="39" fillId="0" borderId="0" xfId="4" applyNumberFormat="1" applyFont="1" applyFill="1" applyBorder="1" applyAlignment="1">
      <alignment horizontal="center"/>
    </xf>
    <xf numFmtId="49" fontId="20" fillId="0" borderId="0" xfId="20" applyNumberFormat="1" applyFont="1" applyFill="1" applyAlignment="1">
      <alignment horizontal="center"/>
    </xf>
    <xf numFmtId="49" fontId="13" fillId="0" borderId="0" xfId="3" applyNumberFormat="1" applyFont="1" applyFill="1" applyAlignment="1">
      <alignment horizontal="center"/>
    </xf>
    <xf numFmtId="49" fontId="16" fillId="0" borderId="0" xfId="20" applyNumberFormat="1" applyFill="1" applyAlignment="1">
      <alignment horizontal="center"/>
    </xf>
    <xf numFmtId="49" fontId="46" fillId="0" borderId="0" xfId="3" applyNumberFormat="1" applyFont="1" applyFill="1" applyBorder="1" applyAlignment="1">
      <alignment horizontal="center" vertical="center"/>
    </xf>
    <xf numFmtId="49" fontId="16" fillId="0" borderId="0" xfId="3" applyNumberFormat="1" applyAlignment="1">
      <alignment horizontal="center"/>
    </xf>
    <xf numFmtId="49" fontId="0" fillId="0" borderId="0" xfId="0" applyNumberFormat="1" applyAlignment="1">
      <alignment horizontal="center"/>
    </xf>
    <xf numFmtId="165" fontId="132" fillId="0" borderId="0" xfId="3" applyNumberFormat="1" applyFont="1" applyBorder="1"/>
    <xf numFmtId="49" fontId="132" fillId="0" borderId="0" xfId="22" applyNumberFormat="1" applyFont="1" applyAlignment="1">
      <alignment horizontal="center"/>
    </xf>
    <xf numFmtId="0" fontId="7" fillId="0" borderId="0" xfId="3" applyNumberFormat="1" applyFont="1" applyFill="1" applyBorder="1" applyAlignment="1">
      <alignment horizontal="left" indent="2"/>
    </xf>
    <xf numFmtId="0" fontId="25" fillId="0" borderId="0" xfId="28" applyFont="1" applyAlignment="1">
      <alignment horizontal="left"/>
    </xf>
    <xf numFmtId="0" fontId="47" fillId="0" borderId="0" xfId="3" applyFont="1" applyFill="1" applyBorder="1"/>
    <xf numFmtId="0" fontId="7" fillId="0" borderId="0" xfId="2" applyFont="1" applyFill="1" applyAlignment="1">
      <alignment wrapText="1"/>
    </xf>
    <xf numFmtId="42" fontId="7" fillId="0" borderId="0" xfId="2" applyNumberFormat="1" applyFont="1" applyFill="1" applyBorder="1" applyAlignment="1">
      <alignment horizontal="left" vertical="center" wrapText="1"/>
    </xf>
    <xf numFmtId="165" fontId="13" fillId="0" borderId="0" xfId="1" applyNumberFormat="1" applyFont="1" applyAlignment="1">
      <alignment horizontal="left"/>
    </xf>
    <xf numFmtId="165" fontId="13" fillId="0" borderId="0" xfId="1" applyNumberFormat="1" applyFont="1" applyFill="1" applyBorder="1" applyAlignment="1">
      <alignment horizontal="left" vertical="center" wrapText="1"/>
    </xf>
    <xf numFmtId="165" fontId="7" fillId="0" borderId="0" xfId="0" applyNumberFormat="1" applyFont="1" applyAlignment="1">
      <alignment horizontal="center"/>
    </xf>
    <xf numFmtId="165" fontId="7" fillId="0" borderId="0" xfId="0" applyNumberFormat="1" applyFont="1"/>
    <xf numFmtId="165" fontId="7" fillId="0" borderId="0" xfId="5" applyNumberFormat="1" applyFont="1" applyAlignment="1">
      <alignment horizontal="center"/>
    </xf>
    <xf numFmtId="165" fontId="7" fillId="0" borderId="0" xfId="5" applyNumberFormat="1" applyFont="1"/>
    <xf numFmtId="165" fontId="7" fillId="0" borderId="0" xfId="5" applyNumberFormat="1" applyFont="1" applyFill="1" applyBorder="1" applyAlignment="1">
      <alignment horizontal="center" vertical="center" wrapText="1"/>
    </xf>
    <xf numFmtId="0" fontId="0" fillId="2" borderId="13" xfId="0" applyFill="1" applyBorder="1"/>
    <xf numFmtId="3" fontId="0" fillId="2" borderId="7" xfId="0" applyNumberFormat="1" applyFill="1" applyBorder="1"/>
    <xf numFmtId="0" fontId="29" fillId="0" borderId="16" xfId="0" applyFont="1" applyBorder="1"/>
    <xf numFmtId="44" fontId="0" fillId="2" borderId="13" xfId="0" applyNumberFormat="1" applyFill="1" applyBorder="1"/>
    <xf numFmtId="9" fontId="30" fillId="0" borderId="13" xfId="8" applyFont="1" applyFill="1" applyBorder="1"/>
    <xf numFmtId="0" fontId="7" fillId="0" borderId="13" xfId="0" applyFont="1" applyBorder="1"/>
    <xf numFmtId="0" fontId="7" fillId="0" borderId="7" xfId="0" applyFont="1" applyBorder="1"/>
    <xf numFmtId="44" fontId="7" fillId="0" borderId="13" xfId="0" applyNumberFormat="1" applyFont="1" applyFill="1" applyBorder="1"/>
    <xf numFmtId="169" fontId="7" fillId="0" borderId="13" xfId="0" applyNumberFormat="1" applyFont="1" applyBorder="1" applyAlignment="1">
      <alignment horizontal="right"/>
    </xf>
    <xf numFmtId="0" fontId="7" fillId="0" borderId="7" xfId="0" applyFont="1" applyBorder="1" applyAlignment="1">
      <alignment horizontal="left" indent="2"/>
    </xf>
    <xf numFmtId="169" fontId="7" fillId="0" borderId="7" xfId="0" applyNumberFormat="1" applyFont="1" applyBorder="1" applyAlignment="1">
      <alignment horizontal="right"/>
    </xf>
    <xf numFmtId="164" fontId="7" fillId="0" borderId="13" xfId="0" applyNumberFormat="1" applyFont="1" applyFill="1" applyBorder="1" applyAlignment="1">
      <alignment horizontal="right"/>
    </xf>
    <xf numFmtId="172" fontId="13" fillId="0" borderId="13" xfId="30" applyNumberFormat="1" applyFont="1" applyFill="1" applyBorder="1" applyAlignment="1" applyProtection="1">
      <alignment horizontal="center"/>
      <protection locked="0"/>
    </xf>
    <xf numFmtId="172" fontId="29" fillId="0" borderId="13" xfId="28" applyNumberFormat="1" applyFont="1" applyBorder="1"/>
    <xf numFmtId="169" fontId="131" fillId="0" borderId="13" xfId="28" applyNumberFormat="1" applyFont="1" applyBorder="1" applyAlignment="1">
      <alignment horizontal="right"/>
    </xf>
    <xf numFmtId="169" fontId="131" fillId="0" borderId="7" xfId="28" applyNumberFormat="1" applyFont="1" applyBorder="1" applyAlignment="1">
      <alignment horizontal="right"/>
    </xf>
    <xf numFmtId="170" fontId="131" fillId="0" borderId="35" xfId="28" applyNumberFormat="1" applyFont="1" applyBorder="1"/>
    <xf numFmtId="0" fontId="30" fillId="0" borderId="7" xfId="0" applyFont="1" applyBorder="1"/>
    <xf numFmtId="0" fontId="34" fillId="0" borderId="7" xfId="0" applyFont="1" applyBorder="1"/>
    <xf numFmtId="0" fontId="0" fillId="2" borderId="7" xfId="0" applyFill="1" applyBorder="1"/>
    <xf numFmtId="0" fontId="34" fillId="0" borderId="7" xfId="0" applyFont="1" applyBorder="1" applyAlignment="1">
      <alignment horizontal="right"/>
    </xf>
    <xf numFmtId="0" fontId="0" fillId="2" borderId="7" xfId="0" applyFill="1" applyBorder="1" applyAlignment="1">
      <alignment horizontal="right"/>
    </xf>
    <xf numFmtId="0" fontId="30" fillId="0" borderId="7" xfId="0" applyFont="1" applyBorder="1" applyAlignment="1">
      <alignment horizontal="right"/>
    </xf>
    <xf numFmtId="0" fontId="0" fillId="0" borderId="7" xfId="0" applyFill="1" applyBorder="1" applyAlignment="1">
      <alignment horizontal="right"/>
    </xf>
    <xf numFmtId="0" fontId="29" fillId="0" borderId="7" xfId="0" applyFont="1" applyBorder="1" applyAlignment="1">
      <alignment horizontal="right"/>
    </xf>
    <xf numFmtId="169" fontId="34" fillId="0" borderId="13" xfId="0" applyNumberFormat="1" applyFont="1" applyBorder="1"/>
    <xf numFmtId="169" fontId="34" fillId="0" borderId="13" xfId="0" applyNumberFormat="1" applyFont="1" applyFill="1" applyBorder="1"/>
    <xf numFmtId="169" fontId="0" fillId="2" borderId="13" xfId="0" applyNumberFormat="1" applyFill="1" applyBorder="1"/>
    <xf numFmtId="169" fontId="32" fillId="0" borderId="13" xfId="0" applyNumberFormat="1" applyFont="1" applyBorder="1"/>
    <xf numFmtId="169" fontId="7" fillId="4" borderId="22" xfId="0" applyNumberFormat="1" applyFont="1" applyFill="1" applyBorder="1" applyAlignment="1">
      <alignment horizontal="right"/>
    </xf>
    <xf numFmtId="0" fontId="7" fillId="0" borderId="7" xfId="0" applyFont="1" applyFill="1" applyBorder="1"/>
    <xf numFmtId="169" fontId="7" fillId="0" borderId="13" xfId="0" applyNumberFormat="1" applyFont="1" applyBorder="1"/>
    <xf numFmtId="0" fontId="7" fillId="11" borderId="34" xfId="0" applyFont="1" applyFill="1" applyBorder="1"/>
    <xf numFmtId="0" fontId="7" fillId="11" borderId="2" xfId="0" applyFont="1" applyFill="1" applyBorder="1"/>
    <xf numFmtId="0" fontId="7" fillId="11" borderId="35" xfId="0" applyFont="1" applyFill="1" applyBorder="1"/>
    <xf numFmtId="170" fontId="7" fillId="0" borderId="35" xfId="0" applyNumberFormat="1" applyFont="1" applyBorder="1"/>
    <xf numFmtId="0" fontId="7" fillId="11" borderId="8" xfId="0" applyFont="1" applyFill="1" applyBorder="1"/>
    <xf numFmtId="0" fontId="7" fillId="11" borderId="10" xfId="0" applyFont="1" applyFill="1" applyBorder="1"/>
    <xf numFmtId="0" fontId="7" fillId="11" borderId="5" xfId="0" applyFont="1" applyFill="1" applyBorder="1"/>
    <xf numFmtId="169" fontId="7" fillId="0" borderId="7" xfId="0" applyNumberFormat="1" applyFont="1" applyFill="1" applyBorder="1" applyAlignment="1">
      <alignment horizontal="right"/>
    </xf>
    <xf numFmtId="169" fontId="0" fillId="2" borderId="7" xfId="0" applyNumberFormat="1" applyFill="1" applyBorder="1"/>
    <xf numFmtId="169" fontId="131" fillId="11" borderId="13" xfId="28" applyNumberFormat="1" applyFont="1" applyFill="1" applyBorder="1"/>
    <xf numFmtId="10" fontId="135" fillId="0" borderId="13" xfId="11" applyNumberFormat="1" applyFont="1" applyBorder="1"/>
    <xf numFmtId="7" fontId="7" fillId="0" borderId="13" xfId="199" applyNumberFormat="1" applyFont="1" applyFill="1" applyBorder="1" applyAlignment="1" applyProtection="1">
      <protection locked="0"/>
    </xf>
    <xf numFmtId="169" fontId="7" fillId="0" borderId="13" xfId="0" applyNumberFormat="1" applyFont="1" applyFill="1" applyBorder="1"/>
    <xf numFmtId="0" fontId="7" fillId="0" borderId="13" xfId="0" applyFont="1" applyFill="1" applyBorder="1"/>
    <xf numFmtId="173" fontId="7" fillId="0" borderId="7" xfId="0" applyNumberFormat="1" applyFont="1" applyFill="1" applyBorder="1"/>
    <xf numFmtId="169" fontId="7" fillId="0" borderId="7" xfId="0" applyNumberFormat="1" applyFont="1" applyFill="1" applyBorder="1"/>
    <xf numFmtId="0" fontId="7" fillId="11" borderId="5" xfId="0" applyFont="1" applyFill="1" applyBorder="1" applyAlignment="1">
      <alignment horizontal="center"/>
    </xf>
    <xf numFmtId="1" fontId="7" fillId="0" borderId="7" xfId="0" applyNumberFormat="1" applyFont="1" applyFill="1" applyBorder="1"/>
    <xf numFmtId="0" fontId="7" fillId="11" borderId="7" xfId="0" applyFont="1" applyFill="1" applyBorder="1"/>
    <xf numFmtId="0" fontId="137" fillId="0" borderId="0" xfId="216" applyFont="1" applyAlignment="1" applyProtection="1"/>
    <xf numFmtId="172" fontId="0" fillId="0" borderId="0" xfId="0" applyNumberFormat="1"/>
    <xf numFmtId="164" fontId="29" fillId="0" borderId="23" xfId="0" applyNumberFormat="1" applyFont="1" applyBorder="1"/>
    <xf numFmtId="1" fontId="29" fillId="0" borderId="13" xfId="0" applyNumberFormat="1" applyFont="1" applyBorder="1"/>
    <xf numFmtId="169" fontId="0" fillId="2" borderId="22" xfId="0" applyNumberFormat="1" applyFill="1" applyBorder="1" applyAlignment="1">
      <alignment horizontal="right"/>
    </xf>
    <xf numFmtId="9" fontId="30" fillId="2" borderId="13" xfId="11" applyFont="1" applyFill="1" applyBorder="1"/>
    <xf numFmtId="169" fontId="0" fillId="2" borderId="12" xfId="0" applyNumberFormat="1" applyFill="1" applyBorder="1"/>
    <xf numFmtId="168" fontId="29" fillId="24" borderId="31" xfId="0" applyNumberFormat="1" applyFont="1" applyFill="1" applyBorder="1"/>
    <xf numFmtId="0" fontId="7" fillId="0" borderId="34" xfId="0" applyFont="1" applyFill="1" applyBorder="1"/>
    <xf numFmtId="0" fontId="7" fillId="0" borderId="2" xfId="0" applyFont="1" applyFill="1" applyBorder="1"/>
    <xf numFmtId="0" fontId="7" fillId="0" borderId="35" xfId="0" applyFont="1" applyFill="1" applyBorder="1"/>
    <xf numFmtId="170" fontId="7" fillId="0" borderId="35" xfId="0" applyNumberFormat="1" applyFont="1" applyFill="1" applyBorder="1"/>
    <xf numFmtId="0" fontId="7" fillId="0" borderId="8" xfId="0" applyFont="1" applyFill="1" applyBorder="1"/>
    <xf numFmtId="0" fontId="7" fillId="0" borderId="10" xfId="0" applyFont="1" applyFill="1" applyBorder="1"/>
    <xf numFmtId="0" fontId="7" fillId="0" borderId="5" xfId="0" applyFont="1" applyFill="1" applyBorder="1"/>
    <xf numFmtId="1" fontId="7" fillId="0" borderId="13" xfId="0" applyNumberFormat="1" applyFont="1" applyFill="1" applyBorder="1"/>
    <xf numFmtId="0" fontId="27" fillId="0" borderId="0" xfId="0" applyFont="1" applyFill="1" applyAlignment="1">
      <alignment horizontal="left"/>
    </xf>
    <xf numFmtId="164" fontId="29" fillId="0" borderId="108" xfId="0" applyNumberFormat="1" applyFont="1" applyBorder="1"/>
    <xf numFmtId="168" fontId="29" fillId="0" borderId="108" xfId="0" applyNumberFormat="1" applyFont="1" applyBorder="1"/>
    <xf numFmtId="169" fontId="7" fillId="0" borderId="12" xfId="0" applyNumberFormat="1" applyFont="1" applyFill="1" applyBorder="1"/>
    <xf numFmtId="1" fontId="131" fillId="11" borderId="7" xfId="28" applyNumberFormat="1" applyFont="1" applyFill="1" applyBorder="1"/>
    <xf numFmtId="1" fontId="131" fillId="0" borderId="13" xfId="28" applyNumberFormat="1" applyFont="1" applyFill="1" applyBorder="1"/>
    <xf numFmtId="9" fontId="135" fillId="0" borderId="13" xfId="11" applyFont="1" applyFill="1" applyBorder="1"/>
    <xf numFmtId="6" fontId="7" fillId="0" borderId="13" xfId="0" applyNumberFormat="1" applyFont="1" applyBorder="1" applyAlignment="1">
      <alignment horizontal="right"/>
    </xf>
    <xf numFmtId="6" fontId="7" fillId="4" borderId="22" xfId="0" applyNumberFormat="1" applyFont="1" applyFill="1" applyBorder="1" applyAlignment="1">
      <alignment horizontal="right"/>
    </xf>
    <xf numFmtId="9" fontId="30" fillId="0" borderId="13" xfId="11" applyNumberFormat="1" applyFont="1" applyFill="1" applyBorder="1"/>
    <xf numFmtId="169" fontId="38" fillId="0" borderId="13" xfId="0" applyNumberFormat="1" applyFont="1" applyBorder="1"/>
    <xf numFmtId="1" fontId="0" fillId="0" borderId="13" xfId="0" applyNumberFormat="1" applyFill="1" applyBorder="1"/>
    <xf numFmtId="0" fontId="0" fillId="0" borderId="7" xfId="0" applyNumberFormat="1" applyBorder="1"/>
    <xf numFmtId="0" fontId="0" fillId="0" borderId="13" xfId="0" applyBorder="1" applyAlignment="1">
      <alignment horizontal="center"/>
    </xf>
    <xf numFmtId="0" fontId="0" fillId="0" borderId="7" xfId="0" applyBorder="1" applyAlignment="1">
      <alignment horizontal="center"/>
    </xf>
    <xf numFmtId="0" fontId="0" fillId="0" borderId="7" xfId="0" applyFill="1" applyBorder="1" applyAlignment="1">
      <alignment horizontal="center"/>
    </xf>
    <xf numFmtId="0" fontId="32" fillId="0" borderId="7" xfId="0" applyFont="1" applyFill="1" applyBorder="1" applyAlignment="1">
      <alignment horizontal="center"/>
    </xf>
    <xf numFmtId="0" fontId="32" fillId="0" borderId="7" xfId="0" applyFont="1" applyBorder="1"/>
    <xf numFmtId="0" fontId="38" fillId="0" borderId="7" xfId="0" applyFont="1" applyFill="1" applyBorder="1" applyAlignment="1">
      <alignment horizontal="center" wrapText="1"/>
    </xf>
    <xf numFmtId="0" fontId="38" fillId="0" borderId="7" xfId="0" applyFont="1" applyFill="1" applyBorder="1" applyAlignment="1">
      <alignment horizontal="center"/>
    </xf>
    <xf numFmtId="0" fontId="38" fillId="0" borderId="0" xfId="0" applyFont="1" applyFill="1" applyAlignment="1">
      <alignment horizontal="center"/>
    </xf>
    <xf numFmtId="0" fontId="38" fillId="0" borderId="7" xfId="0" applyFont="1" applyBorder="1" applyAlignment="1">
      <alignment horizontal="center"/>
    </xf>
    <xf numFmtId="0" fontId="32" fillId="0" borderId="7" xfId="0" applyFont="1" applyBorder="1" applyAlignment="1">
      <alignment horizontal="center"/>
    </xf>
    <xf numFmtId="169" fontId="32" fillId="2" borderId="13" xfId="0" applyNumberFormat="1" applyFont="1" applyFill="1" applyBorder="1"/>
    <xf numFmtId="0" fontId="32" fillId="0" borderId="7" xfId="0" applyFont="1" applyFill="1" applyBorder="1"/>
    <xf numFmtId="169" fontId="32" fillId="0" borderId="13" xfId="0" applyNumberFormat="1" applyFont="1" applyFill="1" applyBorder="1"/>
    <xf numFmtId="0" fontId="32" fillId="11" borderId="8" xfId="0" applyFont="1" applyFill="1" applyBorder="1"/>
    <xf numFmtId="0" fontId="32" fillId="0" borderId="8" xfId="0" applyFont="1" applyFill="1" applyBorder="1"/>
    <xf numFmtId="0" fontId="131" fillId="0" borderId="13" xfId="28" applyFont="1" applyBorder="1"/>
    <xf numFmtId="0" fontId="131" fillId="0" borderId="13" xfId="28" applyFont="1" applyFill="1" applyBorder="1"/>
    <xf numFmtId="168" fontId="30" fillId="2" borderId="13" xfId="30" applyNumberFormat="1" applyFont="1" applyFill="1" applyBorder="1"/>
    <xf numFmtId="0" fontId="32" fillId="0" borderId="13" xfId="0" applyFont="1" applyBorder="1"/>
    <xf numFmtId="0" fontId="138" fillId="0" borderId="7" xfId="0" applyFont="1" applyBorder="1"/>
    <xf numFmtId="0" fontId="38" fillId="0" borderId="13" xfId="0" applyFont="1" applyBorder="1"/>
    <xf numFmtId="169" fontId="33" fillId="0" borderId="13" xfId="0" applyNumberFormat="1" applyFont="1" applyBorder="1"/>
    <xf numFmtId="0" fontId="33" fillId="0" borderId="13" xfId="0" applyFont="1" applyBorder="1"/>
    <xf numFmtId="0" fontId="38" fillId="0" borderId="7" xfId="0" applyFont="1" applyFill="1" applyBorder="1"/>
    <xf numFmtId="0" fontId="29" fillId="0" borderId="7" xfId="0" applyFont="1" applyBorder="1"/>
    <xf numFmtId="0" fontId="29" fillId="0" borderId="7" xfId="0" applyFont="1" applyBorder="1" applyAlignment="1">
      <alignment horizontal="center"/>
    </xf>
    <xf numFmtId="164" fontId="29" fillId="0" borderId="7" xfId="0" applyNumberFormat="1" applyFont="1" applyBorder="1"/>
    <xf numFmtId="169" fontId="29" fillId="0" borderId="7" xfId="0" applyNumberFormat="1" applyFont="1" applyBorder="1"/>
    <xf numFmtId="9" fontId="29" fillId="0" borderId="7" xfId="0" applyNumberFormat="1" applyFont="1" applyBorder="1"/>
    <xf numFmtId="172" fontId="29" fillId="0" borderId="7" xfId="0" applyNumberFormat="1" applyFont="1" applyBorder="1"/>
    <xf numFmtId="164" fontId="30" fillId="0" borderId="13" xfId="0" applyNumberFormat="1" applyFont="1" applyBorder="1"/>
    <xf numFmtId="0" fontId="40" fillId="0" borderId="13" xfId="0" applyFont="1" applyBorder="1"/>
    <xf numFmtId="2" fontId="34" fillId="0" borderId="7" xfId="0" applyNumberFormat="1" applyFont="1" applyBorder="1" applyAlignment="1">
      <alignment horizontal="center"/>
    </xf>
    <xf numFmtId="3" fontId="0" fillId="0" borderId="13" xfId="0" applyNumberFormat="1" applyBorder="1"/>
    <xf numFmtId="3" fontId="32" fillId="0" borderId="13" xfId="0" applyNumberFormat="1" applyFont="1" applyBorder="1"/>
    <xf numFmtId="3" fontId="29" fillId="0" borderId="13" xfId="0" applyNumberFormat="1" applyFont="1" applyBorder="1"/>
    <xf numFmtId="168" fontId="38" fillId="0" borderId="13" xfId="30" applyNumberFormat="1" applyFont="1" applyBorder="1"/>
    <xf numFmtId="3" fontId="0" fillId="0" borderId="7" xfId="0" applyNumberFormat="1" applyBorder="1"/>
    <xf numFmtId="0" fontId="138" fillId="11" borderId="8" xfId="0" applyFont="1" applyFill="1" applyBorder="1"/>
    <xf numFmtId="0" fontId="38" fillId="11" borderId="8" xfId="0" applyFont="1" applyFill="1" applyBorder="1"/>
    <xf numFmtId="0" fontId="33" fillId="11" borderId="8" xfId="0" applyFont="1" applyFill="1" applyBorder="1"/>
    <xf numFmtId="0" fontId="0" fillId="0" borderId="5" xfId="0" applyBorder="1"/>
    <xf numFmtId="3" fontId="0" fillId="0" borderId="7" xfId="0" applyNumberFormat="1" applyFill="1" applyBorder="1"/>
    <xf numFmtId="3" fontId="29" fillId="0" borderId="7" xfId="0" applyNumberFormat="1" applyFont="1" applyFill="1" applyBorder="1"/>
    <xf numFmtId="0" fontId="0" fillId="0" borderId="50" xfId="0" applyBorder="1"/>
    <xf numFmtId="170" fontId="0" fillId="0" borderId="32" xfId="0" applyNumberFormat="1" applyBorder="1"/>
    <xf numFmtId="3" fontId="0" fillId="0" borderId="12" xfId="0" applyNumberFormat="1" applyFill="1" applyBorder="1"/>
    <xf numFmtId="168" fontId="30" fillId="0" borderId="12" xfId="30" applyNumberFormat="1" applyFont="1" applyBorder="1"/>
    <xf numFmtId="168" fontId="29" fillId="0" borderId="12" xfId="30" applyNumberFormat="1" applyFont="1" applyBorder="1"/>
    <xf numFmtId="170" fontId="0" fillId="0" borderId="7" xfId="0" applyNumberFormat="1" applyBorder="1"/>
    <xf numFmtId="168" fontId="30" fillId="0" borderId="7" xfId="30" applyNumberFormat="1" applyFont="1" applyBorder="1"/>
    <xf numFmtId="168" fontId="29" fillId="0" borderId="7" xfId="30" applyNumberFormat="1" applyFont="1" applyBorder="1"/>
    <xf numFmtId="7" fontId="30" fillId="0" borderId="11" xfId="40" applyNumberFormat="1" applyFont="1" applyBorder="1"/>
    <xf numFmtId="7" fontId="30" fillId="0" borderId="7" xfId="40" applyNumberFormat="1" applyFont="1" applyBorder="1"/>
    <xf numFmtId="4" fontId="34" fillId="0" borderId="7" xfId="0" applyNumberFormat="1" applyFont="1" applyBorder="1" applyAlignment="1">
      <alignment horizontal="center"/>
    </xf>
    <xf numFmtId="173" fontId="0" fillId="0" borderId="13" xfId="0" applyNumberFormat="1" applyBorder="1"/>
    <xf numFmtId="170" fontId="0" fillId="0" borderId="0" xfId="0" applyNumberFormat="1"/>
    <xf numFmtId="0" fontId="84" fillId="0" borderId="7" xfId="0" applyFont="1" applyBorder="1"/>
    <xf numFmtId="169" fontId="29" fillId="0" borderId="13" xfId="0" applyNumberFormat="1" applyFont="1" applyFill="1" applyBorder="1"/>
    <xf numFmtId="0" fontId="38" fillId="2" borderId="7" xfId="0" applyFont="1" applyFill="1" applyBorder="1"/>
    <xf numFmtId="173" fontId="7" fillId="0" borderId="13" xfId="0" applyNumberFormat="1" applyFont="1" applyFill="1" applyBorder="1"/>
    <xf numFmtId="175" fontId="7" fillId="0" borderId="35" xfId="0" applyNumberFormat="1" applyFont="1" applyBorder="1"/>
    <xf numFmtId="169" fontId="131" fillId="0" borderId="11" xfId="28" applyNumberFormat="1" applyFont="1" applyBorder="1" applyAlignment="1">
      <alignment horizontal="right"/>
    </xf>
    <xf numFmtId="0" fontId="0" fillId="0" borderId="7" xfId="0" applyBorder="1" applyAlignment="1"/>
    <xf numFmtId="0" fontId="13" fillId="0" borderId="7" xfId="30" applyNumberFormat="1" applyFont="1" applyFill="1" applyBorder="1" applyAlignment="1" applyProtection="1">
      <alignment horizontal="left"/>
      <protection locked="0"/>
    </xf>
    <xf numFmtId="0" fontId="30" fillId="0" borderId="0" xfId="0" applyFont="1" applyBorder="1"/>
    <xf numFmtId="1" fontId="0" fillId="0" borderId="13" xfId="0" applyNumberFormat="1" applyBorder="1"/>
    <xf numFmtId="1" fontId="0" fillId="0" borderId="0" xfId="0" applyNumberFormat="1"/>
    <xf numFmtId="0" fontId="29" fillId="0" borderId="12" xfId="0" applyFont="1" applyFill="1" applyBorder="1"/>
    <xf numFmtId="169" fontId="7" fillId="0" borderId="13" xfId="0" applyNumberFormat="1" applyFont="1" applyFill="1" applyBorder="1" applyAlignment="1">
      <alignment horizontal="right"/>
    </xf>
    <xf numFmtId="0" fontId="0" fillId="0" borderId="7" xfId="0" applyBorder="1" applyProtection="1">
      <protection locked="0"/>
    </xf>
    <xf numFmtId="0" fontId="80" fillId="0" borderId="0" xfId="0" applyFont="1"/>
    <xf numFmtId="0" fontId="140" fillId="0" borderId="43" xfId="9" applyFont="1" applyFill="1" applyBorder="1" applyAlignment="1" applyProtection="1">
      <alignment horizontal="center" wrapText="1"/>
    </xf>
    <xf numFmtId="169" fontId="0" fillId="4" borderId="22" xfId="0" applyNumberFormat="1" applyFont="1" applyFill="1" applyBorder="1" applyAlignment="1">
      <alignment horizontal="right"/>
    </xf>
    <xf numFmtId="169" fontId="0" fillId="0" borderId="13" xfId="0" applyNumberFormat="1" applyFont="1" applyBorder="1" applyAlignment="1">
      <alignment horizontal="right"/>
    </xf>
    <xf numFmtId="0" fontId="34" fillId="0" borderId="13" xfId="0" applyNumberFormat="1" applyFont="1" applyBorder="1" applyAlignment="1">
      <alignment horizontal="center"/>
    </xf>
    <xf numFmtId="9" fontId="135" fillId="0" borderId="13" xfId="11" applyFont="1" applyBorder="1"/>
    <xf numFmtId="0" fontId="0" fillId="11" borderId="8" xfId="0" applyFont="1" applyFill="1" applyBorder="1"/>
    <xf numFmtId="0" fontId="0" fillId="11" borderId="10" xfId="0" applyFont="1" applyFill="1" applyBorder="1"/>
    <xf numFmtId="0" fontId="0" fillId="11" borderId="5" xfId="0" applyFont="1" applyFill="1" applyBorder="1"/>
    <xf numFmtId="0" fontId="66" fillId="0" borderId="13" xfId="28" applyFont="1" applyFill="1" applyBorder="1"/>
    <xf numFmtId="1" fontId="66" fillId="0" borderId="13" xfId="28" applyNumberFormat="1" applyFont="1" applyFill="1" applyBorder="1"/>
    <xf numFmtId="0" fontId="66" fillId="11" borderId="13" xfId="28" applyFont="1" applyFill="1" applyBorder="1"/>
    <xf numFmtId="1" fontId="66" fillId="11" borderId="7" xfId="28" applyNumberFormat="1" applyFont="1" applyFill="1" applyBorder="1"/>
    <xf numFmtId="0" fontId="4" fillId="0" borderId="7" xfId="217" applyFont="1" applyFill="1" applyBorder="1" applyAlignment="1" applyProtection="1">
      <alignment horizontal="center"/>
      <protection locked="0"/>
    </xf>
    <xf numFmtId="169" fontId="40" fillId="0" borderId="13" xfId="0" applyNumberFormat="1" applyFont="1" applyBorder="1"/>
    <xf numFmtId="171" fontId="30" fillId="0" borderId="13" xfId="0" applyNumberFormat="1" applyFont="1" applyBorder="1"/>
    <xf numFmtId="169" fontId="139" fillId="0" borderId="13" xfId="0" applyNumberFormat="1" applyFont="1" applyBorder="1"/>
    <xf numFmtId="0" fontId="139" fillId="0" borderId="13" xfId="0" applyFont="1" applyBorder="1"/>
    <xf numFmtId="188" fontId="0" fillId="0" borderId="13" xfId="0" applyNumberFormat="1" applyBorder="1"/>
    <xf numFmtId="165" fontId="7" fillId="0" borderId="0" xfId="0" applyNumberFormat="1" applyFont="1" applyBorder="1"/>
    <xf numFmtId="165" fontId="141" fillId="0" borderId="51" xfId="4" applyNumberFormat="1" applyFont="1" applyFill="1" applyBorder="1"/>
    <xf numFmtId="165" fontId="132" fillId="0" borderId="0" xfId="187" applyNumberFormat="1" applyFont="1" applyBorder="1"/>
    <xf numFmtId="165" fontId="141" fillId="0" borderId="0" xfId="180" applyNumberFormat="1" applyFont="1" applyBorder="1"/>
    <xf numFmtId="181" fontId="141" fillId="0" borderId="0" xfId="12" applyNumberFormat="1" applyFont="1" applyBorder="1"/>
    <xf numFmtId="165" fontId="132" fillId="0" borderId="0" xfId="12" applyNumberFormat="1" applyFont="1" applyBorder="1"/>
    <xf numFmtId="181" fontId="141" fillId="0" borderId="0" xfId="3" applyNumberFormat="1" applyFont="1" applyBorder="1"/>
    <xf numFmtId="42" fontId="142" fillId="0" borderId="0" xfId="4" applyNumberFormat="1" applyFont="1" applyFill="1" applyBorder="1"/>
    <xf numFmtId="165" fontId="132" fillId="0" borderId="0" xfId="180" applyNumberFormat="1" applyFont="1" applyFill="1" applyBorder="1"/>
    <xf numFmtId="42" fontId="83" fillId="0" borderId="0" xfId="182" applyNumberFormat="1" applyFont="1" applyFill="1" applyBorder="1"/>
    <xf numFmtId="165" fontId="132" fillId="0" borderId="0" xfId="178" applyNumberFormat="1" applyFont="1" applyBorder="1"/>
    <xf numFmtId="3" fontId="132" fillId="0" borderId="0" xfId="180" applyNumberFormat="1" applyFont="1" applyFill="1" applyBorder="1"/>
    <xf numFmtId="3" fontId="141" fillId="0" borderId="8" xfId="180" applyNumberFormat="1" applyFont="1" applyFill="1" applyBorder="1"/>
    <xf numFmtId="3" fontId="132" fillId="0" borderId="0" xfId="22" applyNumberFormat="1" applyFont="1" applyFill="1" applyBorder="1"/>
    <xf numFmtId="3" fontId="132" fillId="24" borderId="5" xfId="3" applyNumberFormat="1" applyFont="1" applyFill="1" applyBorder="1"/>
    <xf numFmtId="181" fontId="132" fillId="0" borderId="0" xfId="0" applyNumberFormat="1" applyFont="1" applyBorder="1"/>
    <xf numFmtId="42" fontId="83" fillId="0" borderId="51" xfId="4" applyNumberFormat="1" applyFont="1" applyFill="1" applyBorder="1"/>
    <xf numFmtId="0" fontId="132" fillId="0" borderId="0" xfId="3" applyFont="1" applyAlignment="1">
      <alignment horizontal="left" indent="2"/>
    </xf>
    <xf numFmtId="3" fontId="132" fillId="0" borderId="51" xfId="180" applyNumberFormat="1" applyFont="1" applyFill="1" applyBorder="1"/>
    <xf numFmtId="3" fontId="132" fillId="0" borderId="0" xfId="12" applyNumberFormat="1" applyFont="1" applyBorder="1"/>
    <xf numFmtId="165" fontId="143" fillId="0" borderId="0" xfId="180" applyNumberFormat="1" applyFont="1" applyBorder="1"/>
    <xf numFmtId="165" fontId="144" fillId="0" borderId="0" xfId="178" applyNumberFormat="1" applyFont="1" applyBorder="1"/>
    <xf numFmtId="3" fontId="143" fillId="0" borderId="34" xfId="22" applyNumberFormat="1" applyFont="1" applyFill="1" applyBorder="1"/>
    <xf numFmtId="3" fontId="0" fillId="0" borderId="0" xfId="0" applyNumberFormat="1" applyFont="1" applyFill="1" applyBorder="1"/>
    <xf numFmtId="172" fontId="0" fillId="0" borderId="0" xfId="179" applyNumberFormat="1" applyFont="1" applyFill="1" applyBorder="1"/>
    <xf numFmtId="3" fontId="0" fillId="0" borderId="2" xfId="0" applyNumberFormat="1" applyFont="1" applyFill="1" applyBorder="1"/>
    <xf numFmtId="3" fontId="48" fillId="0" borderId="122" xfId="3" applyNumberFormat="1" applyFont="1" applyBorder="1"/>
    <xf numFmtId="37" fontId="132" fillId="0" borderId="0" xfId="15" applyNumberFormat="1" applyFont="1" applyAlignment="1">
      <alignment horizontal="center"/>
    </xf>
    <xf numFmtId="37" fontId="132" fillId="0" borderId="0" xfId="15" applyNumberFormat="1" applyFont="1" applyFill="1" applyBorder="1" applyAlignment="1">
      <alignment horizontal="center"/>
    </xf>
    <xf numFmtId="165" fontId="145" fillId="0" borderId="0" xfId="15" applyNumberFormat="1" applyFont="1" applyBorder="1" applyAlignment="1">
      <alignment horizontal="center"/>
    </xf>
    <xf numFmtId="168" fontId="145" fillId="0" borderId="123" xfId="15" applyNumberFormat="1" applyFont="1" applyFill="1" applyBorder="1" applyAlignment="1">
      <alignment horizontal="center"/>
    </xf>
    <xf numFmtId="165" fontId="47" fillId="0" borderId="0" xfId="15" applyNumberFormat="1" applyFont="1" applyBorder="1" applyAlignment="1">
      <alignment horizontal="center"/>
    </xf>
    <xf numFmtId="189" fontId="45" fillId="0" borderId="0" xfId="15" applyNumberFormat="1" applyAlignment="1">
      <alignment horizontal="center"/>
    </xf>
    <xf numFmtId="174" fontId="16" fillId="0" borderId="0" xfId="198" applyNumberFormat="1" applyBorder="1" applyAlignment="1">
      <alignment horizontal="center"/>
    </xf>
    <xf numFmtId="189" fontId="16" fillId="0" borderId="0" xfId="198" applyNumberFormat="1" applyBorder="1" applyAlignment="1">
      <alignment horizontal="center"/>
    </xf>
    <xf numFmtId="174" fontId="145" fillId="0" borderId="123" xfId="198" applyNumberFormat="1" applyFont="1" applyFill="1" applyBorder="1" applyAlignment="1">
      <alignment horizontal="center"/>
    </xf>
    <xf numFmtId="174" fontId="16" fillId="0" borderId="0" xfId="198" applyNumberFormat="1" applyFill="1" applyBorder="1" applyAlignment="1">
      <alignment horizontal="center"/>
    </xf>
    <xf numFmtId="1" fontId="147" fillId="0" borderId="0" xfId="4" applyNumberFormat="1" applyFont="1" applyFill="1" applyBorder="1" applyAlignment="1">
      <alignment horizontal="center"/>
    </xf>
    <xf numFmtId="1" fontId="146" fillId="0" borderId="0" xfId="4" applyNumberFormat="1" applyFont="1" applyFill="1" applyBorder="1" applyAlignment="1">
      <alignment horizontal="center"/>
    </xf>
    <xf numFmtId="189" fontId="16" fillId="0" borderId="0" xfId="24" applyNumberFormat="1" applyBorder="1" applyAlignment="1">
      <alignment horizontal="center"/>
    </xf>
    <xf numFmtId="189" fontId="132" fillId="0" borderId="0" xfId="24" applyNumberFormat="1" applyFont="1" applyBorder="1" applyAlignment="1">
      <alignment horizontal="center"/>
    </xf>
    <xf numFmtId="1" fontId="146" fillId="0" borderId="0" xfId="4" applyNumberFormat="1" applyFont="1" applyFill="1" applyBorder="1" applyAlignment="1">
      <alignment horizontal="center"/>
    </xf>
    <xf numFmtId="165" fontId="143" fillId="0" borderId="51" xfId="180" applyNumberFormat="1" applyFont="1" applyBorder="1"/>
    <xf numFmtId="1" fontId="146" fillId="0" borderId="0" xfId="4" applyNumberFormat="1" applyFont="1" applyFill="1" applyBorder="1" applyAlignment="1">
      <alignment horizontal="center"/>
    </xf>
    <xf numFmtId="0" fontId="54" fillId="0" borderId="0" xfId="23" applyNumberFormat="1" applyFont="1" applyAlignment="1" applyProtection="1">
      <alignment horizontal="left"/>
      <protection locked="0"/>
    </xf>
    <xf numFmtId="165" fontId="16" fillId="0" borderId="0" xfId="198" applyNumberFormat="1" applyBorder="1"/>
    <xf numFmtId="174" fontId="132" fillId="0" borderId="0" xfId="198" applyNumberFormat="1" applyFont="1" applyFill="1" applyBorder="1" applyAlignment="1">
      <alignment horizontal="center"/>
    </xf>
    <xf numFmtId="165" fontId="16" fillId="0" borderId="0" xfId="198" applyNumberFormat="1" applyBorder="1" applyAlignment="1">
      <alignment horizontal="center"/>
    </xf>
    <xf numFmtId="1" fontId="146" fillId="0" borderId="0" xfId="4" applyNumberFormat="1" applyFont="1" applyFill="1" applyBorder="1" applyAlignment="1">
      <alignment horizontal="center"/>
    </xf>
    <xf numFmtId="174" fontId="132" fillId="0" borderId="0" xfId="20" applyNumberFormat="1" applyFont="1" applyAlignment="1">
      <alignment horizontal="center"/>
    </xf>
    <xf numFmtId="165" fontId="145" fillId="0" borderId="0" xfId="20" applyNumberFormat="1" applyFont="1" applyBorder="1" applyAlignment="1">
      <alignment horizontal="center"/>
    </xf>
    <xf numFmtId="3" fontId="143" fillId="0" borderId="0" xfId="22" applyNumberFormat="1" applyFont="1" applyFill="1" applyBorder="1"/>
    <xf numFmtId="174" fontId="16" fillId="0" borderId="0" xfId="198" applyNumberFormat="1" applyFont="1" applyFill="1" applyBorder="1" applyAlignment="1">
      <alignment horizontal="center"/>
    </xf>
    <xf numFmtId="165" fontId="16" fillId="0" borderId="0" xfId="198" applyNumberFormat="1" applyAlignment="1">
      <alignment horizontal="center"/>
    </xf>
    <xf numFmtId="174" fontId="16" fillId="0" borderId="0" xfId="198" applyNumberFormat="1" applyAlignment="1">
      <alignment horizontal="center"/>
    </xf>
    <xf numFmtId="174" fontId="145" fillId="0" borderId="124" xfId="198" applyNumberFormat="1" applyFont="1" applyFill="1" applyBorder="1" applyAlignment="1">
      <alignment horizontal="center"/>
    </xf>
    <xf numFmtId="3" fontId="144" fillId="0" borderId="2" xfId="180" applyNumberFormat="1" applyFont="1" applyFill="1" applyBorder="1"/>
    <xf numFmtId="3" fontId="144" fillId="0" borderId="0" xfId="180" applyNumberFormat="1" applyFont="1" applyFill="1" applyBorder="1"/>
    <xf numFmtId="174" fontId="145" fillId="0" borderId="123" xfId="198" applyNumberFormat="1" applyFont="1" applyFill="1" applyBorder="1"/>
    <xf numFmtId="1" fontId="146" fillId="0" borderId="0" xfId="4" applyNumberFormat="1" applyFont="1" applyFill="1" applyBorder="1" applyAlignment="1">
      <alignment horizontal="center"/>
    </xf>
    <xf numFmtId="1" fontId="146" fillId="0" borderId="0" xfId="4" applyNumberFormat="1" applyFont="1" applyFill="1" applyBorder="1" applyAlignment="1">
      <alignment horizontal="center"/>
    </xf>
    <xf numFmtId="0" fontId="7" fillId="0" borderId="7" xfId="30" applyNumberFormat="1" applyFont="1" applyFill="1" applyBorder="1" applyAlignment="1" applyProtection="1">
      <alignment horizontal="left"/>
      <protection locked="0"/>
    </xf>
    <xf numFmtId="39" fontId="7" fillId="0" borderId="13" xfId="40" applyNumberFormat="1" applyFont="1" applyFill="1" applyBorder="1" applyAlignment="1" applyProtection="1">
      <protection locked="0"/>
    </xf>
    <xf numFmtId="0" fontId="7" fillId="0" borderId="13" xfId="0" applyFont="1" applyBorder="1" applyAlignment="1"/>
    <xf numFmtId="37" fontId="7" fillId="0" borderId="13" xfId="40" applyNumberFormat="1" applyFont="1" applyFill="1" applyBorder="1" applyAlignment="1" applyProtection="1">
      <protection locked="0"/>
    </xf>
    <xf numFmtId="0" fontId="7" fillId="0" borderId="7" xfId="0" applyFont="1" applyBorder="1" applyAlignment="1">
      <alignment horizontal="right"/>
    </xf>
    <xf numFmtId="7" fontId="7" fillId="0" borderId="13" xfId="40" applyNumberFormat="1" applyFont="1" applyFill="1" applyBorder="1" applyAlignment="1" applyProtection="1">
      <protection locked="0"/>
    </xf>
    <xf numFmtId="172" fontId="7" fillId="0" borderId="13" xfId="30" applyNumberFormat="1" applyFont="1" applyFill="1" applyBorder="1" applyAlignment="1" applyProtection="1">
      <alignment horizontal="center"/>
      <protection locked="0"/>
    </xf>
    <xf numFmtId="1" fontId="7" fillId="0" borderId="13" xfId="0" applyNumberFormat="1" applyFont="1" applyBorder="1"/>
    <xf numFmtId="165" fontId="45" fillId="24" borderId="0" xfId="12" applyNumberFormat="1" applyFill="1" applyBorder="1"/>
    <xf numFmtId="165" fontId="113" fillId="24" borderId="0" xfId="187" applyNumberFormat="1" applyFill="1" applyBorder="1"/>
    <xf numFmtId="189" fontId="145" fillId="0" borderId="124" xfId="198" applyNumberFormat="1" applyFont="1" applyFill="1" applyBorder="1" applyAlignment="1">
      <alignment horizontal="center"/>
    </xf>
    <xf numFmtId="189" fontId="132" fillId="0" borderId="0" xfId="198" quotePrefix="1" applyNumberFormat="1" applyFont="1" applyAlignment="1">
      <alignment horizontal="center"/>
    </xf>
    <xf numFmtId="189" fontId="132" fillId="0" borderId="0" xfId="198" applyNumberFormat="1" applyFont="1" applyAlignment="1">
      <alignment horizontal="center"/>
    </xf>
    <xf numFmtId="0" fontId="84" fillId="0" borderId="0" xfId="0" applyFont="1" applyFill="1"/>
    <xf numFmtId="0" fontId="80" fillId="0" borderId="0" xfId="0" applyFont="1" applyFill="1"/>
    <xf numFmtId="3" fontId="143" fillId="0" borderId="55" xfId="22" applyNumberFormat="1" applyFont="1" applyFill="1" applyBorder="1"/>
    <xf numFmtId="42" fontId="0" fillId="23" borderId="60" xfId="0" applyNumberFormat="1" applyFont="1" applyFill="1" applyBorder="1" applyProtection="1"/>
    <xf numFmtId="165" fontId="6" fillId="48" borderId="129" xfId="1" applyNumberFormat="1" applyFont="1" applyFill="1" applyBorder="1"/>
    <xf numFmtId="0" fontId="0" fillId="48" borderId="138" xfId="0" applyFont="1" applyFill="1" applyBorder="1"/>
    <xf numFmtId="42" fontId="7" fillId="0" borderId="0" xfId="0" applyNumberFormat="1" applyFont="1" applyFill="1" applyBorder="1" applyAlignment="1">
      <alignment horizontal="center" vertical="center" wrapText="1"/>
    </xf>
    <xf numFmtId="0" fontId="26" fillId="48" borderId="137" xfId="9" applyFont="1" applyFill="1" applyBorder="1" applyAlignment="1" applyProtection="1">
      <alignment horizontal="center" wrapText="1"/>
    </xf>
    <xf numFmtId="0" fontId="26" fillId="0" borderId="134" xfId="9" applyFill="1" applyBorder="1" applyAlignment="1" applyProtection="1">
      <alignment horizontal="center" wrapText="1"/>
    </xf>
    <xf numFmtId="165" fontId="6" fillId="0" borderId="0" xfId="1" applyNumberFormat="1" applyFont="1" applyFill="1" applyBorder="1"/>
    <xf numFmtId="165" fontId="6" fillId="48" borderId="139" xfId="1" applyNumberFormat="1" applyFont="1" applyFill="1" applyBorder="1"/>
    <xf numFmtId="0" fontId="7" fillId="0" borderId="0" xfId="0" applyFont="1" applyAlignment="1">
      <alignment horizontal="center" wrapText="1"/>
    </xf>
    <xf numFmtId="0" fontId="0" fillId="48" borderId="130" xfId="0" applyFont="1" applyFill="1" applyBorder="1" applyAlignment="1">
      <alignment horizontal="right"/>
    </xf>
    <xf numFmtId="0" fontId="7" fillId="0" borderId="0" xfId="0" applyFont="1" applyAlignment="1">
      <alignment horizontal="center"/>
    </xf>
    <xf numFmtId="0" fontId="0" fillId="48" borderId="131" xfId="0" applyFont="1" applyFill="1" applyBorder="1"/>
    <xf numFmtId="172" fontId="6" fillId="0" borderId="51" xfId="7" applyNumberFormat="1" applyFont="1" applyFill="1" applyBorder="1"/>
    <xf numFmtId="165" fontId="6" fillId="48" borderId="2" xfId="1" applyNumberFormat="1" applyFont="1" applyFill="1" applyBorder="1"/>
    <xf numFmtId="0" fontId="73" fillId="0" borderId="133" xfId="9" applyFont="1" applyFill="1" applyBorder="1" applyAlignment="1" applyProtection="1">
      <alignment horizontal="center" wrapText="1"/>
    </xf>
    <xf numFmtId="172" fontId="6" fillId="48" borderId="129" xfId="7" applyNumberFormat="1" applyFont="1" applyFill="1" applyBorder="1"/>
    <xf numFmtId="0" fontId="0" fillId="48" borderId="34" xfId="0" applyFont="1" applyFill="1" applyBorder="1" applyAlignment="1">
      <alignment horizontal="right"/>
    </xf>
    <xf numFmtId="165" fontId="6" fillId="48" borderId="131" xfId="1" applyNumberFormat="1" applyFont="1" applyFill="1" applyBorder="1"/>
    <xf numFmtId="0" fontId="0" fillId="48" borderId="2" xfId="0" applyFont="1" applyFill="1" applyBorder="1"/>
    <xf numFmtId="165" fontId="7" fillId="0" borderId="0" xfId="1" applyNumberFormat="1" applyFont="1"/>
    <xf numFmtId="0" fontId="7" fillId="0" borderId="0" xfId="0" applyFont="1" applyAlignment="1">
      <alignment wrapText="1"/>
    </xf>
    <xf numFmtId="0" fontId="0" fillId="48" borderId="136" xfId="0" applyFont="1" applyFill="1" applyBorder="1" applyAlignment="1">
      <alignment horizontal="right"/>
    </xf>
    <xf numFmtId="165" fontId="6" fillId="48" borderId="138" xfId="1" applyNumberFormat="1" applyFont="1" applyFill="1" applyBorder="1"/>
    <xf numFmtId="165" fontId="7" fillId="0" borderId="0" xfId="1" applyNumberFormat="1" applyFont="1" applyFill="1" applyBorder="1" applyAlignment="1">
      <alignment horizontal="center" vertical="center" wrapText="1"/>
    </xf>
    <xf numFmtId="0" fontId="0" fillId="0" borderId="0" xfId="0"/>
    <xf numFmtId="0" fontId="0" fillId="0" borderId="0" xfId="0" applyAlignment="1">
      <alignment wrapText="1"/>
    </xf>
    <xf numFmtId="0" fontId="0" fillId="0" borderId="76" xfId="0" applyBorder="1"/>
    <xf numFmtId="0" fontId="0" fillId="0" borderId="77" xfId="0" applyBorder="1"/>
    <xf numFmtId="0" fontId="0" fillId="0" borderId="78" xfId="0" applyBorder="1"/>
    <xf numFmtId="0" fontId="0" fillId="0" borderId="72" xfId="0" applyBorder="1"/>
    <xf numFmtId="42" fontId="0" fillId="23" borderId="67" xfId="0" applyNumberFormat="1" applyFont="1" applyFill="1" applyBorder="1" applyProtection="1"/>
    <xf numFmtId="3" fontId="1" fillId="0" borderId="78" xfId="0" applyNumberFormat="1" applyFont="1" applyBorder="1" applyProtection="1"/>
    <xf numFmtId="3" fontId="0" fillId="0" borderId="60" xfId="0" applyNumberFormat="1" applyFont="1" applyBorder="1" applyProtection="1"/>
    <xf numFmtId="165" fontId="1" fillId="0" borderId="102" xfId="1" applyNumberFormat="1" applyFont="1" applyFill="1" applyBorder="1" applyProtection="1"/>
    <xf numFmtId="166" fontId="0" fillId="0" borderId="0" xfId="8" applyNumberFormat="1" applyFont="1"/>
    <xf numFmtId="0" fontId="0" fillId="0" borderId="0" xfId="0"/>
    <xf numFmtId="0" fontId="0" fillId="0" borderId="0" xfId="0" applyAlignment="1">
      <alignment horizontal="center"/>
    </xf>
    <xf numFmtId="0" fontId="44" fillId="0" borderId="0" xfId="0" applyFont="1" applyAlignment="1">
      <alignment horizontal="center"/>
    </xf>
    <xf numFmtId="0" fontId="44" fillId="0" borderId="0" xfId="0" applyFont="1"/>
    <xf numFmtId="0" fontId="26" fillId="48" borderId="135" xfId="9" applyFont="1" applyFill="1" applyBorder="1" applyAlignment="1" applyProtection="1">
      <alignment horizontal="center" wrapText="1"/>
    </xf>
    <xf numFmtId="37" fontId="6" fillId="48" borderId="139" xfId="1" applyNumberFormat="1" applyFont="1" applyFill="1" applyBorder="1"/>
    <xf numFmtId="172" fontId="6" fillId="0" borderId="0" xfId="7" applyNumberFormat="1" applyFont="1" applyFill="1" applyBorder="1"/>
    <xf numFmtId="0" fontId="44" fillId="0" borderId="0" xfId="0" applyFont="1" applyAlignment="1">
      <alignment horizontal="center"/>
    </xf>
    <xf numFmtId="0" fontId="44" fillId="0" borderId="0" xfId="0" applyFont="1"/>
    <xf numFmtId="0" fontId="44" fillId="0" borderId="0" xfId="0" applyFont="1" applyAlignment="1">
      <alignment horizontal="center"/>
    </xf>
    <xf numFmtId="0" fontId="44" fillId="0" borderId="0" xfId="0" applyFont="1"/>
    <xf numFmtId="172" fontId="44" fillId="0" borderId="0" xfId="7" applyNumberFormat="1" applyFont="1"/>
    <xf numFmtId="0" fontId="44" fillId="0" borderId="0" xfId="0" applyFont="1" applyAlignment="1">
      <alignment horizontal="center"/>
    </xf>
    <xf numFmtId="0" fontId="44" fillId="0" borderId="0" xfId="0" applyFont="1"/>
    <xf numFmtId="172" fontId="44" fillId="0" borderId="0" xfId="7" applyNumberFormat="1" applyFont="1"/>
    <xf numFmtId="165" fontId="6" fillId="0" borderId="51" xfId="1" applyNumberFormat="1" applyFont="1" applyFill="1" applyBorder="1"/>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165" fontId="0" fillId="0" borderId="0" xfId="1" applyNumberFormat="1" applyFont="1"/>
    <xf numFmtId="0" fontId="44" fillId="0" borderId="0" xfId="0" applyFont="1" applyAlignment="1">
      <alignment horizontal="right"/>
    </xf>
    <xf numFmtId="0" fontId="44" fillId="0" borderId="0" xfId="0" applyFont="1" applyAlignment="1">
      <alignment horizontal="center"/>
    </xf>
    <xf numFmtId="0" fontId="44" fillId="0" borderId="0" xfId="0" applyFont="1"/>
    <xf numFmtId="0" fontId="44" fillId="0" borderId="0" xfId="0" applyFont="1" applyAlignment="1">
      <alignment horizontal="center"/>
    </xf>
    <xf numFmtId="0" fontId="44" fillId="0" borderId="0" xfId="0" applyFont="1"/>
    <xf numFmtId="0" fontId="44" fillId="0" borderId="0" xfId="0" applyFont="1" applyAlignment="1">
      <alignment horizontal="center"/>
    </xf>
    <xf numFmtId="0" fontId="44" fillId="0" borderId="0" xfId="0" applyFont="1"/>
    <xf numFmtId="0" fontId="44" fillId="0" borderId="0" xfId="0" applyFont="1" applyAlignment="1">
      <alignment horizontal="center"/>
    </xf>
    <xf numFmtId="0" fontId="44" fillId="0" borderId="0" xfId="0" applyFont="1"/>
    <xf numFmtId="172" fontId="44" fillId="0" borderId="0" xfId="7" applyNumberFormat="1" applyFont="1"/>
    <xf numFmtId="0" fontId="131" fillId="0" borderId="7" xfId="28" applyFont="1" applyBorder="1" applyAlignment="1">
      <alignment horizontal="left" indent="2"/>
    </xf>
    <xf numFmtId="165" fontId="7" fillId="0" borderId="0" xfId="1" applyNumberFormat="1" applyFont="1" applyAlignment="1">
      <alignment horizontal="center"/>
    </xf>
    <xf numFmtId="165" fontId="7" fillId="0" borderId="0" xfId="16" applyNumberFormat="1" applyFont="1"/>
    <xf numFmtId="0" fontId="7" fillId="0" borderId="0" xfId="2" applyFont="1" applyAlignment="1">
      <alignment horizontal="center" wrapText="1"/>
    </xf>
    <xf numFmtId="44" fontId="7" fillId="0" borderId="0" xfId="2" applyNumberFormat="1" applyFont="1" applyFill="1" applyBorder="1" applyAlignment="1">
      <alignment horizontal="center" vertical="center" wrapText="1"/>
    </xf>
    <xf numFmtId="0" fontId="21" fillId="49" borderId="145" xfId="0" applyFont="1" applyFill="1" applyBorder="1" applyAlignment="1"/>
    <xf numFmtId="0" fontId="79" fillId="49" borderId="140" xfId="0" applyFont="1" applyFill="1" applyBorder="1" applyAlignment="1">
      <alignment vertical="center"/>
    </xf>
    <xf numFmtId="3" fontId="44" fillId="0" borderId="138" xfId="0" applyNumberFormat="1" applyFont="1" applyBorder="1" applyProtection="1"/>
    <xf numFmtId="6" fontId="44" fillId="0" borderId="136" xfId="0" applyNumberFormat="1" applyFont="1" applyBorder="1"/>
    <xf numFmtId="42" fontId="20" fillId="49" borderId="144" xfId="0" applyNumberFormat="1" applyFont="1" applyFill="1" applyBorder="1" applyAlignment="1" applyProtection="1"/>
    <xf numFmtId="42" fontId="20" fillId="49" borderId="145" xfId="0" applyNumberFormat="1" applyFont="1" applyFill="1" applyBorder="1" applyAlignment="1" applyProtection="1"/>
    <xf numFmtId="182" fontId="20" fillId="49" borderId="145" xfId="0" applyNumberFormat="1" applyFont="1" applyFill="1" applyBorder="1" applyAlignment="1" applyProtection="1"/>
    <xf numFmtId="0" fontId="20" fillId="49" borderId="145" xfId="0" applyFont="1" applyFill="1" applyBorder="1" applyAlignment="1">
      <alignment horizontal="right"/>
    </xf>
    <xf numFmtId="185" fontId="5" fillId="49" borderId="143" xfId="0" applyNumberFormat="1" applyFont="1" applyFill="1" applyBorder="1" applyAlignment="1" applyProtection="1">
      <alignment vertical="center"/>
    </xf>
    <xf numFmtId="0" fontId="21" fillId="49" borderId="142" xfId="0" applyFont="1" applyFill="1" applyBorder="1" applyAlignment="1"/>
    <xf numFmtId="42" fontId="5" fillId="49" borderId="141" xfId="0" applyNumberFormat="1" applyFont="1" applyFill="1" applyBorder="1" applyAlignment="1" applyProtection="1">
      <alignment vertical="center"/>
    </xf>
    <xf numFmtId="3" fontId="5" fillId="49" borderId="143" xfId="0" applyNumberFormat="1" applyFont="1" applyFill="1" applyBorder="1" applyAlignment="1" applyProtection="1">
      <alignment vertical="center"/>
    </xf>
    <xf numFmtId="42" fontId="5" fillId="49" borderId="143" xfId="0" applyNumberFormat="1" applyFont="1" applyFill="1" applyBorder="1" applyAlignment="1" applyProtection="1">
      <alignment vertical="center"/>
    </xf>
    <xf numFmtId="42" fontId="20" fillId="0" borderId="138" xfId="0" applyNumberFormat="1" applyFont="1" applyBorder="1" applyProtection="1"/>
    <xf numFmtId="6" fontId="44" fillId="0" borderId="139" xfId="0" applyNumberFormat="1" applyFont="1" applyBorder="1" applyProtection="1"/>
    <xf numFmtId="3" fontId="20" fillId="0" borderId="138" xfId="0" applyNumberFormat="1" applyFont="1" applyBorder="1" applyProtection="1"/>
    <xf numFmtId="3" fontId="20" fillId="49" borderId="145" xfId="0" applyNumberFormat="1" applyFont="1" applyFill="1" applyBorder="1" applyAlignment="1" applyProtection="1"/>
    <xf numFmtId="0" fontId="79" fillId="49" borderId="143" xfId="0" applyFont="1" applyFill="1" applyBorder="1" applyAlignment="1">
      <alignment vertical="center"/>
    </xf>
    <xf numFmtId="7" fontId="30" fillId="0" borderId="0" xfId="40" applyNumberFormat="1" applyFont="1" applyBorder="1"/>
    <xf numFmtId="2" fontId="34" fillId="0" borderId="147" xfId="0" applyNumberFormat="1" applyFont="1" applyBorder="1" applyAlignment="1">
      <alignment horizontal="center"/>
    </xf>
    <xf numFmtId="0" fontId="0" fillId="0" borderId="147" xfId="0" applyBorder="1"/>
    <xf numFmtId="169" fontId="0" fillId="0" borderId="147" xfId="0" applyNumberFormat="1" applyFill="1" applyBorder="1"/>
    <xf numFmtId="0" fontId="38" fillId="0" borderId="147" xfId="0" applyFont="1" applyFill="1" applyBorder="1"/>
    <xf numFmtId="0" fontId="0" fillId="0" borderId="147" xfId="0" applyFill="1" applyBorder="1"/>
    <xf numFmtId="0" fontId="0" fillId="0" borderId="147" xfId="0" applyBorder="1" applyAlignment="1">
      <alignment horizontal="right"/>
    </xf>
    <xf numFmtId="0" fontId="32" fillId="0" borderId="147" xfId="0" applyFont="1" applyFill="1" applyBorder="1"/>
    <xf numFmtId="3" fontId="131" fillId="0" borderId="13" xfId="28" applyNumberFormat="1" applyFont="1" applyBorder="1"/>
    <xf numFmtId="0" fontId="66" fillId="0" borderId="148" xfId="28" applyBorder="1"/>
    <xf numFmtId="0" fontId="29" fillId="0" borderId="148" xfId="0" applyFont="1" applyBorder="1"/>
    <xf numFmtId="0" fontId="7" fillId="0" borderId="148" xfId="0" applyFont="1" applyBorder="1"/>
    <xf numFmtId="43" fontId="7" fillId="0" borderId="148" xfId="0" applyNumberFormat="1" applyFont="1" applyBorder="1"/>
    <xf numFmtId="172" fontId="0" fillId="0" borderId="148" xfId="0" applyNumberFormat="1" applyBorder="1"/>
    <xf numFmtId="0" fontId="38" fillId="11" borderId="52" xfId="0" applyFont="1" applyFill="1" applyBorder="1"/>
    <xf numFmtId="7" fontId="29" fillId="0" borderId="147" xfId="0" applyNumberFormat="1" applyFont="1" applyBorder="1"/>
    <xf numFmtId="171" fontId="29" fillId="0" borderId="147" xfId="0" applyNumberFormat="1" applyFont="1" applyBorder="1"/>
    <xf numFmtId="172" fontId="29" fillId="0" borderId="147" xfId="0" applyNumberFormat="1" applyFont="1" applyBorder="1"/>
    <xf numFmtId="9" fontId="29" fillId="0" borderId="147" xfId="0" applyNumberFormat="1" applyFont="1" applyBorder="1"/>
    <xf numFmtId="169" fontId="29" fillId="0" borderId="147" xfId="0" applyNumberFormat="1" applyFont="1" applyBorder="1"/>
    <xf numFmtId="164" fontId="29" fillId="0" borderId="147" xfId="0" applyNumberFormat="1" applyFont="1" applyBorder="1"/>
    <xf numFmtId="0" fontId="29" fillId="0" borderId="147" xfId="0" applyFont="1" applyBorder="1" applyAlignment="1">
      <alignment horizontal="center"/>
    </xf>
    <xf numFmtId="0" fontId="29" fillId="0" borderId="147" xfId="0" applyFont="1" applyBorder="1"/>
    <xf numFmtId="164" fontId="0" fillId="0" borderId="147" xfId="0" applyNumberFormat="1" applyBorder="1"/>
    <xf numFmtId="164" fontId="0" fillId="0" borderId="149" xfId="0" applyNumberFormat="1" applyBorder="1"/>
    <xf numFmtId="2" fontId="34" fillId="0" borderId="149" xfId="0" applyNumberFormat="1" applyFont="1" applyBorder="1" applyAlignment="1">
      <alignment horizontal="center"/>
    </xf>
    <xf numFmtId="0" fontId="0" fillId="0" borderId="149" xfId="0" applyBorder="1"/>
    <xf numFmtId="169" fontId="0" fillId="0" borderId="149" xfId="0" applyNumberFormat="1" applyFill="1" applyBorder="1"/>
    <xf numFmtId="0" fontId="38" fillId="0" borderId="149" xfId="0" applyFont="1" applyFill="1" applyBorder="1"/>
    <xf numFmtId="0" fontId="0" fillId="0" borderId="149" xfId="0" applyFill="1" applyBorder="1"/>
    <xf numFmtId="0" fontId="0" fillId="0" borderId="149" xfId="0" applyBorder="1" applyAlignment="1">
      <alignment horizontal="right"/>
    </xf>
    <xf numFmtId="2" fontId="0" fillId="0" borderId="147" xfId="0" applyNumberFormat="1" applyBorder="1" applyAlignment="1">
      <alignment horizontal="right"/>
    </xf>
    <xf numFmtId="2" fontId="38" fillId="0" borderId="147" xfId="0" applyNumberFormat="1" applyFont="1" applyBorder="1" applyAlignment="1">
      <alignment horizontal="right"/>
    </xf>
    <xf numFmtId="0" fontId="139" fillId="0" borderId="147" xfId="0" applyFont="1" applyBorder="1"/>
    <xf numFmtId="0" fontId="40" fillId="0" borderId="148" xfId="0" applyFont="1" applyBorder="1"/>
    <xf numFmtId="0" fontId="33" fillId="0" borderId="148" xfId="0" applyFont="1" applyBorder="1"/>
    <xf numFmtId="169" fontId="33" fillId="0" borderId="148" xfId="0" applyNumberFormat="1" applyFont="1" applyBorder="1"/>
    <xf numFmtId="0" fontId="33" fillId="0" borderId="147" xfId="0" applyFont="1" applyBorder="1" applyAlignment="1">
      <alignment horizontal="right"/>
    </xf>
    <xf numFmtId="171" fontId="38" fillId="0" borderId="148" xfId="0" applyNumberFormat="1" applyFont="1" applyBorder="1"/>
    <xf numFmtId="164" fontId="38" fillId="0" borderId="148" xfId="0" applyNumberFormat="1" applyFont="1" applyBorder="1"/>
    <xf numFmtId="0" fontId="38" fillId="0" borderId="148" xfId="0" applyFont="1" applyBorder="1"/>
    <xf numFmtId="0" fontId="38" fillId="0" borderId="147" xfId="0" applyFont="1" applyBorder="1" applyAlignment="1">
      <alignment horizontal="right"/>
    </xf>
    <xf numFmtId="169" fontId="38" fillId="0" borderId="148" xfId="0" applyNumberFormat="1" applyFont="1" applyBorder="1"/>
    <xf numFmtId="0" fontId="38" fillId="0" borderId="147" xfId="0" applyFont="1" applyBorder="1"/>
    <xf numFmtId="0" fontId="138" fillId="0" borderId="147" xfId="0" applyFont="1" applyBorder="1"/>
    <xf numFmtId="171" fontId="30" fillId="0" borderId="148" xfId="0" applyNumberFormat="1" applyFont="1" applyBorder="1"/>
    <xf numFmtId="164" fontId="30" fillId="0" borderId="148" xfId="0" applyNumberFormat="1" applyFont="1" applyBorder="1"/>
    <xf numFmtId="169" fontId="32" fillId="0" borderId="148" xfId="0" applyNumberFormat="1" applyFont="1" applyFill="1" applyBorder="1"/>
    <xf numFmtId="0" fontId="32" fillId="0" borderId="147" xfId="0" applyFont="1" applyBorder="1"/>
    <xf numFmtId="0" fontId="33" fillId="0" borderId="147" xfId="0" applyFont="1" applyBorder="1"/>
    <xf numFmtId="169" fontId="0" fillId="0" borderId="148" xfId="0" applyNumberFormat="1" applyBorder="1"/>
    <xf numFmtId="171" fontId="0" fillId="0" borderId="148" xfId="0" applyNumberFormat="1" applyBorder="1"/>
    <xf numFmtId="164" fontId="0" fillId="0" borderId="148" xfId="0" applyNumberFormat="1" applyBorder="1"/>
    <xf numFmtId="2" fontId="34" fillId="0" borderId="148" xfId="0" applyNumberFormat="1" applyFont="1" applyBorder="1" applyAlignment="1">
      <alignment horizontal="center"/>
    </xf>
    <xf numFmtId="0" fontId="32" fillId="0" borderId="148" xfId="0" applyFont="1" applyBorder="1"/>
    <xf numFmtId="169" fontId="0" fillId="0" borderId="148" xfId="0" applyNumberFormat="1" applyFill="1" applyBorder="1"/>
    <xf numFmtId="0" fontId="0" fillId="0" borderId="148" xfId="0" applyBorder="1"/>
    <xf numFmtId="3" fontId="66" fillId="0" borderId="148" xfId="28" applyNumberFormat="1" applyBorder="1"/>
    <xf numFmtId="3" fontId="66" fillId="0" borderId="147" xfId="28" applyNumberFormat="1" applyBorder="1"/>
    <xf numFmtId="3" fontId="32" fillId="0" borderId="148" xfId="28" applyNumberFormat="1" applyFont="1" applyBorder="1"/>
    <xf numFmtId="3" fontId="66" fillId="0" borderId="147" xfId="28" applyNumberFormat="1" applyFill="1" applyBorder="1"/>
    <xf numFmtId="3" fontId="32" fillId="0" borderId="147" xfId="28" applyNumberFormat="1" applyFont="1" applyBorder="1"/>
    <xf numFmtId="3" fontId="154" fillId="0" borderId="147" xfId="28" applyNumberFormat="1" applyFont="1" applyBorder="1"/>
    <xf numFmtId="3" fontId="154" fillId="0" borderId="148" xfId="28" applyNumberFormat="1" applyFont="1" applyBorder="1"/>
    <xf numFmtId="3" fontId="154" fillId="0" borderId="12" xfId="28" applyNumberFormat="1" applyFont="1" applyFill="1" applyBorder="1"/>
    <xf numFmtId="7" fontId="30" fillId="0" borderId="148" xfId="40" applyNumberFormat="1" applyFont="1" applyBorder="1"/>
    <xf numFmtId="172" fontId="30" fillId="0" borderId="148" xfId="30" applyNumberFormat="1" applyFont="1" applyBorder="1"/>
    <xf numFmtId="9" fontId="30" fillId="0" borderId="148" xfId="11" applyFont="1" applyBorder="1"/>
    <xf numFmtId="172" fontId="29" fillId="0" borderId="148" xfId="30" applyNumberFormat="1" applyFont="1" applyBorder="1"/>
    <xf numFmtId="172" fontId="32" fillId="0" borderId="148" xfId="30" applyNumberFormat="1" applyFont="1" applyBorder="1"/>
    <xf numFmtId="7" fontId="38" fillId="0" borderId="148" xfId="40" applyNumberFormat="1" applyFont="1" applyBorder="1"/>
    <xf numFmtId="9" fontId="38" fillId="0" borderId="148" xfId="11" applyFont="1" applyBorder="1"/>
    <xf numFmtId="9" fontId="33" fillId="0" borderId="148" xfId="11" applyFont="1" applyBorder="1"/>
    <xf numFmtId="9" fontId="32" fillId="0" borderId="148" xfId="11" applyFont="1" applyBorder="1"/>
    <xf numFmtId="9" fontId="30" fillId="0" borderId="147" xfId="11" applyFont="1" applyBorder="1"/>
    <xf numFmtId="7" fontId="30" fillId="0" borderId="147" xfId="40" applyNumberFormat="1" applyFont="1" applyBorder="1"/>
    <xf numFmtId="9" fontId="30" fillId="0" borderId="149" xfId="11" applyFont="1" applyBorder="1"/>
    <xf numFmtId="7" fontId="30" fillId="0" borderId="149" xfId="40" applyNumberFormat="1" applyFont="1" applyBorder="1"/>
    <xf numFmtId="164" fontId="7" fillId="0" borderId="0" xfId="0" applyNumberFormat="1" applyFont="1" applyAlignment="1">
      <alignment horizontal="center"/>
    </xf>
    <xf numFmtId="0" fontId="155" fillId="0" borderId="7" xfId="28" applyFont="1" applyBorder="1"/>
    <xf numFmtId="9" fontId="156" fillId="0" borderId="13" xfId="11" applyFont="1" applyBorder="1"/>
    <xf numFmtId="0" fontId="155" fillId="0" borderId="13" xfId="28" applyFont="1" applyBorder="1"/>
    <xf numFmtId="7" fontId="156" fillId="0" borderId="0" xfId="1" applyNumberFormat="1" applyFont="1" applyBorder="1"/>
    <xf numFmtId="0" fontId="156" fillId="0" borderId="7" xfId="0" applyFont="1" applyFill="1" applyBorder="1"/>
    <xf numFmtId="0" fontId="155" fillId="0" borderId="7" xfId="28" applyFont="1" applyFill="1" applyBorder="1"/>
    <xf numFmtId="169" fontId="80" fillId="0" borderId="13" xfId="0" applyNumberFormat="1" applyFont="1" applyFill="1" applyBorder="1"/>
    <xf numFmtId="0" fontId="27" fillId="0" borderId="0" xfId="0" applyFont="1" applyFill="1" applyBorder="1" applyAlignment="1">
      <alignment horizontal="center"/>
    </xf>
    <xf numFmtId="0" fontId="29" fillId="0" borderId="0" xfId="0" applyFont="1" applyBorder="1" applyAlignment="1">
      <alignment horizontal="center"/>
    </xf>
    <xf numFmtId="2" fontId="34" fillId="0" borderId="0" xfId="0" applyNumberFormat="1" applyFont="1" applyBorder="1" applyAlignment="1">
      <alignment horizontal="center"/>
    </xf>
    <xf numFmtId="164" fontId="66" fillId="0" borderId="0" xfId="28" applyNumberFormat="1" applyBorder="1"/>
    <xf numFmtId="171" fontId="66" fillId="0" borderId="0" xfId="28" applyNumberFormat="1" applyBorder="1"/>
    <xf numFmtId="44" fontId="0" fillId="0" borderId="0" xfId="1" applyFont="1" applyBorder="1"/>
    <xf numFmtId="44" fontId="66" fillId="0" borderId="0" xfId="1" applyFont="1" applyBorder="1"/>
    <xf numFmtId="44" fontId="30" fillId="0" borderId="0" xfId="1" applyNumberFormat="1" applyFont="1" applyBorder="1"/>
    <xf numFmtId="0" fontId="155" fillId="0" borderId="0" xfId="28" applyFont="1" applyBorder="1"/>
    <xf numFmtId="2" fontId="157" fillId="0" borderId="0" xfId="0" applyNumberFormat="1" applyFont="1" applyBorder="1" applyAlignment="1">
      <alignment horizontal="center"/>
    </xf>
    <xf numFmtId="164" fontId="80" fillId="0" borderId="0" xfId="0" applyNumberFormat="1" applyFont="1" applyBorder="1"/>
    <xf numFmtId="164" fontId="155" fillId="0" borderId="0" xfId="28" applyNumberFormat="1" applyFont="1" applyBorder="1"/>
    <xf numFmtId="171" fontId="155" fillId="0" borderId="0" xfId="28" applyNumberFormat="1" applyFont="1" applyBorder="1"/>
    <xf numFmtId="44" fontId="155" fillId="0" borderId="0" xfId="1" applyFont="1" applyBorder="1"/>
    <xf numFmtId="44" fontId="156" fillId="0" borderId="0" xfId="1" applyNumberFormat="1" applyFont="1" applyBorder="1"/>
    <xf numFmtId="7" fontId="0" fillId="0" borderId="0" xfId="0" applyNumberFormat="1" applyBorder="1"/>
    <xf numFmtId="44" fontId="0" fillId="0" borderId="0" xfId="0" applyNumberFormat="1" applyBorder="1"/>
    <xf numFmtId="0" fontId="27" fillId="6" borderId="151" xfId="0" applyFont="1" applyFill="1" applyBorder="1" applyAlignment="1">
      <alignment horizontal="center"/>
    </xf>
    <xf numFmtId="0" fontId="29" fillId="0" borderId="152" xfId="0" applyFont="1" applyBorder="1"/>
    <xf numFmtId="0" fontId="66" fillId="0" borderId="153" xfId="28" applyBorder="1"/>
    <xf numFmtId="0" fontId="155" fillId="0" borderId="153" xfId="28" applyFont="1" applyBorder="1"/>
    <xf numFmtId="174" fontId="29" fillId="0" borderId="0" xfId="0" applyNumberFormat="1" applyFont="1" applyBorder="1"/>
    <xf numFmtId="0" fontId="27" fillId="0" borderId="0" xfId="0" applyFont="1" applyFill="1" applyBorder="1"/>
    <xf numFmtId="171" fontId="0" fillId="0" borderId="0" xfId="0" applyNumberFormat="1" applyBorder="1"/>
    <xf numFmtId="164" fontId="29" fillId="0" borderId="0" xfId="0" applyNumberFormat="1" applyFont="1" applyBorder="1"/>
    <xf numFmtId="171" fontId="29" fillId="0" borderId="0" xfId="0" applyNumberFormat="1" applyFont="1" applyBorder="1"/>
    <xf numFmtId="7" fontId="29" fillId="0" borderId="0" xfId="0" applyNumberFormat="1" applyFont="1" applyBorder="1"/>
    <xf numFmtId="0" fontId="0" fillId="0" borderId="150" xfId="0" applyBorder="1"/>
    <xf numFmtId="0" fontId="0" fillId="0" borderId="154" xfId="0" applyBorder="1"/>
    <xf numFmtId="168" fontId="29" fillId="0" borderId="0" xfId="0" applyNumberFormat="1" applyFont="1" applyFill="1"/>
    <xf numFmtId="168" fontId="0" fillId="0" borderId="0" xfId="0" applyNumberFormat="1" applyFill="1" applyBorder="1"/>
    <xf numFmtId="168" fontId="29" fillId="0" borderId="0" xfId="0" applyNumberFormat="1" applyFont="1" applyFill="1" applyBorder="1"/>
    <xf numFmtId="168" fontId="0" fillId="0" borderId="148" xfId="0" applyNumberFormat="1" applyFill="1" applyBorder="1"/>
    <xf numFmtId="174" fontId="29" fillId="0" borderId="0" xfId="0" applyNumberFormat="1" applyFont="1" applyFill="1" applyBorder="1"/>
    <xf numFmtId="172" fontId="30" fillId="0" borderId="0" xfId="7" applyNumberFormat="1" applyFont="1" applyFill="1" applyBorder="1"/>
    <xf numFmtId="4" fontId="0" fillId="0" borderId="0" xfId="0" applyNumberFormat="1" applyFill="1" applyBorder="1"/>
    <xf numFmtId="0" fontId="27" fillId="0" borderId="0" xfId="28" applyFont="1" applyFill="1" applyBorder="1"/>
    <xf numFmtId="0" fontId="27" fillId="0" borderId="0" xfId="28" applyFont="1" applyFill="1" applyBorder="1" applyAlignment="1">
      <alignment horizontal="center"/>
    </xf>
    <xf numFmtId="174" fontId="29" fillId="0" borderId="0" xfId="28" applyNumberFormat="1" applyFont="1" applyFill="1" applyBorder="1"/>
    <xf numFmtId="168" fontId="66" fillId="0" borderId="0" xfId="28" applyNumberFormat="1" applyFill="1" applyBorder="1"/>
    <xf numFmtId="168" fontId="29" fillId="0" borderId="0" xfId="28" applyNumberFormat="1" applyFont="1" applyFill="1" applyBorder="1"/>
    <xf numFmtId="42" fontId="125" fillId="0" borderId="0" xfId="12" applyNumberFormat="1" applyFont="1" applyBorder="1"/>
    <xf numFmtId="181" fontId="125" fillId="0" borderId="32" xfId="12" applyNumberFormat="1" applyFont="1" applyBorder="1"/>
    <xf numFmtId="166" fontId="45" fillId="0" borderId="0" xfId="18" applyNumberFormat="1" applyFont="1" applyFill="1" applyBorder="1"/>
    <xf numFmtId="0" fontId="47" fillId="0" borderId="0" xfId="12" applyFont="1" applyBorder="1" applyAlignment="1">
      <alignment horizontal="right"/>
    </xf>
    <xf numFmtId="0" fontId="19" fillId="0" borderId="32" xfId="12" applyFont="1" applyFill="1" applyBorder="1" applyAlignment="1">
      <alignment horizontal="right" wrapText="1"/>
    </xf>
    <xf numFmtId="0" fontId="16" fillId="0" borderId="32" xfId="12" applyFont="1" applyFill="1" applyBorder="1" applyAlignment="1">
      <alignment horizontal="right"/>
    </xf>
    <xf numFmtId="0" fontId="16" fillId="0" borderId="0" xfId="12" applyFont="1"/>
    <xf numFmtId="0" fontId="16" fillId="0" borderId="32" xfId="12" applyFont="1" applyBorder="1" applyAlignment="1">
      <alignment horizontal="right"/>
    </xf>
    <xf numFmtId="165" fontId="125" fillId="0" borderId="0" xfId="18" applyNumberFormat="1" applyFont="1" applyBorder="1"/>
    <xf numFmtId="165" fontId="125" fillId="0" borderId="0" xfId="12" applyNumberFormat="1" applyFont="1" applyBorder="1"/>
    <xf numFmtId="172" fontId="7" fillId="0" borderId="0" xfId="7" applyNumberFormat="1" applyFont="1"/>
    <xf numFmtId="0" fontId="158" fillId="0" borderId="43" xfId="9" applyFont="1" applyFill="1" applyBorder="1" applyAlignment="1" applyProtection="1">
      <alignment horizontal="center" wrapText="1"/>
    </xf>
    <xf numFmtId="37" fontId="7" fillId="0" borderId="0" xfId="1" applyNumberFormat="1" applyFont="1"/>
    <xf numFmtId="9" fontId="0" fillId="0" borderId="0" xfId="8" applyFont="1"/>
    <xf numFmtId="165" fontId="83" fillId="24" borderId="7" xfId="5" applyNumberFormat="1" applyFont="1" applyFill="1" applyBorder="1" applyAlignment="1">
      <alignment horizontal="center" vertical="center" wrapText="1"/>
    </xf>
    <xf numFmtId="0" fontId="7" fillId="0" borderId="0" xfId="0" applyFont="1" applyFill="1"/>
    <xf numFmtId="166" fontId="0" fillId="16" borderId="5" xfId="8" applyNumberFormat="1" applyFont="1" applyFill="1" applyBorder="1" applyAlignment="1" applyProtection="1">
      <alignment horizontal="center"/>
    </xf>
    <xf numFmtId="42" fontId="0" fillId="16" borderId="84" xfId="0" applyNumberFormat="1" applyFill="1" applyBorder="1" applyProtection="1"/>
    <xf numFmtId="42" fontId="0" fillId="16" borderId="113" xfId="0" applyNumberFormat="1" applyFill="1" applyBorder="1" applyProtection="1"/>
    <xf numFmtId="42" fontId="1" fillId="16" borderId="67" xfId="0" applyNumberFormat="1" applyFont="1" applyFill="1" applyBorder="1" applyProtection="1"/>
    <xf numFmtId="42" fontId="1" fillId="16" borderId="102" xfId="0" applyNumberFormat="1" applyFont="1" applyFill="1" applyBorder="1" applyProtection="1"/>
    <xf numFmtId="42" fontId="44" fillId="23" borderId="10" xfId="0" applyNumberFormat="1" applyFont="1" applyFill="1" applyBorder="1" applyProtection="1"/>
    <xf numFmtId="42" fontId="5" fillId="23" borderId="101" xfId="0" applyNumberFormat="1" applyFont="1" applyFill="1" applyBorder="1" applyProtection="1"/>
    <xf numFmtId="42" fontId="44" fillId="23" borderId="101" xfId="0" applyNumberFormat="1" applyFont="1" applyFill="1" applyBorder="1" applyProtection="1"/>
    <xf numFmtId="42" fontId="0" fillId="23" borderId="102" xfId="0" applyNumberFormat="1" applyFont="1" applyFill="1" applyBorder="1" applyProtection="1"/>
    <xf numFmtId="42" fontId="5" fillId="4" borderId="16" xfId="0" applyNumberFormat="1" applyFont="1" applyFill="1" applyBorder="1" applyAlignment="1" applyProtection="1">
      <alignment horizontal="center" vertical="center"/>
    </xf>
    <xf numFmtId="42" fontId="5" fillId="4" borderId="111" xfId="0" applyNumberFormat="1" applyFont="1" applyFill="1" applyBorder="1" applyAlignment="1" applyProtection="1">
      <alignment horizontal="center" vertical="center"/>
    </xf>
    <xf numFmtId="185" fontId="5" fillId="0" borderId="0" xfId="0" applyNumberFormat="1" applyFont="1" applyFill="1" applyBorder="1" applyAlignment="1" applyProtection="1">
      <alignment horizontal="center" vertical="center"/>
    </xf>
    <xf numFmtId="42" fontId="5" fillId="0" borderId="0"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vertical="center"/>
    </xf>
    <xf numFmtId="185" fontId="5" fillId="49" borderId="143" xfId="0" applyNumberFormat="1" applyFont="1" applyFill="1" applyBorder="1" applyAlignment="1" applyProtection="1">
      <alignment horizontal="center" vertical="center"/>
    </xf>
    <xf numFmtId="42" fontId="5" fillId="49" borderId="143" xfId="0" applyNumberFormat="1" applyFont="1" applyFill="1" applyBorder="1" applyAlignment="1" applyProtection="1">
      <alignment horizontal="center" vertical="center"/>
    </xf>
    <xf numFmtId="3" fontId="5" fillId="49" borderId="143" xfId="0" applyNumberFormat="1" applyFont="1" applyFill="1" applyBorder="1" applyAlignment="1" applyProtection="1">
      <alignment horizontal="center" vertical="center"/>
    </xf>
    <xf numFmtId="42" fontId="5" fillId="49" borderId="141" xfId="0" applyNumberFormat="1" applyFont="1" applyFill="1" applyBorder="1" applyAlignment="1" applyProtection="1">
      <alignment horizontal="center" vertical="center"/>
    </xf>
    <xf numFmtId="182" fontId="20" fillId="49" borderId="145" xfId="0" applyNumberFormat="1" applyFont="1" applyFill="1" applyBorder="1" applyAlignment="1" applyProtection="1">
      <alignment horizontal="center"/>
    </xf>
    <xf numFmtId="42" fontId="20" fillId="49" borderId="145" xfId="0" applyNumberFormat="1" applyFont="1" applyFill="1" applyBorder="1" applyAlignment="1" applyProtection="1">
      <alignment horizontal="center"/>
    </xf>
    <xf numFmtId="3" fontId="20" fillId="49" borderId="145" xfId="0" applyNumberFormat="1" applyFont="1" applyFill="1" applyBorder="1" applyAlignment="1" applyProtection="1">
      <alignment horizontal="center"/>
    </xf>
    <xf numFmtId="42" fontId="20" fillId="49" borderId="144" xfId="0" applyNumberFormat="1" applyFont="1" applyFill="1" applyBorder="1" applyAlignment="1" applyProtection="1">
      <alignment horizontal="center"/>
    </xf>
    <xf numFmtId="0" fontId="13" fillId="0" borderId="0" xfId="0" applyFont="1" applyBorder="1" applyAlignment="1">
      <alignment wrapText="1"/>
    </xf>
    <xf numFmtId="0" fontId="14" fillId="0" borderId="0" xfId="0" applyFont="1" applyFill="1" applyAlignment="1">
      <alignment horizontal="right" vertical="top" wrapText="1"/>
    </xf>
    <xf numFmtId="165" fontId="6" fillId="0" borderId="0" xfId="1" applyNumberFormat="1" applyFont="1" applyFill="1" applyBorder="1" applyAlignment="1">
      <alignment horizontal="center" vertical="top" wrapText="1"/>
    </xf>
    <xf numFmtId="0" fontId="0" fillId="0" borderId="0" xfId="0" applyFill="1" applyAlignment="1">
      <alignment vertical="top" wrapText="1"/>
    </xf>
    <xf numFmtId="164" fontId="0" fillId="6" borderId="13" xfId="0" applyNumberFormat="1" applyFill="1" applyBorder="1" applyAlignment="1">
      <alignment horizontal="center" vertical="top"/>
    </xf>
    <xf numFmtId="0" fontId="0" fillId="0" borderId="0" xfId="0" applyFill="1" applyAlignment="1">
      <alignment vertical="top"/>
    </xf>
    <xf numFmtId="0" fontId="0" fillId="0" borderId="0" xfId="0" applyAlignment="1">
      <alignment vertical="top"/>
    </xf>
    <xf numFmtId="0" fontId="159" fillId="0" borderId="0" xfId="17" applyNumberFormat="1" applyFont="1" applyAlignment="1" applyProtection="1">
      <alignment horizontal="left"/>
      <protection locked="0"/>
    </xf>
    <xf numFmtId="0" fontId="13" fillId="0" borderId="0" xfId="423" applyFill="1" applyBorder="1" applyAlignment="1">
      <alignment horizontal="left" vertical="center" wrapText="1"/>
    </xf>
    <xf numFmtId="0" fontId="16" fillId="14" borderId="0" xfId="422" applyFill="1"/>
    <xf numFmtId="0" fontId="20" fillId="14" borderId="0" xfId="423" applyFont="1" applyFill="1" applyBorder="1" applyAlignment="1">
      <alignment horizontal="center"/>
    </xf>
    <xf numFmtId="0" fontId="20" fillId="14" borderId="150" xfId="423" applyFont="1" applyFill="1" applyBorder="1" applyAlignment="1">
      <alignment horizontal="center"/>
    </xf>
    <xf numFmtId="43" fontId="13" fillId="14" borderId="157" xfId="423" applyNumberFormat="1" applyFont="1" applyFill="1" applyBorder="1" applyAlignment="1">
      <alignment horizontal="left" vertical="center" wrapText="1"/>
    </xf>
    <xf numFmtId="0" fontId="67" fillId="14" borderId="165" xfId="423" applyFont="1" applyFill="1" applyBorder="1" applyAlignment="1">
      <alignment horizontal="left" vertical="center" wrapText="1"/>
    </xf>
    <xf numFmtId="0" fontId="67" fillId="14" borderId="0" xfId="423" applyFont="1" applyFill="1" applyBorder="1" applyAlignment="1">
      <alignment horizontal="left" vertical="center" wrapText="1"/>
    </xf>
    <xf numFmtId="0" fontId="67" fillId="14" borderId="157" xfId="423" applyFont="1" applyFill="1" applyBorder="1" applyAlignment="1">
      <alignment horizontal="left" vertical="center" wrapText="1"/>
    </xf>
    <xf numFmtId="0" fontId="67" fillId="14" borderId="159" xfId="423" applyFont="1" applyFill="1" applyBorder="1" applyAlignment="1">
      <alignment horizontal="left" vertical="center" wrapText="1"/>
    </xf>
    <xf numFmtId="0" fontId="67" fillId="14" borderId="2" xfId="423" applyFont="1" applyFill="1" applyBorder="1" applyAlignment="1">
      <alignment horizontal="left" vertical="center" wrapText="1"/>
    </xf>
    <xf numFmtId="0" fontId="67" fillId="14" borderId="150" xfId="423" applyFont="1" applyFill="1" applyBorder="1" applyAlignment="1">
      <alignment horizontal="left" vertical="center" wrapText="1"/>
    </xf>
    <xf numFmtId="0" fontId="20" fillId="14" borderId="155" xfId="423" applyFont="1" applyFill="1" applyBorder="1" applyAlignment="1">
      <alignment horizontal="center"/>
    </xf>
    <xf numFmtId="0" fontId="13" fillId="14" borderId="2" xfId="423" applyFill="1" applyBorder="1" applyAlignment="1">
      <alignment horizontal="left" vertical="center" wrapText="1"/>
    </xf>
    <xf numFmtId="0" fontId="13" fillId="14" borderId="165" xfId="423" applyFill="1" applyBorder="1" applyAlignment="1">
      <alignment horizontal="left" vertical="center" wrapText="1"/>
    </xf>
    <xf numFmtId="0" fontId="13" fillId="14" borderId="0" xfId="423" applyFill="1" applyBorder="1" applyAlignment="1">
      <alignment horizontal="left" vertical="center" wrapText="1"/>
    </xf>
    <xf numFmtId="0" fontId="13" fillId="14" borderId="157" xfId="423" applyFill="1" applyBorder="1" applyAlignment="1">
      <alignment horizontal="left" vertical="center" wrapText="1"/>
    </xf>
    <xf numFmtId="0" fontId="16" fillId="0" borderId="0" xfId="426"/>
    <xf numFmtId="169" fontId="7" fillId="0" borderId="11" xfId="0" applyNumberFormat="1" applyFont="1" applyBorder="1" applyAlignment="1">
      <alignment horizontal="right"/>
    </xf>
    <xf numFmtId="0" fontId="161" fillId="0" borderId="0" xfId="0" applyFont="1"/>
    <xf numFmtId="0" fontId="110" fillId="0" borderId="0" xfId="0" applyFont="1" applyAlignment="1">
      <alignment horizontal="left"/>
    </xf>
    <xf numFmtId="0" fontId="110" fillId="0" borderId="0" xfId="0" applyFont="1"/>
    <xf numFmtId="0" fontId="162" fillId="0" borderId="0" xfId="0" applyFont="1"/>
    <xf numFmtId="0" fontId="163" fillId="0" borderId="0" xfId="0" applyFont="1" applyAlignment="1">
      <alignment horizontal="left"/>
    </xf>
    <xf numFmtId="0" fontId="0" fillId="0" borderId="0" xfId="0" applyFill="1" applyBorder="1" applyAlignment="1">
      <alignment horizontal="center"/>
    </xf>
    <xf numFmtId="165" fontId="20" fillId="0" borderId="32" xfId="189" applyNumberFormat="1" applyFont="1" applyBorder="1"/>
    <xf numFmtId="165" fontId="20" fillId="24" borderId="0" xfId="189" applyNumberFormat="1" applyFont="1" applyFill="1" applyBorder="1"/>
    <xf numFmtId="164" fontId="164" fillId="0" borderId="0" xfId="0" applyNumberFormat="1" applyFont="1" applyAlignment="1">
      <alignment horizontal="center"/>
    </xf>
    <xf numFmtId="0" fontId="66" fillId="24" borderId="0" xfId="28" applyFill="1"/>
    <xf numFmtId="0" fontId="163" fillId="0" borderId="0" xfId="28" applyFont="1" applyAlignment="1">
      <alignment horizontal="left"/>
    </xf>
    <xf numFmtId="0" fontId="165" fillId="0" borderId="0" xfId="427"/>
    <xf numFmtId="0" fontId="165" fillId="0" borderId="0" xfId="427" applyBorder="1"/>
    <xf numFmtId="9" fontId="39" fillId="0" borderId="0" xfId="4" applyFont="1" applyFill="1" applyBorder="1"/>
    <xf numFmtId="165" fontId="20" fillId="0" borderId="0" xfId="198" applyNumberFormat="1" applyFont="1" applyFill="1" applyBorder="1"/>
    <xf numFmtId="165" fontId="16" fillId="0" borderId="0" xfId="198" applyNumberFormat="1"/>
    <xf numFmtId="165" fontId="16" fillId="0" borderId="0" xfId="198" applyNumberFormat="1" applyBorder="1"/>
    <xf numFmtId="0" fontId="165" fillId="0" borderId="51" xfId="427" applyBorder="1"/>
    <xf numFmtId="0" fontId="165" fillId="0" borderId="130" xfId="427" applyBorder="1"/>
    <xf numFmtId="165" fontId="165" fillId="0" borderId="161" xfId="427" applyNumberFormat="1" applyFill="1" applyBorder="1"/>
    <xf numFmtId="165" fontId="165" fillId="0" borderId="139" xfId="427" applyNumberFormat="1" applyFill="1" applyBorder="1"/>
    <xf numFmtId="0" fontId="165" fillId="0" borderId="136" xfId="427" applyBorder="1"/>
    <xf numFmtId="165" fontId="165" fillId="0" borderId="0" xfId="198" applyNumberFormat="1" applyFont="1" applyBorder="1" applyAlignment="1">
      <alignment horizontal="right"/>
    </xf>
    <xf numFmtId="165" fontId="165" fillId="0" borderId="167" xfId="198" applyNumberFormat="1" applyFont="1" applyBorder="1" applyAlignment="1">
      <alignment horizontal="right"/>
    </xf>
    <xf numFmtId="165" fontId="165" fillId="0" borderId="2" xfId="198" applyNumberFormat="1" applyFont="1" applyBorder="1" applyAlignment="1">
      <alignment horizontal="right"/>
    </xf>
    <xf numFmtId="165" fontId="132" fillId="0" borderId="32" xfId="427" applyNumberFormat="1" applyFont="1" applyFill="1" applyBorder="1"/>
    <xf numFmtId="165" fontId="1" fillId="0" borderId="6" xfId="1" applyNumberFormat="1" applyFont="1" applyFill="1" applyBorder="1" applyAlignment="1">
      <alignment horizontal="center" vertical="center" wrapText="1"/>
    </xf>
    <xf numFmtId="0" fontId="0" fillId="0" borderId="0" xfId="0" applyFont="1"/>
    <xf numFmtId="165" fontId="1" fillId="0" borderId="8" xfId="1" applyNumberFormat="1" applyFont="1" applyFill="1" applyBorder="1" applyAlignment="1">
      <alignment horizontal="center" vertical="center" wrapText="1"/>
    </xf>
    <xf numFmtId="165" fontId="1" fillId="0" borderId="6" xfId="16" applyNumberFormat="1" applyFont="1" applyFill="1" applyBorder="1" applyAlignment="1">
      <alignment horizontal="center" vertical="center" wrapText="1"/>
    </xf>
    <xf numFmtId="165" fontId="1" fillId="0" borderId="7" xfId="1" applyNumberFormat="1" applyFont="1" applyFill="1" applyBorder="1" applyAlignment="1">
      <alignment vertical="center" wrapText="1"/>
    </xf>
    <xf numFmtId="165" fontId="1" fillId="0" borderId="7" xfId="1" applyNumberFormat="1" applyFont="1" applyFill="1" applyBorder="1" applyAlignment="1">
      <alignment horizontal="center" vertical="center" wrapText="1"/>
    </xf>
    <xf numFmtId="165" fontId="1" fillId="24" borderId="8" xfId="5" applyNumberFormat="1" applyFont="1" applyFill="1" applyBorder="1" applyAlignment="1">
      <alignment horizontal="center" vertical="center" wrapText="1"/>
    </xf>
    <xf numFmtId="0" fontId="13" fillId="0" borderId="0" xfId="2" applyFont="1" applyFill="1" applyAlignment="1">
      <alignment horizontal="right"/>
    </xf>
    <xf numFmtId="165" fontId="1" fillId="0" borderId="8" xfId="16" applyNumberFormat="1" applyFont="1" applyFill="1" applyBorder="1" applyAlignment="1">
      <alignment horizontal="center" vertical="center" wrapText="1"/>
    </xf>
    <xf numFmtId="165" fontId="1" fillId="0" borderId="8" xfId="5" applyNumberFormat="1" applyFont="1" applyFill="1" applyBorder="1" applyAlignment="1">
      <alignment horizontal="center" vertical="center" wrapText="1"/>
    </xf>
    <xf numFmtId="165" fontId="1" fillId="0" borderId="7" xfId="16" applyNumberFormat="1" applyFont="1" applyFill="1" applyBorder="1" applyAlignment="1">
      <alignment horizontal="center" vertical="center" wrapText="1"/>
    </xf>
    <xf numFmtId="165" fontId="1" fillId="0" borderId="124" xfId="5" applyNumberFormat="1" applyFont="1" applyFill="1" applyBorder="1" applyAlignment="1">
      <alignment horizontal="center" vertical="center" wrapText="1"/>
    </xf>
    <xf numFmtId="165" fontId="1" fillId="0" borderId="6" xfId="5" applyNumberFormat="1" applyFont="1" applyFill="1" applyBorder="1" applyAlignment="1">
      <alignment horizontal="center" vertical="center" wrapText="1"/>
    </xf>
    <xf numFmtId="165" fontId="1" fillId="0" borderId="168" xfId="5" applyNumberFormat="1" applyFont="1" applyFill="1" applyBorder="1" applyAlignment="1">
      <alignment horizontal="center" vertical="center" wrapText="1"/>
    </xf>
    <xf numFmtId="165" fontId="1" fillId="0" borderId="168" xfId="5" applyNumberFormat="1" applyFont="1" applyFill="1" applyBorder="1" applyAlignment="1">
      <alignment vertical="center" wrapText="1"/>
    </xf>
    <xf numFmtId="165" fontId="1" fillId="0" borderId="7" xfId="5" applyNumberFormat="1" applyFont="1" applyFill="1" applyBorder="1" applyAlignment="1">
      <alignment horizontal="center" vertical="center" wrapText="1"/>
    </xf>
    <xf numFmtId="165" fontId="1" fillId="0" borderId="7" xfId="16" applyNumberFormat="1" applyFont="1" applyFill="1" applyBorder="1" applyAlignment="1">
      <alignment vertical="center" wrapText="1"/>
    </xf>
    <xf numFmtId="165" fontId="1" fillId="24" borderId="7" xfId="5" applyNumberFormat="1" applyFont="1" applyFill="1" applyBorder="1" applyAlignment="1">
      <alignment vertical="center" wrapText="1"/>
    </xf>
    <xf numFmtId="165" fontId="1" fillId="24" borderId="6" xfId="5" applyNumberFormat="1" applyFont="1" applyFill="1" applyBorder="1" applyAlignment="1">
      <alignment horizontal="center" vertical="center" wrapText="1"/>
    </xf>
    <xf numFmtId="0" fontId="0" fillId="0" borderId="0" xfId="0" applyFont="1" applyFill="1" applyAlignment="1">
      <alignment horizontal="right"/>
    </xf>
    <xf numFmtId="165" fontId="1" fillId="24" borderId="7" xfId="5" applyNumberFormat="1" applyFont="1" applyFill="1" applyBorder="1" applyAlignment="1">
      <alignment horizontal="center" vertical="center" wrapText="1"/>
    </xf>
    <xf numFmtId="0" fontId="0" fillId="24" borderId="0" xfId="0" applyFont="1" applyFill="1" applyAlignment="1">
      <alignment horizontal="right"/>
    </xf>
    <xf numFmtId="0" fontId="13" fillId="0" borderId="0" xfId="2" applyFont="1" applyFill="1"/>
    <xf numFmtId="165" fontId="1" fillId="0" borderId="4" xfId="1" applyNumberFormat="1" applyFont="1" applyFill="1" applyBorder="1" applyAlignment="1">
      <alignment horizontal="center" vertical="center" wrapText="1"/>
    </xf>
    <xf numFmtId="165" fontId="1" fillId="0" borderId="7" xfId="5" applyNumberFormat="1" applyFont="1" applyFill="1" applyBorder="1" applyAlignment="1">
      <alignment vertical="center" wrapText="1"/>
    </xf>
    <xf numFmtId="0" fontId="0" fillId="0" borderId="0" xfId="0" applyFont="1" applyFill="1"/>
    <xf numFmtId="0" fontId="17" fillId="0" borderId="0" xfId="2" applyFont="1" applyFill="1" applyAlignment="1">
      <alignment horizontal="right" wrapText="1"/>
    </xf>
    <xf numFmtId="0" fontId="1" fillId="0" borderId="0" xfId="2" applyFont="1" applyFill="1"/>
    <xf numFmtId="0" fontId="1" fillId="0" borderId="0" xfId="0" applyFont="1" applyFill="1"/>
    <xf numFmtId="0" fontId="14" fillId="0" borderId="0" xfId="2" applyFont="1" applyFill="1" applyAlignment="1">
      <alignment horizontal="right" wrapText="1"/>
    </xf>
    <xf numFmtId="0" fontId="1" fillId="0" borderId="0" xfId="0" applyFont="1"/>
    <xf numFmtId="0" fontId="14" fillId="0" borderId="0" xfId="0" applyFont="1" applyFill="1" applyAlignment="1">
      <alignment horizontal="right" wrapText="1"/>
    </xf>
    <xf numFmtId="0" fontId="13" fillId="21" borderId="168" xfId="424" applyFill="1" applyBorder="1" applyAlignment="1">
      <alignment horizontal="left" vertical="top"/>
    </xf>
    <xf numFmtId="169" fontId="13" fillId="21" borderId="168" xfId="424" applyNumberFormat="1" applyFill="1" applyBorder="1" applyAlignment="1">
      <alignment horizontal="left" vertical="top" wrapText="1"/>
    </xf>
    <xf numFmtId="0" fontId="13" fillId="21" borderId="168" xfId="424" applyFill="1" applyBorder="1" applyAlignment="1">
      <alignment horizontal="left" vertical="top" wrapText="1"/>
    </xf>
    <xf numFmtId="0" fontId="16" fillId="0" borderId="0" xfId="435"/>
    <xf numFmtId="165" fontId="13" fillId="0" borderId="0" xfId="424" applyNumberFormat="1"/>
    <xf numFmtId="172" fontId="13" fillId="0" borderId="0" xfId="424" applyNumberFormat="1"/>
    <xf numFmtId="9" fontId="13" fillId="0" borderId="0" xfId="19" applyFont="1" applyBorder="1" applyAlignment="1">
      <alignment horizontal="center" vertical="center" wrapText="1"/>
    </xf>
    <xf numFmtId="0" fontId="13" fillId="50" borderId="0" xfId="424" applyFont="1" applyFill="1" applyAlignment="1">
      <alignment horizontal="center"/>
    </xf>
    <xf numFmtId="4" fontId="13" fillId="50" borderId="0" xfId="424" applyNumberFormat="1" applyFont="1" applyFill="1" applyAlignment="1">
      <alignment horizontal="center"/>
    </xf>
    <xf numFmtId="0" fontId="20" fillId="50" borderId="175" xfId="424" applyFont="1" applyFill="1" applyBorder="1" applyAlignment="1">
      <alignment horizontal="center"/>
    </xf>
    <xf numFmtId="0" fontId="20" fillId="50" borderId="176" xfId="424" applyFont="1" applyFill="1" applyBorder="1" applyAlignment="1">
      <alignment horizontal="center"/>
    </xf>
    <xf numFmtId="4" fontId="20" fillId="50" borderId="175" xfId="424" applyNumberFormat="1" applyFont="1" applyFill="1" applyBorder="1" applyAlignment="1">
      <alignment horizontal="center"/>
    </xf>
    <xf numFmtId="4" fontId="20" fillId="50" borderId="176" xfId="424" applyNumberFormat="1" applyFont="1" applyFill="1" applyBorder="1" applyAlignment="1">
      <alignment horizontal="center"/>
    </xf>
    <xf numFmtId="172" fontId="20" fillId="50" borderId="155" xfId="14" applyNumberFormat="1" applyFont="1" applyFill="1" applyBorder="1" applyAlignment="1">
      <alignment horizontal="center" vertical="center" wrapText="1"/>
    </xf>
    <xf numFmtId="169" fontId="20" fillId="50" borderId="155" xfId="14" applyNumberFormat="1" applyFont="1" applyFill="1" applyBorder="1" applyAlignment="1">
      <alignment horizontal="center" vertical="center" wrapText="1"/>
    </xf>
    <xf numFmtId="172" fontId="9" fillId="50" borderId="168" xfId="14" applyNumberFormat="1" applyFont="1" applyFill="1" applyBorder="1" applyAlignment="1" applyProtection="1">
      <alignment horizontal="center" vertical="center" wrapText="1"/>
      <protection locked="0"/>
    </xf>
    <xf numFmtId="44" fontId="9" fillId="50" borderId="168" xfId="198" applyFont="1" applyFill="1" applyBorder="1" applyAlignment="1" applyProtection="1">
      <alignment horizontal="center" vertical="center" wrapText="1"/>
      <protection locked="0"/>
    </xf>
    <xf numFmtId="172" fontId="21" fillId="50" borderId="168" xfId="14" applyNumberFormat="1" applyFont="1" applyFill="1" applyBorder="1" applyAlignment="1" applyProtection="1">
      <alignment horizontal="center" vertical="center" wrapText="1"/>
      <protection locked="0"/>
    </xf>
    <xf numFmtId="44" fontId="21" fillId="50" borderId="168" xfId="198" applyFont="1" applyFill="1" applyBorder="1" applyAlignment="1" applyProtection="1">
      <alignment horizontal="center" vertical="center" wrapText="1"/>
      <protection locked="0"/>
    </xf>
    <xf numFmtId="172" fontId="21" fillId="50" borderId="160" xfId="424" applyNumberFormat="1" applyFont="1" applyFill="1" applyBorder="1" applyProtection="1">
      <protection locked="0"/>
    </xf>
    <xf numFmtId="44" fontId="21" fillId="50" borderId="160" xfId="198" applyFont="1" applyFill="1" applyBorder="1" applyProtection="1">
      <protection locked="0"/>
    </xf>
    <xf numFmtId="0" fontId="9" fillId="0" borderId="0" xfId="424" applyFont="1" applyFill="1" applyBorder="1"/>
    <xf numFmtId="44" fontId="9" fillId="0" borderId="0" xfId="198" applyFont="1" applyFill="1" applyBorder="1"/>
    <xf numFmtId="44" fontId="21" fillId="0" borderId="0" xfId="198" applyFont="1" applyFill="1" applyBorder="1" applyAlignment="1">
      <alignment horizontal="center"/>
    </xf>
    <xf numFmtId="0" fontId="21" fillId="50" borderId="148" xfId="424" applyFont="1" applyFill="1" applyBorder="1" applyAlignment="1">
      <alignment horizontal="center"/>
    </xf>
    <xf numFmtId="44" fontId="21" fillId="50" borderId="148" xfId="198" applyFont="1" applyFill="1" applyBorder="1" applyAlignment="1">
      <alignment horizontal="center"/>
    </xf>
    <xf numFmtId="9" fontId="21" fillId="50" borderId="168" xfId="19" applyFont="1" applyFill="1" applyBorder="1" applyAlignment="1">
      <alignment horizontal="center" vertical="center" wrapText="1"/>
    </xf>
    <xf numFmtId="44" fontId="21" fillId="50" borderId="168" xfId="198" applyFont="1" applyFill="1" applyBorder="1" applyAlignment="1">
      <alignment horizontal="center" vertical="center" wrapText="1"/>
    </xf>
    <xf numFmtId="9" fontId="9" fillId="50" borderId="168" xfId="19" applyFont="1" applyFill="1" applyBorder="1" applyAlignment="1">
      <alignment horizontal="center" vertical="center" wrapText="1"/>
    </xf>
    <xf numFmtId="44" fontId="9" fillId="50" borderId="168" xfId="198" applyFont="1" applyFill="1" applyBorder="1" applyAlignment="1">
      <alignment horizontal="center" vertical="center" wrapText="1"/>
    </xf>
    <xf numFmtId="3" fontId="9" fillId="50" borderId="168" xfId="19" applyNumberFormat="1" applyFont="1" applyFill="1" applyBorder="1" applyAlignment="1">
      <alignment horizontal="center" vertical="center" wrapText="1"/>
    </xf>
    <xf numFmtId="172" fontId="9" fillId="50" borderId="175" xfId="19" applyNumberFormat="1" applyFont="1" applyFill="1" applyBorder="1" applyAlignment="1">
      <alignment horizontal="center" vertical="center" wrapText="1"/>
    </xf>
    <xf numFmtId="4" fontId="13" fillId="0" borderId="0" xfId="19" applyNumberFormat="1" applyFont="1" applyBorder="1" applyAlignment="1">
      <alignment horizontal="center" vertical="center" wrapText="1"/>
    </xf>
    <xf numFmtId="0" fontId="20" fillId="21" borderId="164" xfId="424" applyFont="1" applyFill="1" applyBorder="1" applyAlignment="1">
      <alignment horizontal="left" vertical="top"/>
    </xf>
    <xf numFmtId="0" fontId="20" fillId="21" borderId="169" xfId="424" applyFont="1" applyFill="1" applyBorder="1" applyAlignment="1">
      <alignment horizontal="left" vertical="top"/>
    </xf>
    <xf numFmtId="0" fontId="16" fillId="0" borderId="0" xfId="436"/>
    <xf numFmtId="165" fontId="13" fillId="0" borderId="0" xfId="424" applyNumberFormat="1"/>
    <xf numFmtId="172" fontId="13" fillId="0" borderId="0" xfId="424" applyNumberFormat="1"/>
    <xf numFmtId="9" fontId="13" fillId="0" borderId="0" xfId="19" applyFont="1" applyBorder="1" applyAlignment="1">
      <alignment horizontal="center" vertical="center" wrapText="1"/>
    </xf>
    <xf numFmtId="0" fontId="20" fillId="50" borderId="175" xfId="424" applyFont="1" applyFill="1" applyBorder="1" applyAlignment="1">
      <alignment horizontal="center"/>
    </xf>
    <xf numFmtId="0" fontId="20" fillId="50" borderId="176" xfId="424" applyFont="1" applyFill="1" applyBorder="1" applyAlignment="1">
      <alignment horizontal="center"/>
    </xf>
    <xf numFmtId="172" fontId="20" fillId="50" borderId="182" xfId="14" applyNumberFormat="1" applyFont="1" applyFill="1" applyBorder="1" applyAlignment="1">
      <alignment horizontal="center" vertical="center" wrapText="1"/>
    </xf>
    <xf numFmtId="172" fontId="9" fillId="50" borderId="168" xfId="14" applyNumberFormat="1" applyFont="1" applyFill="1" applyBorder="1" applyAlignment="1" applyProtection="1">
      <alignment horizontal="center" vertical="center" wrapText="1"/>
      <protection locked="0"/>
    </xf>
    <xf numFmtId="44" fontId="9" fillId="50" borderId="168" xfId="198" applyFont="1" applyFill="1" applyBorder="1" applyAlignment="1" applyProtection="1">
      <alignment horizontal="center" vertical="center" wrapText="1"/>
      <protection locked="0"/>
    </xf>
    <xf numFmtId="172" fontId="21" fillId="50" borderId="168" xfId="14" applyNumberFormat="1" applyFont="1" applyFill="1" applyBorder="1" applyAlignment="1" applyProtection="1">
      <alignment horizontal="center" vertical="center" wrapText="1"/>
      <protection locked="0"/>
    </xf>
    <xf numFmtId="44" fontId="21" fillId="50" borderId="168" xfId="198" applyFont="1" applyFill="1" applyBorder="1" applyAlignment="1" applyProtection="1">
      <alignment horizontal="center" vertical="center" wrapText="1"/>
      <protection locked="0"/>
    </xf>
    <xf numFmtId="44" fontId="20" fillId="50" borderId="182" xfId="198" applyFont="1" applyFill="1" applyBorder="1" applyAlignment="1">
      <alignment horizontal="center" vertical="center" wrapText="1"/>
    </xf>
    <xf numFmtId="44" fontId="9" fillId="50" borderId="168" xfId="14" applyNumberFormat="1" applyFont="1" applyFill="1" applyBorder="1" applyAlignment="1" applyProtection="1">
      <alignment horizontal="center" vertical="center" wrapText="1"/>
      <protection locked="0"/>
    </xf>
    <xf numFmtId="172" fontId="21" fillId="24" borderId="160" xfId="14" applyNumberFormat="1" applyFont="1" applyFill="1" applyBorder="1" applyAlignment="1" applyProtection="1">
      <alignment horizontal="center" vertical="center" wrapText="1"/>
      <protection locked="0"/>
    </xf>
    <xf numFmtId="44" fontId="21" fillId="24" borderId="160" xfId="198" applyFont="1" applyFill="1" applyBorder="1" applyAlignment="1" applyProtection="1">
      <alignment horizontal="center" vertical="center" wrapText="1"/>
      <protection locked="0"/>
    </xf>
    <xf numFmtId="0" fontId="13" fillId="21" borderId="166" xfId="424" applyFill="1" applyBorder="1" applyAlignment="1">
      <alignment horizontal="left" vertical="top" wrapText="1"/>
    </xf>
    <xf numFmtId="0" fontId="13" fillId="21" borderId="163" xfId="424" applyFill="1" applyBorder="1" applyAlignment="1">
      <alignment horizontal="left" vertical="top"/>
    </xf>
    <xf numFmtId="0" fontId="20" fillId="21" borderId="164" xfId="424" applyFont="1" applyFill="1" applyBorder="1" applyAlignment="1">
      <alignment horizontal="left" vertical="top"/>
    </xf>
    <xf numFmtId="0" fontId="13" fillId="21" borderId="162" xfId="424" applyFill="1" applyBorder="1" applyAlignment="1">
      <alignment horizontal="left" vertical="top"/>
    </xf>
    <xf numFmtId="0" fontId="20" fillId="21" borderId="169" xfId="424" applyFont="1" applyFill="1" applyBorder="1" applyAlignment="1">
      <alignment horizontal="left" vertical="top"/>
    </xf>
    <xf numFmtId="0" fontId="13" fillId="21" borderId="166" xfId="424" applyFill="1" applyBorder="1" applyAlignment="1">
      <alignment horizontal="left" vertical="top"/>
    </xf>
    <xf numFmtId="0" fontId="13" fillId="21" borderId="161" xfId="424" applyFill="1" applyBorder="1" applyAlignment="1">
      <alignment horizontal="left" vertical="top"/>
    </xf>
    <xf numFmtId="0" fontId="13" fillId="21" borderId="166" xfId="424" applyFont="1" applyFill="1" applyBorder="1" applyAlignment="1">
      <alignment horizontal="left" vertical="top" wrapText="1"/>
    </xf>
    <xf numFmtId="0" fontId="13" fillId="0" borderId="44" xfId="190" applyFont="1" applyBorder="1" applyAlignment="1">
      <alignment horizontal="left" vertical="center" wrapText="1"/>
    </xf>
    <xf numFmtId="0" fontId="80" fillId="0" borderId="7" xfId="0" applyFont="1" applyFill="1" applyBorder="1"/>
    <xf numFmtId="0" fontId="80" fillId="0" borderId="7" xfId="0" applyFont="1" applyFill="1" applyBorder="1" applyAlignment="1">
      <alignment horizontal="right"/>
    </xf>
    <xf numFmtId="0" fontId="167" fillId="0" borderId="7" xfId="28" applyFont="1" applyFill="1" applyBorder="1"/>
    <xf numFmtId="0" fontId="166" fillId="0" borderId="7" xfId="28" applyFont="1" applyBorder="1"/>
    <xf numFmtId="0" fontId="167" fillId="0" borderId="7" xfId="0" applyFont="1" applyFill="1" applyBorder="1" applyAlignment="1">
      <alignment horizontal="right"/>
    </xf>
    <xf numFmtId="49" fontId="16" fillId="0" borderId="0" xfId="22" applyNumberFormat="1" applyFont="1" applyAlignment="1">
      <alignment horizontal="center"/>
    </xf>
    <xf numFmtId="3" fontId="143" fillId="0" borderId="168" xfId="198" applyNumberFormat="1" applyFont="1" applyFill="1" applyBorder="1" applyAlignment="1">
      <alignment horizontal="center"/>
    </xf>
    <xf numFmtId="189" fontId="47" fillId="0" borderId="168" xfId="198" applyNumberFormat="1" applyFont="1" applyFill="1" applyBorder="1" applyAlignment="1">
      <alignment horizontal="center"/>
    </xf>
    <xf numFmtId="165" fontId="48" fillId="0" borderId="55" xfId="22" applyNumberFormat="1" applyFont="1" applyFill="1" applyBorder="1"/>
    <xf numFmtId="189" fontId="145" fillId="0" borderId="168" xfId="198" applyNumberFormat="1" applyFont="1" applyFill="1" applyBorder="1" applyAlignment="1">
      <alignment horizontal="center"/>
    </xf>
    <xf numFmtId="165" fontId="48" fillId="2" borderId="183" xfId="22" applyNumberFormat="1" applyFont="1" applyFill="1" applyBorder="1"/>
    <xf numFmtId="0" fontId="16" fillId="0" borderId="0" xfId="3" applyFill="1" applyAlignment="1">
      <alignment horizontal="left" indent="2"/>
    </xf>
    <xf numFmtId="3" fontId="0" fillId="21" borderId="84" xfId="0" applyNumberFormat="1" applyFont="1" applyFill="1" applyBorder="1" applyProtection="1"/>
    <xf numFmtId="3" fontId="44" fillId="0" borderId="10" xfId="0" applyNumberFormat="1" applyFont="1" applyFill="1" applyBorder="1" applyProtection="1"/>
    <xf numFmtId="3" fontId="0" fillId="0" borderId="84" xfId="0" applyNumberFormat="1" applyFont="1" applyBorder="1" applyProtection="1"/>
    <xf numFmtId="3" fontId="44" fillId="0" borderId="2" xfId="0" applyNumberFormat="1" applyFont="1" applyBorder="1" applyProtection="1"/>
    <xf numFmtId="3" fontId="0" fillId="0" borderId="10" xfId="0" applyNumberFormat="1" applyFont="1" applyBorder="1" applyProtection="1"/>
    <xf numFmtId="3" fontId="44" fillId="14" borderId="10" xfId="0" applyNumberFormat="1" applyFont="1" applyFill="1" applyBorder="1" applyProtection="1"/>
    <xf numFmtId="3" fontId="1" fillId="0" borderId="67" xfId="0" applyNumberFormat="1" applyFont="1" applyBorder="1" applyProtection="1"/>
    <xf numFmtId="3" fontId="1" fillId="0" borderId="10" xfId="0" applyNumberFormat="1" applyFont="1" applyBorder="1" applyProtection="1"/>
    <xf numFmtId="3" fontId="5" fillId="4" borderId="16" xfId="0" applyNumberFormat="1" applyFont="1" applyFill="1" applyBorder="1" applyAlignment="1" applyProtection="1">
      <alignment horizontal="center" vertical="center"/>
    </xf>
    <xf numFmtId="37" fontId="85" fillId="0" borderId="55" xfId="0" applyNumberFormat="1" applyFont="1" applyFill="1" applyBorder="1" applyAlignment="1" applyProtection="1">
      <alignment horizontal="right"/>
    </xf>
    <xf numFmtId="3" fontId="0" fillId="0" borderId="67" xfId="0" applyNumberFormat="1" applyFill="1" applyBorder="1" applyAlignment="1" applyProtection="1">
      <alignment horizontal="center"/>
    </xf>
    <xf numFmtId="3" fontId="1" fillId="0" borderId="55" xfId="0" quotePrefix="1" applyNumberFormat="1" applyFont="1" applyFill="1" applyBorder="1" applyAlignment="1" applyProtection="1">
      <alignment horizontal="center"/>
    </xf>
    <xf numFmtId="3" fontId="77" fillId="0" borderId="55" xfId="0" quotePrefix="1" applyNumberFormat="1" applyFont="1" applyBorder="1" applyAlignment="1" applyProtection="1">
      <alignment horizontal="center"/>
    </xf>
    <xf numFmtId="182" fontId="5" fillId="4" borderId="16" xfId="0" applyNumberFormat="1" applyFont="1" applyFill="1" applyBorder="1" applyAlignment="1" applyProtection="1">
      <alignment horizontal="center" vertical="center"/>
    </xf>
    <xf numFmtId="182" fontId="0" fillId="0" borderId="0" xfId="0" applyNumberFormat="1"/>
    <xf numFmtId="0" fontId="100" fillId="0" borderId="0" xfId="155" applyFont="1" applyAlignment="1">
      <alignment horizontal="center" wrapText="1"/>
    </xf>
    <xf numFmtId="3" fontId="121" fillId="0" borderId="16" xfId="0" quotePrefix="1" applyNumberFormat="1" applyFont="1" applyFill="1" applyBorder="1" applyAlignment="1">
      <alignment horizontal="center"/>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0" fillId="24" borderId="8" xfId="0" applyFill="1" applyBorder="1" applyAlignment="1">
      <alignment horizontal="center" vertical="center" wrapText="1"/>
    </xf>
    <xf numFmtId="0" fontId="0" fillId="24" borderId="10" xfId="0" applyFill="1" applyBorder="1" applyAlignment="1">
      <alignment horizontal="center" vertical="center" wrapText="1"/>
    </xf>
    <xf numFmtId="0" fontId="0" fillId="24" borderId="5" xfId="0" applyFill="1" applyBorder="1" applyAlignment="1">
      <alignment horizontal="center" vertical="center" wrapText="1"/>
    </xf>
    <xf numFmtId="0" fontId="83" fillId="24" borderId="8" xfId="0" applyFont="1" applyFill="1" applyBorder="1" applyAlignment="1">
      <alignment horizontal="center" vertical="center" wrapText="1"/>
    </xf>
    <xf numFmtId="0" fontId="29" fillId="8" borderId="20" xfId="0" applyFont="1" applyFill="1" applyBorder="1" applyAlignment="1">
      <alignment horizontal="center" wrapText="1"/>
    </xf>
    <xf numFmtId="0" fontId="29" fillId="8" borderId="24" xfId="0" applyFont="1" applyFill="1" applyBorder="1" applyAlignment="1">
      <alignment horizontal="center" wrapText="1"/>
    </xf>
    <xf numFmtId="0" fontId="32" fillId="0" borderId="16" xfId="0" applyFont="1" applyBorder="1" applyAlignment="1">
      <alignment horizontal="center"/>
    </xf>
    <xf numFmtId="0" fontId="33" fillId="0" borderId="16" xfId="0" applyFont="1" applyBorder="1" applyAlignment="1">
      <alignment horizontal="center"/>
    </xf>
    <xf numFmtId="0" fontId="27" fillId="9" borderId="18" xfId="0" applyFont="1" applyFill="1" applyBorder="1" applyAlignment="1">
      <alignment horizontal="center"/>
    </xf>
    <xf numFmtId="0" fontId="27" fillId="9" borderId="19" xfId="0" applyFont="1" applyFill="1" applyBorder="1" applyAlignment="1">
      <alignment horizontal="center"/>
    </xf>
    <xf numFmtId="0" fontId="27" fillId="6" borderId="17" xfId="0" applyFont="1" applyFill="1" applyBorder="1" applyAlignment="1">
      <alignment horizontal="center"/>
    </xf>
    <xf numFmtId="0" fontId="27" fillId="6" borderId="18" xfId="0" applyFont="1" applyFill="1" applyBorder="1" applyAlignment="1">
      <alignment horizontal="center"/>
    </xf>
    <xf numFmtId="0" fontId="27" fillId="6" borderId="19" xfId="0" applyFont="1" applyFill="1" applyBorder="1" applyAlignment="1">
      <alignment horizontal="center"/>
    </xf>
    <xf numFmtId="0" fontId="27" fillId="0" borderId="17" xfId="0" applyFont="1" applyBorder="1" applyAlignment="1">
      <alignment horizontal="center"/>
    </xf>
    <xf numFmtId="0" fontId="27" fillId="0" borderId="18" xfId="0" applyFont="1" applyBorder="1" applyAlignment="1">
      <alignment horizontal="center"/>
    </xf>
    <xf numFmtId="0" fontId="27" fillId="0" borderId="33" xfId="0" applyFont="1" applyBorder="1" applyAlignment="1">
      <alignment horizontal="center"/>
    </xf>
    <xf numFmtId="0" fontId="28" fillId="0" borderId="38" xfId="0" applyFont="1" applyBorder="1" applyAlignment="1">
      <alignment horizontal="center"/>
    </xf>
    <xf numFmtId="0" fontId="28" fillId="0" borderId="16" xfId="0" applyFont="1" applyBorder="1" applyAlignment="1">
      <alignment horizontal="center"/>
    </xf>
    <xf numFmtId="0" fontId="27" fillId="0" borderId="0" xfId="0" applyFont="1" applyFill="1" applyBorder="1" applyAlignment="1">
      <alignment horizontal="center"/>
    </xf>
    <xf numFmtId="16" fontId="29" fillId="0" borderId="16" xfId="0" applyNumberFormat="1" applyFont="1" applyBorder="1" applyAlignment="1">
      <alignment horizontal="center"/>
    </xf>
    <xf numFmtId="0" fontId="28" fillId="0" borderId="16" xfId="0" applyFont="1" applyBorder="1" applyAlignment="1">
      <alignment horizontal="left"/>
    </xf>
    <xf numFmtId="0" fontId="72" fillId="24" borderId="20" xfId="0" applyFont="1" applyFill="1" applyBorder="1" applyAlignment="1">
      <alignment horizontal="center" wrapText="1"/>
    </xf>
    <xf numFmtId="0" fontId="72" fillId="24" borderId="14" xfId="0" applyFont="1" applyFill="1" applyBorder="1" applyAlignment="1">
      <alignment horizontal="center" wrapText="1"/>
    </xf>
    <xf numFmtId="0" fontId="72" fillId="24" borderId="184" xfId="0" applyFont="1" applyFill="1" applyBorder="1" applyAlignment="1">
      <alignment horizontal="center" wrapText="1"/>
    </xf>
    <xf numFmtId="0" fontId="16" fillId="0" borderId="0" xfId="3"/>
    <xf numFmtId="178" fontId="20" fillId="0" borderId="0" xfId="3" applyNumberFormat="1" applyFont="1" applyFill="1" applyBorder="1" applyAlignment="1">
      <alignment horizontal="right" vertical="center"/>
    </xf>
    <xf numFmtId="0" fontId="16" fillId="0" borderId="0" xfId="3" applyFill="1" applyBorder="1" applyAlignment="1">
      <alignment vertical="center"/>
    </xf>
    <xf numFmtId="0" fontId="21" fillId="0" borderId="0" xfId="0" applyFont="1" applyAlignment="1">
      <alignment horizontal="center"/>
    </xf>
    <xf numFmtId="0" fontId="14" fillId="0" borderId="0" xfId="0" applyFont="1" applyAlignment="1">
      <alignment horizontal="center" wrapText="1"/>
    </xf>
    <xf numFmtId="0" fontId="21" fillId="4" borderId="8" xfId="0" applyFont="1" applyFill="1" applyBorder="1" applyAlignment="1">
      <alignment horizontal="center"/>
    </xf>
    <xf numFmtId="0" fontId="21" fillId="4" borderId="5" xfId="0" applyFont="1" applyFill="1" applyBorder="1" applyAlignment="1">
      <alignment horizontal="center"/>
    </xf>
    <xf numFmtId="0" fontId="21" fillId="4" borderId="10" xfId="0" applyFont="1" applyFill="1" applyBorder="1" applyAlignment="1">
      <alignment horizontal="center"/>
    </xf>
    <xf numFmtId="0" fontId="45" fillId="0" borderId="0" xfId="12"/>
    <xf numFmtId="0" fontId="29" fillId="8" borderId="20" xfId="28" applyFont="1" applyFill="1" applyBorder="1" applyAlignment="1">
      <alignment horizontal="center" wrapText="1"/>
    </xf>
    <xf numFmtId="0" fontId="29" fillId="8" borderId="24" xfId="28" applyFont="1" applyFill="1" applyBorder="1" applyAlignment="1">
      <alignment horizontal="center" wrapText="1"/>
    </xf>
    <xf numFmtId="0" fontId="32" fillId="0" borderId="16" xfId="28" applyFont="1" applyBorder="1" applyAlignment="1">
      <alignment horizontal="center"/>
    </xf>
    <xf numFmtId="0" fontId="33" fillId="0" borderId="16" xfId="28" applyFont="1" applyBorder="1" applyAlignment="1">
      <alignment horizontal="center"/>
    </xf>
    <xf numFmtId="0" fontId="28" fillId="0" borderId="16" xfId="28" applyFont="1" applyBorder="1" applyAlignment="1">
      <alignment horizontal="center"/>
    </xf>
    <xf numFmtId="16" fontId="29" fillId="0" borderId="16" xfId="28" applyNumberFormat="1" applyFont="1" applyBorder="1" applyAlignment="1">
      <alignment horizontal="center"/>
    </xf>
    <xf numFmtId="0" fontId="27" fillId="6" borderId="17" xfId="28" applyFont="1" applyFill="1" applyBorder="1" applyAlignment="1">
      <alignment horizontal="center"/>
    </xf>
    <xf numFmtId="0" fontId="27" fillId="6" borderId="18" xfId="28" applyFont="1" applyFill="1" applyBorder="1" applyAlignment="1">
      <alignment horizontal="center"/>
    </xf>
    <xf numFmtId="0" fontId="27" fillId="6" borderId="19" xfId="28" applyFont="1" applyFill="1" applyBorder="1" applyAlignment="1">
      <alignment horizontal="center"/>
    </xf>
    <xf numFmtId="0" fontId="27" fillId="9" borderId="18" xfId="28" applyFont="1" applyFill="1" applyBorder="1" applyAlignment="1">
      <alignment horizontal="center"/>
    </xf>
    <xf numFmtId="0" fontId="27" fillId="9" borderId="19" xfId="28" applyFont="1" applyFill="1" applyBorder="1" applyAlignment="1">
      <alignment horizontal="center"/>
    </xf>
    <xf numFmtId="0" fontId="27" fillId="0" borderId="17" xfId="28" applyFont="1" applyBorder="1" applyAlignment="1">
      <alignment horizontal="center"/>
    </xf>
    <xf numFmtId="0" fontId="27" fillId="0" borderId="18" xfId="28" applyFont="1" applyBorder="1" applyAlignment="1">
      <alignment horizontal="center"/>
    </xf>
    <xf numFmtId="0" fontId="27" fillId="0" borderId="33" xfId="28" applyFont="1" applyBorder="1" applyAlignment="1">
      <alignment horizontal="center"/>
    </xf>
    <xf numFmtId="0" fontId="28" fillId="0" borderId="38" xfId="28" applyFont="1" applyBorder="1" applyAlignment="1">
      <alignment horizontal="center"/>
    </xf>
    <xf numFmtId="165" fontId="21" fillId="0" borderId="0" xfId="5" applyNumberFormat="1" applyFont="1" applyAlignment="1">
      <alignment horizontal="center"/>
    </xf>
    <xf numFmtId="0" fontId="21" fillId="0" borderId="0" xfId="2" applyFont="1" applyAlignment="1">
      <alignment horizontal="center"/>
    </xf>
    <xf numFmtId="0" fontId="14" fillId="0" borderId="0" xfId="2" applyFont="1" applyAlignment="1">
      <alignment horizontal="center" wrapText="1"/>
    </xf>
    <xf numFmtId="0" fontId="21" fillId="4" borderId="8" xfId="2" applyFont="1" applyFill="1" applyBorder="1" applyAlignment="1">
      <alignment horizontal="center"/>
    </xf>
    <xf numFmtId="0" fontId="21" fillId="4" borderId="10" xfId="2" applyFont="1" applyFill="1" applyBorder="1" applyAlignment="1">
      <alignment horizontal="center"/>
    </xf>
    <xf numFmtId="0" fontId="21" fillId="4" borderId="5" xfId="2" applyFont="1" applyFill="1" applyBorder="1" applyAlignment="1">
      <alignment horizontal="center"/>
    </xf>
    <xf numFmtId="0" fontId="21" fillId="47" borderId="8" xfId="0" applyFont="1" applyFill="1" applyBorder="1" applyAlignment="1">
      <alignment horizontal="center"/>
    </xf>
    <xf numFmtId="0" fontId="21" fillId="47" borderId="10" xfId="0" applyFont="1" applyFill="1" applyBorder="1" applyAlignment="1">
      <alignment horizontal="center"/>
    </xf>
    <xf numFmtId="0" fontId="21" fillId="47" borderId="5" xfId="0" applyFont="1" applyFill="1" applyBorder="1" applyAlignment="1">
      <alignment horizontal="center"/>
    </xf>
    <xf numFmtId="0" fontId="8" fillId="21" borderId="156" xfId="424" applyFont="1" applyFill="1" applyBorder="1" applyAlignment="1">
      <alignment horizontal="center" vertical="center" wrapText="1"/>
    </xf>
    <xf numFmtId="0" fontId="8" fillId="21" borderId="174" xfId="424" applyFont="1" applyFill="1" applyBorder="1" applyAlignment="1">
      <alignment horizontal="center" vertical="center" wrapText="1"/>
    </xf>
    <xf numFmtId="0" fontId="20" fillId="21" borderId="158" xfId="424" applyFont="1" applyFill="1" applyBorder="1" applyAlignment="1">
      <alignment horizontal="center"/>
    </xf>
    <xf numFmtId="0" fontId="20" fillId="21" borderId="179" xfId="424" applyFont="1" applyFill="1" applyBorder="1" applyAlignment="1">
      <alignment horizontal="center"/>
    </xf>
    <xf numFmtId="0" fontId="21" fillId="0" borderId="0" xfId="424" applyFont="1" applyFill="1" applyBorder="1" applyAlignment="1">
      <alignment horizontal="center"/>
    </xf>
    <xf numFmtId="0" fontId="47" fillId="50" borderId="156" xfId="425" applyFont="1" applyFill="1" applyBorder="1" applyAlignment="1">
      <alignment horizontal="center" vertical="center" wrapText="1"/>
    </xf>
    <xf numFmtId="0" fontId="47" fillId="50" borderId="173" xfId="425" applyFont="1" applyFill="1" applyBorder="1" applyAlignment="1">
      <alignment horizontal="center" vertical="center" wrapText="1"/>
    </xf>
    <xf numFmtId="0" fontId="47" fillId="50" borderId="174" xfId="425" applyFont="1" applyFill="1" applyBorder="1" applyAlignment="1">
      <alignment horizontal="center" vertical="center" wrapText="1"/>
    </xf>
    <xf numFmtId="0" fontId="20" fillId="51" borderId="156" xfId="424" applyFont="1" applyFill="1" applyBorder="1" applyAlignment="1">
      <alignment horizontal="center"/>
    </xf>
    <xf numFmtId="0" fontId="20" fillId="51" borderId="173" xfId="424" applyFont="1" applyFill="1" applyBorder="1" applyAlignment="1">
      <alignment horizontal="center"/>
    </xf>
    <xf numFmtId="4" fontId="20" fillId="48" borderId="156" xfId="424" applyNumberFormat="1" applyFont="1" applyFill="1" applyBorder="1" applyAlignment="1">
      <alignment horizontal="center"/>
    </xf>
    <xf numFmtId="4" fontId="20" fillId="48" borderId="174" xfId="424" applyNumberFormat="1" applyFont="1" applyFill="1" applyBorder="1" applyAlignment="1">
      <alignment horizontal="center"/>
    </xf>
    <xf numFmtId="0" fontId="20" fillId="0" borderId="36" xfId="190" applyFont="1" applyBorder="1" applyAlignment="1">
      <alignment horizontal="center"/>
    </xf>
    <xf numFmtId="0" fontId="20" fillId="0" borderId="37" xfId="190" applyFont="1" applyBorder="1" applyAlignment="1">
      <alignment horizontal="center"/>
    </xf>
    <xf numFmtId="0" fontId="20" fillId="0" borderId="48" xfId="190" applyFont="1" applyBorder="1" applyAlignment="1">
      <alignment horizontal="center"/>
    </xf>
    <xf numFmtId="0" fontId="8" fillId="21" borderId="180" xfId="424" applyFont="1" applyFill="1" applyBorder="1" applyAlignment="1">
      <alignment horizontal="center" vertical="center" wrapText="1"/>
    </xf>
    <xf numFmtId="0" fontId="8" fillId="21" borderId="178" xfId="424" applyFont="1" applyFill="1" applyBorder="1" applyAlignment="1">
      <alignment horizontal="center" vertical="center" wrapText="1"/>
    </xf>
    <xf numFmtId="0" fontId="8" fillId="21" borderId="169" xfId="424" applyFont="1" applyFill="1" applyBorder="1" applyAlignment="1">
      <alignment horizontal="center" vertical="center" wrapText="1"/>
    </xf>
    <xf numFmtId="0" fontId="8" fillId="21" borderId="164" xfId="424" applyFont="1" applyFill="1" applyBorder="1" applyAlignment="1">
      <alignment horizontal="center" vertical="center" wrapText="1"/>
    </xf>
    <xf numFmtId="0" fontId="20" fillId="21" borderId="170" xfId="424" applyFont="1" applyFill="1" applyBorder="1" applyAlignment="1">
      <alignment horizontal="center"/>
    </xf>
    <xf numFmtId="0" fontId="20" fillId="21" borderId="177" xfId="424" applyFont="1" applyFill="1" applyBorder="1" applyAlignment="1">
      <alignment horizontal="center"/>
    </xf>
    <xf numFmtId="4" fontId="20" fillId="48" borderId="173" xfId="424" applyNumberFormat="1" applyFont="1" applyFill="1" applyBorder="1" applyAlignment="1">
      <alignment horizontal="center"/>
    </xf>
    <xf numFmtId="0" fontId="47" fillId="50" borderId="180" xfId="425" applyFont="1" applyFill="1" applyBorder="1" applyAlignment="1">
      <alignment horizontal="center" vertical="center" wrapText="1"/>
    </xf>
    <xf numFmtId="0" fontId="47" fillId="50" borderId="181" xfId="425" applyFont="1" applyFill="1" applyBorder="1" applyAlignment="1">
      <alignment horizontal="center" vertical="center" wrapText="1"/>
    </xf>
    <xf numFmtId="0" fontId="47" fillId="50" borderId="178" xfId="425" applyFont="1" applyFill="1" applyBorder="1" applyAlignment="1">
      <alignment horizontal="center" vertical="center" wrapText="1"/>
    </xf>
    <xf numFmtId="0" fontId="47" fillId="50" borderId="171" xfId="425" applyFont="1" applyFill="1" applyBorder="1" applyAlignment="1">
      <alignment horizontal="center" vertical="center" wrapText="1"/>
    </xf>
    <xf numFmtId="0" fontId="47" fillId="50" borderId="160" xfId="425" applyFont="1" applyFill="1" applyBorder="1" applyAlignment="1">
      <alignment horizontal="center" vertical="center" wrapText="1"/>
    </xf>
    <xf numFmtId="0" fontId="47" fillId="50" borderId="162" xfId="425" applyFont="1" applyFill="1" applyBorder="1" applyAlignment="1">
      <alignment horizontal="center" vertical="center" wrapText="1"/>
    </xf>
    <xf numFmtId="0" fontId="0" fillId="16" borderId="186" xfId="0" applyFill="1" applyBorder="1" applyAlignment="1">
      <alignment horizontal="left" wrapText="1"/>
    </xf>
    <xf numFmtId="0" fontId="0" fillId="16" borderId="185" xfId="0" applyFill="1" applyBorder="1" applyAlignment="1">
      <alignment horizontal="left" wrapText="1"/>
    </xf>
  </cellXfs>
  <cellStyles count="437">
    <cellStyle name="20% - Accent1 2" xfId="81"/>
    <cellStyle name="20% - Accent1 3" xfId="80"/>
    <cellStyle name="20% - Accent2 2" xfId="83"/>
    <cellStyle name="20% - Accent2 3" xfId="82"/>
    <cellStyle name="20% - Accent3 2" xfId="85"/>
    <cellStyle name="20% - Accent3 3" xfId="84"/>
    <cellStyle name="20% - Accent4 2" xfId="87"/>
    <cellStyle name="20% - Accent4 3" xfId="86"/>
    <cellStyle name="20% - Accent5 2" xfId="89"/>
    <cellStyle name="20% - Accent5 3" xfId="88"/>
    <cellStyle name="20% - Accent6 2" xfId="91"/>
    <cellStyle name="20% - Accent6 3" xfId="90"/>
    <cellStyle name="40% - Accent1 2" xfId="93"/>
    <cellStyle name="40% - Accent1 3" xfId="92"/>
    <cellStyle name="40% - Accent2 2" xfId="95"/>
    <cellStyle name="40% - Accent2 3" xfId="94"/>
    <cellStyle name="40% - Accent3 2" xfId="97"/>
    <cellStyle name="40% - Accent3 3" xfId="96"/>
    <cellStyle name="40% - Accent4 2" xfId="99"/>
    <cellStyle name="40% - Accent4 3" xfId="98"/>
    <cellStyle name="40% - Accent5 2" xfId="101"/>
    <cellStyle name="40% - Accent5 3" xfId="100"/>
    <cellStyle name="40% - Accent6 2" xfId="103"/>
    <cellStyle name="40% - Accent6 3" xfId="102"/>
    <cellStyle name="60% - Accent1 2" xfId="105"/>
    <cellStyle name="60% - Accent1 3" xfId="104"/>
    <cellStyle name="60% - Accent2 2" xfId="107"/>
    <cellStyle name="60% - Accent2 3" xfId="106"/>
    <cellStyle name="60% - Accent3 2" xfId="109"/>
    <cellStyle name="60% - Accent3 3" xfId="108"/>
    <cellStyle name="60% - Accent4 2" xfId="111"/>
    <cellStyle name="60% - Accent4 3" xfId="110"/>
    <cellStyle name="60% - Accent5 2" xfId="113"/>
    <cellStyle name="60% - Accent5 3" xfId="112"/>
    <cellStyle name="60% - Accent6 2" xfId="115"/>
    <cellStyle name="60% - Accent6 3" xfId="114"/>
    <cellStyle name="Accent1 2" xfId="117"/>
    <cellStyle name="Accent1 3" xfId="116"/>
    <cellStyle name="Accent2 2" xfId="119"/>
    <cellStyle name="Accent2 3" xfId="118"/>
    <cellStyle name="Accent3 2" xfId="121"/>
    <cellStyle name="Accent3 3" xfId="120"/>
    <cellStyle name="Accent4 2" xfId="123"/>
    <cellStyle name="Accent4 3" xfId="122"/>
    <cellStyle name="Accent5 2" xfId="125"/>
    <cellStyle name="Accent5 3" xfId="124"/>
    <cellStyle name="Accent6 2" xfId="127"/>
    <cellStyle name="Accent6 3" xfId="126"/>
    <cellStyle name="Bad 2" xfId="129"/>
    <cellStyle name="Bad 3" xfId="128"/>
    <cellStyle name="Calculation 2" xfId="131"/>
    <cellStyle name="Calculation 2 2" xfId="225"/>
    <cellStyle name="Calculation 3" xfId="130"/>
    <cellStyle name="Calculation 3 2" xfId="224"/>
    <cellStyle name="Check Cell 2" xfId="133"/>
    <cellStyle name="Check Cell 2 2" xfId="192"/>
    <cellStyle name="Check Cell 2 2 2" xfId="240"/>
    <cellStyle name="Check Cell 2 2 3" xfId="222"/>
    <cellStyle name="Check Cell 2 2 4" xfId="429"/>
    <cellStyle name="Check Cell 2 3" xfId="194"/>
    <cellStyle name="Check Cell 2 3 2" xfId="242"/>
    <cellStyle name="Check Cell 2 3 3" xfId="219"/>
    <cellStyle name="Check Cell 2 3 4" xfId="431"/>
    <cellStyle name="Check Cell 2 4" xfId="203"/>
    <cellStyle name="Check Cell 2 4 2" xfId="221"/>
    <cellStyle name="Check Cell 2 4 3" xfId="432"/>
    <cellStyle name="Check Cell 3" xfId="132"/>
    <cellStyle name="Check Cell 3 2" xfId="193"/>
    <cellStyle name="Check Cell 3 2 2" xfId="241"/>
    <cellStyle name="Check Cell 3 2 3" xfId="223"/>
    <cellStyle name="Check Cell 3 2 4" xfId="430"/>
    <cellStyle name="Check Cell 3 3" xfId="214"/>
    <cellStyle name="Check Cell 3 3 2" xfId="244"/>
    <cellStyle name="Check Cell 3 3 3" xfId="218"/>
    <cellStyle name="Check Cell 3 3 4" xfId="433"/>
    <cellStyle name="Check Cell 3 4" xfId="215"/>
    <cellStyle name="Check Cell 3 4 2" xfId="220"/>
    <cellStyle name="Check Cell 3 4 3" xfId="434"/>
    <cellStyle name="Comma" xfId="7" builtinId="3"/>
    <cellStyle name="Comma 10" xfId="195"/>
    <cellStyle name="Comma 10 2" xfId="246"/>
    <cellStyle name="Comma 10 2 2" xfId="247"/>
    <cellStyle name="Comma 10 3" xfId="245"/>
    <cellStyle name="Comma 11" xfId="248"/>
    <cellStyle name="Comma 11 2" xfId="249"/>
    <cellStyle name="Comma 2" xfId="14"/>
    <cellStyle name="Comma 2 2" xfId="31"/>
    <cellStyle name="Comma 2 2 2" xfId="250"/>
    <cellStyle name="Comma 2 3" xfId="32"/>
    <cellStyle name="Comma 2 3 2" xfId="251"/>
    <cellStyle name="Comma 2 4" xfId="33"/>
    <cellStyle name="Comma 2 4 2" xfId="252"/>
    <cellStyle name="Comma 2 5" xfId="34"/>
    <cellStyle name="Comma 2 5 2" xfId="253"/>
    <cellStyle name="Comma 2 6" xfId="30"/>
    <cellStyle name="Comma 2 7" xfId="254"/>
    <cellStyle name="Comma 3" xfId="13"/>
    <cellStyle name="Comma 3 2" xfId="24"/>
    <cellStyle name="Comma 3 3" xfId="35"/>
    <cellStyle name="Comma 3 3 2" xfId="255"/>
    <cellStyle name="Comma 4" xfId="21"/>
    <cellStyle name="Comma 4 2" xfId="36"/>
    <cellStyle name="Comma 4 2 2" xfId="256"/>
    <cellStyle name="Comma 4 3" xfId="257"/>
    <cellStyle name="Comma 5" xfId="37"/>
    <cellStyle name="Comma 6" xfId="38"/>
    <cellStyle name="Comma 6 2" xfId="78"/>
    <cellStyle name="Comma 6 2 2" xfId="258"/>
    <cellStyle name="Comma 6 3" xfId="259"/>
    <cellStyle name="Comma 7" xfId="29"/>
    <cellStyle name="Comma 8" xfId="179"/>
    <cellStyle name="Comma 8 2" xfId="196"/>
    <cellStyle name="Comma 9" xfId="188"/>
    <cellStyle name="Comma 9 2" xfId="237"/>
    <cellStyle name="Comma 9 2 2" xfId="261"/>
    <cellStyle name="Comma 9 3" xfId="262"/>
    <cellStyle name="Comma 9 4" xfId="260"/>
    <cellStyle name="Currency" xfId="1" builtinId="4"/>
    <cellStyle name="Currency 10" xfId="180"/>
    <cellStyle name="Currency 10 2" xfId="198"/>
    <cellStyle name="Currency 11" xfId="183"/>
    <cellStyle name="Currency 11 2" xfId="199"/>
    <cellStyle name="Currency 11 2 2" xfId="263"/>
    <cellStyle name="Currency 12" xfId="189"/>
    <cellStyle name="Currency 12 2" xfId="238"/>
    <cellStyle name="Currency 12 2 2" xfId="265"/>
    <cellStyle name="Currency 12 3" xfId="266"/>
    <cellStyle name="Currency 12 4" xfId="264"/>
    <cellStyle name="Currency 13" xfId="197"/>
    <cellStyle name="Currency 13 2" xfId="268"/>
    <cellStyle name="Currency 13 3" xfId="267"/>
    <cellStyle name="Currency 2" xfId="16"/>
    <cellStyle name="Currency 2 2" xfId="41"/>
    <cellStyle name="Currency 2 2 2" xfId="42"/>
    <cellStyle name="Currency 2 2 2 2" xfId="269"/>
    <cellStyle name="Currency 2 2 3" xfId="43"/>
    <cellStyle name="Currency 2 2 3 2" xfId="270"/>
    <cellStyle name="Currency 2 2 4" xfId="271"/>
    <cellStyle name="Currency 2 3" xfId="44"/>
    <cellStyle name="Currency 2 3 2" xfId="272"/>
    <cellStyle name="Currency 2 4" xfId="45"/>
    <cellStyle name="Currency 2 4 2" xfId="273"/>
    <cellStyle name="Currency 2 5" xfId="46"/>
    <cellStyle name="Currency 2 5 2" xfId="274"/>
    <cellStyle name="Currency 2 6" xfId="40"/>
    <cellStyle name="Currency 2 7" xfId="135"/>
    <cellStyle name="Currency 2 7 2" xfId="200"/>
    <cellStyle name="Currency 2 8" xfId="174"/>
    <cellStyle name="Currency 2 9" xfId="275"/>
    <cellStyle name="Currency 3" xfId="15"/>
    <cellStyle name="Currency 3 2" xfId="22"/>
    <cellStyle name="Currency 3 3" xfId="47"/>
    <cellStyle name="Currency 3 3 2" xfId="276"/>
    <cellStyle name="Currency 4" xfId="20"/>
    <cellStyle name="Currency 4 2" xfId="25"/>
    <cellStyle name="Currency 4 2 2" xfId="277"/>
    <cellStyle name="Currency 4 3" xfId="278"/>
    <cellStyle name="Currency 5" xfId="5"/>
    <cellStyle name="Currency 5 2" xfId="48"/>
    <cellStyle name="Currency 5 2 2" xfId="201"/>
    <cellStyle name="Currency 5 2 2 2" xfId="279"/>
    <cellStyle name="Currency 5 2 3" xfId="280"/>
    <cellStyle name="Currency 5 3" xfId="281"/>
    <cellStyle name="Currency 6" xfId="39"/>
    <cellStyle name="Currency 7" xfId="49"/>
    <cellStyle name="Currency 8" xfId="134"/>
    <cellStyle name="Currency 8 2" xfId="202"/>
    <cellStyle name="Currency 9" xfId="175"/>
    <cellStyle name="Data Field" xfId="282"/>
    <cellStyle name="Data Field 2" xfId="283"/>
    <cellStyle name="Data Name" xfId="284"/>
    <cellStyle name="Data Name 2" xfId="285"/>
    <cellStyle name="Date/Time" xfId="286"/>
    <cellStyle name="Explanatory Text 2" xfId="137"/>
    <cellStyle name="Explanatory Text 3" xfId="136"/>
    <cellStyle name="Good 2" xfId="139"/>
    <cellStyle name="Good 3" xfId="138"/>
    <cellStyle name="Heading" xfId="287"/>
    <cellStyle name="Heading 1 2" xfId="141"/>
    <cellStyle name="Heading 1 3" xfId="140"/>
    <cellStyle name="Heading 2 2" xfId="143"/>
    <cellStyle name="Heading 2 3" xfId="142"/>
    <cellStyle name="Heading 3 2" xfId="145"/>
    <cellStyle name="Heading 3 2 2" xfId="288"/>
    <cellStyle name="Heading 3 3" xfId="144"/>
    <cellStyle name="Heading 3 3 2" xfId="289"/>
    <cellStyle name="Heading 4 2" xfId="147"/>
    <cellStyle name="Heading 4 3" xfId="146"/>
    <cellStyle name="Hyperlink" xfId="9" builtinId="8"/>
    <cellStyle name="Hyperlink 2" xfId="10"/>
    <cellStyle name="Hyperlink 2 2" xfId="290"/>
    <cellStyle name="Hyperlink 2_ResWXMF_FY10v2_0" xfId="291"/>
    <cellStyle name="Hyperlink 3" xfId="292"/>
    <cellStyle name="Hyperlink 3 2" xfId="293"/>
    <cellStyle name="Hyperlink 4" xfId="294"/>
    <cellStyle name="Hyperlink_REMProgramPlanner_Master_20120829_2013" xfId="216"/>
    <cellStyle name="Input 2" xfId="149"/>
    <cellStyle name="Input 2 2" xfId="227"/>
    <cellStyle name="Input 3" xfId="148"/>
    <cellStyle name="Input 3 2" xfId="226"/>
    <cellStyle name="Linked Cell 2" xfId="151"/>
    <cellStyle name="Linked Cell 3" xfId="150"/>
    <cellStyle name="Neutral 2" xfId="153"/>
    <cellStyle name="Neutral 3" xfId="152"/>
    <cellStyle name="Normal" xfId="0" builtinId="0"/>
    <cellStyle name="Normal 10" xfId="28"/>
    <cellStyle name="Normal 10 2" xfId="296"/>
    <cellStyle name="Normal 10 3" xfId="295"/>
    <cellStyle name="Normal 11" xfId="79"/>
    <cellStyle name="Normal 11 2" xfId="204"/>
    <cellStyle name="Normal 12" xfId="176"/>
    <cellStyle name="Normal 13" xfId="177"/>
    <cellStyle name="Normal 13 2" xfId="205"/>
    <cellStyle name="Normal 13 2 2" xfId="297"/>
    <cellStyle name="Normal 13_CE_Workbook_7_18_2012_MultiTab" xfId="298"/>
    <cellStyle name="Normal 14" xfId="178"/>
    <cellStyle name="Normal 14 10" xfId="299"/>
    <cellStyle name="Normal 14 2" xfId="50"/>
    <cellStyle name="Normal 14 2 2" xfId="51"/>
    <cellStyle name="Normal 14 2 2 2" xfId="300"/>
    <cellStyle name="Normal 14 2 3" xfId="301"/>
    <cellStyle name="Normal 14 2_CE_Workbook_7_18_2012_MultiTab" xfId="302"/>
    <cellStyle name="Normal 14 3" xfId="185"/>
    <cellStyle name="Normal 14 4" xfId="303"/>
    <cellStyle name="Normal 14 5" xfId="304"/>
    <cellStyle name="Normal 14 6" xfId="305"/>
    <cellStyle name="Normal 14 7" xfId="306"/>
    <cellStyle name="Normal 14 8" xfId="307"/>
    <cellStyle name="Normal 14 9" xfId="308"/>
    <cellStyle name="Normal 14_CE_Workbook_7_18_2012_MultiTab" xfId="309"/>
    <cellStyle name="Normal 15" xfId="187"/>
    <cellStyle name="Normal 15 2" xfId="236"/>
    <cellStyle name="Normal 15 2 2" xfId="311"/>
    <cellStyle name="Normal 15 3" xfId="310"/>
    <cellStyle name="Normal 16" xfId="312"/>
    <cellStyle name="Normal 16 2" xfId="313"/>
    <cellStyle name="Normal 17" xfId="314"/>
    <cellStyle name="Normal 17 2" xfId="315"/>
    <cellStyle name="Normal 18" xfId="316"/>
    <cellStyle name="Normal 19" xfId="317"/>
    <cellStyle name="Normal 2" xfId="2"/>
    <cellStyle name="Normal 2 2" xfId="53"/>
    <cellStyle name="Normal 2 2 2" xfId="54"/>
    <cellStyle name="Normal 2 2 2 2" xfId="318"/>
    <cellStyle name="Normal 2 2 3" xfId="319"/>
    <cellStyle name="Normal 2 2 3 2" xfId="320"/>
    <cellStyle name="Normal 2 2 3 3" xfId="321"/>
    <cellStyle name="Normal 2 2 4" xfId="322"/>
    <cellStyle name="Normal 2 2_18230684" xfId="323"/>
    <cellStyle name="Normal 2 3" xfId="55"/>
    <cellStyle name="Normal 2 3 2" xfId="56"/>
    <cellStyle name="Normal 2 3 2 2" xfId="324"/>
    <cellStyle name="Normal 2 3 3" xfId="325"/>
    <cellStyle name="Normal 2 3_CE_Workbook_7_18_2012_MultiTab" xfId="326"/>
    <cellStyle name="Normal 2 4" xfId="57"/>
    <cellStyle name="Normal 2 4 2" xfId="327"/>
    <cellStyle name="Normal 2 5" xfId="52"/>
    <cellStyle name="Normal 2 5 2" xfId="329"/>
    <cellStyle name="Normal 2 5 2 2" xfId="330"/>
    <cellStyle name="Normal 2 5 2 3" xfId="331"/>
    <cellStyle name="Normal 2 5 3" xfId="332"/>
    <cellStyle name="Normal 2 5 4" xfId="333"/>
    <cellStyle name="Normal 2 5 5" xfId="328"/>
    <cellStyle name="Normal 2 5_CE_Workbook_7_18_2012_MultiTab" xfId="334"/>
    <cellStyle name="Normal 2 6" xfId="154"/>
    <cellStyle name="Normal 2 6 2" xfId="206"/>
    <cellStyle name="Normal 2 7" xfId="173"/>
    <cellStyle name="Normal 2 8" xfId="335"/>
    <cellStyle name="Normal 2_18230684" xfId="336"/>
    <cellStyle name="Normal 20" xfId="337"/>
    <cellStyle name="Normal 21" xfId="338"/>
    <cellStyle name="Normal 22" xfId="422"/>
    <cellStyle name="Normal 23" xfId="426"/>
    <cellStyle name="Normal 24" xfId="427"/>
    <cellStyle name="Normal 25" xfId="435"/>
    <cellStyle name="Normal 26" xfId="436"/>
    <cellStyle name="Normal 3" xfId="3"/>
    <cellStyle name="Normal 3 2" xfId="59"/>
    <cellStyle name="Normal 3 2 2" xfId="60"/>
    <cellStyle name="Normal 3 2 2 2" xfId="339"/>
    <cellStyle name="Normal 3 3" xfId="61"/>
    <cellStyle name="Normal 3 3 2" xfId="340"/>
    <cellStyle name="Normal 3 4" xfId="62"/>
    <cellStyle name="Normal 3 5" xfId="58"/>
    <cellStyle name="Normal 3 5 2" xfId="342"/>
    <cellStyle name="Normal 3 5 2 2" xfId="343"/>
    <cellStyle name="Normal 3 5 2 3" xfId="344"/>
    <cellStyle name="Normal 3 5 3" xfId="345"/>
    <cellStyle name="Normal 3 5 4" xfId="346"/>
    <cellStyle name="Normal 3 5 5" xfId="341"/>
    <cellStyle name="Normal 3 5_CE_Workbook_7_18_2012_MultiTab" xfId="347"/>
    <cellStyle name="Normal 3 6" xfId="155"/>
    <cellStyle name="Normal 3 6 2" xfId="349"/>
    <cellStyle name="Normal 3 6 3" xfId="348"/>
    <cellStyle name="Normal 3 7" xfId="350"/>
    <cellStyle name="Normal 3_18230684" xfId="351"/>
    <cellStyle name="Normal 4" xfId="6"/>
    <cellStyle name="Normal 4 2" xfId="26"/>
    <cellStyle name="Normal 4 2 2" xfId="65"/>
    <cellStyle name="Normal 4 2 2 2" xfId="352"/>
    <cellStyle name="Normal 4 2 3" xfId="64"/>
    <cellStyle name="Normal 4 2 3 2" xfId="354"/>
    <cellStyle name="Normal 4 2 3 2 2" xfId="355"/>
    <cellStyle name="Normal 4 2 3 2 3" xfId="356"/>
    <cellStyle name="Normal 4 2 3 3" xfId="357"/>
    <cellStyle name="Normal 4 2 3 4" xfId="358"/>
    <cellStyle name="Normal 4 2 3 5" xfId="353"/>
    <cellStyle name="Normal 4 2 3_CE_Workbook_7_18_2012_MultiTab" xfId="359"/>
    <cellStyle name="Normal 4 2 4" xfId="360"/>
    <cellStyle name="Normal 4 2 4 2" xfId="361"/>
    <cellStyle name="Normal 4 2 4 3" xfId="362"/>
    <cellStyle name="Normal 4 2 5" xfId="363"/>
    <cellStyle name="Normal 4 2_CE_Workbook_7_18_2012_MultiTab" xfId="364"/>
    <cellStyle name="Normal 4 3" xfId="66"/>
    <cellStyle name="Normal 4 3 2" xfId="67"/>
    <cellStyle name="Normal 4 3 2 2" xfId="365"/>
    <cellStyle name="Normal 4 3 3" xfId="366"/>
    <cellStyle name="Normal 4 3_CE_Workbook_7_18_2012_MultiTab" xfId="367"/>
    <cellStyle name="Normal 4 4" xfId="68"/>
    <cellStyle name="Normal 4 4 2" xfId="368"/>
    <cellStyle name="Normal 4 5" xfId="63"/>
    <cellStyle name="Normal 4 5 2" xfId="370"/>
    <cellStyle name="Normal 4 5 2 2" xfId="371"/>
    <cellStyle name="Normal 4 5 2 3" xfId="372"/>
    <cellStyle name="Normal 4 5 3" xfId="373"/>
    <cellStyle name="Normal 4 5 4" xfId="374"/>
    <cellStyle name="Normal 4 5 5" xfId="369"/>
    <cellStyle name="Normal 4 5_CE_Workbook_7_18_2012_MultiTab" xfId="375"/>
    <cellStyle name="Normal 4 6" xfId="376"/>
    <cellStyle name="Normal 4 6 2" xfId="377"/>
    <cellStyle name="Normal 4 6 3" xfId="378"/>
    <cellStyle name="Normal 4 7" xfId="379"/>
    <cellStyle name="Normal 4_CE_Workbook_7_18_2012_MultiTab" xfId="380"/>
    <cellStyle name="Normal 5" xfId="12"/>
    <cellStyle name="Normal 5 2" xfId="27"/>
    <cellStyle name="Normal 5 2 2" xfId="382"/>
    <cellStyle name="Normal 5 2 3" xfId="381"/>
    <cellStyle name="Normal 5 3" xfId="69"/>
    <cellStyle name="Normal 5 3 2" xfId="384"/>
    <cellStyle name="Normal 5 3 2 2" xfId="385"/>
    <cellStyle name="Normal 5 3 2 3" xfId="386"/>
    <cellStyle name="Normal 5 3 3" xfId="387"/>
    <cellStyle name="Normal 5 3 4" xfId="388"/>
    <cellStyle name="Normal 5 3 5" xfId="383"/>
    <cellStyle name="Normal 5 3_CE_Workbook_7_18_2012_MultiTab" xfId="389"/>
    <cellStyle name="Normal 5 4" xfId="207"/>
    <cellStyle name="Normal 5 5" xfId="390"/>
    <cellStyle name="Normal 5 5 2" xfId="391"/>
    <cellStyle name="Normal 5 5 3" xfId="392"/>
    <cellStyle name="Normal 5 6" xfId="393"/>
    <cellStyle name="Normal 5 7" xfId="428"/>
    <cellStyle name="Normal 5_CE_Workbook_7_18_2012_MultiTab" xfId="394"/>
    <cellStyle name="Normal 6" xfId="70"/>
    <cellStyle name="Normal 6 2" xfId="395"/>
    <cellStyle name="Normal 6 2 2" xfId="396"/>
    <cellStyle name="Normal 6 2 3" xfId="397"/>
    <cellStyle name="Normal 6 3" xfId="398"/>
    <cellStyle name="Normal 6_CE_Workbook_7_18_2012_MultiTab" xfId="399"/>
    <cellStyle name="Normal 7" xfId="71"/>
    <cellStyle name="Normal 7 2" xfId="400"/>
    <cellStyle name="Normal 8" xfId="72"/>
    <cellStyle name="Normal 8 2" xfId="401"/>
    <cellStyle name="Normal 8 3" xfId="402"/>
    <cellStyle name="Normal 8_Duplicate Delete" xfId="403"/>
    <cellStyle name="Normal 9" xfId="73"/>
    <cellStyle name="Normal 9 2" xfId="77"/>
    <cellStyle name="Normal 9 2 2" xfId="404"/>
    <cellStyle name="Normal 9 3" xfId="405"/>
    <cellStyle name="Normal 9_18230684" xfId="406"/>
    <cellStyle name="Normal_18230684" xfId="217"/>
    <cellStyle name="Normal_2_2011 EES sector view 2" xfId="172"/>
    <cellStyle name="Normal_2_2011 EES sector view_Revised 11-18-2010" xfId="156"/>
    <cellStyle name="Normal_2_2011 EES sector view_Revised 11-18-2010 2" xfId="171"/>
    <cellStyle name="Normal_2012-2013 First-Pass Savings Estim_05-17-11" xfId="186"/>
    <cellStyle name="Normal_2012-2013 First-Pass Savings Estim_05-17-11 2" xfId="190"/>
    <cellStyle name="Normal_2012-2013 First-Pass Savings Estim_05-17-11 3" xfId="423"/>
    <cellStyle name="Normal_2012-2013 First-Pass Savings Estim_05-17-11_BEM_2012-2013_Semi-Final_Targets&amp;Incentives" xfId="424"/>
    <cellStyle name="Normal_BEM_2012-2013_Semi-Final_Targets&amp;Incentives" xfId="425"/>
    <cellStyle name="Normal_P90010" xfId="17"/>
    <cellStyle name="Normal_P90010 2" xfId="23"/>
    <cellStyle name="Normal_P90010 3" xfId="181"/>
    <cellStyle name="Note 2" xfId="158"/>
    <cellStyle name="Note 2 2" xfId="169"/>
    <cellStyle name="Note 2 2 2" xfId="234"/>
    <cellStyle name="Note 2 3" xfId="229"/>
    <cellStyle name="Note 3" xfId="157"/>
    <cellStyle name="Note 3 2" xfId="208"/>
    <cellStyle name="Note 3 2 2" xfId="243"/>
    <cellStyle name="Note 3 3" xfId="228"/>
    <cellStyle name="Note 4" xfId="170"/>
    <cellStyle name="Note 4 2" xfId="235"/>
    <cellStyle name="Output 2" xfId="160"/>
    <cellStyle name="Output 2 2" xfId="231"/>
    <cellStyle name="Output 3" xfId="159"/>
    <cellStyle name="Output 3 2" xfId="230"/>
    <cellStyle name="Percent" xfId="8" builtinId="5"/>
    <cellStyle name="Percent 10" xfId="209"/>
    <cellStyle name="Percent 10 2" xfId="408"/>
    <cellStyle name="Percent 10 3" xfId="407"/>
    <cellStyle name="Percent 2" xfId="11"/>
    <cellStyle name="Percent 2 2" xfId="19"/>
    <cellStyle name="Percent 2 2 2" xfId="409"/>
    <cellStyle name="Percent 2 3" xfId="74"/>
    <cellStyle name="Percent 2 3 2" xfId="410"/>
    <cellStyle name="Percent 2 4" xfId="75"/>
    <cellStyle name="Percent 2 4 2" xfId="411"/>
    <cellStyle name="Percent 2 5" xfId="76"/>
    <cellStyle name="Percent 2 5 2" xfId="412"/>
    <cellStyle name="Percent 2 6" xfId="413"/>
    <cellStyle name="Percent 2 7" xfId="414"/>
    <cellStyle name="Percent 3" xfId="4"/>
    <cellStyle name="Percent 4" xfId="18"/>
    <cellStyle name="Percent 4 2" xfId="210"/>
    <cellStyle name="Percent 5" xfId="161"/>
    <cellStyle name="Percent 5 2" xfId="211"/>
    <cellStyle name="Percent 6" xfId="168"/>
    <cellStyle name="Percent 7" xfId="182"/>
    <cellStyle name="Percent 7 2" xfId="212"/>
    <cellStyle name="Percent 8" xfId="184"/>
    <cellStyle name="Percent 8 2" xfId="213"/>
    <cellStyle name="Percent 8 2 2" xfId="415"/>
    <cellStyle name="Percent 8 3" xfId="416"/>
    <cellStyle name="Percent 9" xfId="191"/>
    <cellStyle name="Percent 9 2" xfId="239"/>
    <cellStyle name="Percent 9 2 2" xfId="418"/>
    <cellStyle name="Percent 9 3" xfId="419"/>
    <cellStyle name="Percent 9 4" xfId="417"/>
    <cellStyle name="Title 2" xfId="163"/>
    <cellStyle name="Title 3" xfId="162"/>
    <cellStyle name="Total 2" xfId="165"/>
    <cellStyle name="Total 2 2" xfId="233"/>
    <cellStyle name="Total 3" xfId="164"/>
    <cellStyle name="Total 3 2" xfId="232"/>
    <cellStyle name="Warning Text 2" xfId="167"/>
    <cellStyle name="Warning Text 3" xfId="166"/>
    <cellStyle name="표준_ENERGY CONSUMP" xfId="420"/>
    <cellStyle name="常规_海外市场服务网站资料操作BOM" xfId="421"/>
  </cellStyles>
  <dxfs count="0"/>
  <tableStyles count="0" defaultTableStyle="TableStyleMedium9" defaultPivotStyle="PivotStyleLight16"/>
  <colors>
    <mruColors>
      <color rgb="FF83AFB4"/>
      <color rgb="FFEE79F7"/>
      <color rgb="FFC2D7FA"/>
      <color rgb="FF91D242"/>
      <color rgb="FF0000FF"/>
      <color rgb="FF002060"/>
      <color rgb="FFD2FBB3"/>
      <color rgb="FFFAA0A9"/>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1.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2.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3.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1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2.xml.rels><?xml version="1.0" encoding="UTF-8" standalone="yes"?>
<Relationships xmlns="http://schemas.openxmlformats.org/package/2006/relationships"><Relationship Id="rId1" Type="http://schemas.openxmlformats.org/officeDocument/2006/relationships/hyperlink" Target="#'1) Portfolio View'!A1"/></Relationships>
</file>

<file path=xl/drawings/_rels/drawing2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21.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2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4.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5.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6.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7.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8.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29.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xml.rels><?xml version="1.0" encoding="UTF-8" standalone="yes"?>
<Relationships xmlns="http://schemas.openxmlformats.org/package/2006/relationships"><Relationship Id="rId1" Type="http://schemas.openxmlformats.org/officeDocument/2006/relationships/hyperlink" Target="#'1) Portfolio View'!A1"/></Relationships>
</file>

<file path=xl/drawings/_rels/drawing30.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4.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5.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6.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37.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2) Sector View Electric'!A1"/><Relationship Id="rId5" Type="http://schemas.openxmlformats.org/officeDocument/2006/relationships/hyperlink" Target="#'55) BEM Contracted savings'!A1"/><Relationship Id="rId4" Type="http://schemas.openxmlformats.org/officeDocument/2006/relationships/hyperlink" Target="#'54) BEM In-house savings'!A1"/></Relationships>
</file>

<file path=xl/drawings/_rels/drawing38.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39.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0.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41.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2) Sector View Electric'!A1"/></Relationships>
</file>

<file path=xl/drawings/_rels/drawing42.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43.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2) Sector View Electric'!A1"/><Relationship Id="rId5" Type="http://schemas.openxmlformats.org/officeDocument/2006/relationships/hyperlink" Target="#'55) BEM Contracted savings'!A1"/><Relationship Id="rId4" Type="http://schemas.openxmlformats.org/officeDocument/2006/relationships/hyperlink" Target="#'54) BEM In-house savings'!A1"/></Relationships>
</file>

<file path=xl/drawings/_rels/drawing44.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3) Sector View Gas'!A1"/><Relationship Id="rId5" Type="http://schemas.openxmlformats.org/officeDocument/2006/relationships/hyperlink" Target="#'55) BEM Contracted savings'!A1"/><Relationship Id="rId4" Type="http://schemas.openxmlformats.org/officeDocument/2006/relationships/hyperlink" Target="#'54) BEM In-house savings'!A1"/></Relationships>
</file>

<file path=xl/drawings/_rels/drawing45.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3) Sector View Gas'!A1"/></Relationships>
</file>

<file path=xl/drawings/_rels/drawing46.xml.rels><?xml version="1.0" encoding="UTF-8" standalone="yes"?>
<Relationships xmlns="http://schemas.openxmlformats.org/package/2006/relationships"><Relationship Id="rId3" Type="http://schemas.openxmlformats.org/officeDocument/2006/relationships/hyperlink" Target="#'54) BEM In-house savings'!A1"/><Relationship Id="rId2" Type="http://schemas.openxmlformats.org/officeDocument/2006/relationships/hyperlink" Target="#'54) BEM In-house savings'!A1"/><Relationship Id="rId1" Type="http://schemas.openxmlformats.org/officeDocument/2006/relationships/hyperlink" Target="#'3) Sector View Gas'!A1"/></Relationships>
</file>

<file path=xl/drawings/_rels/drawing47.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48.xml.rels><?xml version="1.0" encoding="UTF-8" standalone="yes"?>
<Relationships xmlns="http://schemas.openxmlformats.org/package/2006/relationships"><Relationship Id="rId3" Type="http://schemas.openxmlformats.org/officeDocument/2006/relationships/hyperlink" Target="#'55) BEM Contracted savings'!A1"/><Relationship Id="rId2" Type="http://schemas.openxmlformats.org/officeDocument/2006/relationships/hyperlink" Target="#'54) BEM In-house savings'!A1"/><Relationship Id="rId1" Type="http://schemas.openxmlformats.org/officeDocument/2006/relationships/hyperlink" Target="#'3) Sector View Gas'!A1"/><Relationship Id="rId5" Type="http://schemas.openxmlformats.org/officeDocument/2006/relationships/hyperlink" Target="#'55) BEM Contracted savings'!A1"/><Relationship Id="rId4" Type="http://schemas.openxmlformats.org/officeDocument/2006/relationships/hyperlink" Target="#'54) BEM In-house savings'!A1"/></Relationships>
</file>

<file path=xl/drawings/_rels/drawing4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1.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2.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3.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4.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5.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5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60.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1.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2.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3.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4.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5.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6.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7.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8.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6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1.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2.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3.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74.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5.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6.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7.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8.xml.rels><?xml version="1.0" encoding="UTF-8" standalone="yes"?>
<Relationships xmlns="http://schemas.openxmlformats.org/package/2006/relationships"><Relationship Id="rId1" Type="http://schemas.openxmlformats.org/officeDocument/2006/relationships/hyperlink" Target="#'3) Sector View Gas'!A1"/></Relationships>
</file>

<file path=xl/drawings/_rels/drawing7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8.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80.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81.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82.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_rels/drawing83.xml.rels><?xml version="1.0" encoding="UTF-8" standalone="yes"?>
<Relationships xmlns="http://schemas.openxmlformats.org/package/2006/relationships"><Relationship Id="rId3" Type="http://schemas.openxmlformats.org/officeDocument/2006/relationships/hyperlink" Target="#'3) Sector View Gas'!A1"/><Relationship Id="rId2" Type="http://schemas.openxmlformats.org/officeDocument/2006/relationships/hyperlink" Target="#'2) Sector View Electric'!A1"/><Relationship Id="rId1" Type="http://schemas.openxmlformats.org/officeDocument/2006/relationships/hyperlink" Target="#'1) Portfolio View'!A1"/></Relationships>
</file>

<file path=xl/drawings/_rels/drawing84.xml.rels><?xml version="1.0" encoding="UTF-8" standalone="yes"?>
<Relationships xmlns="http://schemas.openxmlformats.org/package/2006/relationships"><Relationship Id="rId3" Type="http://schemas.openxmlformats.org/officeDocument/2006/relationships/hyperlink" Target="#'3) Sector View Gas'!A1"/><Relationship Id="rId2" Type="http://schemas.openxmlformats.org/officeDocument/2006/relationships/hyperlink" Target="#'2) Sector View Electric'!A1"/><Relationship Id="rId1" Type="http://schemas.openxmlformats.org/officeDocument/2006/relationships/hyperlink" Target="#'1) Portfolio View'!A1"/></Relationships>
</file>

<file path=xl/drawings/_rels/drawing9.xml.rels><?xml version="1.0" encoding="UTF-8" standalone="yes"?>
<Relationships xmlns="http://schemas.openxmlformats.org/package/2006/relationships"><Relationship Id="rId1" Type="http://schemas.openxmlformats.org/officeDocument/2006/relationships/hyperlink" Target="#'2) Sector View Electric'!A1"/></Relationships>
</file>

<file path=xl/drawings/drawing1.xml><?xml version="1.0" encoding="utf-8"?>
<xdr:wsDr xmlns:xdr="http://schemas.openxmlformats.org/drawingml/2006/spreadsheetDrawing" xmlns:a="http://schemas.openxmlformats.org/drawingml/2006/main">
  <xdr:twoCellAnchor>
    <xdr:from>
      <xdr:col>6</xdr:col>
      <xdr:colOff>581024</xdr:colOff>
      <xdr:row>1</xdr:row>
      <xdr:rowOff>333374</xdr:rowOff>
    </xdr:from>
    <xdr:to>
      <xdr:col>9</xdr:col>
      <xdr:colOff>604837</xdr:colOff>
      <xdr:row>3</xdr:row>
      <xdr:rowOff>141317</xdr:rowOff>
    </xdr:to>
    <xdr:grpSp>
      <xdr:nvGrpSpPr>
        <xdr:cNvPr id="6" name="Group 5"/>
        <xdr:cNvGrpSpPr/>
      </xdr:nvGrpSpPr>
      <xdr:grpSpPr>
        <a:xfrm>
          <a:off x="4867274" y="619124"/>
          <a:ext cx="3509963" cy="684243"/>
          <a:chOff x="4933949" y="156415"/>
          <a:chExt cx="3519488" cy="374141"/>
        </a:xfrm>
      </xdr:grpSpPr>
      <xdr:sp macro="" textlink="">
        <xdr:nvSpPr>
          <xdr:cNvPr id="2" name="Rectangle 1"/>
          <xdr:cNvSpPr/>
        </xdr:nvSpPr>
        <xdr:spPr>
          <a:xfrm>
            <a:off x="5109305" y="156415"/>
            <a:ext cx="3129820" cy="374141"/>
          </a:xfrm>
          <a:prstGeom prst="rect">
            <a:avLst/>
          </a:prstGeom>
          <a:noFill/>
        </xdr:spPr>
        <xdr:txBody>
          <a:bodyPr wrap="square" lIns="91440" tIns="45720" rIns="91440" bIns="45720">
            <a:noAutofit/>
          </a:bodyPr>
          <a:lstStyle/>
          <a:p>
            <a:pPr algn="ctr"/>
            <a:r>
              <a:rPr lang="en-US"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8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a:t>
            </a:r>
          </a:p>
        </xdr:txBody>
      </xdr:sp>
      <xdr:sp macro="" textlink="">
        <xdr:nvSpPr>
          <xdr:cNvPr id="3" name="Bent Arrow 2"/>
          <xdr:cNvSpPr/>
        </xdr:nvSpPr>
        <xdr:spPr>
          <a:xfrm rot="5400000">
            <a:off x="8020048" y="4764"/>
            <a:ext cx="157165" cy="70961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4" name="Bent Arrow 3"/>
          <xdr:cNvSpPr/>
        </xdr:nvSpPr>
        <xdr:spPr>
          <a:xfrm rot="5400000" flipV="1">
            <a:off x="5179221" y="26194"/>
            <a:ext cx="176210" cy="666753"/>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38100</xdr:colOff>
      <xdr:row>49</xdr:row>
      <xdr:rowOff>142874</xdr:rowOff>
    </xdr:from>
    <xdr:ext cx="1647825" cy="609601"/>
    <xdr:sp macro="" textlink="">
      <xdr:nvSpPr>
        <xdr:cNvPr id="7" name="TextBox 6"/>
        <xdr:cNvSpPr txBox="1"/>
      </xdr:nvSpPr>
      <xdr:spPr>
        <a:xfrm>
          <a:off x="428625" y="8762999"/>
          <a:ext cx="1647825" cy="609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000" b="1" i="1">
              <a:solidFill>
                <a:srgbClr val="FF0000"/>
              </a:solidFill>
            </a:rPr>
            <a:t>These elements are sourced from detail pages rather than sector pages.</a:t>
          </a:r>
        </a:p>
      </xdr:txBody>
    </xdr:sp>
    <xdr:clientData/>
  </xdr:oneCellAnchor>
  <xdr:twoCellAnchor>
    <xdr:from>
      <xdr:col>4</xdr:col>
      <xdr:colOff>228600</xdr:colOff>
      <xdr:row>49</xdr:row>
      <xdr:rowOff>38100</xdr:rowOff>
    </xdr:from>
    <xdr:to>
      <xdr:col>4</xdr:col>
      <xdr:colOff>333375</xdr:colOff>
      <xdr:row>53</xdr:row>
      <xdr:rowOff>114300</xdr:rowOff>
    </xdr:to>
    <xdr:sp macro="" textlink="">
      <xdr:nvSpPr>
        <xdr:cNvPr id="9" name="Left Brace 8"/>
        <xdr:cNvSpPr/>
      </xdr:nvSpPr>
      <xdr:spPr>
        <a:xfrm>
          <a:off x="1971675" y="8658225"/>
          <a:ext cx="104775" cy="7239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38100</xdr:colOff>
      <xdr:row>0</xdr:row>
      <xdr:rowOff>47625</xdr:rowOff>
    </xdr:from>
    <xdr:ext cx="1013021" cy="476250"/>
    <xdr:sp macro="" textlink="">
      <xdr:nvSpPr>
        <xdr:cNvPr id="2" name="Rectangle 1">
          <a:hlinkClick xmlns:r="http://schemas.openxmlformats.org/officeDocument/2006/relationships" r:id="rId1"/>
        </xdr:cNvPr>
        <xdr:cNvSpPr/>
      </xdr:nvSpPr>
      <xdr:spPr>
        <a:xfrm>
          <a:off x="38100" y="47625"/>
          <a:ext cx="10130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38100</xdr:colOff>
      <xdr:row>0</xdr:row>
      <xdr:rowOff>28575</xdr:rowOff>
    </xdr:from>
    <xdr:ext cx="1022546" cy="495300"/>
    <xdr:sp macro="" textlink="">
      <xdr:nvSpPr>
        <xdr:cNvPr id="2" name="Rectangle 1">
          <a:hlinkClick xmlns:r="http://schemas.openxmlformats.org/officeDocument/2006/relationships" r:id="rId1"/>
        </xdr:cNvPr>
        <xdr:cNvSpPr/>
      </xdr:nvSpPr>
      <xdr:spPr>
        <a:xfrm>
          <a:off x="38100" y="28575"/>
          <a:ext cx="1022546"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66725"/>
    <xdr:sp macro="" textlink="">
      <xdr:nvSpPr>
        <xdr:cNvPr id="2" name="Rectangle 1">
          <a:hlinkClick xmlns:r="http://schemas.openxmlformats.org/officeDocument/2006/relationships" r:id="rId1"/>
        </xdr:cNvPr>
        <xdr:cNvSpPr/>
      </xdr:nvSpPr>
      <xdr:spPr>
        <a:xfrm>
          <a:off x="28575" y="28575"/>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0</xdr:row>
      <xdr:rowOff>28575</xdr:rowOff>
    </xdr:from>
    <xdr:ext cx="993971" cy="485775"/>
    <xdr:sp macro="" textlink="">
      <xdr:nvSpPr>
        <xdr:cNvPr id="2" name="Rectangle 1">
          <a:hlinkClick xmlns:r="http://schemas.openxmlformats.org/officeDocument/2006/relationships" r:id="rId1"/>
        </xdr:cNvPr>
        <xdr:cNvSpPr/>
      </xdr:nvSpPr>
      <xdr:spPr>
        <a:xfrm>
          <a:off x="76200" y="28575"/>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19050</xdr:colOff>
      <xdr:row>0</xdr:row>
      <xdr:rowOff>38101</xdr:rowOff>
    </xdr:from>
    <xdr:ext cx="993971" cy="457200"/>
    <xdr:sp macro="" textlink="">
      <xdr:nvSpPr>
        <xdr:cNvPr id="2" name="Rectangle 1">
          <a:hlinkClick xmlns:r="http://schemas.openxmlformats.org/officeDocument/2006/relationships" r:id="rId1"/>
        </xdr:cNvPr>
        <xdr:cNvSpPr/>
      </xdr:nvSpPr>
      <xdr:spPr>
        <a:xfrm>
          <a:off x="19050" y="38101"/>
          <a:ext cx="9939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38099</xdr:colOff>
      <xdr:row>0</xdr:row>
      <xdr:rowOff>28575</xdr:rowOff>
    </xdr:from>
    <xdr:ext cx="936821" cy="476250"/>
    <xdr:sp macro="" textlink="">
      <xdr:nvSpPr>
        <xdr:cNvPr id="2" name="Rectangle 1">
          <a:hlinkClick xmlns:r="http://schemas.openxmlformats.org/officeDocument/2006/relationships" r:id="rId1"/>
        </xdr:cNvPr>
        <xdr:cNvSpPr/>
      </xdr:nvSpPr>
      <xdr:spPr>
        <a:xfrm>
          <a:off x="38099" y="28575"/>
          <a:ext cx="9368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19050</xdr:colOff>
      <xdr:row>0</xdr:row>
      <xdr:rowOff>19050</xdr:rowOff>
    </xdr:from>
    <xdr:ext cx="946346" cy="476250"/>
    <xdr:sp macro="" textlink="">
      <xdr:nvSpPr>
        <xdr:cNvPr id="2" name="Rectangle 1">
          <a:hlinkClick xmlns:r="http://schemas.openxmlformats.org/officeDocument/2006/relationships" r:id="rId1"/>
        </xdr:cNvPr>
        <xdr:cNvSpPr/>
      </xdr:nvSpPr>
      <xdr:spPr>
        <a:xfrm>
          <a:off x="19050" y="19050"/>
          <a:ext cx="94634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38099</xdr:colOff>
      <xdr:row>0</xdr:row>
      <xdr:rowOff>28575</xdr:rowOff>
    </xdr:from>
    <xdr:ext cx="936821" cy="466725"/>
    <xdr:sp macro="" textlink="">
      <xdr:nvSpPr>
        <xdr:cNvPr id="2" name="Rectangle 1">
          <a:hlinkClick xmlns:r="http://schemas.openxmlformats.org/officeDocument/2006/relationships" r:id="rId1"/>
        </xdr:cNvPr>
        <xdr:cNvSpPr/>
      </xdr:nvSpPr>
      <xdr:spPr>
        <a:xfrm>
          <a:off x="38099" y="28575"/>
          <a:ext cx="93682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38100</xdr:colOff>
      <xdr:row>0</xdr:row>
      <xdr:rowOff>19050</xdr:rowOff>
    </xdr:from>
    <xdr:ext cx="946346" cy="476250"/>
    <xdr:sp macro="" textlink="">
      <xdr:nvSpPr>
        <xdr:cNvPr id="2" name="Rectangle 1">
          <a:hlinkClick xmlns:r="http://schemas.openxmlformats.org/officeDocument/2006/relationships" r:id="rId1"/>
        </xdr:cNvPr>
        <xdr:cNvSpPr/>
      </xdr:nvSpPr>
      <xdr:spPr>
        <a:xfrm>
          <a:off x="38100" y="19050"/>
          <a:ext cx="94634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38100</xdr:colOff>
      <xdr:row>0</xdr:row>
      <xdr:rowOff>38100</xdr:rowOff>
    </xdr:from>
    <xdr:ext cx="946346" cy="457200"/>
    <xdr:sp macro="" textlink="">
      <xdr:nvSpPr>
        <xdr:cNvPr id="2" name="Rectangle 1">
          <a:hlinkClick xmlns:r="http://schemas.openxmlformats.org/officeDocument/2006/relationships" r:id="rId1"/>
        </xdr:cNvPr>
        <xdr:cNvSpPr/>
      </xdr:nvSpPr>
      <xdr:spPr>
        <a:xfrm>
          <a:off x="38100" y="38100"/>
          <a:ext cx="94634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176868</xdr:colOff>
      <xdr:row>3</xdr:row>
      <xdr:rowOff>100552</xdr:rowOff>
    </xdr:from>
    <xdr:ext cx="2256130" cy="280205"/>
    <xdr:sp macro="" textlink="">
      <xdr:nvSpPr>
        <xdr:cNvPr id="4" name="Rectangle 3">
          <a:hlinkClick xmlns:r="http://schemas.openxmlformats.org/officeDocument/2006/relationships" r:id="rId1"/>
        </xdr:cNvPr>
        <xdr:cNvSpPr/>
      </xdr:nvSpPr>
      <xdr:spPr>
        <a:xfrm>
          <a:off x="1624668" y="681577"/>
          <a:ext cx="2256130"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Press to 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Portfolio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28574</xdr:colOff>
      <xdr:row>0</xdr:row>
      <xdr:rowOff>19050</xdr:rowOff>
    </xdr:from>
    <xdr:ext cx="993971" cy="466725"/>
    <xdr:sp macro="" textlink="">
      <xdr:nvSpPr>
        <xdr:cNvPr id="2" name="Rectangle 1">
          <a:hlinkClick xmlns:r="http://schemas.openxmlformats.org/officeDocument/2006/relationships" r:id="rId1"/>
        </xdr:cNvPr>
        <xdr:cNvSpPr/>
      </xdr:nvSpPr>
      <xdr:spPr>
        <a:xfrm>
          <a:off x="28574" y="19050"/>
          <a:ext cx="99397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28575</xdr:colOff>
      <xdr:row>0</xdr:row>
      <xdr:rowOff>28575</xdr:rowOff>
    </xdr:from>
    <xdr:ext cx="946346" cy="447675"/>
    <xdr:sp macro="" textlink="">
      <xdr:nvSpPr>
        <xdr:cNvPr id="2" name="Rectangle 1">
          <a:hlinkClick xmlns:r="http://schemas.openxmlformats.org/officeDocument/2006/relationships" r:id="rId1"/>
        </xdr:cNvPr>
        <xdr:cNvSpPr/>
      </xdr:nvSpPr>
      <xdr:spPr>
        <a:xfrm>
          <a:off x="28575" y="28575"/>
          <a:ext cx="94634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28574</xdr:colOff>
      <xdr:row>0</xdr:row>
      <xdr:rowOff>28575</xdr:rowOff>
    </xdr:from>
    <xdr:ext cx="936821" cy="438150"/>
    <xdr:sp macro="" textlink="">
      <xdr:nvSpPr>
        <xdr:cNvPr id="2" name="Rectangle 1">
          <a:hlinkClick xmlns:r="http://schemas.openxmlformats.org/officeDocument/2006/relationships" r:id="rId1"/>
        </xdr:cNvPr>
        <xdr:cNvSpPr/>
      </xdr:nvSpPr>
      <xdr:spPr>
        <a:xfrm>
          <a:off x="28574" y="28575"/>
          <a:ext cx="936821" cy="4381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38100</xdr:colOff>
      <xdr:row>0</xdr:row>
      <xdr:rowOff>28575</xdr:rowOff>
    </xdr:from>
    <xdr:ext cx="1022545" cy="476250"/>
    <xdr:sp macro="" textlink="">
      <xdr:nvSpPr>
        <xdr:cNvPr id="2" name="Rectangle 1">
          <a:hlinkClick xmlns:r="http://schemas.openxmlformats.org/officeDocument/2006/relationships" r:id="rId1"/>
        </xdr:cNvPr>
        <xdr:cNvSpPr/>
      </xdr:nvSpPr>
      <xdr:spPr>
        <a:xfrm>
          <a:off x="38100" y="28575"/>
          <a:ext cx="1022545"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47624</xdr:colOff>
      <xdr:row>0</xdr:row>
      <xdr:rowOff>28575</xdr:rowOff>
    </xdr:from>
    <xdr:ext cx="974921" cy="457200"/>
    <xdr:sp macro="" textlink="">
      <xdr:nvSpPr>
        <xdr:cNvPr id="2" name="Rectangle 1">
          <a:hlinkClick xmlns:r="http://schemas.openxmlformats.org/officeDocument/2006/relationships" r:id="rId1"/>
        </xdr:cNvPr>
        <xdr:cNvSpPr/>
      </xdr:nvSpPr>
      <xdr:spPr>
        <a:xfrm>
          <a:off x="47624" y="28575"/>
          <a:ext cx="97492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38100</xdr:colOff>
      <xdr:row>0</xdr:row>
      <xdr:rowOff>19051</xdr:rowOff>
    </xdr:from>
    <xdr:ext cx="965396" cy="476250"/>
    <xdr:sp macro="" textlink="">
      <xdr:nvSpPr>
        <xdr:cNvPr id="2" name="Rectangle 1">
          <a:hlinkClick xmlns:r="http://schemas.openxmlformats.org/officeDocument/2006/relationships" r:id="rId1"/>
        </xdr:cNvPr>
        <xdr:cNvSpPr/>
      </xdr:nvSpPr>
      <xdr:spPr>
        <a:xfrm>
          <a:off x="38100" y="19051"/>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6" cy="457200"/>
    <xdr:sp macro="" textlink="">
      <xdr:nvSpPr>
        <xdr:cNvPr id="2" name="Rectangle 1">
          <a:hlinkClick xmlns:r="http://schemas.openxmlformats.org/officeDocument/2006/relationships" r:id="rId1"/>
        </xdr:cNvPr>
        <xdr:cNvSpPr/>
      </xdr:nvSpPr>
      <xdr:spPr>
        <a:xfrm>
          <a:off x="38100" y="28575"/>
          <a:ext cx="96539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47624</xdr:colOff>
      <xdr:row>0</xdr:row>
      <xdr:rowOff>28575</xdr:rowOff>
    </xdr:from>
    <xdr:ext cx="936821" cy="476250"/>
    <xdr:sp macro="" textlink="">
      <xdr:nvSpPr>
        <xdr:cNvPr id="2" name="Rectangle 1">
          <a:hlinkClick xmlns:r="http://schemas.openxmlformats.org/officeDocument/2006/relationships" r:id="rId1"/>
        </xdr:cNvPr>
        <xdr:cNvSpPr/>
      </xdr:nvSpPr>
      <xdr:spPr>
        <a:xfrm>
          <a:off x="47624" y="28575"/>
          <a:ext cx="9368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38100</xdr:colOff>
      <xdr:row>0</xdr:row>
      <xdr:rowOff>38100</xdr:rowOff>
    </xdr:from>
    <xdr:ext cx="984446" cy="447675"/>
    <xdr:sp macro="" textlink="">
      <xdr:nvSpPr>
        <xdr:cNvPr id="2" name="Rectangle 1">
          <a:hlinkClick xmlns:r="http://schemas.openxmlformats.org/officeDocument/2006/relationships" r:id="rId1"/>
        </xdr:cNvPr>
        <xdr:cNvSpPr/>
      </xdr:nvSpPr>
      <xdr:spPr>
        <a:xfrm>
          <a:off x="38100" y="38100"/>
          <a:ext cx="98444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38100</xdr:colOff>
      <xdr:row>0</xdr:row>
      <xdr:rowOff>19051</xdr:rowOff>
    </xdr:from>
    <xdr:ext cx="965396" cy="476250"/>
    <xdr:sp macro="" textlink="">
      <xdr:nvSpPr>
        <xdr:cNvPr id="2" name="Rectangle 1">
          <a:hlinkClick xmlns:r="http://schemas.openxmlformats.org/officeDocument/2006/relationships" r:id="rId1"/>
        </xdr:cNvPr>
        <xdr:cNvSpPr/>
      </xdr:nvSpPr>
      <xdr:spPr>
        <a:xfrm>
          <a:off x="38100" y="19051"/>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76854</xdr:colOff>
      <xdr:row>3</xdr:row>
      <xdr:rowOff>86264</xdr:rowOff>
    </xdr:from>
    <xdr:ext cx="2256130" cy="280205"/>
    <xdr:sp macro="" textlink="">
      <xdr:nvSpPr>
        <xdr:cNvPr id="3" name="Rectangle 2">
          <a:hlinkClick xmlns:r="http://schemas.openxmlformats.org/officeDocument/2006/relationships" r:id="rId1"/>
        </xdr:cNvPr>
        <xdr:cNvSpPr/>
      </xdr:nvSpPr>
      <xdr:spPr>
        <a:xfrm>
          <a:off x="1438929" y="667289"/>
          <a:ext cx="2256130"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Press to return to Portfolio View</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76200</xdr:colOff>
      <xdr:row>0</xdr:row>
      <xdr:rowOff>28575</xdr:rowOff>
    </xdr:from>
    <xdr:ext cx="993971" cy="485775"/>
    <xdr:sp macro="" textlink="">
      <xdr:nvSpPr>
        <xdr:cNvPr id="2" name="Rectangle 1">
          <a:hlinkClick xmlns:r="http://schemas.openxmlformats.org/officeDocument/2006/relationships" r:id="rId1"/>
        </xdr:cNvPr>
        <xdr:cNvSpPr/>
      </xdr:nvSpPr>
      <xdr:spPr>
        <a:xfrm>
          <a:off x="76200" y="28575"/>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81606</xdr:colOff>
      <xdr:row>0</xdr:row>
      <xdr:rowOff>47626</xdr:rowOff>
    </xdr:from>
    <xdr:ext cx="947094" cy="466724"/>
    <xdr:sp macro="" textlink="">
      <xdr:nvSpPr>
        <xdr:cNvPr id="2" name="Rectangle 1">
          <a:hlinkClick xmlns:r="http://schemas.openxmlformats.org/officeDocument/2006/relationships" r:id="rId1"/>
        </xdr:cNvPr>
        <xdr:cNvSpPr/>
      </xdr:nvSpPr>
      <xdr:spPr>
        <a:xfrm>
          <a:off x="81606" y="47626"/>
          <a:ext cx="947094" cy="4667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28574</xdr:colOff>
      <xdr:row>0</xdr:row>
      <xdr:rowOff>28575</xdr:rowOff>
    </xdr:from>
    <xdr:ext cx="993971" cy="495300"/>
    <xdr:sp macro="" textlink="">
      <xdr:nvSpPr>
        <xdr:cNvPr id="2" name="Rectangle 1">
          <a:hlinkClick xmlns:r="http://schemas.openxmlformats.org/officeDocument/2006/relationships" r:id="rId1"/>
        </xdr:cNvPr>
        <xdr:cNvSpPr/>
      </xdr:nvSpPr>
      <xdr:spPr>
        <a:xfrm>
          <a:off x="28574" y="28575"/>
          <a:ext cx="993971"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0</xdr:col>
      <xdr:colOff>28574</xdr:colOff>
      <xdr:row>0</xdr:row>
      <xdr:rowOff>28575</xdr:rowOff>
    </xdr:from>
    <xdr:ext cx="955871" cy="457200"/>
    <xdr:sp macro="" textlink="">
      <xdr:nvSpPr>
        <xdr:cNvPr id="2" name="Rectangle 1">
          <a:hlinkClick xmlns:r="http://schemas.openxmlformats.org/officeDocument/2006/relationships" r:id="rId1"/>
        </xdr:cNvPr>
        <xdr:cNvSpPr/>
      </xdr:nvSpPr>
      <xdr:spPr>
        <a:xfrm>
          <a:off x="28574" y="28575"/>
          <a:ext cx="9558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28575</xdr:colOff>
      <xdr:row>0</xdr:row>
      <xdr:rowOff>38100</xdr:rowOff>
    </xdr:from>
    <xdr:ext cx="946346" cy="466725"/>
    <xdr:sp macro="" textlink="">
      <xdr:nvSpPr>
        <xdr:cNvPr id="2" name="Rectangle 1">
          <a:hlinkClick xmlns:r="http://schemas.openxmlformats.org/officeDocument/2006/relationships" r:id="rId1"/>
        </xdr:cNvPr>
        <xdr:cNvSpPr/>
      </xdr:nvSpPr>
      <xdr:spPr>
        <a:xfrm>
          <a:off x="28575" y="38100"/>
          <a:ext cx="9463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28574</xdr:colOff>
      <xdr:row>0</xdr:row>
      <xdr:rowOff>28575</xdr:rowOff>
    </xdr:from>
    <xdr:ext cx="974921" cy="447675"/>
    <xdr:sp macro="" textlink="">
      <xdr:nvSpPr>
        <xdr:cNvPr id="2" name="Rectangle 1">
          <a:hlinkClick xmlns:r="http://schemas.openxmlformats.org/officeDocument/2006/relationships" r:id="rId1"/>
        </xdr:cNvPr>
        <xdr:cNvSpPr/>
      </xdr:nvSpPr>
      <xdr:spPr>
        <a:xfrm>
          <a:off x="28574" y="28575"/>
          <a:ext cx="97492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0</xdr:col>
      <xdr:colOff>28574</xdr:colOff>
      <xdr:row>0</xdr:row>
      <xdr:rowOff>28575</xdr:rowOff>
    </xdr:from>
    <xdr:ext cx="955871" cy="457200"/>
    <xdr:sp macro="" textlink="">
      <xdr:nvSpPr>
        <xdr:cNvPr id="2" name="Rectangle 1">
          <a:hlinkClick xmlns:r="http://schemas.openxmlformats.org/officeDocument/2006/relationships" r:id="rId1"/>
        </xdr:cNvPr>
        <xdr:cNvSpPr/>
      </xdr:nvSpPr>
      <xdr:spPr>
        <a:xfrm>
          <a:off x="28574" y="28575"/>
          <a:ext cx="9558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47625</xdr:colOff>
      <xdr:row>0</xdr:row>
      <xdr:rowOff>29114</xdr:rowOff>
    </xdr:from>
    <xdr:ext cx="965772" cy="504286"/>
    <xdr:sp macro="" textlink="">
      <xdr:nvSpPr>
        <xdr:cNvPr id="2" name="Rectangle 1">
          <a:hlinkClick xmlns:r="http://schemas.openxmlformats.org/officeDocument/2006/relationships" r:id="rId1"/>
        </xdr:cNvPr>
        <xdr:cNvSpPr/>
      </xdr:nvSpPr>
      <xdr:spPr>
        <a:xfrm>
          <a:off x="47625" y="29114"/>
          <a:ext cx="965772" cy="50428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1181101</xdr:colOff>
      <xdr:row>13</xdr:row>
      <xdr:rowOff>57690</xdr:rowOff>
    </xdr:from>
    <xdr:ext cx="2335404" cy="256636"/>
    <xdr:sp macro="" textlink="">
      <xdr:nvSpPr>
        <xdr:cNvPr id="3" name="Rectangle 2">
          <a:hlinkClick xmlns:r="http://schemas.openxmlformats.org/officeDocument/2006/relationships" r:id="rId2"/>
        </xdr:cNvPr>
        <xdr:cNvSpPr/>
      </xdr:nvSpPr>
      <xdr:spPr>
        <a:xfrm>
          <a:off x="2238376" y="3391440"/>
          <a:ext cx="2335404"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1255525</xdr:colOff>
      <xdr:row>14</xdr:row>
      <xdr:rowOff>67215</xdr:rowOff>
    </xdr:from>
    <xdr:ext cx="2163949" cy="256636"/>
    <xdr:sp macro="" textlink="">
      <xdr:nvSpPr>
        <xdr:cNvPr id="4" name="Rectangle 3">
          <a:hlinkClick xmlns:r="http://schemas.openxmlformats.org/officeDocument/2006/relationships" r:id="rId3"/>
        </xdr:cNvPr>
        <xdr:cNvSpPr/>
      </xdr:nvSpPr>
      <xdr:spPr>
        <a:xfrm>
          <a:off x="2312800" y="3791490"/>
          <a:ext cx="2163949"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Contracted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933450</xdr:colOff>
      <xdr:row>65</xdr:row>
      <xdr:rowOff>48165</xdr:rowOff>
    </xdr:from>
    <xdr:ext cx="2678305" cy="256636"/>
    <xdr:sp macro="" textlink="">
      <xdr:nvSpPr>
        <xdr:cNvPr id="5" name="Rectangle 4">
          <a:hlinkClick xmlns:r="http://schemas.openxmlformats.org/officeDocument/2006/relationships" r:id="rId4"/>
        </xdr:cNvPr>
        <xdr:cNvSpPr/>
      </xdr:nvSpPr>
      <xdr:spPr>
        <a:xfrm>
          <a:off x="1990725" y="12354465"/>
          <a:ext cx="2678305"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876301</xdr:colOff>
      <xdr:row>70</xdr:row>
      <xdr:rowOff>67215</xdr:rowOff>
    </xdr:from>
    <xdr:ext cx="2752724" cy="256636"/>
    <xdr:sp macro="" textlink="">
      <xdr:nvSpPr>
        <xdr:cNvPr id="6" name="Rectangle 5">
          <a:hlinkClick xmlns:r="http://schemas.openxmlformats.org/officeDocument/2006/relationships" r:id="rId5"/>
        </xdr:cNvPr>
        <xdr:cNvSpPr/>
      </xdr:nvSpPr>
      <xdr:spPr>
        <a:xfrm>
          <a:off x="1933576" y="13373640"/>
          <a:ext cx="2752724"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Contracted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0</xdr:col>
      <xdr:colOff>57149</xdr:colOff>
      <xdr:row>0</xdr:row>
      <xdr:rowOff>28575</xdr:rowOff>
    </xdr:from>
    <xdr:ext cx="1032071" cy="447675"/>
    <xdr:sp macro="" textlink="">
      <xdr:nvSpPr>
        <xdr:cNvPr id="2" name="Rectangle 1">
          <a:hlinkClick xmlns:r="http://schemas.openxmlformats.org/officeDocument/2006/relationships" r:id="rId1"/>
        </xdr:cNvPr>
        <xdr:cNvSpPr/>
      </xdr:nvSpPr>
      <xdr:spPr>
        <a:xfrm>
          <a:off x="57149" y="28575"/>
          <a:ext cx="10320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1847850</xdr:colOff>
      <xdr:row>12</xdr:row>
      <xdr:rowOff>38100</xdr:rowOff>
    </xdr:from>
    <xdr:ext cx="1851404" cy="256636"/>
    <xdr:sp macro="" textlink="">
      <xdr:nvSpPr>
        <xdr:cNvPr id="3" name="Rectangle 2">
          <a:hlinkClick xmlns:r="http://schemas.openxmlformats.org/officeDocument/2006/relationships" r:id="rId2"/>
        </xdr:cNvPr>
        <xdr:cNvSpPr/>
      </xdr:nvSpPr>
      <xdr:spPr>
        <a:xfrm>
          <a:off x="2990850" y="3009900"/>
          <a:ext cx="1851404" cy="2566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2067800</xdr:colOff>
      <xdr:row>51</xdr:row>
      <xdr:rowOff>62452</xdr:rowOff>
    </xdr:from>
    <xdr:ext cx="1769907" cy="280205"/>
    <xdr:sp macro="" textlink="">
      <xdr:nvSpPr>
        <xdr:cNvPr id="4" name="Rectangle 3">
          <a:hlinkClick xmlns:r="http://schemas.openxmlformats.org/officeDocument/2006/relationships" r:id="rId3"/>
        </xdr:cNvPr>
        <xdr:cNvSpPr/>
      </xdr:nvSpPr>
      <xdr:spPr>
        <a:xfrm>
          <a:off x="3210800" y="9596977"/>
          <a:ext cx="1769907"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0</xdr:col>
      <xdr:colOff>28574</xdr:colOff>
      <xdr:row>0</xdr:row>
      <xdr:rowOff>28575</xdr:rowOff>
    </xdr:from>
    <xdr:ext cx="993971" cy="457200"/>
    <xdr:sp macro="" textlink="">
      <xdr:nvSpPr>
        <xdr:cNvPr id="2" name="Rectangle 1">
          <a:hlinkClick xmlns:r="http://schemas.openxmlformats.org/officeDocument/2006/relationships" r:id="rId1"/>
        </xdr:cNvPr>
        <xdr:cNvSpPr/>
      </xdr:nvSpPr>
      <xdr:spPr>
        <a:xfrm>
          <a:off x="28574" y="28575"/>
          <a:ext cx="9939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2150877</xdr:colOff>
      <xdr:row>12</xdr:row>
      <xdr:rowOff>38639</xdr:rowOff>
    </xdr:from>
    <xdr:ext cx="1851404" cy="280205"/>
    <xdr:sp macro="" textlink="">
      <xdr:nvSpPr>
        <xdr:cNvPr id="3" name="Rectangle 2">
          <a:hlinkClick xmlns:r="http://schemas.openxmlformats.org/officeDocument/2006/relationships" r:id="rId2"/>
        </xdr:cNvPr>
        <xdr:cNvSpPr/>
      </xdr:nvSpPr>
      <xdr:spPr>
        <a:xfrm>
          <a:off x="3227202" y="3200939"/>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1657365</xdr:colOff>
      <xdr:row>48</xdr:row>
      <xdr:rowOff>76739</xdr:rowOff>
    </xdr:from>
    <xdr:ext cx="2362185" cy="280205"/>
    <xdr:sp macro="" textlink="">
      <xdr:nvSpPr>
        <xdr:cNvPr id="4" name="Rectangle 3">
          <a:hlinkClick xmlns:r="http://schemas.openxmlformats.org/officeDocument/2006/relationships" r:id="rId3"/>
        </xdr:cNvPr>
        <xdr:cNvSpPr/>
      </xdr:nvSpPr>
      <xdr:spPr>
        <a:xfrm>
          <a:off x="2733690" y="9354089"/>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57149</xdr:colOff>
      <xdr:row>0</xdr:row>
      <xdr:rowOff>38100</xdr:rowOff>
    </xdr:from>
    <xdr:ext cx="993971" cy="485775"/>
    <xdr:sp macro="" textlink="">
      <xdr:nvSpPr>
        <xdr:cNvPr id="2" name="Rectangle 1">
          <a:hlinkClick xmlns:r="http://schemas.openxmlformats.org/officeDocument/2006/relationships" r:id="rId1"/>
        </xdr:cNvPr>
        <xdr:cNvSpPr/>
      </xdr:nvSpPr>
      <xdr:spPr>
        <a:xfrm>
          <a:off x="57149" y="38100"/>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0</xdr:col>
      <xdr:colOff>38100</xdr:colOff>
      <xdr:row>0</xdr:row>
      <xdr:rowOff>28574</xdr:rowOff>
    </xdr:from>
    <xdr:ext cx="965396" cy="504825"/>
    <xdr:sp macro="" textlink="">
      <xdr:nvSpPr>
        <xdr:cNvPr id="2" name="Rectangle 1">
          <a:hlinkClick xmlns:r="http://schemas.openxmlformats.org/officeDocument/2006/relationships" r:id="rId1"/>
        </xdr:cNvPr>
        <xdr:cNvSpPr/>
      </xdr:nvSpPr>
      <xdr:spPr>
        <a:xfrm>
          <a:off x="38100" y="28574"/>
          <a:ext cx="965396"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1746065</xdr:colOff>
      <xdr:row>12</xdr:row>
      <xdr:rowOff>29114</xdr:rowOff>
    </xdr:from>
    <xdr:ext cx="1851404" cy="280205"/>
    <xdr:sp macro="" textlink="">
      <xdr:nvSpPr>
        <xdr:cNvPr id="3" name="Rectangle 2">
          <a:hlinkClick xmlns:r="http://schemas.openxmlformats.org/officeDocument/2006/relationships" r:id="rId2"/>
        </xdr:cNvPr>
        <xdr:cNvSpPr/>
      </xdr:nvSpPr>
      <xdr:spPr>
        <a:xfrm>
          <a:off x="2793815" y="3210464"/>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Programs</a:t>
          </a:r>
        </a:p>
      </xdr:txBody>
    </xdr:sp>
    <xdr:clientData/>
  </xdr:oneCellAnchor>
  <xdr:oneCellAnchor>
    <xdr:from>
      <xdr:col>1</xdr:col>
      <xdr:colOff>1319228</xdr:colOff>
      <xdr:row>46</xdr:row>
      <xdr:rowOff>38639</xdr:rowOff>
    </xdr:from>
    <xdr:ext cx="2362185" cy="280205"/>
    <xdr:sp macro="" textlink="">
      <xdr:nvSpPr>
        <xdr:cNvPr id="4" name="Rectangle 3">
          <a:hlinkClick xmlns:r="http://schemas.openxmlformats.org/officeDocument/2006/relationships" r:id="rId3"/>
        </xdr:cNvPr>
        <xdr:cNvSpPr/>
      </xdr:nvSpPr>
      <xdr:spPr>
        <a:xfrm>
          <a:off x="2366978" y="9011189"/>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Savings Summary</a:t>
          </a: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28575</xdr:colOff>
      <xdr:row>0</xdr:row>
      <xdr:rowOff>28574</xdr:rowOff>
    </xdr:from>
    <xdr:ext cx="946346" cy="485775"/>
    <xdr:sp macro="" textlink="">
      <xdr:nvSpPr>
        <xdr:cNvPr id="2" name="Rectangle 1">
          <a:hlinkClick xmlns:r="http://schemas.openxmlformats.org/officeDocument/2006/relationships" r:id="rId1"/>
        </xdr:cNvPr>
        <xdr:cNvSpPr/>
      </xdr:nvSpPr>
      <xdr:spPr>
        <a:xfrm>
          <a:off x="28575" y="28574"/>
          <a:ext cx="946346"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1998478</xdr:colOff>
      <xdr:row>12</xdr:row>
      <xdr:rowOff>86264</xdr:rowOff>
    </xdr:from>
    <xdr:ext cx="1851404" cy="280205"/>
    <xdr:sp macro="" textlink="">
      <xdr:nvSpPr>
        <xdr:cNvPr id="3" name="Rectangle 2">
          <a:hlinkClick xmlns:r="http://schemas.openxmlformats.org/officeDocument/2006/relationships" r:id="rId2"/>
        </xdr:cNvPr>
        <xdr:cNvSpPr/>
      </xdr:nvSpPr>
      <xdr:spPr>
        <a:xfrm>
          <a:off x="3017653" y="3105689"/>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1563174</xdr:colOff>
      <xdr:row>51</xdr:row>
      <xdr:rowOff>74622</xdr:rowOff>
    </xdr:from>
    <xdr:ext cx="2362185" cy="280205"/>
    <xdr:sp macro="" textlink="">
      <xdr:nvSpPr>
        <xdr:cNvPr id="4" name="Rectangle 3">
          <a:hlinkClick xmlns:r="http://schemas.openxmlformats.org/officeDocument/2006/relationships" r:id="rId3"/>
        </xdr:cNvPr>
        <xdr:cNvSpPr/>
      </xdr:nvSpPr>
      <xdr:spPr>
        <a:xfrm>
          <a:off x="2579174" y="9620789"/>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Savings Summary</a:t>
          </a: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0</xdr:col>
      <xdr:colOff>38100</xdr:colOff>
      <xdr:row>0</xdr:row>
      <xdr:rowOff>38100</xdr:rowOff>
    </xdr:from>
    <xdr:ext cx="965396" cy="466725"/>
    <xdr:sp macro="" textlink="">
      <xdr:nvSpPr>
        <xdr:cNvPr id="2" name="Rectangle 1">
          <a:hlinkClick xmlns:r="http://schemas.openxmlformats.org/officeDocument/2006/relationships" r:id="rId1"/>
        </xdr:cNvPr>
        <xdr:cNvSpPr/>
      </xdr:nvSpPr>
      <xdr:spPr>
        <a:xfrm>
          <a:off x="38100" y="38100"/>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0</xdr:col>
      <xdr:colOff>28574</xdr:colOff>
      <xdr:row>0</xdr:row>
      <xdr:rowOff>28575</xdr:rowOff>
    </xdr:from>
    <xdr:ext cx="955871" cy="457200"/>
    <xdr:sp macro="" textlink="">
      <xdr:nvSpPr>
        <xdr:cNvPr id="2" name="Rectangle 1">
          <a:hlinkClick xmlns:r="http://schemas.openxmlformats.org/officeDocument/2006/relationships" r:id="rId1"/>
        </xdr:cNvPr>
        <xdr:cNvSpPr/>
      </xdr:nvSpPr>
      <xdr:spPr>
        <a:xfrm>
          <a:off x="28574" y="28575"/>
          <a:ext cx="95587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1669864</xdr:colOff>
      <xdr:row>13</xdr:row>
      <xdr:rowOff>24352</xdr:rowOff>
    </xdr:from>
    <xdr:ext cx="1851404" cy="280205"/>
    <xdr:sp macro="" textlink="">
      <xdr:nvSpPr>
        <xdr:cNvPr id="3" name="Rectangle 2">
          <a:hlinkClick xmlns:r="http://schemas.openxmlformats.org/officeDocument/2006/relationships" r:id="rId2"/>
        </xdr:cNvPr>
        <xdr:cNvSpPr/>
      </xdr:nvSpPr>
      <xdr:spPr>
        <a:xfrm>
          <a:off x="2689039" y="3329527"/>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1594330</xdr:colOff>
      <xdr:row>14</xdr:row>
      <xdr:rowOff>52927</xdr:rowOff>
    </xdr:from>
    <xdr:ext cx="2002471" cy="280205"/>
    <xdr:sp macro="" textlink="">
      <xdr:nvSpPr>
        <xdr:cNvPr id="4" name="Rectangle 3">
          <a:hlinkClick xmlns:r="http://schemas.openxmlformats.org/officeDocument/2006/relationships" r:id="rId3"/>
        </xdr:cNvPr>
        <xdr:cNvSpPr/>
      </xdr:nvSpPr>
      <xdr:spPr>
        <a:xfrm>
          <a:off x="2613505" y="3729577"/>
          <a:ext cx="2002471"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Contracted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1243027</xdr:colOff>
      <xdr:row>58</xdr:row>
      <xdr:rowOff>33877</xdr:rowOff>
    </xdr:from>
    <xdr:ext cx="2362185" cy="280205"/>
    <xdr:sp macro="" textlink="">
      <xdr:nvSpPr>
        <xdr:cNvPr id="5" name="Rectangle 4">
          <a:hlinkClick xmlns:r="http://schemas.openxmlformats.org/officeDocument/2006/relationships" r:id="rId4"/>
        </xdr:cNvPr>
        <xdr:cNvSpPr/>
      </xdr:nvSpPr>
      <xdr:spPr>
        <a:xfrm>
          <a:off x="2262202" y="11120977"/>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1110343</xdr:colOff>
      <xdr:row>70</xdr:row>
      <xdr:rowOff>91027</xdr:rowOff>
    </xdr:from>
    <xdr:ext cx="2513252" cy="280205"/>
    <xdr:sp macro="" textlink="">
      <xdr:nvSpPr>
        <xdr:cNvPr id="6" name="Rectangle 5">
          <a:hlinkClick xmlns:r="http://schemas.openxmlformats.org/officeDocument/2006/relationships" r:id="rId5"/>
        </xdr:cNvPr>
        <xdr:cNvSpPr/>
      </xdr:nvSpPr>
      <xdr:spPr>
        <a:xfrm>
          <a:off x="2129518" y="13340302"/>
          <a:ext cx="2513252"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Savings Summary</a:t>
          </a: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0</xdr:col>
      <xdr:colOff>28575</xdr:colOff>
      <xdr:row>0</xdr:row>
      <xdr:rowOff>19050</xdr:rowOff>
    </xdr:from>
    <xdr:ext cx="965396" cy="495300"/>
    <xdr:sp macro="" textlink="">
      <xdr:nvSpPr>
        <xdr:cNvPr id="2" name="Rectangle 1">
          <a:hlinkClick xmlns:r="http://schemas.openxmlformats.org/officeDocument/2006/relationships" r:id="rId1"/>
        </xdr:cNvPr>
        <xdr:cNvSpPr/>
      </xdr:nvSpPr>
      <xdr:spPr>
        <a:xfrm>
          <a:off x="28575" y="19050"/>
          <a:ext cx="965396"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1773053</xdr:colOff>
      <xdr:row>13</xdr:row>
      <xdr:rowOff>46577</xdr:rowOff>
    </xdr:from>
    <xdr:ext cx="1851404" cy="280205"/>
    <xdr:sp macro="" textlink="">
      <xdr:nvSpPr>
        <xdr:cNvPr id="3" name="Rectangle 2">
          <a:hlinkClick xmlns:r="http://schemas.openxmlformats.org/officeDocument/2006/relationships" r:id="rId2"/>
        </xdr:cNvPr>
        <xdr:cNvSpPr/>
      </xdr:nvSpPr>
      <xdr:spPr>
        <a:xfrm>
          <a:off x="2799636" y="3369744"/>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Programs</a:t>
          </a:r>
        </a:p>
      </xdr:txBody>
    </xdr:sp>
    <xdr:clientData/>
  </xdr:oneCellAnchor>
  <xdr:oneCellAnchor>
    <xdr:from>
      <xdr:col>1</xdr:col>
      <xdr:colOff>1682704</xdr:colOff>
      <xdr:row>14</xdr:row>
      <xdr:rowOff>58221</xdr:rowOff>
    </xdr:from>
    <xdr:ext cx="2002471" cy="280205"/>
    <xdr:sp macro="" textlink="">
      <xdr:nvSpPr>
        <xdr:cNvPr id="4" name="Rectangle 3">
          <a:hlinkClick xmlns:r="http://schemas.openxmlformats.org/officeDocument/2006/relationships" r:id="rId3"/>
        </xdr:cNvPr>
        <xdr:cNvSpPr/>
      </xdr:nvSpPr>
      <xdr:spPr>
        <a:xfrm>
          <a:off x="2709287" y="3772971"/>
          <a:ext cx="2002471"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Programs</a:t>
          </a:r>
        </a:p>
      </xdr:txBody>
    </xdr:sp>
    <xdr:clientData/>
  </xdr:oneCellAnchor>
  <xdr:oneCellAnchor>
    <xdr:from>
      <xdr:col>1</xdr:col>
      <xdr:colOff>1285891</xdr:colOff>
      <xdr:row>54</xdr:row>
      <xdr:rowOff>28585</xdr:rowOff>
    </xdr:from>
    <xdr:ext cx="2362185" cy="280205"/>
    <xdr:sp macro="" textlink="">
      <xdr:nvSpPr>
        <xdr:cNvPr id="5" name="Rectangle 4">
          <a:hlinkClick xmlns:r="http://schemas.openxmlformats.org/officeDocument/2006/relationships" r:id="rId4"/>
        </xdr:cNvPr>
        <xdr:cNvSpPr/>
      </xdr:nvSpPr>
      <xdr:spPr>
        <a:xfrm>
          <a:off x="2312474" y="10442585"/>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1172255</xdr:colOff>
      <xdr:row>58</xdr:row>
      <xdr:rowOff>62452</xdr:rowOff>
    </xdr:from>
    <xdr:ext cx="2513252" cy="280205"/>
    <xdr:sp macro="" textlink="">
      <xdr:nvSpPr>
        <xdr:cNvPr id="6" name="Rectangle 5">
          <a:hlinkClick xmlns:r="http://schemas.openxmlformats.org/officeDocument/2006/relationships" r:id="rId5"/>
        </xdr:cNvPr>
        <xdr:cNvSpPr/>
      </xdr:nvSpPr>
      <xdr:spPr>
        <a:xfrm>
          <a:off x="2198838" y="11312535"/>
          <a:ext cx="2513252"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Savings Summary</a:t>
          </a: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28575</xdr:colOff>
      <xdr:row>0</xdr:row>
      <xdr:rowOff>38100</xdr:rowOff>
    </xdr:from>
    <xdr:ext cx="965396" cy="476250"/>
    <xdr:sp macro="" textlink="">
      <xdr:nvSpPr>
        <xdr:cNvPr id="2" name="Rectangle 1">
          <a:hlinkClick xmlns:r="http://schemas.openxmlformats.org/officeDocument/2006/relationships" r:id="rId1"/>
        </xdr:cNvPr>
        <xdr:cNvSpPr/>
      </xdr:nvSpPr>
      <xdr:spPr>
        <a:xfrm>
          <a:off x="28575" y="38100"/>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1955615</xdr:colOff>
      <xdr:row>12</xdr:row>
      <xdr:rowOff>29114</xdr:rowOff>
    </xdr:from>
    <xdr:ext cx="1851404" cy="280205"/>
    <xdr:sp macro="" textlink="">
      <xdr:nvSpPr>
        <xdr:cNvPr id="3" name="Rectangle 2">
          <a:hlinkClick xmlns:r="http://schemas.openxmlformats.org/officeDocument/2006/relationships" r:id="rId2"/>
        </xdr:cNvPr>
        <xdr:cNvSpPr/>
      </xdr:nvSpPr>
      <xdr:spPr>
        <a:xfrm>
          <a:off x="3012890" y="3200939"/>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1433529</xdr:colOff>
      <xdr:row>48</xdr:row>
      <xdr:rowOff>48164</xdr:rowOff>
    </xdr:from>
    <xdr:ext cx="2362185" cy="280205"/>
    <xdr:sp macro="" textlink="">
      <xdr:nvSpPr>
        <xdr:cNvPr id="4" name="Rectangle 3">
          <a:hlinkClick xmlns:r="http://schemas.openxmlformats.org/officeDocument/2006/relationships" r:id="rId3"/>
        </xdr:cNvPr>
        <xdr:cNvSpPr/>
      </xdr:nvSpPr>
      <xdr:spPr>
        <a:xfrm>
          <a:off x="2490804" y="9325514"/>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0</xdr:col>
      <xdr:colOff>38099</xdr:colOff>
      <xdr:row>0</xdr:row>
      <xdr:rowOff>38100</xdr:rowOff>
    </xdr:from>
    <xdr:ext cx="955871" cy="438150"/>
    <xdr:sp macro="" textlink="">
      <xdr:nvSpPr>
        <xdr:cNvPr id="2" name="Rectangle 1">
          <a:hlinkClick xmlns:r="http://schemas.openxmlformats.org/officeDocument/2006/relationships" r:id="rId1"/>
        </xdr:cNvPr>
        <xdr:cNvSpPr/>
      </xdr:nvSpPr>
      <xdr:spPr>
        <a:xfrm>
          <a:off x="38099" y="38100"/>
          <a:ext cx="955871" cy="4381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1812740</xdr:colOff>
      <xdr:row>12</xdr:row>
      <xdr:rowOff>41018</xdr:rowOff>
    </xdr:from>
    <xdr:ext cx="1851404" cy="280205"/>
    <xdr:sp macro="" textlink="">
      <xdr:nvSpPr>
        <xdr:cNvPr id="3" name="Rectangle 2">
          <a:hlinkClick xmlns:r="http://schemas.openxmlformats.org/officeDocument/2006/relationships" r:id="rId2"/>
        </xdr:cNvPr>
        <xdr:cNvSpPr/>
      </xdr:nvSpPr>
      <xdr:spPr>
        <a:xfrm>
          <a:off x="2836678" y="3184268"/>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1328753</xdr:colOff>
      <xdr:row>50</xdr:row>
      <xdr:rowOff>57689</xdr:rowOff>
    </xdr:from>
    <xdr:ext cx="2362185" cy="280205"/>
    <xdr:sp macro="" textlink="">
      <xdr:nvSpPr>
        <xdr:cNvPr id="4" name="Rectangle 3">
          <a:hlinkClick xmlns:r="http://schemas.openxmlformats.org/officeDocument/2006/relationships" r:id="rId3"/>
        </xdr:cNvPr>
        <xdr:cNvSpPr/>
      </xdr:nvSpPr>
      <xdr:spPr>
        <a:xfrm>
          <a:off x="2357453" y="9630314"/>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 Savings Summary</a:t>
          </a: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0</xdr:col>
      <xdr:colOff>28575</xdr:colOff>
      <xdr:row>0</xdr:row>
      <xdr:rowOff>28575</xdr:rowOff>
    </xdr:from>
    <xdr:ext cx="946346" cy="447675"/>
    <xdr:sp macro="" textlink="">
      <xdr:nvSpPr>
        <xdr:cNvPr id="2" name="Rectangle 1">
          <a:hlinkClick xmlns:r="http://schemas.openxmlformats.org/officeDocument/2006/relationships" r:id="rId1"/>
        </xdr:cNvPr>
        <xdr:cNvSpPr/>
      </xdr:nvSpPr>
      <xdr:spPr>
        <a:xfrm>
          <a:off x="28575" y="28575"/>
          <a:ext cx="94634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38099</xdr:colOff>
      <xdr:row>0</xdr:row>
      <xdr:rowOff>28575</xdr:rowOff>
    </xdr:from>
    <xdr:ext cx="955871" cy="447675"/>
    <xdr:sp macro="" textlink="">
      <xdr:nvSpPr>
        <xdr:cNvPr id="2" name="Rectangle 1">
          <a:hlinkClick xmlns:r="http://schemas.openxmlformats.org/officeDocument/2006/relationships" r:id="rId1"/>
        </xdr:cNvPr>
        <xdr:cNvSpPr/>
      </xdr:nvSpPr>
      <xdr:spPr>
        <a:xfrm>
          <a:off x="38099" y="28575"/>
          <a:ext cx="9558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1931802</xdr:colOff>
      <xdr:row>13</xdr:row>
      <xdr:rowOff>33877</xdr:rowOff>
    </xdr:from>
    <xdr:ext cx="1851404" cy="280205"/>
    <xdr:sp macro="" textlink="">
      <xdr:nvSpPr>
        <xdr:cNvPr id="3" name="Rectangle 2">
          <a:hlinkClick xmlns:r="http://schemas.openxmlformats.org/officeDocument/2006/relationships" r:id="rId2"/>
        </xdr:cNvPr>
        <xdr:cNvSpPr/>
      </xdr:nvSpPr>
      <xdr:spPr>
        <a:xfrm>
          <a:off x="2960502" y="3329527"/>
          <a:ext cx="1851404"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o In-house Programs</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1827696</xdr:colOff>
      <xdr:row>14</xdr:row>
      <xdr:rowOff>33877</xdr:rowOff>
    </xdr:from>
    <xdr:ext cx="2002471" cy="280205"/>
    <xdr:sp macro="" textlink="">
      <xdr:nvSpPr>
        <xdr:cNvPr id="4" name="Rectangle 3">
          <a:hlinkClick xmlns:r="http://schemas.openxmlformats.org/officeDocument/2006/relationships" r:id="rId3"/>
        </xdr:cNvPr>
        <xdr:cNvSpPr/>
      </xdr:nvSpPr>
      <xdr:spPr>
        <a:xfrm>
          <a:off x="2856396" y="3691477"/>
          <a:ext cx="2002471"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Programs</a:t>
          </a:r>
        </a:p>
      </xdr:txBody>
    </xdr:sp>
    <xdr:clientData/>
  </xdr:oneCellAnchor>
  <xdr:oneCellAnchor>
    <xdr:from>
      <xdr:col>1</xdr:col>
      <xdr:colOff>1447817</xdr:colOff>
      <xdr:row>54</xdr:row>
      <xdr:rowOff>43402</xdr:rowOff>
    </xdr:from>
    <xdr:ext cx="2362185" cy="280205"/>
    <xdr:sp macro="" textlink="">
      <xdr:nvSpPr>
        <xdr:cNvPr id="5" name="Rectangle 4">
          <a:hlinkClick xmlns:r="http://schemas.openxmlformats.org/officeDocument/2006/relationships" r:id="rId4"/>
        </xdr:cNvPr>
        <xdr:cNvSpPr/>
      </xdr:nvSpPr>
      <xdr:spPr>
        <a:xfrm>
          <a:off x="2476517" y="10463752"/>
          <a:ext cx="2362185"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In-house</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Savings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1</xdr:col>
      <xdr:colOff>1305605</xdr:colOff>
      <xdr:row>59</xdr:row>
      <xdr:rowOff>33877</xdr:rowOff>
    </xdr:from>
    <xdr:ext cx="2513252" cy="280205"/>
    <xdr:sp macro="" textlink="">
      <xdr:nvSpPr>
        <xdr:cNvPr id="6" name="Rectangle 5">
          <a:hlinkClick xmlns:r="http://schemas.openxmlformats.org/officeDocument/2006/relationships" r:id="rId5"/>
        </xdr:cNvPr>
        <xdr:cNvSpPr/>
      </xdr:nvSpPr>
      <xdr:spPr>
        <a:xfrm>
          <a:off x="2334305" y="11482927"/>
          <a:ext cx="2513252"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Link to Contracted Savings</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Summary</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0</xdr:col>
      <xdr:colOff>57149</xdr:colOff>
      <xdr:row>0</xdr:row>
      <xdr:rowOff>38100</xdr:rowOff>
    </xdr:from>
    <xdr:ext cx="974921" cy="476250"/>
    <xdr:sp macro="" textlink="">
      <xdr:nvSpPr>
        <xdr:cNvPr id="2" name="Rectangle 1">
          <a:hlinkClick xmlns:r="http://schemas.openxmlformats.org/officeDocument/2006/relationships" r:id="rId1"/>
        </xdr:cNvPr>
        <xdr:cNvSpPr/>
      </xdr:nvSpPr>
      <xdr:spPr>
        <a:xfrm>
          <a:off x="57149" y="38100"/>
          <a:ext cx="9749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47624</xdr:colOff>
      <xdr:row>0</xdr:row>
      <xdr:rowOff>28575</xdr:rowOff>
    </xdr:from>
    <xdr:ext cx="946345" cy="466725"/>
    <xdr:sp macro="" textlink="">
      <xdr:nvSpPr>
        <xdr:cNvPr id="2" name="Rectangle 1">
          <a:hlinkClick xmlns:r="http://schemas.openxmlformats.org/officeDocument/2006/relationships" r:id="rId1"/>
        </xdr:cNvPr>
        <xdr:cNvSpPr/>
      </xdr:nvSpPr>
      <xdr:spPr>
        <a:xfrm>
          <a:off x="47624" y="28575"/>
          <a:ext cx="946345"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0.xml><?xml version="1.0" encoding="utf-8"?>
<xdr:wsDr xmlns:xdr="http://schemas.openxmlformats.org/drawingml/2006/spreadsheetDrawing" xmlns:a="http://schemas.openxmlformats.org/drawingml/2006/main">
  <xdr:oneCellAnchor>
    <xdr:from>
      <xdr:col>0</xdr:col>
      <xdr:colOff>38099</xdr:colOff>
      <xdr:row>0</xdr:row>
      <xdr:rowOff>38100</xdr:rowOff>
    </xdr:from>
    <xdr:ext cx="955871" cy="476250"/>
    <xdr:sp macro="" textlink="">
      <xdr:nvSpPr>
        <xdr:cNvPr id="2" name="Rectangle 1">
          <a:hlinkClick xmlns:r="http://schemas.openxmlformats.org/officeDocument/2006/relationships" r:id="rId1"/>
        </xdr:cNvPr>
        <xdr:cNvSpPr/>
      </xdr:nvSpPr>
      <xdr:spPr>
        <a:xfrm>
          <a:off x="38099" y="38100"/>
          <a:ext cx="9558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0</xdr:col>
      <xdr:colOff>47625</xdr:colOff>
      <xdr:row>0</xdr:row>
      <xdr:rowOff>28575</xdr:rowOff>
    </xdr:from>
    <xdr:ext cx="984446" cy="466725"/>
    <xdr:sp macro="" textlink="">
      <xdr:nvSpPr>
        <xdr:cNvPr id="2" name="Rectangle 1">
          <a:hlinkClick xmlns:r="http://schemas.openxmlformats.org/officeDocument/2006/relationships" r:id="rId1"/>
        </xdr:cNvPr>
        <xdr:cNvSpPr/>
      </xdr:nvSpPr>
      <xdr:spPr>
        <a:xfrm>
          <a:off x="47625" y="28575"/>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38099</xdr:colOff>
      <xdr:row>0</xdr:row>
      <xdr:rowOff>38100</xdr:rowOff>
    </xdr:from>
    <xdr:ext cx="974921" cy="457200"/>
    <xdr:sp macro="" textlink="">
      <xdr:nvSpPr>
        <xdr:cNvPr id="2" name="Rectangle 1">
          <a:hlinkClick xmlns:r="http://schemas.openxmlformats.org/officeDocument/2006/relationships" r:id="rId1"/>
        </xdr:cNvPr>
        <xdr:cNvSpPr/>
      </xdr:nvSpPr>
      <xdr:spPr>
        <a:xfrm>
          <a:off x="38099" y="38100"/>
          <a:ext cx="974921"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0</xdr:col>
      <xdr:colOff>38099</xdr:colOff>
      <xdr:row>0</xdr:row>
      <xdr:rowOff>38100</xdr:rowOff>
    </xdr:from>
    <xdr:ext cx="955871" cy="476250"/>
    <xdr:sp macro="" textlink="">
      <xdr:nvSpPr>
        <xdr:cNvPr id="2" name="Rectangle 1">
          <a:hlinkClick xmlns:r="http://schemas.openxmlformats.org/officeDocument/2006/relationships" r:id="rId1"/>
        </xdr:cNvPr>
        <xdr:cNvSpPr/>
      </xdr:nvSpPr>
      <xdr:spPr>
        <a:xfrm>
          <a:off x="38099" y="38100"/>
          <a:ext cx="9558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0</xdr:col>
      <xdr:colOff>47625</xdr:colOff>
      <xdr:row>0</xdr:row>
      <xdr:rowOff>38099</xdr:rowOff>
    </xdr:from>
    <xdr:ext cx="984446" cy="466725"/>
    <xdr:sp macro="" textlink="">
      <xdr:nvSpPr>
        <xdr:cNvPr id="2" name="Rectangle 1">
          <a:hlinkClick xmlns:r="http://schemas.openxmlformats.org/officeDocument/2006/relationships" r:id="rId1"/>
        </xdr:cNvPr>
        <xdr:cNvSpPr/>
      </xdr:nvSpPr>
      <xdr:spPr>
        <a:xfrm>
          <a:off x="47625" y="38099"/>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0</xdr:col>
      <xdr:colOff>47625</xdr:colOff>
      <xdr:row>0</xdr:row>
      <xdr:rowOff>38100</xdr:rowOff>
    </xdr:from>
    <xdr:ext cx="965396" cy="476250"/>
    <xdr:sp macro="" textlink="">
      <xdr:nvSpPr>
        <xdr:cNvPr id="2" name="Rectangle 1">
          <a:hlinkClick xmlns:r="http://schemas.openxmlformats.org/officeDocument/2006/relationships" r:id="rId1"/>
        </xdr:cNvPr>
        <xdr:cNvSpPr/>
      </xdr:nvSpPr>
      <xdr:spPr>
        <a:xfrm>
          <a:off x="47625" y="38100"/>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0</xdr:col>
      <xdr:colOff>47624</xdr:colOff>
      <xdr:row>0</xdr:row>
      <xdr:rowOff>28575</xdr:rowOff>
    </xdr:from>
    <xdr:ext cx="974921" cy="485775"/>
    <xdr:sp macro="" textlink="">
      <xdr:nvSpPr>
        <xdr:cNvPr id="2" name="Rectangle 1">
          <a:hlinkClick xmlns:r="http://schemas.openxmlformats.org/officeDocument/2006/relationships" r:id="rId1"/>
        </xdr:cNvPr>
        <xdr:cNvSpPr/>
      </xdr:nvSpPr>
      <xdr:spPr>
        <a:xfrm>
          <a:off x="47624" y="28575"/>
          <a:ext cx="97492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0</xdr:col>
      <xdr:colOff>38100</xdr:colOff>
      <xdr:row>0</xdr:row>
      <xdr:rowOff>19050</xdr:rowOff>
    </xdr:from>
    <xdr:ext cx="965396" cy="466725"/>
    <xdr:sp macro="" textlink="">
      <xdr:nvSpPr>
        <xdr:cNvPr id="2" name="Rectangle 1">
          <a:hlinkClick xmlns:r="http://schemas.openxmlformats.org/officeDocument/2006/relationships" r:id="rId1"/>
        </xdr:cNvPr>
        <xdr:cNvSpPr/>
      </xdr:nvSpPr>
      <xdr:spPr>
        <a:xfrm>
          <a:off x="38100" y="19050"/>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0</xdr:col>
      <xdr:colOff>47625</xdr:colOff>
      <xdr:row>0</xdr:row>
      <xdr:rowOff>28574</xdr:rowOff>
    </xdr:from>
    <xdr:ext cx="984446" cy="485775"/>
    <xdr:sp macro="" textlink="">
      <xdr:nvSpPr>
        <xdr:cNvPr id="2" name="Rectangle 1">
          <a:hlinkClick xmlns:r="http://schemas.openxmlformats.org/officeDocument/2006/relationships" r:id="rId1"/>
        </xdr:cNvPr>
        <xdr:cNvSpPr/>
      </xdr:nvSpPr>
      <xdr:spPr>
        <a:xfrm>
          <a:off x="47625" y="28574"/>
          <a:ext cx="984446"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0</xdr:col>
      <xdr:colOff>28575</xdr:colOff>
      <xdr:row>0</xdr:row>
      <xdr:rowOff>28575</xdr:rowOff>
    </xdr:from>
    <xdr:ext cx="1003496" cy="447675"/>
    <xdr:sp macro="" textlink="">
      <xdr:nvSpPr>
        <xdr:cNvPr id="2" name="Rectangle 1">
          <a:hlinkClick xmlns:r="http://schemas.openxmlformats.org/officeDocument/2006/relationships" r:id="rId1"/>
        </xdr:cNvPr>
        <xdr:cNvSpPr/>
      </xdr:nvSpPr>
      <xdr:spPr>
        <a:xfrm>
          <a:off x="28575" y="28575"/>
          <a:ext cx="100349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5" cy="485775"/>
    <xdr:sp macro="" textlink="">
      <xdr:nvSpPr>
        <xdr:cNvPr id="2" name="Rectangle 1">
          <a:hlinkClick xmlns:r="http://schemas.openxmlformats.org/officeDocument/2006/relationships" r:id="rId1"/>
        </xdr:cNvPr>
        <xdr:cNvSpPr/>
      </xdr:nvSpPr>
      <xdr:spPr>
        <a:xfrm>
          <a:off x="38100" y="28575"/>
          <a:ext cx="965395"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0.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66725"/>
    <xdr:sp macro="" textlink="">
      <xdr:nvSpPr>
        <xdr:cNvPr id="2" name="Rectangle 1">
          <a:hlinkClick xmlns:r="http://schemas.openxmlformats.org/officeDocument/2006/relationships" r:id="rId1"/>
        </xdr:cNvPr>
        <xdr:cNvSpPr/>
      </xdr:nvSpPr>
      <xdr:spPr>
        <a:xfrm>
          <a:off x="28575" y="28575"/>
          <a:ext cx="96539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0</xdr:col>
      <xdr:colOff>28575</xdr:colOff>
      <xdr:row>0</xdr:row>
      <xdr:rowOff>38100</xdr:rowOff>
    </xdr:from>
    <xdr:ext cx="965396" cy="476250"/>
    <xdr:sp macro="" textlink="">
      <xdr:nvSpPr>
        <xdr:cNvPr id="2" name="Rectangle 1">
          <a:hlinkClick xmlns:r="http://schemas.openxmlformats.org/officeDocument/2006/relationships" r:id="rId1"/>
        </xdr:cNvPr>
        <xdr:cNvSpPr/>
      </xdr:nvSpPr>
      <xdr:spPr>
        <a:xfrm>
          <a:off x="28575" y="38100"/>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0</xdr:col>
      <xdr:colOff>38100</xdr:colOff>
      <xdr:row>0</xdr:row>
      <xdr:rowOff>28574</xdr:rowOff>
    </xdr:from>
    <xdr:ext cx="984446" cy="466725"/>
    <xdr:sp macro="" textlink="">
      <xdr:nvSpPr>
        <xdr:cNvPr id="2" name="Rectangle 1">
          <a:hlinkClick xmlns:r="http://schemas.openxmlformats.org/officeDocument/2006/relationships" r:id="rId1"/>
        </xdr:cNvPr>
        <xdr:cNvSpPr/>
      </xdr:nvSpPr>
      <xdr:spPr>
        <a:xfrm>
          <a:off x="38100" y="28574"/>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0</xdr:col>
      <xdr:colOff>38100</xdr:colOff>
      <xdr:row>0</xdr:row>
      <xdr:rowOff>28575</xdr:rowOff>
    </xdr:from>
    <xdr:ext cx="946346" cy="457200"/>
    <xdr:sp macro="" textlink="">
      <xdr:nvSpPr>
        <xdr:cNvPr id="2" name="Rectangle 1">
          <a:hlinkClick xmlns:r="http://schemas.openxmlformats.org/officeDocument/2006/relationships" r:id="rId1"/>
        </xdr:cNvPr>
        <xdr:cNvSpPr/>
      </xdr:nvSpPr>
      <xdr:spPr>
        <a:xfrm>
          <a:off x="38100" y="28575"/>
          <a:ext cx="94634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0</xdr:col>
      <xdr:colOff>28575</xdr:colOff>
      <xdr:row>0</xdr:row>
      <xdr:rowOff>28574</xdr:rowOff>
    </xdr:from>
    <xdr:ext cx="946346" cy="476251"/>
    <xdr:sp macro="" textlink="">
      <xdr:nvSpPr>
        <xdr:cNvPr id="2" name="Rectangle 1">
          <a:hlinkClick xmlns:r="http://schemas.openxmlformats.org/officeDocument/2006/relationships" r:id="rId1"/>
        </xdr:cNvPr>
        <xdr:cNvSpPr/>
      </xdr:nvSpPr>
      <xdr:spPr>
        <a:xfrm>
          <a:off x="28575" y="28574"/>
          <a:ext cx="946346" cy="4762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0</xdr:col>
      <xdr:colOff>38100</xdr:colOff>
      <xdr:row>0</xdr:row>
      <xdr:rowOff>19050</xdr:rowOff>
    </xdr:from>
    <xdr:ext cx="984446" cy="466725"/>
    <xdr:sp macro="" textlink="">
      <xdr:nvSpPr>
        <xdr:cNvPr id="2" name="Rectangle 1">
          <a:hlinkClick xmlns:r="http://schemas.openxmlformats.org/officeDocument/2006/relationships" r:id="rId1"/>
        </xdr:cNvPr>
        <xdr:cNvSpPr/>
      </xdr:nvSpPr>
      <xdr:spPr>
        <a:xfrm>
          <a:off x="38100" y="19050"/>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6" cy="476250"/>
    <xdr:sp macro="" textlink="">
      <xdr:nvSpPr>
        <xdr:cNvPr id="2" name="Rectangle 1">
          <a:hlinkClick xmlns:r="http://schemas.openxmlformats.org/officeDocument/2006/relationships" r:id="rId1"/>
        </xdr:cNvPr>
        <xdr:cNvSpPr/>
      </xdr:nvSpPr>
      <xdr:spPr>
        <a:xfrm>
          <a:off x="38100" y="28575"/>
          <a:ext cx="965396"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0</xdr:col>
      <xdr:colOff>38099</xdr:colOff>
      <xdr:row>0</xdr:row>
      <xdr:rowOff>28575</xdr:rowOff>
    </xdr:from>
    <xdr:ext cx="955871" cy="447675"/>
    <xdr:sp macro="" textlink="">
      <xdr:nvSpPr>
        <xdr:cNvPr id="2" name="Rectangle 1">
          <a:hlinkClick xmlns:r="http://schemas.openxmlformats.org/officeDocument/2006/relationships" r:id="rId1"/>
        </xdr:cNvPr>
        <xdr:cNvSpPr/>
      </xdr:nvSpPr>
      <xdr:spPr>
        <a:xfrm>
          <a:off x="38099" y="28575"/>
          <a:ext cx="9558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0</xdr:col>
      <xdr:colOff>38099</xdr:colOff>
      <xdr:row>0</xdr:row>
      <xdr:rowOff>28575</xdr:rowOff>
    </xdr:from>
    <xdr:ext cx="955871" cy="447675"/>
    <xdr:sp macro="" textlink="">
      <xdr:nvSpPr>
        <xdr:cNvPr id="2" name="Rectangle 1">
          <a:hlinkClick xmlns:r="http://schemas.openxmlformats.org/officeDocument/2006/relationships" r:id="rId1"/>
        </xdr:cNvPr>
        <xdr:cNvSpPr/>
      </xdr:nvSpPr>
      <xdr:spPr>
        <a:xfrm>
          <a:off x="38099" y="28575"/>
          <a:ext cx="955871"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0</xdr:col>
      <xdr:colOff>38099</xdr:colOff>
      <xdr:row>0</xdr:row>
      <xdr:rowOff>28575</xdr:rowOff>
    </xdr:from>
    <xdr:ext cx="993971" cy="466725"/>
    <xdr:sp macro="" textlink="">
      <xdr:nvSpPr>
        <xdr:cNvPr id="2" name="Rectangle 1">
          <a:hlinkClick xmlns:r="http://schemas.openxmlformats.org/officeDocument/2006/relationships" r:id="rId1"/>
        </xdr:cNvPr>
        <xdr:cNvSpPr/>
      </xdr:nvSpPr>
      <xdr:spPr>
        <a:xfrm>
          <a:off x="38099" y="28575"/>
          <a:ext cx="99397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28575</xdr:rowOff>
    </xdr:from>
    <xdr:ext cx="993971" cy="485775"/>
    <xdr:sp macro="" textlink="">
      <xdr:nvSpPr>
        <xdr:cNvPr id="2" name="Rectangle 1">
          <a:hlinkClick xmlns:r="http://schemas.openxmlformats.org/officeDocument/2006/relationships" r:id="rId1"/>
        </xdr:cNvPr>
        <xdr:cNvSpPr/>
      </xdr:nvSpPr>
      <xdr:spPr>
        <a:xfrm>
          <a:off x="38100" y="28575"/>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0.xml><?xml version="1.0" encoding="utf-8"?>
<xdr:wsDr xmlns:xdr="http://schemas.openxmlformats.org/drawingml/2006/spreadsheetDrawing" xmlns:a="http://schemas.openxmlformats.org/drawingml/2006/main">
  <xdr:oneCellAnchor>
    <xdr:from>
      <xdr:col>0</xdr:col>
      <xdr:colOff>38100</xdr:colOff>
      <xdr:row>0</xdr:row>
      <xdr:rowOff>28575</xdr:rowOff>
    </xdr:from>
    <xdr:ext cx="984446" cy="438150"/>
    <xdr:sp macro="" textlink="">
      <xdr:nvSpPr>
        <xdr:cNvPr id="2" name="Rectangle 1">
          <a:hlinkClick xmlns:r="http://schemas.openxmlformats.org/officeDocument/2006/relationships" r:id="rId1"/>
        </xdr:cNvPr>
        <xdr:cNvSpPr/>
      </xdr:nvSpPr>
      <xdr:spPr>
        <a:xfrm>
          <a:off x="38100" y="28575"/>
          <a:ext cx="984446" cy="4381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1.xml><?xml version="1.0" encoding="utf-8"?>
<xdr:wsDr xmlns:xdr="http://schemas.openxmlformats.org/drawingml/2006/spreadsheetDrawing" xmlns:a="http://schemas.openxmlformats.org/drawingml/2006/main">
  <xdr:oneCellAnchor>
    <xdr:from>
      <xdr:col>0</xdr:col>
      <xdr:colOff>38099</xdr:colOff>
      <xdr:row>0</xdr:row>
      <xdr:rowOff>38100</xdr:rowOff>
    </xdr:from>
    <xdr:ext cx="993971" cy="485775"/>
    <xdr:sp macro="" textlink="">
      <xdr:nvSpPr>
        <xdr:cNvPr id="2" name="Rectangle 1">
          <a:hlinkClick xmlns:r="http://schemas.openxmlformats.org/officeDocument/2006/relationships" r:id="rId1"/>
        </xdr:cNvPr>
        <xdr:cNvSpPr/>
      </xdr:nvSpPr>
      <xdr:spPr>
        <a:xfrm>
          <a:off x="38099" y="38100"/>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0</xdr:col>
      <xdr:colOff>38099</xdr:colOff>
      <xdr:row>0</xdr:row>
      <xdr:rowOff>38100</xdr:rowOff>
    </xdr:from>
    <xdr:ext cx="993971" cy="485775"/>
    <xdr:sp macro="" textlink="">
      <xdr:nvSpPr>
        <xdr:cNvPr id="2" name="Rectangle 1">
          <a:hlinkClick xmlns:r="http://schemas.openxmlformats.org/officeDocument/2006/relationships" r:id="rId1"/>
        </xdr:cNvPr>
        <xdr:cNvSpPr/>
      </xdr:nvSpPr>
      <xdr:spPr>
        <a:xfrm>
          <a:off x="38099" y="38100"/>
          <a:ext cx="993971" cy="4857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0</xdr:col>
      <xdr:colOff>57149</xdr:colOff>
      <xdr:row>0</xdr:row>
      <xdr:rowOff>28575</xdr:rowOff>
    </xdr:from>
    <xdr:ext cx="974921" cy="476250"/>
    <xdr:sp macro="" textlink="">
      <xdr:nvSpPr>
        <xdr:cNvPr id="2" name="Rectangle 1">
          <a:hlinkClick xmlns:r="http://schemas.openxmlformats.org/officeDocument/2006/relationships" r:id="rId1"/>
        </xdr:cNvPr>
        <xdr:cNvSpPr/>
      </xdr:nvSpPr>
      <xdr:spPr>
        <a:xfrm>
          <a:off x="57149" y="28575"/>
          <a:ext cx="97492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0</xdr:col>
      <xdr:colOff>57149</xdr:colOff>
      <xdr:row>0</xdr:row>
      <xdr:rowOff>9525</xdr:rowOff>
    </xdr:from>
    <xdr:ext cx="1013021" cy="466725"/>
    <xdr:sp macro="" textlink="">
      <xdr:nvSpPr>
        <xdr:cNvPr id="2" name="Rectangle 1">
          <a:hlinkClick xmlns:r="http://schemas.openxmlformats.org/officeDocument/2006/relationships" r:id="rId1"/>
        </xdr:cNvPr>
        <xdr:cNvSpPr/>
      </xdr:nvSpPr>
      <xdr:spPr>
        <a:xfrm>
          <a:off x="57149" y="9525"/>
          <a:ext cx="101302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0</xdr:col>
      <xdr:colOff>38099</xdr:colOff>
      <xdr:row>0</xdr:row>
      <xdr:rowOff>47625</xdr:rowOff>
    </xdr:from>
    <xdr:ext cx="993971" cy="476250"/>
    <xdr:sp macro="" textlink="">
      <xdr:nvSpPr>
        <xdr:cNvPr id="2" name="Rectangle 1">
          <a:hlinkClick xmlns:r="http://schemas.openxmlformats.org/officeDocument/2006/relationships" r:id="rId1"/>
        </xdr:cNvPr>
        <xdr:cNvSpPr/>
      </xdr:nvSpPr>
      <xdr:spPr>
        <a:xfrm>
          <a:off x="38099" y="47625"/>
          <a:ext cx="9939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57200"/>
    <xdr:sp macro="" textlink="">
      <xdr:nvSpPr>
        <xdr:cNvPr id="2" name="Rectangle 1">
          <a:hlinkClick xmlns:r="http://schemas.openxmlformats.org/officeDocument/2006/relationships" r:id="rId1"/>
        </xdr:cNvPr>
        <xdr:cNvSpPr/>
      </xdr:nvSpPr>
      <xdr:spPr>
        <a:xfrm>
          <a:off x="28575" y="28575"/>
          <a:ext cx="96539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0</xdr:col>
      <xdr:colOff>28575</xdr:colOff>
      <xdr:row>0</xdr:row>
      <xdr:rowOff>28575</xdr:rowOff>
    </xdr:from>
    <xdr:ext cx="965396" cy="457200"/>
    <xdr:sp macro="" textlink="">
      <xdr:nvSpPr>
        <xdr:cNvPr id="2" name="Rectangle 1">
          <a:hlinkClick xmlns:r="http://schemas.openxmlformats.org/officeDocument/2006/relationships" r:id="rId1"/>
        </xdr:cNvPr>
        <xdr:cNvSpPr/>
      </xdr:nvSpPr>
      <xdr:spPr>
        <a:xfrm>
          <a:off x="28575" y="28575"/>
          <a:ext cx="965396" cy="4572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0</xdr:col>
      <xdr:colOff>38099</xdr:colOff>
      <xdr:row>0</xdr:row>
      <xdr:rowOff>28575</xdr:rowOff>
    </xdr:from>
    <xdr:ext cx="974921" cy="466725"/>
    <xdr:sp macro="" textlink="">
      <xdr:nvSpPr>
        <xdr:cNvPr id="2" name="Rectangle 1">
          <a:hlinkClick xmlns:r="http://schemas.openxmlformats.org/officeDocument/2006/relationships" r:id="rId1"/>
        </xdr:cNvPr>
        <xdr:cNvSpPr/>
      </xdr:nvSpPr>
      <xdr:spPr>
        <a:xfrm>
          <a:off x="38099" y="28575"/>
          <a:ext cx="97492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47624</xdr:colOff>
      <xdr:row>0</xdr:row>
      <xdr:rowOff>38100</xdr:rowOff>
    </xdr:from>
    <xdr:ext cx="955871" cy="495300"/>
    <xdr:sp macro="" textlink="">
      <xdr:nvSpPr>
        <xdr:cNvPr id="2" name="Rectangle 1">
          <a:hlinkClick xmlns:r="http://schemas.openxmlformats.org/officeDocument/2006/relationships" r:id="rId1"/>
        </xdr:cNvPr>
        <xdr:cNvSpPr/>
      </xdr:nvSpPr>
      <xdr:spPr>
        <a:xfrm>
          <a:off x="47624" y="38100"/>
          <a:ext cx="955871" cy="4953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38100</xdr:colOff>
      <xdr:row>0</xdr:row>
      <xdr:rowOff>38100</xdr:rowOff>
    </xdr:from>
    <xdr:ext cx="993971" cy="476250"/>
    <xdr:sp macro="" textlink="">
      <xdr:nvSpPr>
        <xdr:cNvPr id="2" name="Rectangle 1">
          <a:hlinkClick xmlns:r="http://schemas.openxmlformats.org/officeDocument/2006/relationships" r:id="rId1"/>
        </xdr:cNvPr>
        <xdr:cNvSpPr/>
      </xdr:nvSpPr>
      <xdr:spPr>
        <a:xfrm>
          <a:off x="38100" y="38100"/>
          <a:ext cx="993971" cy="4762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0.xml><?xml version="1.0" encoding="utf-8"?>
<xdr:wsDr xmlns:xdr="http://schemas.openxmlformats.org/drawingml/2006/spreadsheetDrawing" xmlns:a="http://schemas.openxmlformats.org/drawingml/2006/main">
  <xdr:oneCellAnchor>
    <xdr:from>
      <xdr:col>0</xdr:col>
      <xdr:colOff>38100</xdr:colOff>
      <xdr:row>0</xdr:row>
      <xdr:rowOff>28575</xdr:rowOff>
    </xdr:from>
    <xdr:ext cx="984446" cy="466725"/>
    <xdr:sp macro="" textlink="">
      <xdr:nvSpPr>
        <xdr:cNvPr id="2" name="Rectangle 1">
          <a:hlinkClick xmlns:r="http://schemas.openxmlformats.org/officeDocument/2006/relationships" r:id="rId1"/>
        </xdr:cNvPr>
        <xdr:cNvSpPr/>
      </xdr:nvSpPr>
      <xdr:spPr>
        <a:xfrm>
          <a:off x="38100" y="28575"/>
          <a:ext cx="9844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0</xdr:col>
      <xdr:colOff>28574</xdr:colOff>
      <xdr:row>0</xdr:row>
      <xdr:rowOff>28574</xdr:rowOff>
    </xdr:from>
    <xdr:ext cx="955871" cy="466725"/>
    <xdr:sp macro="" textlink="">
      <xdr:nvSpPr>
        <xdr:cNvPr id="2" name="Rectangle 1">
          <a:hlinkClick xmlns:r="http://schemas.openxmlformats.org/officeDocument/2006/relationships" r:id="rId1"/>
        </xdr:cNvPr>
        <xdr:cNvSpPr/>
      </xdr:nvSpPr>
      <xdr:spPr>
        <a:xfrm>
          <a:off x="28574" y="28574"/>
          <a:ext cx="955871"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2.xml><?xml version="1.0" encoding="utf-8"?>
<xdr:wsDr xmlns:xdr="http://schemas.openxmlformats.org/drawingml/2006/spreadsheetDrawing" xmlns:a="http://schemas.openxmlformats.org/drawingml/2006/main">
  <xdr:oneCellAnchor>
    <xdr:from>
      <xdr:col>0</xdr:col>
      <xdr:colOff>38100</xdr:colOff>
      <xdr:row>0</xdr:row>
      <xdr:rowOff>28575</xdr:rowOff>
    </xdr:from>
    <xdr:ext cx="965396" cy="447675"/>
    <xdr:sp macro="" textlink="">
      <xdr:nvSpPr>
        <xdr:cNvPr id="2" name="Rectangle 1">
          <a:hlinkClick xmlns:r="http://schemas.openxmlformats.org/officeDocument/2006/relationships" r:id="rId1"/>
        </xdr:cNvPr>
        <xdr:cNvSpPr/>
      </xdr:nvSpPr>
      <xdr:spPr>
        <a:xfrm>
          <a:off x="38100" y="28575"/>
          <a:ext cx="965396" cy="4476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3.xml><?xml version="1.0" encoding="utf-8"?>
<xdr:wsDr xmlns:xdr="http://schemas.openxmlformats.org/drawingml/2006/spreadsheetDrawing" xmlns:a="http://schemas.openxmlformats.org/drawingml/2006/main">
  <xdr:oneCellAnchor>
    <xdr:from>
      <xdr:col>0</xdr:col>
      <xdr:colOff>108276</xdr:colOff>
      <xdr:row>0</xdr:row>
      <xdr:rowOff>48164</xdr:rowOff>
    </xdr:from>
    <xdr:ext cx="1745606" cy="280205"/>
    <xdr:sp macro="" textlink="">
      <xdr:nvSpPr>
        <xdr:cNvPr id="4" name="Rectangle 3">
          <a:hlinkClick xmlns:r="http://schemas.openxmlformats.org/officeDocument/2006/relationships" r:id="rId1"/>
        </xdr:cNvPr>
        <xdr:cNvSpPr/>
      </xdr:nvSpPr>
      <xdr:spPr>
        <a:xfrm>
          <a:off x="108276" y="48164"/>
          <a:ext cx="1745606"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Portfolio View</a:t>
          </a:r>
        </a:p>
      </xdr:txBody>
    </xdr:sp>
    <xdr:clientData/>
  </xdr:oneCellAnchor>
  <xdr:oneCellAnchor>
    <xdr:from>
      <xdr:col>0</xdr:col>
      <xdr:colOff>251243</xdr:colOff>
      <xdr:row>3</xdr:row>
      <xdr:rowOff>91026</xdr:rowOff>
    </xdr:from>
    <xdr:ext cx="1501358" cy="480473"/>
    <xdr:sp macro="" textlink="">
      <xdr:nvSpPr>
        <xdr:cNvPr id="3" name="Rectangle 2">
          <a:hlinkClick xmlns:r="http://schemas.openxmlformats.org/officeDocument/2006/relationships" r:id="rId2"/>
        </xdr:cNvPr>
        <xdr:cNvSpPr/>
      </xdr:nvSpPr>
      <xdr:spPr>
        <a:xfrm>
          <a:off x="251243" y="814926"/>
          <a:ext cx="1501358" cy="4804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Electric Sector View</a:t>
          </a:r>
        </a:p>
      </xdr:txBody>
    </xdr:sp>
    <xdr:clientData/>
  </xdr:oneCellAnchor>
  <xdr:oneCellAnchor>
    <xdr:from>
      <xdr:col>0</xdr:col>
      <xdr:colOff>380271</xdr:colOff>
      <xdr:row>7</xdr:row>
      <xdr:rowOff>119602</xdr:rowOff>
    </xdr:from>
    <xdr:ext cx="1238979" cy="470948"/>
    <xdr:sp macro="" textlink="">
      <xdr:nvSpPr>
        <xdr:cNvPr id="5" name="Rectangle 4">
          <a:hlinkClick xmlns:r="http://schemas.openxmlformats.org/officeDocument/2006/relationships" r:id="rId3"/>
        </xdr:cNvPr>
        <xdr:cNvSpPr/>
      </xdr:nvSpPr>
      <xdr:spPr>
        <a:xfrm>
          <a:off x="380271" y="1519777"/>
          <a:ext cx="1238979" cy="470948"/>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4.xml><?xml version="1.0" encoding="utf-8"?>
<xdr:wsDr xmlns:xdr="http://schemas.openxmlformats.org/drawingml/2006/spreadsheetDrawing" xmlns:a="http://schemas.openxmlformats.org/drawingml/2006/main">
  <xdr:oneCellAnchor>
    <xdr:from>
      <xdr:col>0</xdr:col>
      <xdr:colOff>41601</xdr:colOff>
      <xdr:row>0</xdr:row>
      <xdr:rowOff>38639</xdr:rowOff>
    </xdr:from>
    <xdr:ext cx="1745606" cy="280205"/>
    <xdr:sp macro="" textlink="">
      <xdr:nvSpPr>
        <xdr:cNvPr id="2" name="Rectangle 1">
          <a:hlinkClick xmlns:r="http://schemas.openxmlformats.org/officeDocument/2006/relationships" r:id="rId1"/>
        </xdr:cNvPr>
        <xdr:cNvSpPr/>
      </xdr:nvSpPr>
      <xdr:spPr>
        <a:xfrm>
          <a:off x="41601" y="38639"/>
          <a:ext cx="1745606" cy="28020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none" lIns="91440" tIns="45720" rIns="91440" bIns="45720">
          <a:sp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Portfolio View</a:t>
          </a:r>
        </a:p>
      </xdr:txBody>
    </xdr:sp>
    <xdr:clientData/>
  </xdr:oneCellAnchor>
  <xdr:oneCellAnchor>
    <xdr:from>
      <xdr:col>0</xdr:col>
      <xdr:colOff>274348</xdr:colOff>
      <xdr:row>3</xdr:row>
      <xdr:rowOff>24352</xdr:rowOff>
    </xdr:from>
    <xdr:ext cx="1335377" cy="480473"/>
    <xdr:sp macro="" textlink="">
      <xdr:nvSpPr>
        <xdr:cNvPr id="3" name="Rectangle 2">
          <a:hlinkClick xmlns:r="http://schemas.openxmlformats.org/officeDocument/2006/relationships" r:id="rId2"/>
        </xdr:cNvPr>
        <xdr:cNvSpPr/>
      </xdr:nvSpPr>
      <xdr:spPr>
        <a:xfrm>
          <a:off x="274348" y="757777"/>
          <a:ext cx="1335377" cy="480473"/>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 to Electric Sector View</a:t>
          </a:r>
        </a:p>
      </xdr:txBody>
    </xdr:sp>
    <xdr:clientData/>
  </xdr:oneCellAnchor>
  <xdr:oneCellAnchor>
    <xdr:from>
      <xdr:col>0</xdr:col>
      <xdr:colOff>361222</xdr:colOff>
      <xdr:row>7</xdr:row>
      <xdr:rowOff>210089</xdr:rowOff>
    </xdr:from>
    <xdr:ext cx="1153253" cy="447136"/>
    <xdr:sp macro="" textlink="">
      <xdr:nvSpPr>
        <xdr:cNvPr id="4" name="Rectangle 3">
          <a:hlinkClick xmlns:r="http://schemas.openxmlformats.org/officeDocument/2006/relationships" r:id="rId3"/>
        </xdr:cNvPr>
        <xdr:cNvSpPr/>
      </xdr:nvSpPr>
      <xdr:spPr>
        <a:xfrm>
          <a:off x="361222" y="1667414"/>
          <a:ext cx="1153253" cy="4471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38100</xdr:colOff>
      <xdr:row>0</xdr:row>
      <xdr:rowOff>28575</xdr:rowOff>
    </xdr:from>
    <xdr:ext cx="1022546" cy="466725"/>
    <xdr:sp macro="" textlink="">
      <xdr:nvSpPr>
        <xdr:cNvPr id="2" name="Rectangle 1">
          <a:hlinkClick xmlns:r="http://schemas.openxmlformats.org/officeDocument/2006/relationships" r:id="rId1"/>
        </xdr:cNvPr>
        <xdr:cNvSpPr/>
      </xdr:nvSpPr>
      <xdr:spPr>
        <a:xfrm>
          <a:off x="38100" y="28575"/>
          <a:ext cx="1022546" cy="4667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2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Sector View</a:t>
          </a:r>
          <a:endParaRPr lang="en-US"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2-2013%20Planning/Planning%20Teams/REM%20Planning%20Workbooks/REMProgramPlanner_Master_201107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12_2013%20Program%20Planning/2013%20ACP/Exhibit%201/STAFF%20INPUT/REMProgramPlanner_JoEllensCop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12_2013%20Program%20Planning/2013%20ACP/Exhibit%201/STAFF%20INPUT/REMProgramPlanner_JoEllenCopy_Ver1.50_ClothesWasherChan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reblan\Desktop\Malcolm%20CE%20REMProgPlann%20workout\Duplicate%20De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12_2013%20Program%20Planning/2013%20ACP/Exhibit%201/STAFF%20INPUT/REMProgramPlanner_JoEllenCopy_Ver1.75_FirstAdjustment_2013V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udget%20&amp;%20Administration/WUTC_Filing_Program_Planning/2012_2013%20Program%20Planning/2012-2013%20BCP/Exhibit%201_Budgets/Exhibit%201%20details_ANDY%20ONLY%20ACCESS!/2012%20-%202013%20BEM%20Budget%20Template_5-31-20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ollup"/>
      <sheetName val="SpendingBreakout"/>
      <sheetName val="% Change"/>
      <sheetName val="18230612"/>
      <sheetName val="18230625"/>
      <sheetName val="18230626"/>
      <sheetName val="18230627"/>
      <sheetName val="18230628"/>
      <sheetName val="18230635"/>
      <sheetName val="18230636"/>
      <sheetName val="18230637"/>
      <sheetName val="18230638"/>
      <sheetName val="18230407"/>
      <sheetName val="18230486"/>
      <sheetName val="18230673"/>
      <sheetName val="18230736"/>
      <sheetName val="18230405"/>
      <sheetName val="18230433"/>
      <sheetName val="18230442"/>
      <sheetName val="18230684"/>
      <sheetName val="18230409"/>
      <sheetName val="18230432"/>
      <sheetName val="18230434"/>
      <sheetName val="18230435"/>
      <sheetName val="18230440"/>
      <sheetName val="18230468"/>
      <sheetName val="18230700"/>
      <sheetName val="18230461"/>
      <sheetName val="18230629"/>
      <sheetName val="18230639"/>
      <sheetName val="18230738"/>
      <sheetName val="18230611"/>
      <sheetName val="18230661"/>
      <sheetName val="luOrder"/>
      <sheetName val="LFCR"/>
      <sheetName val="E-CESTD"/>
      <sheetName val="E-CESTDWO"/>
      <sheetName val="G-CESTD"/>
      <sheetName val="G-CESTDWO"/>
      <sheetName val="zELECTRIC_Template"/>
      <sheetName val="zGAS_Template"/>
      <sheetName val="PLANNER-ELECTRIC"/>
      <sheetName val="PLANNER-GAS"/>
      <sheetName val="Rollup_Original"/>
      <sheetName val="SpendingBreakout_Original"/>
      <sheetName val="z18230653"/>
      <sheetName val="z18230671"/>
      <sheetName val="z18230675"/>
      <sheetName val="z18230685"/>
      <sheetName val="z18230686"/>
      <sheetName val="z18230704"/>
      <sheetName val="z18230621"/>
      <sheetName val="z18230602"/>
      <sheetName val="z18230610"/>
      <sheetName val="z18230487"/>
      <sheetName val="z18230483"/>
      <sheetName val="z18230482"/>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04">
          <cell r="I104" t="e">
            <v>#DIV/0!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ORDERNUM</v>
          </cell>
          <cell r="B1" t="str">
            <v>ORDERNAME</v>
          </cell>
          <cell r="C1" t="str">
            <v>TARIFFID</v>
          </cell>
          <cell r="D1" t="str">
            <v>TARIFFNAME</v>
          </cell>
          <cell r="E1" t="str">
            <v>CHANNELNAME</v>
          </cell>
          <cell r="F1" t="str">
            <v>PROGRAMMGR</v>
          </cell>
        </row>
        <row r="2">
          <cell r="A2">
            <v>18230021</v>
          </cell>
          <cell r="B2" t="str">
            <v>Multi-Family ARRA Electric</v>
          </cell>
          <cell r="C2" t="str">
            <v>E217</v>
          </cell>
          <cell r="D2" t="str">
            <v>Multi Family Existing</v>
          </cell>
          <cell r="E2" t="str">
            <v>Multi-Family</v>
          </cell>
          <cell r="F2" t="str">
            <v>John Forde</v>
          </cell>
        </row>
        <row r="3">
          <cell r="A3">
            <v>18230032</v>
          </cell>
          <cell r="B3" t="str">
            <v>Multi-Family ARRA Gas</v>
          </cell>
          <cell r="C3" t="str">
            <v>G217</v>
          </cell>
          <cell r="D3" t="str">
            <v>Multi Family Existing</v>
          </cell>
          <cell r="E3" t="str">
            <v>Multi-Family</v>
          </cell>
          <cell r="F3" t="str">
            <v>John Forde</v>
          </cell>
        </row>
        <row r="4">
          <cell r="A4">
            <v>18230405</v>
          </cell>
          <cell r="B4" t="str">
            <v>Single Family New Construction - Electric</v>
          </cell>
          <cell r="C4" t="str">
            <v>E215</v>
          </cell>
          <cell r="D4" t="str">
            <v>Single Family New Construction</v>
          </cell>
          <cell r="E4" t="str">
            <v>New Construction</v>
          </cell>
          <cell r="F4" t="str">
            <v>Megan Doyle</v>
          </cell>
        </row>
        <row r="5">
          <cell r="A5">
            <v>18230407</v>
          </cell>
          <cell r="B5" t="str">
            <v>Multi-Family Retrofit Elect</v>
          </cell>
          <cell r="C5" t="str">
            <v>E217</v>
          </cell>
          <cell r="D5" t="str">
            <v>Multi Family Existing</v>
          </cell>
          <cell r="E5" t="str">
            <v>Multi-Family</v>
          </cell>
          <cell r="F5" t="str">
            <v>John Forde</v>
          </cell>
        </row>
        <row r="6">
          <cell r="A6">
            <v>18230409</v>
          </cell>
          <cell r="B6" t="str">
            <v>Refrigerator Replacement Program</v>
          </cell>
          <cell r="C6" t="str">
            <v>E214</v>
          </cell>
          <cell r="D6" t="str">
            <v>Single Family Existing</v>
          </cell>
          <cell r="E6" t="str">
            <v>Retail Channel</v>
          </cell>
          <cell r="F6" t="str">
            <v>Laura Wilson</v>
          </cell>
        </row>
        <row r="7">
          <cell r="A7">
            <v>18230416</v>
          </cell>
          <cell r="B7" t="str">
            <v>2009 Home Energy Audits - Electric</v>
          </cell>
          <cell r="C7" t="str">
            <v>E214</v>
          </cell>
          <cell r="D7" t="str">
            <v>Single Family Existing</v>
          </cell>
          <cell r="E7" t="str">
            <v>Dealer Channel</v>
          </cell>
          <cell r="F7" t="str">
            <v>Malcolm McCulloch</v>
          </cell>
        </row>
        <row r="8">
          <cell r="A8">
            <v>18230432</v>
          </cell>
          <cell r="B8" t="str">
            <v xml:space="preserve">Refrigerator Decommissioning </v>
          </cell>
          <cell r="C8" t="str">
            <v>E214</v>
          </cell>
          <cell r="D8" t="str">
            <v>Single Family Existing</v>
          </cell>
          <cell r="E8" t="str">
            <v>Retail Channel</v>
          </cell>
          <cell r="F8" t="str">
            <v>Laura Wilson</v>
          </cell>
        </row>
        <row r="9">
          <cell r="A9">
            <v>18230433</v>
          </cell>
          <cell r="B9" t="str">
            <v>Energy Star Manufactured Home Elect</v>
          </cell>
          <cell r="C9" t="str">
            <v>E215</v>
          </cell>
          <cell r="D9" t="str">
            <v>Single Family New Construction</v>
          </cell>
          <cell r="E9" t="str">
            <v>New Construction</v>
          </cell>
          <cell r="F9" t="str">
            <v>Megan Doyle</v>
          </cell>
        </row>
        <row r="10">
          <cell r="A10">
            <v>18230434</v>
          </cell>
          <cell r="B10" t="str">
            <v>Energy Star Appliances</v>
          </cell>
          <cell r="C10" t="str">
            <v>E214</v>
          </cell>
          <cell r="D10" t="str">
            <v>Single Family Existing</v>
          </cell>
          <cell r="E10" t="str">
            <v>Retail Channel</v>
          </cell>
          <cell r="F10" t="str">
            <v>Laura Wilson</v>
          </cell>
        </row>
        <row r="11">
          <cell r="A11">
            <v>18230435</v>
          </cell>
          <cell r="B11" t="str">
            <v>Residential Showerheads Elect</v>
          </cell>
          <cell r="C11" t="str">
            <v>E214</v>
          </cell>
          <cell r="D11" t="str">
            <v>Single Family Existing</v>
          </cell>
          <cell r="E11" t="str">
            <v>Retail Channel</v>
          </cell>
          <cell r="F11" t="str">
            <v>Laura Wilson</v>
          </cell>
        </row>
        <row r="12">
          <cell r="A12">
            <v>18230440</v>
          </cell>
          <cell r="B12" t="str">
            <v>Energy Efficient Lighting Services</v>
          </cell>
          <cell r="C12" t="str">
            <v>E214</v>
          </cell>
          <cell r="D12" t="str">
            <v>Single Family Existing</v>
          </cell>
          <cell r="E12" t="str">
            <v>Retail Channel</v>
          </cell>
          <cell r="F12" t="str">
            <v>Laura Wilson</v>
          </cell>
        </row>
        <row r="13">
          <cell r="A13">
            <v>18230442</v>
          </cell>
          <cell r="B13" t="str">
            <v>Energy Star Manufactured Home Gas</v>
          </cell>
          <cell r="C13" t="str">
            <v>G215</v>
          </cell>
          <cell r="D13" t="str">
            <v>Single Family New Construction</v>
          </cell>
          <cell r="E13" t="str">
            <v>New Construction</v>
          </cell>
          <cell r="F13" t="str">
            <v>Megan Doyle</v>
          </cell>
        </row>
        <row r="14">
          <cell r="A14">
            <v>18230461</v>
          </cell>
          <cell r="B14" t="str">
            <v>Home Energy Reports E</v>
          </cell>
          <cell r="C14" t="str">
            <v>E249</v>
          </cell>
          <cell r="D14" t="str">
            <v>Pilots</v>
          </cell>
          <cell r="E14" t="str">
            <v>Pilots</v>
          </cell>
          <cell r="F14" t="str">
            <v>Laura Wilson</v>
          </cell>
        </row>
        <row r="15">
          <cell r="A15">
            <v>18230468</v>
          </cell>
          <cell r="B15" t="str">
            <v>NEEA Consumer Electronics</v>
          </cell>
          <cell r="C15" t="str">
            <v>E214</v>
          </cell>
          <cell r="D15" t="str">
            <v>Single Family Existing</v>
          </cell>
          <cell r="E15" t="str">
            <v>Retail Channel</v>
          </cell>
          <cell r="F15" t="str">
            <v>Laura Wilson</v>
          </cell>
        </row>
        <row r="16">
          <cell r="A16">
            <v>18230482</v>
          </cell>
          <cell r="B16" t="str">
            <v>Residential Brochures Elect</v>
          </cell>
          <cell r="C16" t="str">
            <v>E200</v>
          </cell>
          <cell r="D16" t="str">
            <v>Residential Information Services</v>
          </cell>
          <cell r="E16" t="str">
            <v>Consumer Channel</v>
          </cell>
          <cell r="F16" t="str">
            <v>Shar Kegley</v>
          </cell>
        </row>
        <row r="17">
          <cell r="A17">
            <v>18230483</v>
          </cell>
          <cell r="B17" t="str">
            <v>Residential E newsletter Elect</v>
          </cell>
          <cell r="C17" t="str">
            <v>E200</v>
          </cell>
          <cell r="D17" t="str">
            <v>Residential Information Services</v>
          </cell>
          <cell r="E17" t="str">
            <v>Consumer Channel</v>
          </cell>
          <cell r="F17" t="str">
            <v>Shar Kegley</v>
          </cell>
        </row>
        <row r="18">
          <cell r="A18">
            <v>18230486</v>
          </cell>
          <cell r="B18" t="str">
            <v>Multi-Family New Construction Elect</v>
          </cell>
          <cell r="C18" t="str">
            <v>E218</v>
          </cell>
          <cell r="D18" t="str">
            <v>Multi Family New Construction</v>
          </cell>
          <cell r="E18" t="str">
            <v>Multi-Family</v>
          </cell>
          <cell r="F18" t="str">
            <v>John Forde</v>
          </cell>
        </row>
        <row r="19">
          <cell r="A19">
            <v>18230487</v>
          </cell>
          <cell r="B19" t="str">
            <v>Information Svcs Outreach Elect</v>
          </cell>
          <cell r="C19" t="str">
            <v>E200</v>
          </cell>
          <cell r="D19" t="str">
            <v>Residential Information Services</v>
          </cell>
          <cell r="E19" t="str">
            <v>Consumer Channel</v>
          </cell>
          <cell r="F19" t="str">
            <v>Shar Kegley</v>
          </cell>
        </row>
        <row r="20">
          <cell r="A20">
            <v>18230498</v>
          </cell>
          <cell r="B20" t="str">
            <v>CMS Elect</v>
          </cell>
          <cell r="C20" t="str">
            <v>E200</v>
          </cell>
          <cell r="D20" t="str">
            <v>Residential Information Services</v>
          </cell>
          <cell r="E20" t="str">
            <v>Consumer Channel</v>
          </cell>
          <cell r="F20" t="str">
            <v>Kathy Repsumer</v>
          </cell>
        </row>
        <row r="21">
          <cell r="A21">
            <v>18230501</v>
          </cell>
          <cell r="B21" t="str">
            <v>SF Existing ARRA Wx - Electric</v>
          </cell>
          <cell r="C21" t="str">
            <v>E214</v>
          </cell>
          <cell r="D21" t="str">
            <v>Single Family Existing</v>
          </cell>
          <cell r="E21" t="str">
            <v>Dealer Channel</v>
          </cell>
          <cell r="F21" t="str">
            <v>Malcolm McCulloch</v>
          </cell>
        </row>
        <row r="22">
          <cell r="A22">
            <v>18230602</v>
          </cell>
          <cell r="B22" t="str">
            <v>Res Energy Efficiency Information Elect</v>
          </cell>
          <cell r="C22" t="str">
            <v>E200</v>
          </cell>
          <cell r="D22" t="str">
            <v>Residential Information Services</v>
          </cell>
          <cell r="E22" t="str">
            <v>Consumer Channel</v>
          </cell>
          <cell r="F22" t="str">
            <v>Shar Kegley</v>
          </cell>
        </row>
        <row r="23">
          <cell r="A23">
            <v>18230608</v>
          </cell>
          <cell r="B23" t="str">
            <v xml:space="preserve">Online Tools Elect </v>
          </cell>
          <cell r="C23" t="str">
            <v>E200</v>
          </cell>
          <cell r="D23" t="str">
            <v>Residential Information Services</v>
          </cell>
          <cell r="E23" t="str">
            <v>Consumer Channel</v>
          </cell>
          <cell r="F23" t="str">
            <v>Kathy Repsumer</v>
          </cell>
        </row>
        <row r="24">
          <cell r="A24">
            <v>18230610</v>
          </cell>
          <cell r="B24" t="str">
            <v xml:space="preserve">Energy Advisors Electric                </v>
          </cell>
          <cell r="C24" t="str">
            <v>E200</v>
          </cell>
          <cell r="D24" t="str">
            <v>Residential Information Services</v>
          </cell>
          <cell r="E24" t="str">
            <v>Consumer Channel</v>
          </cell>
          <cell r="F24" t="str">
            <v>Stacey Nyman</v>
          </cell>
        </row>
        <row r="25">
          <cell r="A25">
            <v>18230611</v>
          </cell>
          <cell r="B25" t="str">
            <v>Low Income Weatherization TE</v>
          </cell>
          <cell r="C25" t="str">
            <v>E201</v>
          </cell>
          <cell r="D25" t="str">
            <v>Low Income</v>
          </cell>
          <cell r="E25" t="str">
            <v>Low Income</v>
          </cell>
          <cell r="F25" t="str">
            <v>Sandy Sieg</v>
          </cell>
        </row>
        <row r="26">
          <cell r="A26">
            <v>18230612</v>
          </cell>
          <cell r="B26" t="str">
            <v>Fuel Conversion Rebate</v>
          </cell>
          <cell r="C26" t="str">
            <v>E216</v>
          </cell>
          <cell r="D26" t="str">
            <v>Single Family Fuel Conversion</v>
          </cell>
          <cell r="E26" t="str">
            <v>Dealer Channel</v>
          </cell>
          <cell r="F26" t="str">
            <v>Kyle Webley</v>
          </cell>
        </row>
        <row r="27">
          <cell r="A27">
            <v>18230621</v>
          </cell>
          <cell r="B27" t="str">
            <v xml:space="preserve">Powerful Choices  Elect                           </v>
          </cell>
          <cell r="C27" t="str">
            <v>E202</v>
          </cell>
          <cell r="D27" t="str">
            <v>Energy Education</v>
          </cell>
          <cell r="E27" t="str">
            <v>Consumer Channel</v>
          </cell>
          <cell r="F27" t="str">
            <v>Shar Kegley</v>
          </cell>
        </row>
        <row r="28">
          <cell r="A28">
            <v>18230625</v>
          </cell>
          <cell r="B28" t="str">
            <v>HomePrint - Electric</v>
          </cell>
          <cell r="C28" t="str">
            <v>E214</v>
          </cell>
          <cell r="D28" t="str">
            <v>Single Family Existing</v>
          </cell>
          <cell r="E28" t="str">
            <v>Dealer Channel</v>
          </cell>
          <cell r="F28" t="str">
            <v>Malcolm McCulloch</v>
          </cell>
        </row>
        <row r="29">
          <cell r="A29">
            <v>18230626</v>
          </cell>
          <cell r="B29" t="str">
            <v>SF Existing Water Heat - Electric</v>
          </cell>
          <cell r="C29" t="str">
            <v>E214</v>
          </cell>
          <cell r="D29" t="str">
            <v>Single Family Existing</v>
          </cell>
          <cell r="E29" t="str">
            <v>Dealer Channel</v>
          </cell>
          <cell r="F29" t="str">
            <v>Dennis Rominger</v>
          </cell>
        </row>
        <row r="30">
          <cell r="A30">
            <v>18230627</v>
          </cell>
          <cell r="B30" t="str">
            <v>SF Existing Wx - Electric</v>
          </cell>
          <cell r="C30" t="str">
            <v>E214</v>
          </cell>
          <cell r="D30" t="str">
            <v>Single Family Existing</v>
          </cell>
          <cell r="E30" t="str">
            <v>Dealer Channel</v>
          </cell>
          <cell r="F30" t="str">
            <v>Malcolm McCulloch</v>
          </cell>
        </row>
        <row r="31">
          <cell r="A31">
            <v>18230628</v>
          </cell>
          <cell r="B31" t="str">
            <v>SF Existing Space Heat - Electric</v>
          </cell>
          <cell r="C31" t="str">
            <v>E214</v>
          </cell>
          <cell r="D31" t="str">
            <v>Single Family Existing</v>
          </cell>
          <cell r="E31" t="str">
            <v>Dealer Channel</v>
          </cell>
          <cell r="F31" t="str">
            <v>Dennis Rominger</v>
          </cell>
        </row>
        <row r="32">
          <cell r="A32">
            <v>18230629</v>
          </cell>
          <cell r="B32" t="str">
            <v>SF Existing Pilots - Electric</v>
          </cell>
          <cell r="C32" t="str">
            <v>E249</v>
          </cell>
          <cell r="D32" t="str">
            <v>Pilots</v>
          </cell>
          <cell r="E32" t="str">
            <v>Pilots</v>
          </cell>
          <cell r="F32" t="str">
            <v>Joel Smith</v>
          </cell>
        </row>
        <row r="33">
          <cell r="A33">
            <v>18230635</v>
          </cell>
          <cell r="B33" t="str">
            <v>HomePrint - Gas</v>
          </cell>
          <cell r="C33" t="str">
            <v>G214</v>
          </cell>
          <cell r="D33" t="str">
            <v>Single Family Existing</v>
          </cell>
          <cell r="E33" t="str">
            <v>Dealer Channel</v>
          </cell>
          <cell r="F33" t="str">
            <v>Malcolm McCulloch</v>
          </cell>
        </row>
        <row r="34">
          <cell r="A34">
            <v>18230636</v>
          </cell>
          <cell r="B34" t="str">
            <v>SF Existing Water Heat - Gas</v>
          </cell>
          <cell r="C34" t="str">
            <v>G214</v>
          </cell>
          <cell r="D34" t="str">
            <v>Single Family Existing</v>
          </cell>
          <cell r="E34" t="str">
            <v>Dealer Channel</v>
          </cell>
          <cell r="F34" t="str">
            <v>Dennis Rominger</v>
          </cell>
        </row>
        <row r="35">
          <cell r="A35">
            <v>18230637</v>
          </cell>
          <cell r="B35" t="str">
            <v>SF Existing Wx - Gas</v>
          </cell>
          <cell r="C35" t="str">
            <v>G214</v>
          </cell>
          <cell r="D35" t="str">
            <v>Single Family Existing</v>
          </cell>
          <cell r="E35" t="str">
            <v>Dealer Channel</v>
          </cell>
          <cell r="F35" t="str">
            <v>Malcolm McCulloch</v>
          </cell>
        </row>
        <row r="36">
          <cell r="A36">
            <v>18230638</v>
          </cell>
          <cell r="B36" t="str">
            <v>SF Existing Space Heat - Gas</v>
          </cell>
          <cell r="C36" t="str">
            <v>G214</v>
          </cell>
          <cell r="D36" t="str">
            <v>Single Family Existing</v>
          </cell>
          <cell r="E36" t="str">
            <v>Dealer Channel</v>
          </cell>
          <cell r="F36" t="str">
            <v>Dennis Rominger</v>
          </cell>
        </row>
        <row r="37">
          <cell r="A37">
            <v>18230639</v>
          </cell>
          <cell r="B37" t="str">
            <v>SF Existing Pilots - Gas</v>
          </cell>
          <cell r="C37" t="str">
            <v>G249</v>
          </cell>
          <cell r="D37" t="str">
            <v>Pilots</v>
          </cell>
          <cell r="E37" t="str">
            <v>Pilots</v>
          </cell>
          <cell r="F37" t="str">
            <v>Joel Smith</v>
          </cell>
        </row>
        <row r="38">
          <cell r="A38">
            <v>18230653</v>
          </cell>
          <cell r="B38" t="str">
            <v>Res Energy Efficiency Information Gas</v>
          </cell>
          <cell r="C38" t="str">
            <v>G206</v>
          </cell>
          <cell r="D38" t="str">
            <v>Residential Information Services</v>
          </cell>
          <cell r="E38" t="str">
            <v>Consumer Channel</v>
          </cell>
          <cell r="F38" t="str">
            <v>Shar Kegley</v>
          </cell>
        </row>
        <row r="39">
          <cell r="A39">
            <v>18230655</v>
          </cell>
          <cell r="B39" t="str">
            <v>Online Tools Gas</v>
          </cell>
          <cell r="C39" t="str">
            <v>G206</v>
          </cell>
          <cell r="D39" t="str">
            <v>Residential Information Services</v>
          </cell>
          <cell r="E39" t="str">
            <v>Consumer Channel</v>
          </cell>
          <cell r="F39" t="str">
            <v>Kathy Repsumer</v>
          </cell>
        </row>
        <row r="40">
          <cell r="A40">
            <v>18230661</v>
          </cell>
          <cell r="B40" t="str">
            <v>Low Income Weatherization TG</v>
          </cell>
          <cell r="C40" t="str">
            <v>G203</v>
          </cell>
          <cell r="D40" t="str">
            <v>Low Income</v>
          </cell>
          <cell r="E40" t="str">
            <v>Low Income</v>
          </cell>
          <cell r="F40" t="str">
            <v>Sandy Sieg</v>
          </cell>
        </row>
        <row r="41">
          <cell r="A41">
            <v>18230671</v>
          </cell>
          <cell r="B41" t="str">
            <v>Powerful Choices Gas</v>
          </cell>
          <cell r="C41" t="str">
            <v>G207</v>
          </cell>
          <cell r="D41" t="str">
            <v>Energy Education</v>
          </cell>
          <cell r="E41" t="str">
            <v>Consumer Channel</v>
          </cell>
          <cell r="F41" t="str">
            <v>Shar Kegley</v>
          </cell>
        </row>
        <row r="42">
          <cell r="A42">
            <v>18230673</v>
          </cell>
          <cell r="B42" t="str">
            <v>Multi-Family New Construction Gas</v>
          </cell>
          <cell r="C42" t="str">
            <v>G218</v>
          </cell>
          <cell r="D42" t="str">
            <v>Multi Family New Construction</v>
          </cell>
          <cell r="E42" t="str">
            <v>Multi-Family</v>
          </cell>
          <cell r="F42" t="str">
            <v>John Forde</v>
          </cell>
        </row>
        <row r="43">
          <cell r="A43">
            <v>18230675</v>
          </cell>
          <cell r="B43" t="str">
            <v>Information Svcs Outreach Gas</v>
          </cell>
          <cell r="C43" t="str">
            <v>G206</v>
          </cell>
          <cell r="D43" t="str">
            <v>Residential Information Services</v>
          </cell>
          <cell r="E43" t="str">
            <v>Consumer Channel</v>
          </cell>
          <cell r="F43" t="str">
            <v>Shar Kegley</v>
          </cell>
        </row>
        <row r="44">
          <cell r="A44">
            <v>18230684</v>
          </cell>
          <cell r="B44" t="str">
            <v>Single Family New Construction - Gas</v>
          </cell>
          <cell r="C44" t="str">
            <v>G215</v>
          </cell>
          <cell r="D44" t="str">
            <v>Single Family New Construction</v>
          </cell>
          <cell r="E44" t="str">
            <v>New Construction</v>
          </cell>
          <cell r="F44" t="str">
            <v>Megan Doyle</v>
          </cell>
        </row>
        <row r="45">
          <cell r="A45">
            <v>18230685</v>
          </cell>
          <cell r="B45" t="str">
            <v>Residential Brochures Gas</v>
          </cell>
          <cell r="C45" t="str">
            <v>G206</v>
          </cell>
          <cell r="D45" t="str">
            <v>Residential Information Services</v>
          </cell>
          <cell r="E45" t="str">
            <v>Consumer Channel</v>
          </cell>
          <cell r="F45" t="str">
            <v>Shar Kegley</v>
          </cell>
        </row>
        <row r="46">
          <cell r="A46">
            <v>18230686</v>
          </cell>
          <cell r="B46" t="str">
            <v>Residential E newsletter Gas</v>
          </cell>
          <cell r="C46" t="str">
            <v>G206</v>
          </cell>
          <cell r="D46" t="str">
            <v>Residential Information Services</v>
          </cell>
          <cell r="E46" t="str">
            <v>Consumer Channel</v>
          </cell>
          <cell r="F46" t="str">
            <v>Shar Kegley</v>
          </cell>
        </row>
        <row r="47">
          <cell r="A47">
            <v>18230700</v>
          </cell>
          <cell r="B47" t="str">
            <v>Residential Showerheads Gas</v>
          </cell>
          <cell r="C47" t="str">
            <v>G214</v>
          </cell>
          <cell r="D47" t="str">
            <v>Single Family Existing</v>
          </cell>
          <cell r="E47" t="str">
            <v>Retail Channel</v>
          </cell>
          <cell r="F47" t="str">
            <v>Laura Wilson</v>
          </cell>
        </row>
        <row r="48">
          <cell r="A48">
            <v>18230704</v>
          </cell>
          <cell r="B48" t="str">
            <v xml:space="preserve">Energy Advisors Gas                </v>
          </cell>
          <cell r="C48" t="str">
            <v>G206</v>
          </cell>
          <cell r="D48" t="str">
            <v>Residential Information Services</v>
          </cell>
          <cell r="E48" t="str">
            <v>Consumer Channel</v>
          </cell>
          <cell r="F48" t="str">
            <v>Stacey Nyman</v>
          </cell>
        </row>
        <row r="49">
          <cell r="A49">
            <v>18230734</v>
          </cell>
          <cell r="B49" t="str">
            <v>SF Existing ARRA Wx - Gas</v>
          </cell>
          <cell r="C49" t="str">
            <v>G214</v>
          </cell>
          <cell r="D49" t="str">
            <v>Single Family Existing</v>
          </cell>
          <cell r="E49" t="str">
            <v>Dealer Channel</v>
          </cell>
          <cell r="F49" t="str">
            <v>Malcolm McCulloch</v>
          </cell>
        </row>
        <row r="50">
          <cell r="A50">
            <v>18230736</v>
          </cell>
          <cell r="B50" t="str">
            <v>Multi-Family Retrofit Gas</v>
          </cell>
          <cell r="C50" t="str">
            <v>G217</v>
          </cell>
          <cell r="D50" t="str">
            <v>Multi Family Existing</v>
          </cell>
          <cell r="E50" t="str">
            <v>Multi-Family</v>
          </cell>
          <cell r="F50" t="str">
            <v>John Forde</v>
          </cell>
        </row>
        <row r="51">
          <cell r="A51">
            <v>18230738</v>
          </cell>
          <cell r="B51" t="str">
            <v>Home Energy Reports G</v>
          </cell>
          <cell r="C51" t="str">
            <v>G249</v>
          </cell>
          <cell r="D51" t="str">
            <v>Pilots</v>
          </cell>
          <cell r="E51" t="str">
            <v>Pilots</v>
          </cell>
          <cell r="F51" t="str">
            <v>Laura Wilson</v>
          </cell>
        </row>
        <row r="52">
          <cell r="A52">
            <v>18230739</v>
          </cell>
          <cell r="B52" t="str">
            <v>CMS Gas</v>
          </cell>
          <cell r="C52" t="str">
            <v>G206</v>
          </cell>
          <cell r="D52" t="str">
            <v>Residential Information Services</v>
          </cell>
          <cell r="E52" t="str">
            <v>Consumer Channel</v>
          </cell>
          <cell r="F52" t="str">
            <v>Kathy Repsumer</v>
          </cell>
        </row>
        <row r="53">
          <cell r="A53">
            <v>90800008</v>
          </cell>
          <cell r="B53" t="str">
            <v>Attorney General - LIW Electric</v>
          </cell>
          <cell r="C53" t="str">
            <v>E201</v>
          </cell>
          <cell r="D53" t="str">
            <v>Low Income</v>
          </cell>
          <cell r="E53" t="str">
            <v>Low Income</v>
          </cell>
          <cell r="F53" t="str">
            <v>Sandy Sieg</v>
          </cell>
        </row>
        <row r="54">
          <cell r="A54">
            <v>90800135</v>
          </cell>
          <cell r="B54" t="str">
            <v>LIW REC Proceeds</v>
          </cell>
          <cell r="C54" t="str">
            <v>E201</v>
          </cell>
          <cell r="D54" t="str">
            <v>Low Income</v>
          </cell>
          <cell r="E54" t="str">
            <v>Low Income</v>
          </cell>
          <cell r="F54" t="str">
            <v>Sandy Sieg</v>
          </cell>
        </row>
        <row r="55">
          <cell r="A55">
            <v>90800308</v>
          </cell>
          <cell r="B55" t="str">
            <v>Attorney General - LIW Gas</v>
          </cell>
          <cell r="C55" t="str">
            <v>G203</v>
          </cell>
          <cell r="D55" t="str">
            <v>Low Income</v>
          </cell>
          <cell r="E55" t="str">
            <v>Low Income</v>
          </cell>
          <cell r="F55" t="str">
            <v>Sandy Sieg</v>
          </cell>
        </row>
      </sheetData>
      <sheetData sheetId="34" refreshError="1">
        <row r="8">
          <cell r="C8">
            <v>1</v>
          </cell>
          <cell r="D8">
            <v>108.24999999999999</v>
          </cell>
        </row>
        <row r="9">
          <cell r="C9">
            <v>2</v>
          </cell>
          <cell r="D9">
            <v>56.269207683073255</v>
          </cell>
        </row>
        <row r="10">
          <cell r="C10">
            <v>3</v>
          </cell>
          <cell r="D10">
            <v>38.978515486211542</v>
          </cell>
        </row>
        <row r="11">
          <cell r="C11">
            <v>4</v>
          </cell>
          <cell r="D11">
            <v>30.360263142982141</v>
          </cell>
        </row>
        <row r="12">
          <cell r="C12">
            <v>5</v>
          </cell>
          <cell r="D12">
            <v>25.210891770163958</v>
          </cell>
        </row>
        <row r="13">
          <cell r="C13">
            <v>6</v>
          </cell>
          <cell r="D13">
            <v>21.795859733430568</v>
          </cell>
        </row>
        <row r="14">
          <cell r="C14">
            <v>7</v>
          </cell>
          <cell r="D14">
            <v>19.371773566915831</v>
          </cell>
        </row>
        <row r="15">
          <cell r="C15">
            <v>8</v>
          </cell>
          <cell r="D15">
            <v>17.566920771627252</v>
          </cell>
        </row>
        <row r="16">
          <cell r="C16">
            <v>9</v>
          </cell>
          <cell r="D16">
            <v>16.174780806095363</v>
          </cell>
        </row>
        <row r="17">
          <cell r="C17">
            <v>10</v>
          </cell>
          <cell r="D17">
            <v>15.071429531528386</v>
          </cell>
        </row>
        <row r="18">
          <cell r="C18">
            <v>11</v>
          </cell>
          <cell r="D18">
            <v>14.177995819031155</v>
          </cell>
        </row>
        <row r="19">
          <cell r="C19">
            <v>12</v>
          </cell>
          <cell r="D19">
            <v>13.441889887808909</v>
          </cell>
        </row>
        <row r="20">
          <cell r="C20">
            <v>13</v>
          </cell>
          <cell r="D20">
            <v>12.826695516042225</v>
          </cell>
        </row>
        <row r="21">
          <cell r="C21">
            <v>14</v>
          </cell>
          <cell r="D21">
            <v>12.306394185001626</v>
          </cell>
        </row>
        <row r="22">
          <cell r="C22">
            <v>15</v>
          </cell>
          <cell r="D22">
            <v>11.861899584559318</v>
          </cell>
        </row>
        <row r="23">
          <cell r="C23">
            <v>16</v>
          </cell>
          <cell r="D23">
            <v>11.478891694109835</v>
          </cell>
        </row>
        <row r="24">
          <cell r="C24">
            <v>17</v>
          </cell>
          <cell r="D24">
            <v>11.146415316874233</v>
          </cell>
        </row>
        <row r="25">
          <cell r="C25">
            <v>18</v>
          </cell>
          <cell r="D25">
            <v>10.855945777573357</v>
          </cell>
        </row>
        <row r="26">
          <cell r="C26">
            <v>19</v>
          </cell>
          <cell r="D26">
            <v>10.600749668224429</v>
          </cell>
        </row>
        <row r="27">
          <cell r="C27">
            <v>20</v>
          </cell>
          <cell r="D27">
            <v>10.375437372961859</v>
          </cell>
        </row>
        <row r="28">
          <cell r="C28">
            <v>21</v>
          </cell>
          <cell r="D28">
            <v>10.175643443459203</v>
          </cell>
        </row>
        <row r="29">
          <cell r="C29">
            <v>22</v>
          </cell>
          <cell r="D29">
            <v>9.9977941433102853</v>
          </cell>
        </row>
        <row r="30">
          <cell r="C30">
            <v>23</v>
          </cell>
          <cell r="D30">
            <v>9.8389356299574313</v>
          </cell>
        </row>
        <row r="31">
          <cell r="C31">
            <v>24</v>
          </cell>
          <cell r="D31">
            <v>9.6966050866611511</v>
          </cell>
        </row>
        <row r="32">
          <cell r="C32">
            <v>25</v>
          </cell>
          <cell r="D32">
            <v>9.5687327771158674</v>
          </cell>
        </row>
        <row r="33">
          <cell r="C33">
            <v>26</v>
          </cell>
          <cell r="D33">
            <v>9.453566696165435</v>
          </cell>
        </row>
        <row r="34">
          <cell r="C34">
            <v>27</v>
          </cell>
          <cell r="D34">
            <v>9.3496139573107229</v>
          </cell>
        </row>
        <row r="35">
          <cell r="C35">
            <v>28</v>
          </cell>
          <cell r="D35">
            <v>9.2555947319027574</v>
          </cell>
        </row>
        <row r="36">
          <cell r="C36">
            <v>29</v>
          </cell>
          <cell r="D36">
            <v>9.1704057095385725</v>
          </cell>
        </row>
        <row r="37">
          <cell r="C37">
            <v>30</v>
          </cell>
          <cell r="D37">
            <v>9.0930908574137099</v>
          </cell>
        </row>
      </sheetData>
      <sheetData sheetId="35" refreshError="1">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Comm Flat </v>
          </cell>
          <cell r="O5" t="str">
            <v>Comm Water Heat</v>
          </cell>
        </row>
        <row r="6">
          <cell r="A6">
            <v>1</v>
          </cell>
          <cell r="B6">
            <v>0.17001589674863504</v>
          </cell>
          <cell r="C6">
            <v>0.15913061319258609</v>
          </cell>
          <cell r="D6">
            <v>0.14698391037021163</v>
          </cell>
          <cell r="E6">
            <v>9.6481665203731276E-2</v>
          </cell>
          <cell r="F6">
            <v>8.39706486437585E-2</v>
          </cell>
          <cell r="G6">
            <v>9.8880520578477515E-2</v>
          </cell>
          <cell r="H6">
            <v>9.9132412697840649E-2</v>
          </cell>
          <cell r="I6">
            <v>0.2211860692227425</v>
          </cell>
          <cell r="J6">
            <v>8.9655317097104448E-2</v>
          </cell>
          <cell r="K6">
            <v>5.8215523339608409E-2</v>
          </cell>
          <cell r="L6">
            <v>9.0693248024027798E-2</v>
          </cell>
          <cell r="M6">
            <v>9.7700107805667763E-2</v>
          </cell>
          <cell r="N6">
            <v>9.0996656638561838E-2</v>
          </cell>
          <cell r="O6">
            <v>9.085809602708822E-2</v>
          </cell>
        </row>
        <row r="7">
          <cell r="A7">
            <v>2</v>
          </cell>
          <cell r="B7">
            <v>0.32999656710822745</v>
          </cell>
          <cell r="C7">
            <v>0.3089447092590531</v>
          </cell>
          <cell r="D7">
            <v>0.28540258315868455</v>
          </cell>
          <cell r="E7">
            <v>0.18786325579849411</v>
          </cell>
          <cell r="F7">
            <v>0.16358713303128047</v>
          </cell>
          <cell r="G7">
            <v>0.19245163088477932</v>
          </cell>
          <cell r="H7">
            <v>0.19296952817690904</v>
          </cell>
          <cell r="I7">
            <v>0.4286141974128358</v>
          </cell>
          <cell r="J7">
            <v>0.17453965579551398</v>
          </cell>
          <cell r="K7">
            <v>0.11388509228011065</v>
          </cell>
          <cell r="L7">
            <v>0.17665841644512931</v>
          </cell>
          <cell r="M7">
            <v>0.19017939491840674</v>
          </cell>
          <cell r="N7">
            <v>0.17715297488291121</v>
          </cell>
          <cell r="O7">
            <v>0.17696815065447224</v>
          </cell>
        </row>
        <row r="8">
          <cell r="A8">
            <v>3</v>
          </cell>
          <cell r="B8">
            <v>0.48111607485927854</v>
          </cell>
          <cell r="C8">
            <v>0.45051527769391164</v>
          </cell>
          <cell r="D8">
            <v>0.41631321687792211</v>
          </cell>
          <cell r="E8">
            <v>0.27449830194253938</v>
          </cell>
          <cell r="F8">
            <v>0.23917551867815662</v>
          </cell>
          <cell r="G8">
            <v>0.28113597717719385</v>
          </cell>
          <cell r="H8">
            <v>0.28185705854641185</v>
          </cell>
          <cell r="I8">
            <v>0.6241049213406622</v>
          </cell>
          <cell r="J8">
            <v>0.25511885973891202</v>
          </cell>
          <cell r="K8">
            <v>0.16688652169169108</v>
          </cell>
          <cell r="L8">
            <v>0.25811162342981953</v>
          </cell>
          <cell r="M8">
            <v>0.27782830950175669</v>
          </cell>
          <cell r="N8">
            <v>0.25886873789221909</v>
          </cell>
          <cell r="O8">
            <v>0.25858125383890185</v>
          </cell>
        </row>
        <row r="9">
          <cell r="A9">
            <v>4</v>
          </cell>
          <cell r="B9">
            <v>0.62241293975685097</v>
          </cell>
          <cell r="C9">
            <v>0.58307253283057114</v>
          </cell>
          <cell r="D9">
            <v>0.53875777350806675</v>
          </cell>
          <cell r="E9">
            <v>0.35609669231180224</v>
          </cell>
          <cell r="F9">
            <v>0.31049469979375627</v>
          </cell>
          <cell r="G9">
            <v>0.36462242878736806</v>
          </cell>
          <cell r="H9">
            <v>0.36558325043572348</v>
          </cell>
          <cell r="I9">
            <v>0.8066048596726223</v>
          </cell>
          <cell r="J9">
            <v>0.33111918722793354</v>
          </cell>
          <cell r="K9">
            <v>0.21757297375330767</v>
          </cell>
          <cell r="L9">
            <v>0.33489709747987273</v>
          </cell>
          <cell r="M9">
            <v>0.36044634106537066</v>
          </cell>
          <cell r="N9">
            <v>0.33590909440321587</v>
          </cell>
          <cell r="O9">
            <v>0.33551290288103935</v>
          </cell>
        </row>
        <row r="10">
          <cell r="A10">
            <v>5</v>
          </cell>
          <cell r="B10">
            <v>0.75626586318794053</v>
          </cell>
          <cell r="C10">
            <v>0.70878849810399536</v>
          </cell>
          <cell r="D10">
            <v>0.65488676292068226</v>
          </cell>
          <cell r="E10">
            <v>0.43425218061140736</v>
          </cell>
          <cell r="F10">
            <v>0.37893639761346504</v>
          </cell>
          <cell r="G10">
            <v>0.44450803400126787</v>
          </cell>
          <cell r="H10">
            <v>0.44574940452037132</v>
          </cell>
          <cell r="I10">
            <v>0.97919077000176524</v>
          </cell>
          <cell r="J10">
            <v>0.40415649479383053</v>
          </cell>
          <cell r="K10">
            <v>0.2677172724950731</v>
          </cell>
          <cell r="L10">
            <v>0.40858352139590637</v>
          </cell>
          <cell r="M10">
            <v>0.44006152474644306</v>
          </cell>
          <cell r="N10">
            <v>0.40986313763769266</v>
          </cell>
          <cell r="O10">
            <v>0.40934635626765814</v>
          </cell>
        </row>
        <row r="11">
          <cell r="A11">
            <v>6</v>
          </cell>
          <cell r="B11">
            <v>0.88387765181303091</v>
          </cell>
          <cell r="C11">
            <v>0.82879743921947124</v>
          </cell>
          <cell r="D11">
            <v>0.76571712672399994</v>
          </cell>
          <cell r="E11">
            <v>0.50942227399990447</v>
          </cell>
          <cell r="F11">
            <v>0.4448306664787135</v>
          </cell>
          <cell r="G11">
            <v>0.52127142549602667</v>
          </cell>
          <cell r="H11">
            <v>0.52274944761820508</v>
          </cell>
          <cell r="I11">
            <v>1.1432003523067462</v>
          </cell>
          <cell r="J11">
            <v>0.47440998164856013</v>
          </cell>
          <cell r="K11">
            <v>0.31620435475665426</v>
          </cell>
          <cell r="L11">
            <v>0.47934385404085822</v>
          </cell>
          <cell r="M11">
            <v>0.51632029514652689</v>
          </cell>
          <cell r="N11">
            <v>0.48094189079616778</v>
          </cell>
          <cell r="O11">
            <v>0.48027285935078323</v>
          </cell>
        </row>
        <row r="12">
          <cell r="A12">
            <v>7</v>
          </cell>
          <cell r="B12">
            <v>1.0046056769996614</v>
          </cell>
          <cell r="C12">
            <v>0.94252890474416828</v>
          </cell>
          <cell r="D12">
            <v>0.87050336987402099</v>
          </cell>
          <cell r="E12">
            <v>0.58100266499562236</v>
          </cell>
          <cell r="F12">
            <v>0.50747860595464001</v>
          </cell>
          <cell r="G12">
            <v>0.59421815567927361</v>
          </cell>
          <cell r="H12">
            <v>0.59599865496450111</v>
          </cell>
          <cell r="I12">
            <v>1.2974117166259145</v>
          </cell>
          <cell r="J12">
            <v>0.54109658480550282</v>
          </cell>
          <cell r="K12">
            <v>0.36271191560810134</v>
          </cell>
          <cell r="L12">
            <v>0.54663657679030198</v>
          </cell>
          <cell r="M12">
            <v>0.58850444418752335</v>
          </cell>
          <cell r="N12">
            <v>0.5484364993187858</v>
          </cell>
          <cell r="O12">
            <v>0.54772670351527608</v>
          </cell>
        </row>
        <row r="13">
          <cell r="A13">
            <v>8</v>
          </cell>
          <cell r="B13">
            <v>1.1184952770416381</v>
          </cell>
          <cell r="C13">
            <v>1.0499295007121696</v>
          </cell>
          <cell r="D13">
            <v>0.9695113298225071</v>
          </cell>
          <cell r="E13">
            <v>0.64922601194908425</v>
          </cell>
          <cell r="F13">
            <v>0.56729866427180908</v>
          </cell>
          <cell r="G13">
            <v>0.66366469770318959</v>
          </cell>
          <cell r="H13">
            <v>0.66584314205708228</v>
          </cell>
          <cell r="I13">
            <v>1.442524240409675</v>
          </cell>
          <cell r="J13">
            <v>0.60463417383115381</v>
          </cell>
          <cell r="K13">
            <v>0.40769321318602281</v>
          </cell>
          <cell r="L13">
            <v>0.6108919145319246</v>
          </cell>
          <cell r="M13">
            <v>0.6572949856596435</v>
          </cell>
          <cell r="N13">
            <v>0.61278141727680513</v>
          </cell>
          <cell r="O13">
            <v>0.6121244981899856</v>
          </cell>
        </row>
        <row r="14">
          <cell r="A14">
            <v>9</v>
          </cell>
          <cell r="B14">
            <v>1.2247918611166839</v>
          </cell>
          <cell r="C14">
            <v>1.1500594396284742</v>
          </cell>
          <cell r="D14">
            <v>1.0615903916577265</v>
          </cell>
          <cell r="E14">
            <v>0.71207440097316332</v>
          </cell>
          <cell r="F14">
            <v>0.62206840337212255</v>
          </cell>
          <cell r="G14">
            <v>0.72764958538781455</v>
          </cell>
          <cell r="H14">
            <v>0.73011479784613753</v>
          </cell>
          <cell r="I14">
            <v>1.5780390208737565</v>
          </cell>
          <cell r="J14">
            <v>0.66320461530587216</v>
          </cell>
          <cell r="K14">
            <v>0.44872844521921817</v>
          </cell>
          <cell r="L14">
            <v>0.66980810742928243</v>
          </cell>
          <cell r="M14">
            <v>0.72073049517837262</v>
          </cell>
          <cell r="N14">
            <v>0.67193552694167735</v>
          </cell>
          <cell r="O14">
            <v>0.67122969114930164</v>
          </cell>
        </row>
        <row r="15">
          <cell r="A15">
            <v>10</v>
          </cell>
          <cell r="B15">
            <v>1.3257293974063522</v>
          </cell>
          <cell r="C15">
            <v>1.2454638901234145</v>
          </cell>
          <cell r="D15">
            <v>1.149099150970941</v>
          </cell>
          <cell r="E15">
            <v>0.772479894449701</v>
          </cell>
          <cell r="F15">
            <v>0.67476225095455089</v>
          </cell>
          <cell r="G15">
            <v>0.78901900018792537</v>
          </cell>
          <cell r="H15">
            <v>0.79182507952665881</v>
          </cell>
          <cell r="I15">
            <v>1.7066251624364486</v>
          </cell>
          <cell r="J15">
            <v>0.71977584472983003</v>
          </cell>
          <cell r="K15">
            <v>0.48995003537318488</v>
          </cell>
          <cell r="L15">
            <v>0.7264851990938177</v>
          </cell>
          <cell r="M15">
            <v>0.7822748356026008</v>
          </cell>
          <cell r="N15">
            <v>0.72894926895830681</v>
          </cell>
          <cell r="O15">
            <v>0.72809481988883673</v>
          </cell>
        </row>
        <row r="16">
          <cell r="A16">
            <v>11</v>
          </cell>
          <cell r="B16">
            <v>1.4219626760591353</v>
          </cell>
          <cell r="C16">
            <v>1.3365242982817773</v>
          </cell>
          <cell r="D16">
            <v>1.2328592478610045</v>
          </cell>
          <cell r="E16">
            <v>0.83126121985200785</v>
          </cell>
          <cell r="F16">
            <v>0.72629922312996165</v>
          </cell>
          <cell r="G16">
            <v>0.84868805293017324</v>
          </cell>
          <cell r="H16">
            <v>0.85189513643564263</v>
          </cell>
          <cell r="I16">
            <v>1.8292667259247501</v>
          </cell>
          <cell r="J16">
            <v>0.77506615767170017</v>
          </cell>
          <cell r="K16">
            <v>0.53162104000865384</v>
          </cell>
          <cell r="L16">
            <v>0.78189541998549039</v>
          </cell>
          <cell r="M16">
            <v>0.84265391823745706</v>
          </cell>
          <cell r="N16">
            <v>0.78466914017683131</v>
          </cell>
          <cell r="O16">
            <v>0.78365983366006942</v>
          </cell>
        </row>
        <row r="17">
          <cell r="A17">
            <v>12</v>
          </cell>
          <cell r="B17">
            <v>1.5121220100670756</v>
          </cell>
          <cell r="C17">
            <v>1.4218901264422898</v>
          </cell>
          <cell r="D17">
            <v>1.3113053505679058</v>
          </cell>
          <cell r="E17">
            <v>0.8860019019665788</v>
          </cell>
          <cell r="F17">
            <v>0.7742680367674839</v>
          </cell>
          <cell r="G17">
            <v>0.90427871704200258</v>
          </cell>
          <cell r="H17">
            <v>0.90772095909595474</v>
          </cell>
          <cell r="I17">
            <v>1.9436656825465002</v>
          </cell>
          <cell r="J17">
            <v>0.82647331962497472</v>
          </cell>
          <cell r="K17">
            <v>0.56951828792603421</v>
          </cell>
          <cell r="L17">
            <v>0.83322232460072021</v>
          </cell>
          <cell r="M17">
            <v>0.8982540688274907</v>
          </cell>
          <cell r="N17">
            <v>0.8364176614385509</v>
          </cell>
          <cell r="O17">
            <v>0.83519906675976596</v>
          </cell>
        </row>
        <row r="18">
          <cell r="A18">
            <v>13</v>
          </cell>
          <cell r="B18">
            <v>1.5929955904009212</v>
          </cell>
          <cell r="C18">
            <v>1.4983004209632913</v>
          </cell>
          <cell r="D18">
            <v>1.3815017834360568</v>
          </cell>
          <cell r="E18">
            <v>0.93447745513284164</v>
          </cell>
          <cell r="F18">
            <v>0.8166034418964877</v>
          </cell>
          <cell r="G18">
            <v>0.9535511645658421</v>
          </cell>
          <cell r="H18">
            <v>0.95728550036082349</v>
          </cell>
          <cell r="I18">
            <v>2.0464754882234399</v>
          </cell>
          <cell r="J18">
            <v>0.87162068161810202</v>
          </cell>
          <cell r="K18">
            <v>0.60192106650651189</v>
          </cell>
          <cell r="L18">
            <v>0.87869585723191945</v>
          </cell>
          <cell r="M18">
            <v>0.94701675158496457</v>
          </cell>
          <cell r="N18">
            <v>0.88202724580610881</v>
          </cell>
          <cell r="O18">
            <v>0.88082882560718856</v>
          </cell>
        </row>
        <row r="19">
          <cell r="A19">
            <v>14</v>
          </cell>
          <cell r="B19">
            <v>1.6694893839003404</v>
          </cell>
          <cell r="C19">
            <v>1.5706408636224367</v>
          </cell>
          <cell r="D19">
            <v>1.4479516795187277</v>
          </cell>
          <cell r="E19">
            <v>0.98085606079710697</v>
          </cell>
          <cell r="F19">
            <v>0.85715408346236044</v>
          </cell>
          <cell r="G19">
            <v>1.0006377398502231</v>
          </cell>
          <cell r="H19">
            <v>1.0047625324323333</v>
          </cell>
          <cell r="I19">
            <v>2.1433292668779087</v>
          </cell>
          <cell r="J19">
            <v>0.9147830608957821</v>
          </cell>
          <cell r="K19">
            <v>0.63337342844473044</v>
          </cell>
          <cell r="L19">
            <v>0.92231071729975989</v>
          </cell>
          <cell r="M19">
            <v>0.99366109908510414</v>
          </cell>
          <cell r="N19">
            <v>0.92568058180012502</v>
          </cell>
          <cell r="O19">
            <v>0.92456512997418572</v>
          </cell>
        </row>
        <row r="20">
          <cell r="A20">
            <v>15</v>
          </cell>
          <cell r="B20">
            <v>1.742281829696477</v>
          </cell>
          <cell r="C20">
            <v>1.6395184291849785</v>
          </cell>
          <cell r="D20">
            <v>1.5113319986628126</v>
          </cell>
          <cell r="E20">
            <v>1.0250515210594204</v>
          </cell>
          <cell r="F20">
            <v>0.89589831525503083</v>
          </cell>
          <cell r="G20">
            <v>1.0455286561998194</v>
          </cell>
          <cell r="H20">
            <v>1.0498837637738472</v>
          </cell>
          <cell r="I20">
            <v>2.2350992765462943</v>
          </cell>
          <cell r="J20">
            <v>0.95612245178574518</v>
          </cell>
          <cell r="K20">
            <v>0.66358103746025154</v>
          </cell>
          <cell r="L20">
            <v>0.96379856363367811</v>
          </cell>
          <cell r="M20">
            <v>1.0382066898999334</v>
          </cell>
          <cell r="N20">
            <v>0.96735149139522703</v>
          </cell>
          <cell r="O20">
            <v>0.96620315205614071</v>
          </cell>
        </row>
        <row r="21">
          <cell r="A21">
            <v>16</v>
          </cell>
          <cell r="B21">
            <v>1.8102962517533725</v>
          </cell>
          <cell r="C21">
            <v>1.703957539922603</v>
          </cell>
          <cell r="D21">
            <v>1.5705094154235666</v>
          </cell>
          <cell r="E21">
            <v>1.0663976747780031</v>
          </cell>
          <cell r="F21">
            <v>0.93211937507578901</v>
          </cell>
          <cell r="G21">
            <v>1.0875251122006879</v>
          </cell>
          <cell r="H21">
            <v>1.0921157574288198</v>
          </cell>
          <cell r="I21">
            <v>2.3213079963268712</v>
          </cell>
          <cell r="J21">
            <v>0.99493998424595942</v>
          </cell>
          <cell r="K21">
            <v>0.69243467958086957</v>
          </cell>
          <cell r="L21">
            <v>1.0026960779899949</v>
          </cell>
          <cell r="M21">
            <v>1.0803117983472437</v>
          </cell>
          <cell r="N21">
            <v>1.0064440709098059</v>
          </cell>
          <cell r="O21">
            <v>1.0052286068324712</v>
          </cell>
        </row>
        <row r="22">
          <cell r="A22">
            <v>17</v>
          </cell>
          <cell r="B22">
            <v>1.8751335861924345</v>
          </cell>
          <cell r="C22">
            <v>1.7655515873163226</v>
          </cell>
          <cell r="D22">
            <v>1.6271043555265221</v>
          </cell>
          <cell r="E22">
            <v>1.1066156287551387</v>
          </cell>
          <cell r="F22">
            <v>0.96752218382408672</v>
          </cell>
          <cell r="G22">
            <v>1.1283712589574522</v>
          </cell>
          <cell r="H22">
            <v>1.1333065422977249</v>
          </cell>
          <cell r="I22">
            <v>2.4033680409999114</v>
          </cell>
          <cell r="J22">
            <v>1.032684744963591</v>
          </cell>
          <cell r="K22">
            <v>0.72095413066468117</v>
          </cell>
          <cell r="L22">
            <v>1.0407087648279414</v>
          </cell>
          <cell r="M22">
            <v>1.1211659991175329</v>
          </cell>
          <cell r="N22">
            <v>1.0445473859212229</v>
          </cell>
          <cell r="O22">
            <v>1.0433456091867186</v>
          </cell>
        </row>
        <row r="23">
          <cell r="A23">
            <v>18</v>
          </cell>
          <cell r="B23">
            <v>1.9371389417443488</v>
          </cell>
          <cell r="C23">
            <v>1.8245399275178438</v>
          </cell>
          <cell r="D23">
            <v>1.6812952507043002</v>
          </cell>
          <cell r="E23">
            <v>1.1452278841706871</v>
          </cell>
          <cell r="F23">
            <v>1.0015294122672735</v>
          </cell>
          <cell r="G23">
            <v>1.1675471347914259</v>
          </cell>
          <cell r="H23">
            <v>1.1727709049086033</v>
          </cell>
          <cell r="I23">
            <v>2.48111966973975</v>
          </cell>
          <cell r="J23">
            <v>1.0688327808045512</v>
          </cell>
          <cell r="K23">
            <v>0.74809126187172659</v>
          </cell>
          <cell r="L23">
            <v>1.0770729970188957</v>
          </cell>
          <cell r="M23">
            <v>1.1598763947943225</v>
          </cell>
          <cell r="N23">
            <v>1.0809879919313543</v>
          </cell>
          <cell r="O23">
            <v>1.0798518678848867</v>
          </cell>
        </row>
        <row r="24">
          <cell r="A24">
            <v>19</v>
          </cell>
          <cell r="B24">
            <v>1.9963401860731362</v>
          </cell>
          <cell r="C24">
            <v>1.8808990285813283</v>
          </cell>
          <cell r="D24">
            <v>1.7330627938188998</v>
          </cell>
          <cell r="E24">
            <v>1.182460975361098</v>
          </cell>
          <cell r="F24">
            <v>1.0343200660724969</v>
          </cell>
          <cell r="G24">
            <v>1.2052425019623176</v>
          </cell>
          <cell r="H24">
            <v>1.2107624349470323</v>
          </cell>
          <cell r="I24">
            <v>2.5550443527445226</v>
          </cell>
          <cell r="J24">
            <v>1.1036170868579995</v>
          </cell>
          <cell r="K24">
            <v>0.77456060714303998</v>
          </cell>
          <cell r="L24">
            <v>1.1121213259366356</v>
          </cell>
          <cell r="M24">
            <v>1.1971635919669403</v>
          </cell>
          <cell r="N24">
            <v>1.1160683808461875</v>
          </cell>
          <cell r="O24">
            <v>1.1150287683968856</v>
          </cell>
        </row>
        <row r="25">
          <cell r="A25">
            <v>20</v>
          </cell>
          <cell r="B25">
            <v>2.0523647707496258</v>
          </cell>
          <cell r="C25">
            <v>1.9342183548791292</v>
          </cell>
          <cell r="D25">
            <v>1.7822262108090938</v>
          </cell>
          <cell r="E25">
            <v>1.2180929373984133</v>
          </cell>
          <cell r="F25">
            <v>1.0658640340670109</v>
          </cell>
          <cell r="G25">
            <v>1.2413069919472461</v>
          </cell>
          <cell r="H25">
            <v>1.2471347538421766</v>
          </cell>
          <cell r="I25">
            <v>2.624676441716201</v>
          </cell>
          <cell r="J25">
            <v>1.1369470771452215</v>
          </cell>
          <cell r="K25">
            <v>0.80007733893312716</v>
          </cell>
          <cell r="L25">
            <v>1.1457720854494386</v>
          </cell>
          <cell r="M25">
            <v>1.2328734895335283</v>
          </cell>
          <cell r="N25">
            <v>1.149716648722199</v>
          </cell>
          <cell r="O25">
            <v>1.1487762748791117</v>
          </cell>
        </row>
        <row r="26">
          <cell r="A26">
            <v>21</v>
          </cell>
          <cell r="B26">
            <v>2.1078588014611421</v>
          </cell>
          <cell r="C26">
            <v>1.9848381197625113</v>
          </cell>
          <cell r="D26">
            <v>1.8290663445563009</v>
          </cell>
          <cell r="E26">
            <v>1.2519174351029145</v>
          </cell>
          <cell r="F26">
            <v>1.0959275373560888</v>
          </cell>
          <cell r="G26">
            <v>1.2755792492121723</v>
          </cell>
          <cell r="H26">
            <v>1.2815659943791804</v>
          </cell>
          <cell r="I26">
            <v>2.6907241938157078</v>
          </cell>
          <cell r="J26">
            <v>1.168909804492515</v>
          </cell>
          <cell r="K26">
            <v>0.82473132611134525</v>
          </cell>
          <cell r="L26">
            <v>1.1777030215035116</v>
          </cell>
          <cell r="M26">
            <v>1.267148850731552</v>
          </cell>
          <cell r="N26">
            <v>1.1818310772437783</v>
          </cell>
          <cell r="O26">
            <v>1.1808204808542175</v>
          </cell>
        </row>
        <row r="27">
          <cell r="A27">
            <v>22</v>
          </cell>
          <cell r="B27">
            <v>2.162347330850924</v>
          </cell>
          <cell r="C27">
            <v>2.0324156018289177</v>
          </cell>
          <cell r="D27">
            <v>1.8730999636762173</v>
          </cell>
          <cell r="E27">
            <v>1.2837917306939803</v>
          </cell>
          <cell r="F27">
            <v>1.1242758844191898</v>
          </cell>
          <cell r="G27">
            <v>1.307867419449678</v>
          </cell>
          <cell r="H27">
            <v>1.3140049106623792</v>
          </cell>
          <cell r="I27">
            <v>2.7526971643429863</v>
          </cell>
          <cell r="J27">
            <v>1.1990387170671943</v>
          </cell>
          <cell r="K27">
            <v>0.84804712116515946</v>
          </cell>
          <cell r="L27">
            <v>1.2077983983169851</v>
          </cell>
          <cell r="M27">
            <v>1.2994433939248673</v>
          </cell>
          <cell r="N27">
            <v>1.2120989956516848</v>
          </cell>
          <cell r="O27">
            <v>1.2110229031220761</v>
          </cell>
        </row>
        <row r="28">
          <cell r="A28">
            <v>23</v>
          </cell>
          <cell r="B28">
            <v>2.2159658373110465</v>
          </cell>
          <cell r="C28">
            <v>2.0771398726842247</v>
          </cell>
          <cell r="D28">
            <v>1.9145009311936065</v>
          </cell>
          <cell r="E28">
            <v>1.3138316856121397</v>
          </cell>
          <cell r="F28">
            <v>1.1510097473142376</v>
          </cell>
          <cell r="G28">
            <v>1.3382899204210497</v>
          </cell>
          <cell r="H28">
            <v>1.3445703472689412</v>
          </cell>
          <cell r="I28">
            <v>2.8108553913473795</v>
          </cell>
          <cell r="J28">
            <v>1.2274421528465944</v>
          </cell>
          <cell r="K28">
            <v>0.87009861989736281</v>
          </cell>
          <cell r="L28">
            <v>1.2361668983556562</v>
          </cell>
          <cell r="M28">
            <v>1.329875110528256</v>
          </cell>
          <cell r="N28">
            <v>1.2406297620029911</v>
          </cell>
          <cell r="O28">
            <v>1.2394925733236455</v>
          </cell>
        </row>
        <row r="29">
          <cell r="A29">
            <v>24</v>
          </cell>
          <cell r="B29">
            <v>2.2688418554485459</v>
          </cell>
          <cell r="C29">
            <v>2.1191878512587037</v>
          </cell>
          <cell r="D29">
            <v>1.9534319697288982</v>
          </cell>
          <cell r="E29">
            <v>1.3421460477497442</v>
          </cell>
          <cell r="F29">
            <v>1.1762236971928948</v>
          </cell>
          <cell r="G29">
            <v>1.3669578638963269</v>
          </cell>
          <cell r="H29">
            <v>1.3733738206669068</v>
          </cell>
          <cell r="I29">
            <v>2.865441774153096</v>
          </cell>
          <cell r="J29">
            <v>1.2542218379618388</v>
          </cell>
          <cell r="K29">
            <v>0.89095554741941907</v>
          </cell>
          <cell r="L29">
            <v>1.2629105553520317</v>
          </cell>
          <cell r="M29">
            <v>1.3585547273087111</v>
          </cell>
          <cell r="N29">
            <v>1.2675260425087278</v>
          </cell>
          <cell r="O29">
            <v>1.2663318542755468</v>
          </cell>
        </row>
        <row r="30">
          <cell r="A30">
            <v>25</v>
          </cell>
          <cell r="B30">
            <v>2.3210955900247425</v>
          </cell>
          <cell r="C30">
            <v>2.1587251100516198</v>
          </cell>
          <cell r="D30">
            <v>1.9900453984881947</v>
          </cell>
          <cell r="E30">
            <v>1.3688369032439434</v>
          </cell>
          <cell r="F30">
            <v>1.2000065867174499</v>
          </cell>
          <cell r="G30">
            <v>1.3939755219135916</v>
          </cell>
          <cell r="H30">
            <v>1.4005199866208073</v>
          </cell>
          <cell r="I30">
            <v>2.9166832360380823</v>
          </cell>
          <cell r="J30">
            <v>1.2794733041116699</v>
          </cell>
          <cell r="K30">
            <v>0.91068369988083187</v>
          </cell>
          <cell r="L30">
            <v>1.288125175056825</v>
          </cell>
          <cell r="M30">
            <v>1.3855861690600291</v>
          </cell>
          <cell r="N30">
            <v>1.2928842351268122</v>
          </cell>
          <cell r="O30">
            <v>1.2916368619123995</v>
          </cell>
        </row>
        <row r="31">
          <cell r="A31">
            <v>26</v>
          </cell>
          <cell r="B31">
            <v>2.3728404862494799</v>
          </cell>
          <cell r="C31">
            <v>2.1959066263698293</v>
          </cell>
          <cell r="D31">
            <v>2.0244838200948934</v>
          </cell>
          <cell r="E31">
            <v>1.3940000986245389</v>
          </cell>
          <cell r="F31">
            <v>1.2224419076941599</v>
          </cell>
          <cell r="G31">
            <v>1.4194407623067617</v>
          </cell>
          <cell r="H31">
            <v>1.4261070768063624</v>
          </cell>
          <cell r="I31">
            <v>2.9647918060887024</v>
          </cell>
          <cell r="J31">
            <v>1.3032862787407291</v>
          </cell>
          <cell r="K31">
            <v>0.92934517175242126</v>
          </cell>
          <cell r="L31">
            <v>1.3119007284750892</v>
          </cell>
          <cell r="M31">
            <v>1.4110669908397329</v>
          </cell>
          <cell r="N31">
            <v>1.3167948654468575</v>
          </cell>
          <cell r="O31">
            <v>1.3154978596408551</v>
          </cell>
        </row>
        <row r="32">
          <cell r="A32">
            <v>27</v>
          </cell>
          <cell r="B32">
            <v>2.4241837596616587</v>
          </cell>
          <cell r="C32">
            <v>2.2308774824019308</v>
          </cell>
          <cell r="D32">
            <v>2.0568807607589452</v>
          </cell>
          <cell r="E32">
            <v>1.4177256353200594</v>
          </cell>
          <cell r="F32">
            <v>1.2436081255795544</v>
          </cell>
          <cell r="G32">
            <v>1.443445455586756</v>
          </cell>
          <cell r="H32">
            <v>1.4502273067222045</v>
          </cell>
          <cell r="I32">
            <v>3.0099656259602772</v>
          </cell>
          <cell r="J32">
            <v>1.3257450498136982</v>
          </cell>
          <cell r="K32">
            <v>0.94699856955600858</v>
          </cell>
          <cell r="L32">
            <v>1.3343217194409036</v>
          </cell>
          <cell r="M32">
            <v>1.4350887818298612</v>
          </cell>
          <cell r="N32">
            <v>1.3393429567341759</v>
          </cell>
          <cell r="O32">
            <v>1.3379996269638776</v>
          </cell>
        </row>
        <row r="33">
          <cell r="A33">
            <v>28</v>
          </cell>
          <cell r="B33">
            <v>2.475226888589424</v>
          </cell>
          <cell r="C33">
            <v>2.2637735176962002</v>
          </cell>
          <cell r="D33">
            <v>2.0873612670314117</v>
          </cell>
          <cell r="E33">
            <v>1.4400980383865674</v>
          </cell>
          <cell r="F33">
            <v>1.263578992402465</v>
          </cell>
          <cell r="G33">
            <v>1.4660758551159545</v>
          </cell>
          <cell r="H33">
            <v>1.4729672568414816</v>
          </cell>
          <cell r="I33">
            <v>3.0523898868610679</v>
          </cell>
          <cell r="J33">
            <v>1.3469288068903256</v>
          </cell>
          <cell r="K33">
            <v>0.96369921287597116</v>
          </cell>
          <cell r="L33">
            <v>1.3554675282563786</v>
          </cell>
          <cell r="M33">
            <v>1.4577375427400481</v>
          </cell>
          <cell r="N33">
            <v>1.3606083758711964</v>
          </cell>
          <cell r="O33">
            <v>1.359221804105347</v>
          </cell>
        </row>
        <row r="34">
          <cell r="A34">
            <v>29</v>
          </cell>
          <cell r="B34">
            <v>2.5260660719629984</v>
          </cell>
          <cell r="C34">
            <v>2.2947219373569059</v>
          </cell>
          <cell r="D34">
            <v>2.1160424621615177</v>
          </cell>
          <cell r="E34">
            <v>1.4611967011947167</v>
          </cell>
          <cell r="F34">
            <v>1.2824238395388083</v>
          </cell>
          <cell r="G34">
            <v>1.4874129523812321</v>
          </cell>
          <cell r="H34">
            <v>1.4944082288113762</v>
          </cell>
          <cell r="I34">
            <v>3.0922377016948577</v>
          </cell>
          <cell r="J34">
            <v>1.3669119600888924</v>
          </cell>
          <cell r="K34">
            <v>0.97949932343485857</v>
          </cell>
          <cell r="L34">
            <v>1.3754127330016477</v>
          </cell>
          <cell r="M34">
            <v>1.4790940385383338</v>
          </cell>
          <cell r="N34">
            <v>1.3806661568145235</v>
          </cell>
          <cell r="O34">
            <v>1.3792392142456877</v>
          </cell>
        </row>
        <row r="35">
          <cell r="A35">
            <v>30</v>
          </cell>
          <cell r="B35">
            <v>2.57679265504916</v>
          </cell>
          <cell r="C35">
            <v>2.3238418790382989</v>
          </cell>
          <cell r="D35">
            <v>2.1430340648595396</v>
          </cell>
          <cell r="E35">
            <v>1.4810962076906877</v>
          </cell>
          <cell r="F35">
            <v>1.3002078516777988</v>
          </cell>
          <cell r="G35">
            <v>1.5075328090457067</v>
          </cell>
          <cell r="H35">
            <v>1.5146265783833199</v>
          </cell>
          <cell r="I35">
            <v>3.1296709169426942</v>
          </cell>
          <cell r="J35">
            <v>1.3857644384164678</v>
          </cell>
          <cell r="K35">
            <v>0.99444820296550074</v>
          </cell>
          <cell r="L35">
            <v>1.3942274100117908</v>
          </cell>
          <cell r="M35">
            <v>1.4992341281715671</v>
          </cell>
          <cell r="N35">
            <v>1.3995868030743426</v>
          </cell>
          <cell r="O35">
            <v>1.3981221648682516</v>
          </cell>
        </row>
      </sheetData>
      <sheetData sheetId="36" refreshError="1">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Flat </v>
          </cell>
          <cell r="O5" t="str">
            <v xml:space="preserve">Comm Water Heat </v>
          </cell>
        </row>
        <row r="6">
          <cell r="A6">
            <v>1</v>
          </cell>
          <cell r="B6">
            <v>0.15455990613512277</v>
          </cell>
          <cell r="C6">
            <v>0.14466419381144191</v>
          </cell>
          <cell r="D6">
            <v>0.1336217367001924</v>
          </cell>
          <cell r="E6">
            <v>8.7710604730664804E-2</v>
          </cell>
          <cell r="F6">
            <v>7.6336953312507741E-2</v>
          </cell>
          <cell r="G6">
            <v>8.9891382344070458E-2</v>
          </cell>
          <cell r="H6">
            <v>9.0120375179855133E-2</v>
          </cell>
          <cell r="I6">
            <v>0.20107824474794775</v>
          </cell>
          <cell r="J6">
            <v>8.1504833724640402E-2</v>
          </cell>
          <cell r="K6">
            <v>5.2923203036007636E-2</v>
          </cell>
          <cell r="L6">
            <v>8.244840729457073E-2</v>
          </cell>
          <cell r="M6">
            <v>8.8818279823334331E-2</v>
          </cell>
          <cell r="N6">
            <v>8.2724233307783501E-2</v>
          </cell>
          <cell r="O6">
            <v>8.2598269115534736E-2</v>
          </cell>
        </row>
        <row r="7">
          <cell r="A7">
            <v>2</v>
          </cell>
          <cell r="B7">
            <v>0.29999687918929768</v>
          </cell>
          <cell r="C7">
            <v>0.28085882659913913</v>
          </cell>
          <cell r="D7">
            <v>0.25945689378062231</v>
          </cell>
          <cell r="E7">
            <v>0.17078477799863101</v>
          </cell>
          <cell r="F7">
            <v>0.14871557548298223</v>
          </cell>
          <cell r="G7">
            <v>0.17495602807707211</v>
          </cell>
          <cell r="H7">
            <v>0.17542684379719004</v>
          </cell>
          <cell r="I7">
            <v>0.38964927037530528</v>
          </cell>
          <cell r="J7">
            <v>0.15867241435955814</v>
          </cell>
          <cell r="K7">
            <v>0.10353190207282785</v>
          </cell>
          <cell r="L7">
            <v>0.16059856040466303</v>
          </cell>
          <cell r="M7">
            <v>0.17289035901673339</v>
          </cell>
          <cell r="N7">
            <v>0.16104815898446473</v>
          </cell>
          <cell r="O7">
            <v>0.16088013695861114</v>
          </cell>
        </row>
        <row r="8">
          <cell r="A8">
            <v>3</v>
          </cell>
          <cell r="B8">
            <v>0.43737824987207147</v>
          </cell>
          <cell r="C8">
            <v>0.40955934335810157</v>
          </cell>
          <cell r="D8">
            <v>0.37846656079811103</v>
          </cell>
          <cell r="E8">
            <v>0.24954391085685396</v>
          </cell>
          <cell r="F8">
            <v>0.21743228970741513</v>
          </cell>
          <cell r="G8">
            <v>0.25557816107017617</v>
          </cell>
          <cell r="H8">
            <v>0.25623368958764714</v>
          </cell>
          <cell r="I8">
            <v>0.56736811030969292</v>
          </cell>
          <cell r="J8">
            <v>0.23192623612628366</v>
          </cell>
          <cell r="K8">
            <v>0.15171501971971915</v>
          </cell>
          <cell r="L8">
            <v>0.23464693039074502</v>
          </cell>
          <cell r="M8">
            <v>0.25257119045614246</v>
          </cell>
          <cell r="N8">
            <v>0.23533521626565371</v>
          </cell>
          <cell r="O8">
            <v>0.23507386712627443</v>
          </cell>
        </row>
        <row r="9">
          <cell r="A9">
            <v>4</v>
          </cell>
          <cell r="B9">
            <v>0.56582994523350094</v>
          </cell>
          <cell r="C9">
            <v>0.53006593893688281</v>
          </cell>
          <cell r="D9">
            <v>0.48977979409824246</v>
          </cell>
          <cell r="E9">
            <v>0.32372426573800206</v>
          </cell>
          <cell r="F9">
            <v>0.2822679089034148</v>
          </cell>
          <cell r="G9">
            <v>0.33147493526124372</v>
          </cell>
          <cell r="H9">
            <v>0.33234840948702132</v>
          </cell>
          <cell r="I9">
            <v>0.73327714515692932</v>
          </cell>
          <cell r="J9">
            <v>0.30101744293448507</v>
          </cell>
          <cell r="K9">
            <v>0.19779361250300698</v>
          </cell>
          <cell r="L9">
            <v>0.30445190679988432</v>
          </cell>
          <cell r="M9">
            <v>0.32767849187760967</v>
          </cell>
          <cell r="N9">
            <v>0.30537190400292352</v>
          </cell>
          <cell r="O9">
            <v>0.30501172989185393</v>
          </cell>
        </row>
        <row r="10">
          <cell r="A10">
            <v>5</v>
          </cell>
          <cell r="B10">
            <v>0.68751442107994598</v>
          </cell>
          <cell r="C10">
            <v>0.64435318009454134</v>
          </cell>
          <cell r="D10">
            <v>0.59535160265516573</v>
          </cell>
          <cell r="E10">
            <v>0.394774709646734</v>
          </cell>
          <cell r="F10">
            <v>0.3444876341940592</v>
          </cell>
          <cell r="G10">
            <v>0.40409821272842539</v>
          </cell>
          <cell r="H10">
            <v>0.40522673138215576</v>
          </cell>
          <cell r="I10">
            <v>0.89017342727433202</v>
          </cell>
          <cell r="J10">
            <v>0.36741499526711868</v>
          </cell>
          <cell r="K10">
            <v>0.24337933863188463</v>
          </cell>
          <cell r="L10">
            <v>0.37143956490536945</v>
          </cell>
          <cell r="M10">
            <v>0.4000559315876755</v>
          </cell>
          <cell r="N10">
            <v>0.37260285239790247</v>
          </cell>
          <cell r="O10">
            <v>0.37213305115241652</v>
          </cell>
        </row>
        <row r="11">
          <cell r="A11">
            <v>6</v>
          </cell>
          <cell r="B11">
            <v>0.80352513801184644</v>
          </cell>
          <cell r="C11">
            <v>0.75345221747224667</v>
          </cell>
          <cell r="D11">
            <v>0.69610647883999999</v>
          </cell>
          <cell r="E11">
            <v>0.46311115818173132</v>
          </cell>
          <cell r="F11">
            <v>0.40439151498064874</v>
          </cell>
          <cell r="G11">
            <v>0.47388311408729711</v>
          </cell>
          <cell r="H11">
            <v>0.47522677056200457</v>
          </cell>
          <cell r="I11">
            <v>1.0392730475515874</v>
          </cell>
          <cell r="J11">
            <v>0.43128180149869105</v>
          </cell>
          <cell r="K11">
            <v>0.28745850432423115</v>
          </cell>
          <cell r="L11">
            <v>0.4357671400371439</v>
          </cell>
          <cell r="M11">
            <v>0.46938208649684265</v>
          </cell>
          <cell r="N11">
            <v>0.43721990072378891</v>
          </cell>
          <cell r="O11">
            <v>0.43661169031889391</v>
          </cell>
        </row>
        <row r="12">
          <cell r="A12">
            <v>7</v>
          </cell>
          <cell r="B12">
            <v>0.91327788818151034</v>
          </cell>
          <cell r="C12">
            <v>0.85684445885833493</v>
          </cell>
          <cell r="D12">
            <v>0.79136669988547359</v>
          </cell>
          <cell r="E12">
            <v>0.52818424090511129</v>
          </cell>
          <cell r="F12">
            <v>0.46134418723149095</v>
          </cell>
          <cell r="G12">
            <v>0.54019832334479423</v>
          </cell>
          <cell r="H12">
            <v>0.54181695905863736</v>
          </cell>
          <cell r="I12">
            <v>1.1794651969326497</v>
          </cell>
          <cell r="J12">
            <v>0.4919059861868208</v>
          </cell>
          <cell r="K12">
            <v>0.329738105098274</v>
          </cell>
          <cell r="L12">
            <v>0.49694234253663822</v>
          </cell>
          <cell r="M12">
            <v>0.53500404017047576</v>
          </cell>
          <cell r="N12">
            <v>0.49857863574435091</v>
          </cell>
          <cell r="O12">
            <v>0.49793336683206924</v>
          </cell>
        </row>
        <row r="13">
          <cell r="A13">
            <v>8</v>
          </cell>
          <cell r="B13">
            <v>1.0168138882196709</v>
          </cell>
          <cell r="C13">
            <v>0.95448136428379071</v>
          </cell>
          <cell r="D13">
            <v>0.88137393620227911</v>
          </cell>
          <cell r="E13">
            <v>0.59020546540825847</v>
          </cell>
          <cell r="F13">
            <v>0.51572605842891739</v>
          </cell>
          <cell r="G13">
            <v>0.60333154336653616</v>
          </cell>
          <cell r="H13">
            <v>0.60531194732462024</v>
          </cell>
          <cell r="I13">
            <v>1.3113856730997047</v>
          </cell>
          <cell r="J13">
            <v>0.54966743075559432</v>
          </cell>
          <cell r="K13">
            <v>0.37063019380547529</v>
          </cell>
          <cell r="L13">
            <v>0.55535628593811337</v>
          </cell>
          <cell r="M13">
            <v>0.59754089605422145</v>
          </cell>
          <cell r="N13">
            <v>0.55707401570618653</v>
          </cell>
          <cell r="O13">
            <v>0.55647681653635062</v>
          </cell>
        </row>
        <row r="14">
          <cell r="A14">
            <v>9</v>
          </cell>
          <cell r="B14">
            <v>1.1134471464697127</v>
          </cell>
          <cell r="C14">
            <v>1.0455085814804312</v>
          </cell>
          <cell r="D14">
            <v>0.96508217423429676</v>
          </cell>
          <cell r="E14">
            <v>0.64734036452105759</v>
          </cell>
          <cell r="F14">
            <v>0.56551673033829331</v>
          </cell>
          <cell r="G14">
            <v>0.66149962307983157</v>
          </cell>
          <cell r="H14">
            <v>0.66374072531467054</v>
          </cell>
          <cell r="I14">
            <v>1.4345809280670516</v>
          </cell>
          <cell r="J14">
            <v>0.60291328664170196</v>
          </cell>
          <cell r="K14">
            <v>0.40793495019928921</v>
          </cell>
          <cell r="L14">
            <v>0.60891646129934773</v>
          </cell>
          <cell r="M14">
            <v>0.65520954107124774</v>
          </cell>
          <cell r="N14">
            <v>0.61085047903788847</v>
          </cell>
          <cell r="O14">
            <v>0.61020881013572881</v>
          </cell>
        </row>
        <row r="15">
          <cell r="A15">
            <v>10</v>
          </cell>
          <cell r="B15">
            <v>1.2052085430966839</v>
          </cell>
          <cell r="C15">
            <v>1.1322399001121952</v>
          </cell>
          <cell r="D15">
            <v>1.0446355917917645</v>
          </cell>
          <cell r="E15">
            <v>0.70225444949972815</v>
          </cell>
          <cell r="F15">
            <v>0.61342022814050079</v>
          </cell>
          <cell r="G15">
            <v>0.71729000017084144</v>
          </cell>
          <cell r="H15">
            <v>0.71984098138787167</v>
          </cell>
          <cell r="I15">
            <v>1.5514774203967716</v>
          </cell>
          <cell r="J15">
            <v>0.65434167702711821</v>
          </cell>
          <cell r="K15">
            <v>0.44540912306653169</v>
          </cell>
          <cell r="L15">
            <v>0.66044109008528884</v>
          </cell>
          <cell r="M15">
            <v>0.71115894145690994</v>
          </cell>
          <cell r="N15">
            <v>0.66268115359846069</v>
          </cell>
          <cell r="O15">
            <v>0.6619043817171244</v>
          </cell>
        </row>
        <row r="16">
          <cell r="A16">
            <v>11</v>
          </cell>
          <cell r="B16">
            <v>1.2926933418719413</v>
          </cell>
          <cell r="C16">
            <v>1.2150220893470705</v>
          </cell>
          <cell r="D16">
            <v>1.120781134419095</v>
          </cell>
          <cell r="E16">
            <v>0.75569201804727992</v>
          </cell>
          <cell r="F16">
            <v>0.66027202102723792</v>
          </cell>
          <cell r="G16">
            <v>0.7715345935728849</v>
          </cell>
          <cell r="H16">
            <v>0.77445012403240243</v>
          </cell>
          <cell r="I16">
            <v>1.662969750840682</v>
          </cell>
          <cell r="J16">
            <v>0.70460559788336385</v>
          </cell>
          <cell r="K16">
            <v>0.48329185455332169</v>
          </cell>
          <cell r="L16">
            <v>0.71081401816862777</v>
          </cell>
          <cell r="M16">
            <v>0.76604901657950641</v>
          </cell>
          <cell r="N16">
            <v>0.71333558197893765</v>
          </cell>
          <cell r="O16">
            <v>0.71241803060006315</v>
          </cell>
        </row>
        <row r="17">
          <cell r="A17">
            <v>12</v>
          </cell>
          <cell r="B17">
            <v>1.3746563727882506</v>
          </cell>
          <cell r="C17">
            <v>1.2926273876748091</v>
          </cell>
          <cell r="D17">
            <v>1.1920957732435506</v>
          </cell>
          <cell r="E17">
            <v>0.80545627451507174</v>
          </cell>
          <cell r="F17">
            <v>0.7038800334249854</v>
          </cell>
          <cell r="G17">
            <v>0.82207156094727507</v>
          </cell>
          <cell r="H17">
            <v>0.82520087190541347</v>
          </cell>
          <cell r="I17">
            <v>1.7669688023150005</v>
          </cell>
          <cell r="J17">
            <v>0.75133938147724977</v>
          </cell>
          <cell r="K17">
            <v>0.51774389811457655</v>
          </cell>
          <cell r="L17">
            <v>0.75747484054610936</v>
          </cell>
          <cell r="M17">
            <v>0.81659460802499151</v>
          </cell>
          <cell r="N17">
            <v>0.76037969221686463</v>
          </cell>
          <cell r="O17">
            <v>0.75927187887251479</v>
          </cell>
        </row>
        <row r="18">
          <cell r="A18">
            <v>13</v>
          </cell>
          <cell r="B18">
            <v>1.448177809455383</v>
          </cell>
          <cell r="C18">
            <v>1.3620912917848103</v>
          </cell>
          <cell r="D18">
            <v>1.2559107122145972</v>
          </cell>
          <cell r="E18">
            <v>0.84952495921167437</v>
          </cell>
          <cell r="F18">
            <v>0.74236676536044344</v>
          </cell>
          <cell r="G18">
            <v>0.86686469505985653</v>
          </cell>
          <cell r="H18">
            <v>0.87025954578256681</v>
          </cell>
          <cell r="I18">
            <v>1.8604322620213094</v>
          </cell>
          <cell r="J18">
            <v>0.79238243783463824</v>
          </cell>
          <cell r="K18">
            <v>0.54720096955137454</v>
          </cell>
          <cell r="L18">
            <v>0.79881441566538147</v>
          </cell>
          <cell r="M18">
            <v>0.86092431962269511</v>
          </cell>
          <cell r="N18">
            <v>0.80184295073282619</v>
          </cell>
          <cell r="O18">
            <v>0.80075347782471695</v>
          </cell>
        </row>
        <row r="19">
          <cell r="A19">
            <v>14</v>
          </cell>
          <cell r="B19">
            <v>1.5177176217275825</v>
          </cell>
          <cell r="C19">
            <v>1.4278553305658517</v>
          </cell>
          <cell r="D19">
            <v>1.3163197086533889</v>
          </cell>
          <cell r="E19">
            <v>0.89168732799737005</v>
          </cell>
          <cell r="F19">
            <v>0.77923098496578214</v>
          </cell>
          <cell r="G19">
            <v>0.90967067259111223</v>
          </cell>
          <cell r="H19">
            <v>0.91342048402939413</v>
          </cell>
          <cell r="I19">
            <v>1.9484811517071901</v>
          </cell>
          <cell r="J19">
            <v>0.83162096445071121</v>
          </cell>
          <cell r="K19">
            <v>0.57579402585884587</v>
          </cell>
          <cell r="L19">
            <v>0.83846428845432741</v>
          </cell>
          <cell r="M19">
            <v>0.90332827189554932</v>
          </cell>
          <cell r="N19">
            <v>0.84152780163647734</v>
          </cell>
          <cell r="O19">
            <v>0.84051375452198718</v>
          </cell>
        </row>
        <row r="20">
          <cell r="A20">
            <v>15</v>
          </cell>
          <cell r="B20">
            <v>1.5838925724513431</v>
          </cell>
          <cell r="C20">
            <v>1.4904712992590716</v>
          </cell>
          <cell r="D20">
            <v>1.3739381806025568</v>
          </cell>
          <cell r="E20">
            <v>0.93186501914492781</v>
          </cell>
          <cell r="F20">
            <v>0.8144530138682099</v>
          </cell>
          <cell r="G20">
            <v>0.9504805965452906</v>
          </cell>
          <cell r="H20">
            <v>0.95443978524895223</v>
          </cell>
          <cell r="I20">
            <v>2.0319084332239044</v>
          </cell>
          <cell r="J20">
            <v>0.86920222889613219</v>
          </cell>
          <cell r="K20">
            <v>0.60325548860022871</v>
          </cell>
          <cell r="L20">
            <v>0.87618051239425299</v>
          </cell>
          <cell r="M20">
            <v>0.94382426354539417</v>
          </cell>
          <cell r="N20">
            <v>0.87941044672293356</v>
          </cell>
          <cell r="O20">
            <v>0.87836650186921894</v>
          </cell>
        </row>
        <row r="21">
          <cell r="A21">
            <v>16</v>
          </cell>
          <cell r="B21">
            <v>1.6457238652303388</v>
          </cell>
          <cell r="C21">
            <v>1.5490523090205484</v>
          </cell>
          <cell r="D21">
            <v>1.4277358322032423</v>
          </cell>
          <cell r="E21">
            <v>0.96945243161636663</v>
          </cell>
          <cell r="F21">
            <v>0.84738125006889919</v>
          </cell>
          <cell r="G21">
            <v>0.9886591929097166</v>
          </cell>
          <cell r="H21">
            <v>0.9928325067534729</v>
          </cell>
          <cell r="I21">
            <v>2.1102799966607924</v>
          </cell>
          <cell r="J21">
            <v>0.90449089476905409</v>
          </cell>
          <cell r="K21">
            <v>0.6294860723462451</v>
          </cell>
          <cell r="L21">
            <v>0.91154188908181388</v>
          </cell>
          <cell r="M21">
            <v>0.98210163486113067</v>
          </cell>
          <cell r="N21">
            <v>0.91494915537255073</v>
          </cell>
          <cell r="O21">
            <v>0.91384418802951939</v>
          </cell>
        </row>
        <row r="22">
          <cell r="A22">
            <v>17</v>
          </cell>
          <cell r="B22">
            <v>1.7046668965385772</v>
          </cell>
          <cell r="C22">
            <v>1.605046897560293</v>
          </cell>
          <cell r="D22">
            <v>1.4791857777513835</v>
          </cell>
          <cell r="E22">
            <v>1.0060142079592171</v>
          </cell>
          <cell r="F22">
            <v>0.87956562165826069</v>
          </cell>
          <cell r="G22">
            <v>1.0257920535976839</v>
          </cell>
          <cell r="H22">
            <v>1.0302786748161137</v>
          </cell>
          <cell r="I22">
            <v>2.1848800372726469</v>
          </cell>
          <cell r="J22">
            <v>0.93880431360326477</v>
          </cell>
          <cell r="K22">
            <v>0.65541284605880112</v>
          </cell>
          <cell r="L22">
            <v>0.9460988771163108</v>
          </cell>
          <cell r="M22">
            <v>1.0192418173795754</v>
          </cell>
          <cell r="N22">
            <v>0.94958853265565701</v>
          </cell>
          <cell r="O22">
            <v>0.94849600835156245</v>
          </cell>
        </row>
        <row r="23">
          <cell r="A23">
            <v>18</v>
          </cell>
          <cell r="B23">
            <v>1.7610354015857719</v>
          </cell>
          <cell r="C23">
            <v>1.6586726613798581</v>
          </cell>
          <cell r="D23">
            <v>1.5284502279130001</v>
          </cell>
          <cell r="E23">
            <v>1.0411162583369884</v>
          </cell>
          <cell r="F23">
            <v>0.91048128387933969</v>
          </cell>
          <cell r="G23">
            <v>1.0614064861740238</v>
          </cell>
          <cell r="H23">
            <v>1.0661553680987303</v>
          </cell>
          <cell r="I23">
            <v>2.2555633361270462</v>
          </cell>
          <cell r="J23">
            <v>0.97166616436777398</v>
          </cell>
          <cell r="K23">
            <v>0.68008296533793333</v>
          </cell>
          <cell r="L23">
            <v>0.97915727001717823</v>
          </cell>
          <cell r="M23">
            <v>1.0544330861766569</v>
          </cell>
          <cell r="N23">
            <v>0.98271635630123111</v>
          </cell>
          <cell r="O23">
            <v>0.98168351625898809</v>
          </cell>
        </row>
        <row r="24">
          <cell r="A24">
            <v>19</v>
          </cell>
          <cell r="B24">
            <v>1.8148547146119425</v>
          </cell>
          <cell r="C24">
            <v>1.7099082078012076</v>
          </cell>
          <cell r="D24">
            <v>1.5755116307444545</v>
          </cell>
          <cell r="E24">
            <v>1.074964523055544</v>
          </cell>
          <cell r="F24">
            <v>0.94029096915681543</v>
          </cell>
          <cell r="G24">
            <v>1.0956750017839254</v>
          </cell>
          <cell r="H24">
            <v>1.1006931226791203</v>
          </cell>
          <cell r="I24">
            <v>2.3227675934041119</v>
          </cell>
          <cell r="J24">
            <v>1.0032882607799998</v>
          </cell>
          <cell r="K24">
            <v>0.70414600649367276</v>
          </cell>
          <cell r="L24">
            <v>1.0110193872151234</v>
          </cell>
          <cell r="M24">
            <v>1.0883305381517641</v>
          </cell>
          <cell r="N24">
            <v>1.0146076189510793</v>
          </cell>
          <cell r="O24">
            <v>1.0136625167244415</v>
          </cell>
        </row>
        <row r="25">
          <cell r="A25">
            <v>20</v>
          </cell>
          <cell r="B25">
            <v>1.8657861552269326</v>
          </cell>
          <cell r="C25">
            <v>1.7583803226173902</v>
          </cell>
          <cell r="D25">
            <v>1.6202056461900853</v>
          </cell>
          <cell r="E25">
            <v>1.1073572158167395</v>
          </cell>
          <cell r="F25">
            <v>0.96896730369728279</v>
          </cell>
          <cell r="G25">
            <v>1.1284609017702238</v>
          </cell>
          <cell r="H25">
            <v>1.1337588671292516</v>
          </cell>
          <cell r="I25">
            <v>2.3860694924692738</v>
          </cell>
          <cell r="J25">
            <v>1.0335882519502015</v>
          </cell>
          <cell r="K25">
            <v>0.727343035393752</v>
          </cell>
          <cell r="L25">
            <v>1.0416109867722172</v>
          </cell>
          <cell r="M25">
            <v>1.1207940813941168</v>
          </cell>
          <cell r="N25">
            <v>1.0451969533838172</v>
          </cell>
          <cell r="O25">
            <v>1.04434206807192</v>
          </cell>
        </row>
        <row r="26">
          <cell r="A26">
            <v>21</v>
          </cell>
          <cell r="B26">
            <v>1.9162352740555839</v>
          </cell>
          <cell r="C26">
            <v>1.8043982906931921</v>
          </cell>
          <cell r="D26">
            <v>1.6627875859602734</v>
          </cell>
          <cell r="E26">
            <v>1.138106759184468</v>
          </cell>
          <cell r="F26">
            <v>0.99629776123280789</v>
          </cell>
          <cell r="G26">
            <v>1.1596174992837931</v>
          </cell>
          <cell r="H26">
            <v>1.1650599948901643</v>
          </cell>
          <cell r="I26">
            <v>2.4461129034688258</v>
          </cell>
          <cell r="J26">
            <v>1.0626452768113777</v>
          </cell>
          <cell r="K26">
            <v>0.74975575101031389</v>
          </cell>
          <cell r="L26">
            <v>1.070639110457738</v>
          </cell>
          <cell r="M26">
            <v>1.1519535006650474</v>
          </cell>
          <cell r="N26">
            <v>1.0743918884034345</v>
          </cell>
          <cell r="O26">
            <v>1.0734731644129254</v>
          </cell>
        </row>
        <row r="27">
          <cell r="A27">
            <v>22</v>
          </cell>
          <cell r="B27">
            <v>1.9657703007735676</v>
          </cell>
          <cell r="C27">
            <v>1.847650547117198</v>
          </cell>
          <cell r="D27">
            <v>1.7028181487965612</v>
          </cell>
          <cell r="E27">
            <v>1.1670833915399825</v>
          </cell>
          <cell r="F27">
            <v>1.0220689858356271</v>
          </cell>
          <cell r="G27">
            <v>1.1889703813178893</v>
          </cell>
          <cell r="H27">
            <v>1.1945499187839814</v>
          </cell>
          <cell r="I27">
            <v>2.5024519675845331</v>
          </cell>
          <cell r="J27">
            <v>1.0900351973338134</v>
          </cell>
          <cell r="K27">
            <v>0.77095192833196313</v>
          </cell>
          <cell r="L27">
            <v>1.0979985439245323</v>
          </cell>
          <cell r="M27">
            <v>1.181312176295334</v>
          </cell>
          <cell r="N27">
            <v>1.1019081778651678</v>
          </cell>
          <cell r="O27">
            <v>1.1009299119291605</v>
          </cell>
        </row>
        <row r="28">
          <cell r="A28">
            <v>23</v>
          </cell>
          <cell r="B28">
            <v>2.0145143975554971</v>
          </cell>
          <cell r="C28">
            <v>1.8883089751674769</v>
          </cell>
          <cell r="D28">
            <v>1.7404553919941876</v>
          </cell>
          <cell r="E28">
            <v>1.194392441465582</v>
          </cell>
          <cell r="F28">
            <v>1.0463724975583979</v>
          </cell>
          <cell r="G28">
            <v>1.2166272003827727</v>
          </cell>
          <cell r="H28">
            <v>1.2223366793354011</v>
          </cell>
          <cell r="I28">
            <v>2.5553230830430724</v>
          </cell>
          <cell r="J28">
            <v>1.1158565025878135</v>
          </cell>
          <cell r="K28">
            <v>0.79099874536123882</v>
          </cell>
          <cell r="L28">
            <v>1.1237880894142331</v>
          </cell>
          <cell r="M28">
            <v>1.2089773732075058</v>
          </cell>
          <cell r="N28">
            <v>1.1278452381845372</v>
          </cell>
          <cell r="O28">
            <v>1.1268114302942234</v>
          </cell>
        </row>
        <row r="29">
          <cell r="A29">
            <v>24</v>
          </cell>
          <cell r="B29">
            <v>2.0625835049532233</v>
          </cell>
          <cell r="C29">
            <v>1.9265344102351851</v>
          </cell>
          <cell r="D29">
            <v>1.7758472452080891</v>
          </cell>
          <cell r="E29">
            <v>1.2201327706815861</v>
          </cell>
          <cell r="F29">
            <v>1.0692942701753589</v>
          </cell>
          <cell r="G29">
            <v>1.2426889671784793</v>
          </cell>
          <cell r="H29">
            <v>1.2485216551517335</v>
          </cell>
          <cell r="I29">
            <v>2.604947067411906</v>
          </cell>
          <cell r="J29">
            <v>1.1402016708743992</v>
          </cell>
          <cell r="K29">
            <v>0.80995958856310823</v>
          </cell>
          <cell r="L29">
            <v>1.1481005048654835</v>
          </cell>
          <cell r="M29">
            <v>1.2350497520988284</v>
          </cell>
          <cell r="N29">
            <v>1.1522964022806614</v>
          </cell>
          <cell r="O29">
            <v>1.151210776614134</v>
          </cell>
        </row>
        <row r="30">
          <cell r="A30">
            <v>25</v>
          </cell>
          <cell r="B30">
            <v>2.1100869000224938</v>
          </cell>
          <cell r="C30">
            <v>1.9624773727742</v>
          </cell>
          <cell r="D30">
            <v>1.8091321804438134</v>
          </cell>
          <cell r="E30">
            <v>1.2443971847672215</v>
          </cell>
          <cell r="F30">
            <v>1.0909150788340454</v>
          </cell>
          <cell r="G30">
            <v>1.2672504744669015</v>
          </cell>
          <cell r="H30">
            <v>1.2731999878370976</v>
          </cell>
          <cell r="I30">
            <v>2.6515302145800752</v>
          </cell>
          <cell r="J30">
            <v>1.1631575491924275</v>
          </cell>
          <cell r="K30">
            <v>0.827894272618938</v>
          </cell>
          <cell r="L30">
            <v>1.1710228864152958</v>
          </cell>
          <cell r="M30">
            <v>1.2596237900545721</v>
          </cell>
          <cell r="N30">
            <v>1.1753493046607382</v>
          </cell>
          <cell r="O30">
            <v>1.1742153290112725</v>
          </cell>
        </row>
        <row r="31">
          <cell r="A31">
            <v>26</v>
          </cell>
          <cell r="B31">
            <v>2.1571277147722547</v>
          </cell>
          <cell r="C31">
            <v>1.9962787512452995</v>
          </cell>
          <cell r="D31">
            <v>1.8404398364499031</v>
          </cell>
          <cell r="E31">
            <v>1.2672728169313994</v>
          </cell>
          <cell r="F31">
            <v>1.1113108251765091</v>
          </cell>
          <cell r="G31">
            <v>1.2904006930061471</v>
          </cell>
          <cell r="H31">
            <v>1.2964609789148749</v>
          </cell>
          <cell r="I31">
            <v>2.6952652782624571</v>
          </cell>
          <cell r="J31">
            <v>1.1848057079461176</v>
          </cell>
          <cell r="K31">
            <v>0.84485924704765558</v>
          </cell>
          <cell r="L31">
            <v>1.1926370258864452</v>
          </cell>
          <cell r="M31">
            <v>1.2827881734906663</v>
          </cell>
          <cell r="N31">
            <v>1.1970862413153247</v>
          </cell>
          <cell r="O31">
            <v>1.1959071451280503</v>
          </cell>
        </row>
        <row r="32">
          <cell r="A32">
            <v>27</v>
          </cell>
          <cell r="B32">
            <v>2.2038034178742354</v>
          </cell>
          <cell r="C32">
            <v>2.0280704385472101</v>
          </cell>
          <cell r="D32">
            <v>1.8698916006899502</v>
          </cell>
          <cell r="E32">
            <v>1.2888414866545999</v>
          </cell>
          <cell r="F32">
            <v>1.1305528414359585</v>
          </cell>
          <cell r="G32">
            <v>1.3122231414425056</v>
          </cell>
          <cell r="H32">
            <v>1.3183884606565495</v>
          </cell>
          <cell r="I32">
            <v>2.7363323872366161</v>
          </cell>
          <cell r="J32">
            <v>1.2052227725579079</v>
          </cell>
          <cell r="K32">
            <v>0.8609077905054624</v>
          </cell>
          <cell r="L32">
            <v>1.2130197449462763</v>
          </cell>
          <cell r="M32">
            <v>1.3046261652998739</v>
          </cell>
          <cell r="N32">
            <v>1.2175845061219779</v>
          </cell>
          <cell r="O32">
            <v>1.216363297239889</v>
          </cell>
        </row>
        <row r="33">
          <cell r="A33">
            <v>28</v>
          </cell>
          <cell r="B33">
            <v>2.2502062623540215</v>
          </cell>
          <cell r="C33">
            <v>2.057975925178364</v>
          </cell>
          <cell r="D33">
            <v>1.8976011518467375</v>
          </cell>
          <cell r="E33">
            <v>1.3091800348968798</v>
          </cell>
          <cell r="F33">
            <v>1.1487081749113319</v>
          </cell>
          <cell r="G33">
            <v>1.3327962319235951</v>
          </cell>
          <cell r="H33">
            <v>1.3390611425831649</v>
          </cell>
          <cell r="I33">
            <v>2.7748998971464252</v>
          </cell>
          <cell r="J33">
            <v>1.2244807335366601</v>
          </cell>
          <cell r="K33">
            <v>0.87609019352361028</v>
          </cell>
          <cell r="L33">
            <v>1.2322432075057992</v>
          </cell>
          <cell r="M33">
            <v>1.3252159479454984</v>
          </cell>
          <cell r="N33">
            <v>1.2369167053374512</v>
          </cell>
          <cell r="O33">
            <v>1.2356561855503156</v>
          </cell>
        </row>
        <row r="34">
          <cell r="A34">
            <v>29</v>
          </cell>
          <cell r="B34">
            <v>2.2964237017845441</v>
          </cell>
          <cell r="C34">
            <v>2.0861108521426424</v>
          </cell>
          <cell r="D34">
            <v>1.9236749656013794</v>
          </cell>
          <cell r="E34">
            <v>1.3283606374497428</v>
          </cell>
          <cell r="F34">
            <v>1.1658398541261894</v>
          </cell>
          <cell r="G34">
            <v>1.3521935930738471</v>
          </cell>
          <cell r="H34">
            <v>1.3585529352830694</v>
          </cell>
          <cell r="I34">
            <v>2.8111251833589614</v>
          </cell>
          <cell r="J34">
            <v>1.2426472364444479</v>
          </cell>
          <cell r="K34">
            <v>0.89045393039532605</v>
          </cell>
          <cell r="L34">
            <v>1.2503752118196798</v>
          </cell>
          <cell r="M34">
            <v>1.344630944125758</v>
          </cell>
          <cell r="N34">
            <v>1.2551510516495665</v>
          </cell>
          <cell r="O34">
            <v>1.2538538311324439</v>
          </cell>
        </row>
        <row r="35">
          <cell r="A35">
            <v>30</v>
          </cell>
          <cell r="B35">
            <v>2.3425387773174182</v>
          </cell>
          <cell r="C35">
            <v>2.112583526398454</v>
          </cell>
          <cell r="D35">
            <v>1.9482127862359451</v>
          </cell>
          <cell r="E35">
            <v>1.3464510979006257</v>
          </cell>
          <cell r="F35">
            <v>1.1820071378889083</v>
          </cell>
          <cell r="G35">
            <v>1.3704843718597333</v>
          </cell>
          <cell r="H35">
            <v>1.3769332530757454</v>
          </cell>
          <cell r="I35">
            <v>2.8451553790388133</v>
          </cell>
          <cell r="J35">
            <v>1.2597858531058801</v>
          </cell>
          <cell r="K35">
            <v>0.90404382087772805</v>
          </cell>
          <cell r="L35">
            <v>1.2674794636470827</v>
          </cell>
          <cell r="M35">
            <v>1.3629401165196064</v>
          </cell>
          <cell r="N35">
            <v>1.272351639158493</v>
          </cell>
          <cell r="O35">
            <v>1.2710201498802289</v>
          </cell>
        </row>
      </sheetData>
      <sheetData sheetId="37" refreshError="1">
        <row r="5">
          <cell r="B5" t="str">
            <v>Res Space Heat</v>
          </cell>
          <cell r="C5" t="str">
            <v>Res Water Heat</v>
          </cell>
          <cell r="D5" t="str">
            <v xml:space="preserve">Commercial Space Heat </v>
          </cell>
          <cell r="E5" t="str">
            <v xml:space="preserve">Commercial Cooking </v>
          </cell>
          <cell r="F5" t="str">
            <v xml:space="preserve">Commercial Water Heat </v>
          </cell>
          <cell r="G5" t="str">
            <v xml:space="preserve">Flat </v>
          </cell>
        </row>
        <row r="6">
          <cell r="A6">
            <v>1</v>
          </cell>
          <cell r="B6">
            <v>0.7157817673905732</v>
          </cell>
          <cell r="C6">
            <v>0.5612551638968577</v>
          </cell>
          <cell r="D6">
            <v>0.72127183675376305</v>
          </cell>
          <cell r="E6">
            <v>0.56601388373437245</v>
          </cell>
          <cell r="F6">
            <v>0.5635675097567443</v>
          </cell>
          <cell r="G6">
            <v>0.56153667584981615</v>
          </cell>
        </row>
        <row r="7">
          <cell r="A7">
            <v>2</v>
          </cell>
          <cell r="B7">
            <v>1.4073840856807196</v>
          </cell>
          <cell r="C7">
            <v>1.104086567103939</v>
          </cell>
          <cell r="D7">
            <v>1.4190648367929941</v>
          </cell>
          <cell r="E7">
            <v>1.1134443355534294</v>
          </cell>
          <cell r="F7">
            <v>1.1086398485059499</v>
          </cell>
          <cell r="G7">
            <v>1.1045553565679582</v>
          </cell>
        </row>
        <row r="8">
          <cell r="A8">
            <v>3</v>
          </cell>
          <cell r="B8">
            <v>2.0754640547598013</v>
          </cell>
          <cell r="C8">
            <v>1.6284386824133121</v>
          </cell>
          <cell r="D8">
            <v>2.0745242855074988</v>
          </cell>
          <cell r="E8">
            <v>1.6420980920781232</v>
          </cell>
          <cell r="F8">
            <v>1.6350894989554585</v>
          </cell>
          <cell r="G8">
            <v>1.6289415089447252</v>
          </cell>
        </row>
        <row r="9">
          <cell r="A9">
            <v>4</v>
          </cell>
          <cell r="B9">
            <v>2.7101827920776627</v>
          </cell>
          <cell r="C9">
            <v>2.1319528308175699</v>
          </cell>
          <cell r="D9">
            <v>2.716432461019747</v>
          </cell>
          <cell r="E9">
            <v>2.1495361699866109</v>
          </cell>
          <cell r="F9">
            <v>2.140514070824493</v>
          </cell>
          <cell r="G9">
            <v>2.1325652645796334</v>
          </cell>
        </row>
        <row r="10">
          <cell r="A10">
            <v>5</v>
          </cell>
          <cell r="B10">
            <v>3.4973129820754201</v>
          </cell>
          <cell r="C10">
            <v>2.6638410429419892</v>
          </cell>
          <cell r="D10">
            <v>3.5056112622913629</v>
          </cell>
          <cell r="E10">
            <v>2.6894284441495637</v>
          </cell>
          <cell r="F10">
            <v>2.6762183460061451</v>
          </cell>
          <cell r="G10">
            <v>2.6664671535547146</v>
          </cell>
        </row>
        <row r="11">
          <cell r="A11">
            <v>6</v>
          </cell>
          <cell r="B11">
            <v>4.2688994201398147</v>
          </cell>
          <cell r="C11">
            <v>3.1897250061879467</v>
          </cell>
          <cell r="D11">
            <v>4.2793825276633068</v>
          </cell>
          <cell r="E11">
            <v>3.2229539387097952</v>
          </cell>
          <cell r="F11">
            <v>3.2057473273385613</v>
          </cell>
          <cell r="G11">
            <v>3.194202524844969</v>
          </cell>
        </row>
        <row r="12">
          <cell r="A12">
            <v>7</v>
          </cell>
          <cell r="B12">
            <v>5.0160474099377428</v>
          </cell>
          <cell r="C12">
            <v>3.7062058546668224</v>
          </cell>
          <cell r="D12">
            <v>5.0290382299332297</v>
          </cell>
          <cell r="E12">
            <v>3.7465400614434259</v>
          </cell>
          <cell r="F12">
            <v>3.7256207694358254</v>
          </cell>
          <cell r="G12">
            <v>3.7122999375312014</v>
          </cell>
        </row>
        <row r="13">
          <cell r="A13">
            <v>8</v>
          </cell>
          <cell r="B13">
            <v>5.7219329141869055</v>
          </cell>
          <cell r="C13">
            <v>4.1974255736168704</v>
          </cell>
          <cell r="D13">
            <v>5.7374627951548103</v>
          </cell>
          <cell r="E13">
            <v>4.2443618826690344</v>
          </cell>
          <cell r="F13">
            <v>4.2199941920252764</v>
          </cell>
          <cell r="G13">
            <v>4.2049893359084489</v>
          </cell>
        </row>
        <row r="14">
          <cell r="A14">
            <v>9</v>
          </cell>
          <cell r="B14">
            <v>6.399992637615691</v>
          </cell>
          <cell r="C14">
            <v>4.6757127326836478</v>
          </cell>
          <cell r="D14">
            <v>6.4180801925042745</v>
          </cell>
          <cell r="E14">
            <v>4.7287833470810501</v>
          </cell>
          <cell r="F14">
            <v>4.7012128909757021</v>
          </cell>
          <cell r="G14">
            <v>4.6846112495092331</v>
          </cell>
        </row>
        <row r="15">
          <cell r="A15">
            <v>10</v>
          </cell>
          <cell r="B15">
            <v>7.0694016079106774</v>
          </cell>
          <cell r="C15">
            <v>5.1592228068628589</v>
          </cell>
          <cell r="D15">
            <v>7.0900546147198913</v>
          </cell>
          <cell r="E15">
            <v>5.2179924327897966</v>
          </cell>
          <cell r="F15">
            <v>5.1874477152002667</v>
          </cell>
          <cell r="G15">
            <v>5.1693320077604561</v>
          </cell>
        </row>
        <row r="16">
          <cell r="A16">
            <v>11</v>
          </cell>
          <cell r="B16">
            <v>7.7317371323353852</v>
          </cell>
          <cell r="C16">
            <v>5.6442468869782543</v>
          </cell>
          <cell r="D16">
            <v>7.7547811883100506</v>
          </cell>
          <cell r="E16">
            <v>5.7084550620336403</v>
          </cell>
          <cell r="F16">
            <v>5.6750716431116217</v>
          </cell>
          <cell r="G16">
            <v>5.6555203039350115</v>
          </cell>
        </row>
        <row r="17">
          <cell r="A17">
            <v>12</v>
          </cell>
          <cell r="B17">
            <v>8.347906899838808</v>
          </cell>
          <cell r="C17">
            <v>6.0953531853364105</v>
          </cell>
          <cell r="D17">
            <v>8.3733400228381463</v>
          </cell>
          <cell r="E17">
            <v>6.1646160653369986</v>
          </cell>
          <cell r="F17">
            <v>6.1285953835325051</v>
          </cell>
          <cell r="G17">
            <v>6.1076827840011951</v>
          </cell>
        </row>
        <row r="18">
          <cell r="A18">
            <v>13</v>
          </cell>
          <cell r="B18">
            <v>8.8752772932502726</v>
          </cell>
          <cell r="C18">
            <v>6.4690425929023814</v>
          </cell>
          <cell r="D18">
            <v>8.9030884099306959</v>
          </cell>
          <cell r="E18">
            <v>6.5430039193687248</v>
          </cell>
          <cell r="F18">
            <v>6.5045328763850296</v>
          </cell>
          <cell r="G18">
            <v>6.4807878679623414</v>
          </cell>
        </row>
        <row r="19">
          <cell r="A19">
            <v>14</v>
          </cell>
          <cell r="B19">
            <v>9.3781213284154745</v>
          </cell>
          <cell r="C19">
            <v>6.8288297690754103</v>
          </cell>
          <cell r="D19">
            <v>9.4082932259166903</v>
          </cell>
          <cell r="E19">
            <v>6.9071573641990884</v>
          </cell>
          <cell r="F19">
            <v>6.8664101832512383</v>
          </cell>
          <cell r="G19">
            <v>6.8414412989327955</v>
          </cell>
        </row>
        <row r="20">
          <cell r="A20">
            <v>15</v>
          </cell>
          <cell r="B20">
            <v>9.8588027588878688</v>
          </cell>
          <cell r="C20">
            <v>7.1763251163955486</v>
          </cell>
          <cell r="D20">
            <v>9.8913110378502829</v>
          </cell>
          <cell r="E20">
            <v>7.2587107778692728</v>
          </cell>
          <cell r="F20">
            <v>7.2158490523528318</v>
          </cell>
          <cell r="G20">
            <v>7.1897196935955581</v>
          </cell>
        </row>
        <row r="21">
          <cell r="A21">
            <v>16</v>
          </cell>
          <cell r="B21">
            <v>10.314707848987393</v>
          </cell>
          <cell r="C21">
            <v>7.505139409640174</v>
          </cell>
          <cell r="D21">
            <v>10.349399467389471</v>
          </cell>
          <cell r="E21">
            <v>7.5913997283779979</v>
          </cell>
          <cell r="F21">
            <v>7.5465187182758795</v>
          </cell>
          <cell r="G21">
            <v>7.5192890021729735</v>
          </cell>
        </row>
        <row r="22">
          <cell r="A22">
            <v>17</v>
          </cell>
          <cell r="B22">
            <v>10.752756532083197</v>
          </cell>
          <cell r="C22">
            <v>7.8248143313990992</v>
          </cell>
          <cell r="D22">
            <v>10.789603283256366</v>
          </cell>
          <cell r="E22">
            <v>7.9146774626057113</v>
          </cell>
          <cell r="F22">
            <v>7.867919655124803</v>
          </cell>
          <cell r="G22">
            <v>7.8396465843777232</v>
          </cell>
        </row>
        <row r="23">
          <cell r="A23">
            <v>18</v>
          </cell>
          <cell r="B23">
            <v>11.171040843284581</v>
          </cell>
          <cell r="C23">
            <v>8.1328229544024442</v>
          </cell>
          <cell r="D23">
            <v>11.210009320100712</v>
          </cell>
          <cell r="E23">
            <v>8.2260367165513628</v>
          </cell>
          <cell r="F23">
            <v>8.177534245217938</v>
          </cell>
          <cell r="G23">
            <v>8.1482718695971545</v>
          </cell>
        </row>
        <row r="24">
          <cell r="A24">
            <v>19</v>
          </cell>
          <cell r="B24">
            <v>11.577900083660399</v>
          </cell>
          <cell r="C24">
            <v>8.4363854698610332</v>
          </cell>
          <cell r="D24">
            <v>11.618930767060739</v>
          </cell>
          <cell r="E24">
            <v>8.5327340702154846</v>
          </cell>
          <cell r="F24">
            <v>8.4825998005006973</v>
          </cell>
          <cell r="G24">
            <v>8.4523993697241018</v>
          </cell>
        </row>
        <row r="25">
          <cell r="A25">
            <v>20</v>
          </cell>
          <cell r="B25">
            <v>11.962214379828326</v>
          </cell>
          <cell r="C25">
            <v>8.7239255856245936</v>
          </cell>
          <cell r="D25">
            <v>12.005247057831774</v>
          </cell>
          <cell r="E25">
            <v>8.823207573589201</v>
          </cell>
          <cell r="F25">
            <v>8.7715468393808713</v>
          </cell>
          <cell r="G25">
            <v>8.7404569483501504</v>
          </cell>
        </row>
        <row r="26">
          <cell r="A26">
            <v>21</v>
          </cell>
          <cell r="B26">
            <v>12.32794667910226</v>
          </cell>
          <cell r="C26">
            <v>8.9968133819024594</v>
          </cell>
          <cell r="D26">
            <v>12.372834515418337</v>
          </cell>
          <cell r="E26">
            <v>9.0989129240733391</v>
          </cell>
          <cell r="F26">
            <v>9.0457855603575776</v>
          </cell>
          <cell r="G26">
            <v>9.0138522865697084</v>
          </cell>
        </row>
        <row r="27">
          <cell r="A27">
            <v>22</v>
          </cell>
          <cell r="B27">
            <v>12.67341423551991</v>
          </cell>
          <cell r="C27">
            <v>9.2552986678466542</v>
          </cell>
          <cell r="D27">
            <v>12.72010301422427</v>
          </cell>
          <cell r="E27">
            <v>9.3600347125304602</v>
          </cell>
          <cell r="F27">
            <v>9.305535386419292</v>
          </cell>
          <cell r="G27">
            <v>9.2728024203778823</v>
          </cell>
        </row>
        <row r="28">
          <cell r="A28">
            <v>23</v>
          </cell>
          <cell r="B28">
            <v>12.999765629183878</v>
          </cell>
          <cell r="C28">
            <v>9.5001474706726761</v>
          </cell>
          <cell r="D28">
            <v>13.048200804217633</v>
          </cell>
          <cell r="E28">
            <v>9.6073509747804451</v>
          </cell>
          <cell r="F28">
            <v>9.5515680488080079</v>
          </cell>
          <cell r="G28">
            <v>9.5180768176788284</v>
          </cell>
        </row>
        <row r="29">
          <cell r="A29">
            <v>24</v>
          </cell>
          <cell r="B29">
            <v>13.308082537062182</v>
          </cell>
          <cell r="C29">
            <v>9.7320846417004887</v>
          </cell>
          <cell r="D29">
            <v>13.358209484521131</v>
          </cell>
          <cell r="E29">
            <v>9.8415977516309709</v>
          </cell>
          <cell r="F29">
            <v>9.7846137152920001</v>
          </cell>
          <cell r="G29">
            <v>9.750403500152677</v>
          </cell>
        </row>
        <row r="30">
          <cell r="A30">
            <v>25</v>
          </cell>
          <cell r="B30">
            <v>13.599383753483696</v>
          </cell>
          <cell r="C30">
            <v>9.9517961012755443</v>
          </cell>
          <cell r="D30">
            <v>13.651147993215307</v>
          </cell>
          <cell r="E30">
            <v>10.063471390995101</v>
          </cell>
          <cell r="F30">
            <v>10.005363262065075</v>
          </cell>
          <cell r="G30">
            <v>9.9704713090807964</v>
          </cell>
        </row>
        <row r="31">
          <cell r="A31">
            <v>26</v>
          </cell>
          <cell r="B31">
            <v>13.876538857447873</v>
          </cell>
          <cell r="C31">
            <v>10.160299296224675</v>
          </cell>
          <cell r="D31">
            <v>13.929824895835688</v>
          </cell>
          <cell r="E31">
            <v>10.274050454364522</v>
          </cell>
          <cell r="F31">
            <v>10.214862778258121</v>
          </cell>
          <cell r="G31">
            <v>10.179324404098006</v>
          </cell>
        </row>
        <row r="32">
          <cell r="A32">
            <v>27</v>
          </cell>
          <cell r="B32">
            <v>14.138398949805239</v>
          </cell>
          <cell r="C32">
            <v>10.357812591140688</v>
          </cell>
          <cell r="D32">
            <v>14.193157747595233</v>
          </cell>
          <cell r="E32">
            <v>10.473507118650154</v>
          </cell>
          <cell r="F32">
            <v>10.413309114551733</v>
          </cell>
          <cell r="G32">
            <v>10.377157806344226</v>
          </cell>
        </row>
        <row r="33">
          <cell r="A33">
            <v>28</v>
          </cell>
          <cell r="B33">
            <v>14.385826604081998</v>
          </cell>
          <cell r="C33">
            <v>10.544919439290387</v>
          </cell>
          <cell r="D33">
            <v>14.4420094298241</v>
          </cell>
          <cell r="E33">
            <v>10.662433571427716</v>
          </cell>
          <cell r="F33">
            <v>10.601289876537843</v>
          </cell>
          <cell r="G33">
            <v>10.564557386648023</v>
          </cell>
        </row>
        <row r="34">
          <cell r="A34">
            <v>29</v>
          </cell>
          <cell r="B34">
            <v>14.619634446579635</v>
          </cell>
          <cell r="C34">
            <v>10.722172009744124</v>
          </cell>
          <cell r="D34">
            <v>14.677193027973885</v>
          </cell>
          <cell r="E34">
            <v>10.841390123459345</v>
          </cell>
          <cell r="F34">
            <v>10.779361105002332</v>
          </cell>
          <cell r="G34">
            <v>10.742077540899405</v>
          </cell>
        </row>
        <row r="35">
          <cell r="A35">
            <v>30</v>
          </cell>
          <cell r="B35">
            <v>14.840588138162456</v>
          </cell>
          <cell r="C35">
            <v>10.890092887373999</v>
          </cell>
          <cell r="D35">
            <v>14.899474793029578</v>
          </cell>
          <cell r="E35">
            <v>11.010906949892908</v>
          </cell>
          <cell r="F35">
            <v>10.948048995368103</v>
          </cell>
          <cell r="G35">
            <v>10.910242904837393</v>
          </cell>
        </row>
      </sheetData>
      <sheetData sheetId="38" refreshError="1">
        <row r="5">
          <cell r="B5" t="str">
            <v>Res Space Heat</v>
          </cell>
          <cell r="C5" t="str">
            <v>Res WH</v>
          </cell>
          <cell r="D5" t="str">
            <v>Commercial SH</v>
          </cell>
          <cell r="E5" t="str">
            <v>Commercial Ck</v>
          </cell>
          <cell r="F5" t="str">
            <v>Commercial WH</v>
          </cell>
          <cell r="G5" t="str">
            <v xml:space="preserve">Flat </v>
          </cell>
        </row>
        <row r="6">
          <cell r="A6">
            <v>1</v>
          </cell>
          <cell r="B6">
            <v>0.67333813423547728</v>
          </cell>
          <cell r="C6">
            <v>0.57183626323469838</v>
          </cell>
          <cell r="D6">
            <v>0.70500290377775132</v>
          </cell>
          <cell r="E6">
            <v>0.57803593647223761</v>
          </cell>
          <cell r="F6">
            <v>0.57488617269156317</v>
          </cell>
          <cell r="G6">
            <v>0.5726021949560326</v>
          </cell>
        </row>
        <row r="7">
          <cell r="A7">
            <v>2</v>
          </cell>
          <cell r="B7">
            <v>1.3318154925115802</v>
          </cell>
          <cell r="C7">
            <v>1.1273757871950765</v>
          </cell>
          <cell r="D7">
            <v>1.3959823943097487</v>
          </cell>
          <cell r="E7">
            <v>1.1399116325391441</v>
          </cell>
          <cell r="F7">
            <v>1.1335437493117737</v>
          </cell>
          <cell r="G7">
            <v>1.1289485203800893</v>
          </cell>
        </row>
        <row r="8">
          <cell r="A8">
            <v>3</v>
          </cell>
          <cell r="B8">
            <v>1.9689727616633366</v>
          </cell>
          <cell r="C8">
            <v>1.6634298318229501</v>
          </cell>
          <cell r="D8">
            <v>2.0448680486800472</v>
          </cell>
          <cell r="E8">
            <v>1.6818667482665066</v>
          </cell>
          <cell r="F8">
            <v>1.6725032038723378</v>
          </cell>
          <cell r="G8">
            <v>1.665606185318337</v>
          </cell>
        </row>
        <row r="9">
          <cell r="A9">
            <v>4</v>
          </cell>
          <cell r="B9">
            <v>2.5752201512114601</v>
          </cell>
          <cell r="C9">
            <v>2.1777949764956928</v>
          </cell>
          <cell r="D9">
            <v>2.680824989498654</v>
          </cell>
          <cell r="E9">
            <v>2.2016390199760316</v>
          </cell>
          <cell r="F9">
            <v>2.189527801358703</v>
          </cell>
          <cell r="G9">
            <v>2.1806095303545034</v>
          </cell>
        </row>
        <row r="10">
          <cell r="A10">
            <v>5</v>
          </cell>
          <cell r="B10">
            <v>3.1746854031946641</v>
          </cell>
          <cell r="C10">
            <v>2.6886080552881442</v>
          </cell>
          <cell r="D10">
            <v>3.3083537769876843</v>
          </cell>
          <cell r="E10">
            <v>2.7174868645373635</v>
          </cell>
          <cell r="F10">
            <v>2.7028207348635762</v>
          </cell>
          <cell r="G10">
            <v>2.6918961588590293</v>
          </cell>
        </row>
        <row r="11">
          <cell r="A11">
            <v>6</v>
          </cell>
          <cell r="B11">
            <v>3.7649810619061581</v>
          </cell>
          <cell r="C11">
            <v>3.1935134317952651</v>
          </cell>
          <cell r="D11">
            <v>3.925146822222529</v>
          </cell>
          <cell r="E11">
            <v>3.2270800892231732</v>
          </cell>
          <cell r="F11">
            <v>3.2100383510181194</v>
          </cell>
          <cell r="G11">
            <v>3.1971315259392399</v>
          </cell>
        </row>
        <row r="12">
          <cell r="A12">
            <v>7</v>
          </cell>
          <cell r="B12">
            <v>4.3456542967805998</v>
          </cell>
          <cell r="C12">
            <v>3.6911486112482166</v>
          </cell>
          <cell r="D12">
            <v>4.531206595547201</v>
          </cell>
          <cell r="E12">
            <v>3.7291658458360453</v>
          </cell>
          <cell r="F12">
            <v>3.7098706156264889</v>
          </cell>
          <cell r="G12">
            <v>3.6950088943391903</v>
          </cell>
        </row>
        <row r="13">
          <cell r="A13">
            <v>8</v>
          </cell>
          <cell r="B13">
            <v>4.8987091406129526</v>
          </cell>
          <cell r="C13">
            <v>4.1654670935899771</v>
          </cell>
          <cell r="D13">
            <v>5.1083328565369852</v>
          </cell>
          <cell r="E13">
            <v>4.2077043481741097</v>
          </cell>
          <cell r="F13">
            <v>4.1862723655763014</v>
          </cell>
          <cell r="G13">
            <v>4.1695570192744666</v>
          </cell>
        </row>
        <row r="14">
          <cell r="A14">
            <v>9</v>
          </cell>
          <cell r="B14">
            <v>5.4365295660323607</v>
          </cell>
          <cell r="C14">
            <v>4.628630007135059</v>
          </cell>
          <cell r="D14">
            <v>5.6689777063579445</v>
          </cell>
          <cell r="E14">
            <v>4.6748686684182328</v>
          </cell>
          <cell r="F14">
            <v>4.6514106253732352</v>
          </cell>
          <cell r="G14">
            <v>4.6329376788999355</v>
          </cell>
        </row>
        <row r="15">
          <cell r="A15">
            <v>10</v>
          </cell>
          <cell r="B15">
            <v>5.9773310301200295</v>
          </cell>
          <cell r="C15">
            <v>5.0986415089366623</v>
          </cell>
          <cell r="D15">
            <v>6.2314212013906083</v>
          </cell>
          <cell r="E15">
            <v>5.1486742888140267</v>
          </cell>
          <cell r="F15">
            <v>5.1232951428160494</v>
          </cell>
          <cell r="G15">
            <v>5.1031556463801673</v>
          </cell>
        </row>
        <row r="16">
          <cell r="A16">
            <v>11</v>
          </cell>
          <cell r="B16">
            <v>6.5164294105681506</v>
          </cell>
          <cell r="C16">
            <v>5.5706171225320125</v>
          </cell>
          <cell r="D16">
            <v>6.79104047184242</v>
          </cell>
          <cell r="E16">
            <v>5.6242474711825938</v>
          </cell>
          <cell r="F16">
            <v>5.5970467425651851</v>
          </cell>
          <cell r="G16">
            <v>5.5753270296663491</v>
          </cell>
        </row>
        <row r="17">
          <cell r="A17">
            <v>12</v>
          </cell>
          <cell r="B17">
            <v>7.0195405110954665</v>
          </cell>
          <cell r="C17">
            <v>6.0100826762152249</v>
          </cell>
          <cell r="D17">
            <v>7.3136094004357828</v>
          </cell>
          <cell r="E17">
            <v>6.0671242255186826</v>
          </cell>
          <cell r="F17">
            <v>6.038196279419191</v>
          </cell>
          <cell r="G17">
            <v>6.0149782114900709</v>
          </cell>
        </row>
        <row r="18">
          <cell r="A18">
            <v>13</v>
          </cell>
          <cell r="B18">
            <v>7.443217236961976</v>
          </cell>
          <cell r="C18">
            <v>6.3734109411425983</v>
          </cell>
          <cell r="D18">
            <v>7.7557359625721345</v>
          </cell>
          <cell r="E18">
            <v>6.4336869771181826</v>
          </cell>
          <cell r="F18">
            <v>6.4031212906463466</v>
          </cell>
          <cell r="G18">
            <v>6.3769408211871115</v>
          </cell>
        </row>
        <row r="19">
          <cell r="A19">
            <v>14</v>
          </cell>
          <cell r="B19">
            <v>7.8510384513479297</v>
          </cell>
          <cell r="C19">
            <v>6.7240099794180725</v>
          </cell>
          <cell r="D19">
            <v>8.1810512401068145</v>
          </cell>
          <cell r="E19">
            <v>6.7873529431504362</v>
          </cell>
          <cell r="F19">
            <v>6.7552343575594493</v>
          </cell>
          <cell r="G19">
            <v>6.7277067536894677</v>
          </cell>
        </row>
        <row r="20">
          <cell r="A20">
            <v>15</v>
          </cell>
          <cell r="B20">
            <v>8.2446672446397109</v>
          </cell>
          <cell r="C20">
            <v>7.0633809277384474</v>
          </cell>
          <cell r="D20">
            <v>8.5912678361984085</v>
          </cell>
          <cell r="E20">
            <v>7.129631940523474</v>
          </cell>
          <cell r="F20">
            <v>7.0960409019515804</v>
          </cell>
          <cell r="G20">
            <v>7.0672359503977491</v>
          </cell>
        </row>
        <row r="21">
          <cell r="A21">
            <v>16</v>
          </cell>
          <cell r="B21">
            <v>8.6170329213525552</v>
          </cell>
          <cell r="C21">
            <v>7.3842995266457567</v>
          </cell>
          <cell r="D21">
            <v>8.9793620030664023</v>
          </cell>
          <cell r="E21">
            <v>7.4533079402354119</v>
          </cell>
          <cell r="F21">
            <v>7.41832072747642</v>
          </cell>
          <cell r="G21">
            <v>7.3883045998201169</v>
          </cell>
        </row>
        <row r="22">
          <cell r="A22">
            <v>17</v>
          </cell>
          <cell r="B22">
            <v>8.9785128074121552</v>
          </cell>
          <cell r="C22">
            <v>7.6969974935280847</v>
          </cell>
          <cell r="D22">
            <v>9.3557555824923941</v>
          </cell>
          <cell r="E22">
            <v>7.7686204639316374</v>
          </cell>
          <cell r="F22">
            <v>7.7323094041487295</v>
          </cell>
          <cell r="G22">
            <v>7.7011448439335792</v>
          </cell>
        </row>
        <row r="23">
          <cell r="A23">
            <v>18</v>
          </cell>
          <cell r="B23">
            <v>9.3266304519945802</v>
          </cell>
          <cell r="C23">
            <v>7.9988603119495449</v>
          </cell>
          <cell r="D23">
            <v>9.718014333251741</v>
          </cell>
          <cell r="E23">
            <v>8.0729623950195553</v>
          </cell>
          <cell r="F23">
            <v>8.0353960685782653</v>
          </cell>
          <cell r="G23">
            <v>8.0031425690189781</v>
          </cell>
        </row>
        <row r="24">
          <cell r="A24">
            <v>19</v>
          </cell>
          <cell r="B24">
            <v>9.6685267419942811</v>
          </cell>
          <cell r="C24">
            <v>8.2968979556528257</v>
          </cell>
          <cell r="D24">
            <v>10.073319165342008</v>
          </cell>
          <cell r="E24">
            <v>8.3733507238394012</v>
          </cell>
          <cell r="F24">
            <v>8.334594158311404</v>
          </cell>
          <cell r="G24">
            <v>8.3013081305785459</v>
          </cell>
        </row>
        <row r="25">
          <cell r="A25">
            <v>20</v>
          </cell>
          <cell r="B25">
            <v>9.9926946793819234</v>
          </cell>
          <cell r="C25">
            <v>8.5794792950258216</v>
          </cell>
          <cell r="D25">
            <v>10.410201030243831</v>
          </cell>
          <cell r="E25">
            <v>8.6581609737068295</v>
          </cell>
          <cell r="F25">
            <v>8.6182758281012433</v>
          </cell>
          <cell r="G25">
            <v>8.584010761165878</v>
          </cell>
        </row>
        <row r="26">
          <cell r="A26">
            <v>21</v>
          </cell>
          <cell r="B26">
            <v>10.30005392026904</v>
          </cell>
          <cell r="C26">
            <v>8.8474062852515019</v>
          </cell>
          <cell r="D26">
            <v>10.729615567802583</v>
          </cell>
          <cell r="E26">
            <v>8.9282014082033641</v>
          </cell>
          <cell r="F26">
            <v>8.8872461473530695</v>
          </cell>
          <cell r="G26">
            <v>8.8520527592497409</v>
          </cell>
        </row>
        <row r="27">
          <cell r="A27">
            <v>22</v>
          </cell>
          <cell r="B27">
            <v>10.591476384702293</v>
          </cell>
          <cell r="C27">
            <v>9.1014392428133668</v>
          </cell>
          <cell r="D27">
            <v>11.032468817701538</v>
          </cell>
          <cell r="E27">
            <v>9.1842383254115045</v>
          </cell>
          <cell r="F27">
            <v>9.142268385443888</v>
          </cell>
          <cell r="G27">
            <v>9.1061947668158929</v>
          </cell>
        </row>
        <row r="28">
          <cell r="A28">
            <v>23</v>
          </cell>
          <cell r="B28">
            <v>10.867788736643449</v>
          </cell>
          <cell r="C28">
            <v>9.3422990096081993</v>
          </cell>
          <cell r="D28">
            <v>11.319619796009341</v>
          </cell>
          <cell r="E28">
            <v>9.4269982389569709</v>
          </cell>
          <cell r="F28">
            <v>9.3840661841926316</v>
          </cell>
          <cell r="G28">
            <v>9.3471579344010998</v>
          </cell>
        </row>
        <row r="29">
          <cell r="A29">
            <v>24</v>
          </cell>
          <cell r="B29">
            <v>11.129774734947262</v>
          </cell>
          <cell r="C29">
            <v>9.5706690044198943</v>
          </cell>
          <cell r="D29">
            <v>11.591882937722788</v>
          </cell>
          <cell r="E29">
            <v>9.6571699455349922</v>
          </cell>
          <cell r="F29">
            <v>9.6133256172584982</v>
          </cell>
          <cell r="G29">
            <v>9.575625973440486</v>
          </cell>
        </row>
        <row r="30">
          <cell r="A30">
            <v>25</v>
          </cell>
          <cell r="B30">
            <v>11.378177462059771</v>
          </cell>
          <cell r="C30">
            <v>9.7871971676291452</v>
          </cell>
          <cell r="D30">
            <v>11.850030412286614</v>
          </cell>
          <cell r="E30">
            <v>9.875406484840898</v>
          </cell>
          <cell r="F30">
            <v>9.8306971423646274</v>
          </cell>
          <cell r="G30">
            <v>9.7922471018055042</v>
          </cell>
        </row>
        <row r="31">
          <cell r="A31">
            <v>26</v>
          </cell>
          <cell r="B31">
            <v>11.613701436808245</v>
          </cell>
          <cell r="C31">
            <v>9.9924978047265203</v>
          </cell>
          <cell r="D31">
            <v>12.094794318707244</v>
          </cell>
          <cell r="E31">
            <v>10.082326997515581</v>
          </cell>
          <cell r="F31">
            <v>10.036797451935914</v>
          </cell>
          <cell r="G31">
            <v>9.9976358881023799</v>
          </cell>
        </row>
        <row r="32">
          <cell r="A32">
            <v>27</v>
          </cell>
          <cell r="B32">
            <v>11.837014617321248</v>
          </cell>
          <cell r="C32">
            <v>10.187153333905226</v>
          </cell>
          <cell r="D32">
            <v>12.326868766531959</v>
          </cell>
          <cell r="E32">
            <v>10.278518486423001</v>
          </cell>
          <cell r="F32">
            <v>10.232211227447424</v>
          </cell>
          <cell r="G32">
            <v>10.192375000009566</v>
          </cell>
        </row>
        <row r="33">
          <cell r="A33">
            <v>28</v>
          </cell>
          <cell r="B33">
            <v>12.048750299801918</v>
          </cell>
          <cell r="C33">
            <v>10.371715942734038</v>
          </cell>
          <cell r="D33">
            <v>12.546911848637516</v>
          </cell>
          <cell r="E33">
            <v>10.464537486298932</v>
          </cell>
          <cell r="F33">
            <v>10.417492802502993</v>
          </cell>
          <cell r="G33">
            <v>10.377016861656783</v>
          </cell>
        </row>
        <row r="34">
          <cell r="A34">
            <v>29</v>
          </cell>
          <cell r="B34">
            <v>12.249508918578702</v>
          </cell>
          <cell r="C34">
            <v>10.54670915864944</v>
          </cell>
          <cell r="D34">
            <v>12.755547511461948</v>
          </cell>
          <cell r="E34">
            <v>10.640911646546709</v>
          </cell>
          <cell r="F34">
            <v>10.593167739401213</v>
          </cell>
          <cell r="G34">
            <v>10.552085224786676</v>
          </cell>
        </row>
        <row r="35">
          <cell r="A35">
            <v>30</v>
          </cell>
          <cell r="B35">
            <v>12.439859752574669</v>
          </cell>
          <cell r="C35">
            <v>10.712629337758347</v>
          </cell>
          <cell r="D35">
            <v>12.953367328019288</v>
          </cell>
          <cell r="E35">
            <v>10.808141231706198</v>
          </cell>
          <cell r="F35">
            <v>10.759734323697341</v>
          </cell>
          <cell r="G35">
            <v>10.718076658192391</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OSList"/>
      <sheetName val="CurrentMeasures"/>
      <sheetName val="CurrentMeasuresAutoUpdated"/>
      <sheetName val="Sheet3"/>
      <sheetName val="SpendingBreakout"/>
      <sheetName val="% Change"/>
      <sheetName val="Rollup"/>
      <sheetName val="18230734"/>
      <sheetName val="18230680"/>
      <sheetName val="18230687"/>
      <sheetName val="18230634"/>
      <sheetName val="18230501"/>
      <sheetName val="18230612"/>
      <sheetName val="18230625"/>
      <sheetName val="18230626"/>
      <sheetName val="18230627"/>
      <sheetName val="18230628"/>
      <sheetName val="18230635"/>
      <sheetName val="18230636"/>
      <sheetName val="18230637"/>
      <sheetName val="18230638"/>
      <sheetName val="18230486"/>
      <sheetName val="18230407"/>
      <sheetName val="18230673"/>
      <sheetName val="18230736"/>
      <sheetName val="18230405"/>
      <sheetName val="18230433"/>
      <sheetName val="18230442"/>
      <sheetName val="18230684"/>
      <sheetName val="18230409"/>
      <sheetName val="18230434"/>
      <sheetName val="18230434G"/>
      <sheetName val="Unused"/>
      <sheetName val="18230435"/>
      <sheetName val="18230440"/>
      <sheetName val="18230468"/>
      <sheetName val="18230700"/>
      <sheetName val="18230461"/>
      <sheetName val="18230629"/>
      <sheetName val="18230639"/>
      <sheetName val="18230738"/>
      <sheetName val="Sheet4"/>
      <sheetName val="18230611"/>
      <sheetName val="Track"/>
      <sheetName val="18230661"/>
      <sheetName val="luOrder"/>
      <sheetName val="LFCR"/>
      <sheetName val="E-CESTD"/>
      <sheetName val="E-CESTDWO"/>
      <sheetName val="G-CESTD"/>
      <sheetName val="G-CESTDWO"/>
      <sheetName val="zELECTRIC_Template"/>
      <sheetName val="zGAS_Template"/>
      <sheetName val="PLANNER-ELECTRIC"/>
      <sheetName val="PLANNER-GAS"/>
      <sheetName val="Rollup_Original"/>
      <sheetName val="SpendingBreakout_Original"/>
      <sheetName val="z18230653"/>
      <sheetName val="z18230671"/>
      <sheetName val="z18230675"/>
      <sheetName val="z18230685"/>
      <sheetName val="z18230686"/>
      <sheetName val="z18230704"/>
      <sheetName val="z18230621"/>
      <sheetName val="z18230602"/>
      <sheetName val="z18230610"/>
      <sheetName val="z18230487"/>
      <sheetName val="z18230483"/>
      <sheetName val="z18230482"/>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5">
          <cell r="A5">
            <v>0</v>
          </cell>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Flat </v>
          </cell>
          <cell r="O5" t="str">
            <v xml:space="preserve">Comm Water Heat </v>
          </cell>
        </row>
        <row r="6">
          <cell r="A6">
            <v>1</v>
          </cell>
          <cell r="B6">
            <v>0.15455990613512277</v>
          </cell>
          <cell r="C6">
            <v>0.14466419381144191</v>
          </cell>
          <cell r="D6">
            <v>0.1336217367001924</v>
          </cell>
          <cell r="E6">
            <v>8.7710604730664804E-2</v>
          </cell>
          <cell r="F6">
            <v>7.6336953312507741E-2</v>
          </cell>
          <cell r="G6">
            <v>8.9891382344070458E-2</v>
          </cell>
          <cell r="H6">
            <v>9.0120375179855133E-2</v>
          </cell>
          <cell r="I6">
            <v>0.20107824474794775</v>
          </cell>
          <cell r="J6">
            <v>8.1504833724640402E-2</v>
          </cell>
          <cell r="K6">
            <v>5.2923203036007636E-2</v>
          </cell>
          <cell r="L6">
            <v>8.244840729457073E-2</v>
          </cell>
          <cell r="M6">
            <v>8.8818279823334331E-2</v>
          </cell>
          <cell r="N6">
            <v>8.2724233307783501E-2</v>
          </cell>
          <cell r="O6">
            <v>8.2598269115534736E-2</v>
          </cell>
        </row>
        <row r="7">
          <cell r="A7">
            <v>2</v>
          </cell>
          <cell r="B7">
            <v>0.29999687918929768</v>
          </cell>
          <cell r="C7">
            <v>0.28085882659913913</v>
          </cell>
          <cell r="D7">
            <v>0.25945689378062231</v>
          </cell>
          <cell r="E7">
            <v>0.17078477799863101</v>
          </cell>
          <cell r="F7">
            <v>0.14871557548298223</v>
          </cell>
          <cell r="G7">
            <v>0.17495602807707211</v>
          </cell>
          <cell r="H7">
            <v>0.17542684379719004</v>
          </cell>
          <cell r="I7">
            <v>0.38964927037530528</v>
          </cell>
          <cell r="J7">
            <v>0.15867241435955814</v>
          </cell>
          <cell r="K7">
            <v>0.10353190207282785</v>
          </cell>
          <cell r="L7">
            <v>0.16059856040466303</v>
          </cell>
          <cell r="M7">
            <v>0.17289035901673339</v>
          </cell>
          <cell r="N7">
            <v>0.16104815898446473</v>
          </cell>
          <cell r="O7">
            <v>0.16088013695861114</v>
          </cell>
        </row>
        <row r="8">
          <cell r="A8">
            <v>3</v>
          </cell>
          <cell r="B8">
            <v>0.43737824987207147</v>
          </cell>
          <cell r="C8">
            <v>0.40955934335810157</v>
          </cell>
          <cell r="D8">
            <v>0.37846656079811103</v>
          </cell>
          <cell r="E8">
            <v>0.24954391085685396</v>
          </cell>
          <cell r="F8">
            <v>0.21743228970741513</v>
          </cell>
          <cell r="G8">
            <v>0.25557816107017617</v>
          </cell>
          <cell r="H8">
            <v>0.25623368958764714</v>
          </cell>
          <cell r="I8">
            <v>0.56736811030969292</v>
          </cell>
          <cell r="J8">
            <v>0.23192623612628366</v>
          </cell>
          <cell r="K8">
            <v>0.15171501971971915</v>
          </cell>
          <cell r="L8">
            <v>0.23464693039074502</v>
          </cell>
          <cell r="M8">
            <v>0.25257119045614246</v>
          </cell>
          <cell r="N8">
            <v>0.23533521626565371</v>
          </cell>
          <cell r="O8">
            <v>0.23507386712627443</v>
          </cell>
        </row>
        <row r="9">
          <cell r="A9">
            <v>4</v>
          </cell>
          <cell r="B9">
            <v>0.56582994523350094</v>
          </cell>
          <cell r="C9">
            <v>0.53006593893688281</v>
          </cell>
          <cell r="D9">
            <v>0.48977979409824246</v>
          </cell>
          <cell r="E9">
            <v>0.32372426573800206</v>
          </cell>
          <cell r="F9">
            <v>0.2822679089034148</v>
          </cell>
          <cell r="G9">
            <v>0.33147493526124372</v>
          </cell>
          <cell r="H9">
            <v>0.33234840948702132</v>
          </cell>
          <cell r="I9">
            <v>0.73327714515692932</v>
          </cell>
          <cell r="J9">
            <v>0.30101744293448507</v>
          </cell>
          <cell r="K9">
            <v>0.19779361250300698</v>
          </cell>
          <cell r="L9">
            <v>0.30445190679988432</v>
          </cell>
          <cell r="M9">
            <v>0.32767849187760967</v>
          </cell>
          <cell r="N9">
            <v>0.30537190400292352</v>
          </cell>
          <cell r="O9">
            <v>0.30501172989185393</v>
          </cell>
        </row>
        <row r="10">
          <cell r="A10">
            <v>5</v>
          </cell>
          <cell r="B10">
            <v>0.68751442107994598</v>
          </cell>
          <cell r="C10">
            <v>0.64435318009454134</v>
          </cell>
          <cell r="D10">
            <v>0.59535160265516573</v>
          </cell>
          <cell r="E10">
            <v>0.394774709646734</v>
          </cell>
          <cell r="F10">
            <v>0.3444876341940592</v>
          </cell>
          <cell r="G10">
            <v>0.40409821272842539</v>
          </cell>
          <cell r="H10">
            <v>0.40522673138215576</v>
          </cell>
          <cell r="I10">
            <v>0.89017342727433202</v>
          </cell>
          <cell r="J10">
            <v>0.36741499526711868</v>
          </cell>
          <cell r="K10">
            <v>0.24337933863188463</v>
          </cell>
          <cell r="L10">
            <v>0.37143956490536945</v>
          </cell>
          <cell r="M10">
            <v>0.4000559315876755</v>
          </cell>
          <cell r="N10">
            <v>0.37260285239790247</v>
          </cell>
          <cell r="O10">
            <v>0.37213305115241652</v>
          </cell>
        </row>
        <row r="11">
          <cell r="A11">
            <v>6</v>
          </cell>
          <cell r="B11">
            <v>0.80352513801184644</v>
          </cell>
          <cell r="C11">
            <v>0.75345221747224667</v>
          </cell>
          <cell r="D11">
            <v>0.69610647883999999</v>
          </cell>
          <cell r="E11">
            <v>0.46311115818173132</v>
          </cell>
          <cell r="F11">
            <v>0.40439151498064874</v>
          </cell>
          <cell r="G11">
            <v>0.47388311408729711</v>
          </cell>
          <cell r="H11">
            <v>0.47522677056200457</v>
          </cell>
          <cell r="I11">
            <v>1.0392730475515874</v>
          </cell>
          <cell r="J11">
            <v>0.43128180149869105</v>
          </cell>
          <cell r="K11">
            <v>0.28745850432423115</v>
          </cell>
          <cell r="L11">
            <v>0.4357671400371439</v>
          </cell>
          <cell r="M11">
            <v>0.46938208649684265</v>
          </cell>
          <cell r="N11">
            <v>0.43721990072378891</v>
          </cell>
          <cell r="O11">
            <v>0.43661169031889391</v>
          </cell>
        </row>
        <row r="12">
          <cell r="A12">
            <v>7</v>
          </cell>
          <cell r="B12">
            <v>0.91327788818151034</v>
          </cell>
          <cell r="C12">
            <v>0.85684445885833493</v>
          </cell>
          <cell r="D12">
            <v>0.79136669988547359</v>
          </cell>
          <cell r="E12">
            <v>0.52818424090511129</v>
          </cell>
          <cell r="F12">
            <v>0.46134418723149095</v>
          </cell>
          <cell r="G12">
            <v>0.54019832334479423</v>
          </cell>
          <cell r="H12">
            <v>0.54181695905863736</v>
          </cell>
          <cell r="I12">
            <v>1.1794651969326497</v>
          </cell>
          <cell r="J12">
            <v>0.4919059861868208</v>
          </cell>
          <cell r="K12">
            <v>0.329738105098274</v>
          </cell>
          <cell r="L12">
            <v>0.49694234253663822</v>
          </cell>
          <cell r="M12">
            <v>0.53500404017047576</v>
          </cell>
          <cell r="N12">
            <v>0.49857863574435091</v>
          </cell>
          <cell r="O12">
            <v>0.49793336683206924</v>
          </cell>
        </row>
        <row r="13">
          <cell r="A13">
            <v>8</v>
          </cell>
          <cell r="B13">
            <v>1.0168138882196709</v>
          </cell>
          <cell r="C13">
            <v>0.95448136428379071</v>
          </cell>
          <cell r="D13">
            <v>0.88137393620227911</v>
          </cell>
          <cell r="E13">
            <v>0.59020546540825847</v>
          </cell>
          <cell r="F13">
            <v>0.51572605842891739</v>
          </cell>
          <cell r="G13">
            <v>0.60333154336653616</v>
          </cell>
          <cell r="H13">
            <v>0.60531194732462024</v>
          </cell>
          <cell r="I13">
            <v>1.3113856730997047</v>
          </cell>
          <cell r="J13">
            <v>0.54966743075559432</v>
          </cell>
          <cell r="K13">
            <v>0.37063019380547529</v>
          </cell>
          <cell r="L13">
            <v>0.55535628593811337</v>
          </cell>
          <cell r="M13">
            <v>0.59754089605422145</v>
          </cell>
          <cell r="N13">
            <v>0.55707401570618653</v>
          </cell>
          <cell r="O13">
            <v>0.55647681653635062</v>
          </cell>
        </row>
        <row r="14">
          <cell r="A14">
            <v>9</v>
          </cell>
          <cell r="B14">
            <v>1.1134471464697127</v>
          </cell>
          <cell r="C14">
            <v>1.0455085814804312</v>
          </cell>
          <cell r="D14">
            <v>0.96508217423429676</v>
          </cell>
          <cell r="E14">
            <v>0.64734036452105759</v>
          </cell>
          <cell r="F14">
            <v>0.56551673033829331</v>
          </cell>
          <cell r="G14">
            <v>0.66149962307983157</v>
          </cell>
          <cell r="H14">
            <v>0.66374072531467054</v>
          </cell>
          <cell r="I14">
            <v>1.4345809280670516</v>
          </cell>
          <cell r="J14">
            <v>0.60291328664170196</v>
          </cell>
          <cell r="K14">
            <v>0.40793495019928921</v>
          </cell>
          <cell r="L14">
            <v>0.60891646129934773</v>
          </cell>
          <cell r="M14">
            <v>0.65520954107124774</v>
          </cell>
          <cell r="N14">
            <v>0.61085047903788847</v>
          </cell>
          <cell r="O14">
            <v>0.61020881013572881</v>
          </cell>
        </row>
        <row r="15">
          <cell r="A15">
            <v>10</v>
          </cell>
          <cell r="B15">
            <v>1.2052085430966839</v>
          </cell>
          <cell r="C15">
            <v>1.1322399001121952</v>
          </cell>
          <cell r="D15">
            <v>1.0446355917917645</v>
          </cell>
          <cell r="E15">
            <v>0.70225444949972815</v>
          </cell>
          <cell r="F15">
            <v>0.61342022814050079</v>
          </cell>
          <cell r="G15">
            <v>0.71729000017084144</v>
          </cell>
          <cell r="H15">
            <v>0.71984098138787167</v>
          </cell>
          <cell r="I15">
            <v>1.5514774203967716</v>
          </cell>
          <cell r="J15">
            <v>0.65434167702711821</v>
          </cell>
          <cell r="K15">
            <v>0.44540912306653169</v>
          </cell>
          <cell r="L15">
            <v>0.66044109008528884</v>
          </cell>
          <cell r="M15">
            <v>0.71115894145690994</v>
          </cell>
          <cell r="N15">
            <v>0.66268115359846069</v>
          </cell>
          <cell r="O15">
            <v>0.6619043817171244</v>
          </cell>
        </row>
        <row r="16">
          <cell r="A16">
            <v>11</v>
          </cell>
          <cell r="B16">
            <v>1.2926933418719413</v>
          </cell>
          <cell r="C16">
            <v>1.2150220893470705</v>
          </cell>
          <cell r="D16">
            <v>1.120781134419095</v>
          </cell>
          <cell r="E16">
            <v>0.75569201804727992</v>
          </cell>
          <cell r="F16">
            <v>0.66027202102723792</v>
          </cell>
          <cell r="G16">
            <v>0.7715345935728849</v>
          </cell>
          <cell r="H16">
            <v>0.77445012403240243</v>
          </cell>
          <cell r="I16">
            <v>1.662969750840682</v>
          </cell>
          <cell r="J16">
            <v>0.70460559788336385</v>
          </cell>
          <cell r="K16">
            <v>0.48329185455332169</v>
          </cell>
          <cell r="L16">
            <v>0.71081401816862777</v>
          </cell>
          <cell r="M16">
            <v>0.76604901657950641</v>
          </cell>
          <cell r="N16">
            <v>0.71333558197893765</v>
          </cell>
          <cell r="O16">
            <v>0.71241803060006315</v>
          </cell>
        </row>
        <row r="17">
          <cell r="A17">
            <v>12</v>
          </cell>
          <cell r="B17">
            <v>1.3746563727882506</v>
          </cell>
          <cell r="C17">
            <v>1.2926273876748091</v>
          </cell>
          <cell r="D17">
            <v>1.1920957732435506</v>
          </cell>
          <cell r="E17">
            <v>0.80545627451507174</v>
          </cell>
          <cell r="F17">
            <v>0.7038800334249854</v>
          </cell>
          <cell r="G17">
            <v>0.82207156094727507</v>
          </cell>
          <cell r="H17">
            <v>0.82520087190541347</v>
          </cell>
          <cell r="I17">
            <v>1.7669688023150005</v>
          </cell>
          <cell r="J17">
            <v>0.75133938147724977</v>
          </cell>
          <cell r="K17">
            <v>0.51774389811457655</v>
          </cell>
          <cell r="L17">
            <v>0.75747484054610936</v>
          </cell>
          <cell r="M17">
            <v>0.81659460802499151</v>
          </cell>
          <cell r="N17">
            <v>0.76037969221686463</v>
          </cell>
          <cell r="O17">
            <v>0.75927187887251479</v>
          </cell>
        </row>
        <row r="18">
          <cell r="A18">
            <v>13</v>
          </cell>
          <cell r="B18">
            <v>1.448177809455383</v>
          </cell>
          <cell r="C18">
            <v>1.3620912917848103</v>
          </cell>
          <cell r="D18">
            <v>1.2559107122145972</v>
          </cell>
          <cell r="E18">
            <v>0.84952495921167437</v>
          </cell>
          <cell r="F18">
            <v>0.74236676536044344</v>
          </cell>
          <cell r="G18">
            <v>0.86686469505985653</v>
          </cell>
          <cell r="H18">
            <v>0.87025954578256681</v>
          </cell>
          <cell r="I18">
            <v>1.8604322620213094</v>
          </cell>
          <cell r="J18">
            <v>0.79238243783463824</v>
          </cell>
          <cell r="K18">
            <v>0.54720096955137454</v>
          </cell>
          <cell r="L18">
            <v>0.79881441566538147</v>
          </cell>
          <cell r="M18">
            <v>0.86092431962269511</v>
          </cell>
          <cell r="N18">
            <v>0.80184295073282619</v>
          </cell>
          <cell r="O18">
            <v>0.80075347782471695</v>
          </cell>
        </row>
        <row r="19">
          <cell r="A19">
            <v>14</v>
          </cell>
          <cell r="B19">
            <v>1.5177176217275825</v>
          </cell>
          <cell r="C19">
            <v>1.4278553305658517</v>
          </cell>
          <cell r="D19">
            <v>1.3163197086533889</v>
          </cell>
          <cell r="E19">
            <v>0.89168732799737005</v>
          </cell>
          <cell r="F19">
            <v>0.77923098496578214</v>
          </cell>
          <cell r="G19">
            <v>0.90967067259111223</v>
          </cell>
          <cell r="H19">
            <v>0.91342048402939413</v>
          </cell>
          <cell r="I19">
            <v>1.9484811517071901</v>
          </cell>
          <cell r="J19">
            <v>0.83162096445071121</v>
          </cell>
          <cell r="K19">
            <v>0.57579402585884587</v>
          </cell>
          <cell r="L19">
            <v>0.83846428845432741</v>
          </cell>
          <cell r="M19">
            <v>0.90332827189554932</v>
          </cell>
          <cell r="N19">
            <v>0.84152780163647734</v>
          </cell>
          <cell r="O19">
            <v>0.84051375452198718</v>
          </cell>
        </row>
        <row r="20">
          <cell r="A20">
            <v>15</v>
          </cell>
          <cell r="B20">
            <v>1.5838925724513431</v>
          </cell>
          <cell r="C20">
            <v>1.4904712992590716</v>
          </cell>
          <cell r="D20">
            <v>1.3739381806025568</v>
          </cell>
          <cell r="E20">
            <v>0.93186501914492781</v>
          </cell>
          <cell r="F20">
            <v>0.8144530138682099</v>
          </cell>
          <cell r="G20">
            <v>0.9504805965452906</v>
          </cell>
          <cell r="H20">
            <v>0.95443978524895223</v>
          </cell>
          <cell r="I20">
            <v>2.0319084332239044</v>
          </cell>
          <cell r="J20">
            <v>0.86920222889613219</v>
          </cell>
          <cell r="K20">
            <v>0.60325548860022871</v>
          </cell>
          <cell r="L20">
            <v>0.87618051239425299</v>
          </cell>
          <cell r="M20">
            <v>0.94382426354539417</v>
          </cell>
          <cell r="N20">
            <v>0.87941044672293356</v>
          </cell>
          <cell r="O20">
            <v>0.87836650186921894</v>
          </cell>
        </row>
        <row r="21">
          <cell r="A21">
            <v>16</v>
          </cell>
          <cell r="B21">
            <v>1.6457238652303388</v>
          </cell>
          <cell r="C21">
            <v>1.5490523090205484</v>
          </cell>
          <cell r="D21">
            <v>1.4277358322032423</v>
          </cell>
          <cell r="E21">
            <v>0.96945243161636663</v>
          </cell>
          <cell r="F21">
            <v>0.84738125006889919</v>
          </cell>
          <cell r="G21">
            <v>0.9886591929097166</v>
          </cell>
          <cell r="H21">
            <v>0.9928325067534729</v>
          </cell>
          <cell r="I21">
            <v>2.1102799966607924</v>
          </cell>
          <cell r="J21">
            <v>0.90449089476905409</v>
          </cell>
          <cell r="K21">
            <v>0.6294860723462451</v>
          </cell>
          <cell r="L21">
            <v>0.91154188908181388</v>
          </cell>
          <cell r="M21">
            <v>0.98210163486113067</v>
          </cell>
          <cell r="N21">
            <v>0.91494915537255073</v>
          </cell>
          <cell r="O21">
            <v>0.91384418802951939</v>
          </cell>
        </row>
        <row r="22">
          <cell r="A22">
            <v>17</v>
          </cell>
          <cell r="B22">
            <v>1.7046668965385772</v>
          </cell>
          <cell r="C22">
            <v>1.605046897560293</v>
          </cell>
          <cell r="D22">
            <v>1.4791857777513835</v>
          </cell>
          <cell r="E22">
            <v>1.0060142079592171</v>
          </cell>
          <cell r="F22">
            <v>0.87956562165826069</v>
          </cell>
          <cell r="G22">
            <v>1.0257920535976839</v>
          </cell>
          <cell r="H22">
            <v>1.0302786748161137</v>
          </cell>
          <cell r="I22">
            <v>2.1848800372726469</v>
          </cell>
          <cell r="J22">
            <v>0.93880431360326477</v>
          </cell>
          <cell r="K22">
            <v>0.65541284605880112</v>
          </cell>
          <cell r="L22">
            <v>0.9460988771163108</v>
          </cell>
          <cell r="M22">
            <v>1.0192418173795754</v>
          </cell>
          <cell r="N22">
            <v>0.94958853265565701</v>
          </cell>
          <cell r="O22">
            <v>0.94849600835156245</v>
          </cell>
        </row>
        <row r="23">
          <cell r="A23">
            <v>18</v>
          </cell>
          <cell r="B23">
            <v>1.7610354015857719</v>
          </cell>
          <cell r="C23">
            <v>1.6586726613798581</v>
          </cell>
          <cell r="D23">
            <v>1.5284502279130001</v>
          </cell>
          <cell r="E23">
            <v>1.0411162583369884</v>
          </cell>
          <cell r="F23">
            <v>0.91048128387933969</v>
          </cell>
          <cell r="G23">
            <v>1.0614064861740238</v>
          </cell>
          <cell r="H23">
            <v>1.0661553680987303</v>
          </cell>
          <cell r="I23">
            <v>2.2555633361270462</v>
          </cell>
          <cell r="J23">
            <v>0.97166616436777398</v>
          </cell>
          <cell r="K23">
            <v>0.68008296533793333</v>
          </cell>
          <cell r="L23">
            <v>0.97915727001717823</v>
          </cell>
          <cell r="M23">
            <v>1.0544330861766569</v>
          </cell>
          <cell r="N23">
            <v>0.98271635630123111</v>
          </cell>
          <cell r="O23">
            <v>0.98168351625898809</v>
          </cell>
        </row>
        <row r="24">
          <cell r="A24">
            <v>19</v>
          </cell>
          <cell r="B24">
            <v>1.8148547146119425</v>
          </cell>
          <cell r="C24">
            <v>1.7099082078012076</v>
          </cell>
          <cell r="D24">
            <v>1.5755116307444545</v>
          </cell>
          <cell r="E24">
            <v>1.074964523055544</v>
          </cell>
          <cell r="F24">
            <v>0.94029096915681543</v>
          </cell>
          <cell r="G24">
            <v>1.0956750017839254</v>
          </cell>
          <cell r="H24">
            <v>1.1006931226791203</v>
          </cell>
          <cell r="I24">
            <v>2.3227675934041119</v>
          </cell>
          <cell r="J24">
            <v>1.0032882607799998</v>
          </cell>
          <cell r="K24">
            <v>0.70414600649367276</v>
          </cell>
          <cell r="L24">
            <v>1.0110193872151234</v>
          </cell>
          <cell r="M24">
            <v>1.0883305381517641</v>
          </cell>
          <cell r="N24">
            <v>1.0146076189510793</v>
          </cell>
          <cell r="O24">
            <v>1.0136625167244415</v>
          </cell>
        </row>
        <row r="25">
          <cell r="A25">
            <v>20</v>
          </cell>
          <cell r="B25">
            <v>1.8657861552269326</v>
          </cell>
          <cell r="C25">
            <v>1.7583803226173902</v>
          </cell>
          <cell r="D25">
            <v>1.6202056461900853</v>
          </cell>
          <cell r="E25">
            <v>1.1073572158167395</v>
          </cell>
          <cell r="F25">
            <v>0.96896730369728279</v>
          </cell>
          <cell r="G25">
            <v>1.1284609017702238</v>
          </cell>
          <cell r="H25">
            <v>1.1337588671292516</v>
          </cell>
          <cell r="I25">
            <v>2.3860694924692738</v>
          </cell>
          <cell r="J25">
            <v>1.0335882519502015</v>
          </cell>
          <cell r="K25">
            <v>0.727343035393752</v>
          </cell>
          <cell r="L25">
            <v>1.0416109867722172</v>
          </cell>
          <cell r="M25">
            <v>1.1207940813941168</v>
          </cell>
          <cell r="N25">
            <v>1.0451969533838172</v>
          </cell>
          <cell r="O25">
            <v>1.04434206807192</v>
          </cell>
        </row>
        <row r="26">
          <cell r="A26">
            <v>21</v>
          </cell>
          <cell r="B26">
            <v>1.9162352740555839</v>
          </cell>
          <cell r="C26">
            <v>1.8043982906931921</v>
          </cell>
          <cell r="D26">
            <v>1.6627875859602734</v>
          </cell>
          <cell r="E26">
            <v>1.138106759184468</v>
          </cell>
          <cell r="F26">
            <v>0.99629776123280789</v>
          </cell>
          <cell r="G26">
            <v>1.1596174992837931</v>
          </cell>
          <cell r="H26">
            <v>1.1650599948901643</v>
          </cell>
          <cell r="I26">
            <v>2.4461129034688258</v>
          </cell>
          <cell r="J26">
            <v>1.0626452768113777</v>
          </cell>
          <cell r="K26">
            <v>0.74975575101031389</v>
          </cell>
          <cell r="L26">
            <v>1.070639110457738</v>
          </cell>
          <cell r="M26">
            <v>1.1519535006650474</v>
          </cell>
          <cell r="N26">
            <v>1.0743918884034345</v>
          </cell>
          <cell r="O26">
            <v>1.0734731644129254</v>
          </cell>
        </row>
        <row r="27">
          <cell r="A27">
            <v>22</v>
          </cell>
          <cell r="B27">
            <v>1.9657703007735676</v>
          </cell>
          <cell r="C27">
            <v>1.847650547117198</v>
          </cell>
          <cell r="D27">
            <v>1.7028181487965612</v>
          </cell>
          <cell r="E27">
            <v>1.1670833915399825</v>
          </cell>
          <cell r="F27">
            <v>1.0220689858356271</v>
          </cell>
          <cell r="G27">
            <v>1.1889703813178893</v>
          </cell>
          <cell r="H27">
            <v>1.1945499187839814</v>
          </cell>
          <cell r="I27">
            <v>2.5024519675845331</v>
          </cell>
          <cell r="J27">
            <v>1.0900351973338134</v>
          </cell>
          <cell r="K27">
            <v>0.77095192833196313</v>
          </cell>
          <cell r="L27">
            <v>1.0979985439245323</v>
          </cell>
          <cell r="M27">
            <v>1.181312176295334</v>
          </cell>
          <cell r="N27">
            <v>1.1019081778651678</v>
          </cell>
          <cell r="O27">
            <v>1.1009299119291605</v>
          </cell>
        </row>
        <row r="28">
          <cell r="A28">
            <v>23</v>
          </cell>
          <cell r="B28">
            <v>2.0145143975554971</v>
          </cell>
          <cell r="C28">
            <v>1.8883089751674769</v>
          </cell>
          <cell r="D28">
            <v>1.7404553919941876</v>
          </cell>
          <cell r="E28">
            <v>1.194392441465582</v>
          </cell>
          <cell r="F28">
            <v>1.0463724975583979</v>
          </cell>
          <cell r="G28">
            <v>1.2166272003827727</v>
          </cell>
          <cell r="H28">
            <v>1.2223366793354011</v>
          </cell>
          <cell r="I28">
            <v>2.5553230830430724</v>
          </cell>
          <cell r="J28">
            <v>1.1158565025878135</v>
          </cell>
          <cell r="K28">
            <v>0.79099874536123882</v>
          </cell>
          <cell r="L28">
            <v>1.1237880894142331</v>
          </cell>
          <cell r="M28">
            <v>1.2089773732075058</v>
          </cell>
          <cell r="N28">
            <v>1.1278452381845372</v>
          </cell>
          <cell r="O28">
            <v>1.1268114302942234</v>
          </cell>
        </row>
        <row r="29">
          <cell r="A29">
            <v>24</v>
          </cell>
          <cell r="B29">
            <v>2.0625835049532233</v>
          </cell>
          <cell r="C29">
            <v>1.9265344102351851</v>
          </cell>
          <cell r="D29">
            <v>1.7758472452080891</v>
          </cell>
          <cell r="E29">
            <v>1.2201327706815861</v>
          </cell>
          <cell r="F29">
            <v>1.0692942701753589</v>
          </cell>
          <cell r="G29">
            <v>1.2426889671784793</v>
          </cell>
          <cell r="H29">
            <v>1.2485216551517335</v>
          </cell>
          <cell r="I29">
            <v>2.604947067411906</v>
          </cell>
          <cell r="J29">
            <v>1.1402016708743992</v>
          </cell>
          <cell r="K29">
            <v>0.80995958856310823</v>
          </cell>
          <cell r="L29">
            <v>1.1481005048654835</v>
          </cell>
          <cell r="M29">
            <v>1.2350497520988284</v>
          </cell>
          <cell r="N29">
            <v>1.1522964022806614</v>
          </cell>
          <cell r="O29">
            <v>1.151210776614134</v>
          </cell>
        </row>
        <row r="30">
          <cell r="A30">
            <v>25</v>
          </cell>
          <cell r="B30">
            <v>2.1100869000224938</v>
          </cell>
          <cell r="C30">
            <v>1.9624773727742</v>
          </cell>
          <cell r="D30">
            <v>1.8091321804438134</v>
          </cell>
          <cell r="E30">
            <v>1.2443971847672215</v>
          </cell>
          <cell r="F30">
            <v>1.0909150788340454</v>
          </cell>
          <cell r="G30">
            <v>1.2672504744669015</v>
          </cell>
          <cell r="H30">
            <v>1.2731999878370976</v>
          </cell>
          <cell r="I30">
            <v>2.6515302145800752</v>
          </cell>
          <cell r="J30">
            <v>1.1631575491924275</v>
          </cell>
          <cell r="K30">
            <v>0.827894272618938</v>
          </cell>
          <cell r="L30">
            <v>1.1710228864152958</v>
          </cell>
          <cell r="M30">
            <v>1.2596237900545721</v>
          </cell>
          <cell r="N30">
            <v>1.1753493046607382</v>
          </cell>
          <cell r="O30">
            <v>1.1742153290112725</v>
          </cell>
        </row>
        <row r="31">
          <cell r="A31">
            <v>26</v>
          </cell>
          <cell r="B31">
            <v>2.1571277147722547</v>
          </cell>
          <cell r="C31">
            <v>1.9962787512452995</v>
          </cell>
          <cell r="D31">
            <v>1.8404398364499031</v>
          </cell>
          <cell r="E31">
            <v>1.2672728169313994</v>
          </cell>
          <cell r="F31">
            <v>1.1113108251765091</v>
          </cell>
          <cell r="G31">
            <v>1.2904006930061471</v>
          </cell>
          <cell r="H31">
            <v>1.2964609789148749</v>
          </cell>
          <cell r="I31">
            <v>2.6952652782624571</v>
          </cell>
          <cell r="J31">
            <v>1.1848057079461176</v>
          </cell>
          <cell r="K31">
            <v>0.84485924704765558</v>
          </cell>
          <cell r="L31">
            <v>1.1926370258864452</v>
          </cell>
          <cell r="M31">
            <v>1.2827881734906663</v>
          </cell>
          <cell r="N31">
            <v>1.1970862413153247</v>
          </cell>
          <cell r="O31">
            <v>1.1959071451280503</v>
          </cell>
        </row>
        <row r="32">
          <cell r="A32">
            <v>27</v>
          </cell>
          <cell r="B32">
            <v>2.2038034178742354</v>
          </cell>
          <cell r="C32">
            <v>2.0280704385472101</v>
          </cell>
          <cell r="D32">
            <v>1.8698916006899502</v>
          </cell>
          <cell r="E32">
            <v>1.2888414866545999</v>
          </cell>
          <cell r="F32">
            <v>1.1305528414359585</v>
          </cell>
          <cell r="G32">
            <v>1.3122231414425056</v>
          </cell>
          <cell r="H32">
            <v>1.3183884606565495</v>
          </cell>
          <cell r="I32">
            <v>2.7363323872366161</v>
          </cell>
          <cell r="J32">
            <v>1.2052227725579079</v>
          </cell>
          <cell r="K32">
            <v>0.8609077905054624</v>
          </cell>
          <cell r="L32">
            <v>1.2130197449462763</v>
          </cell>
          <cell r="M32">
            <v>1.3046261652998739</v>
          </cell>
          <cell r="N32">
            <v>1.2175845061219779</v>
          </cell>
          <cell r="O32">
            <v>1.216363297239889</v>
          </cell>
        </row>
        <row r="33">
          <cell r="A33">
            <v>28</v>
          </cell>
          <cell r="B33">
            <v>2.2502062623540215</v>
          </cell>
          <cell r="C33">
            <v>2.057975925178364</v>
          </cell>
          <cell r="D33">
            <v>1.8976011518467375</v>
          </cell>
          <cell r="E33">
            <v>1.3091800348968798</v>
          </cell>
          <cell r="F33">
            <v>1.1487081749113319</v>
          </cell>
          <cell r="G33">
            <v>1.3327962319235951</v>
          </cell>
          <cell r="H33">
            <v>1.3390611425831649</v>
          </cell>
          <cell r="I33">
            <v>2.7748998971464252</v>
          </cell>
          <cell r="J33">
            <v>1.2244807335366601</v>
          </cell>
          <cell r="K33">
            <v>0.87609019352361028</v>
          </cell>
          <cell r="L33">
            <v>1.2322432075057992</v>
          </cell>
          <cell r="M33">
            <v>1.3252159479454984</v>
          </cell>
          <cell r="N33">
            <v>1.2369167053374512</v>
          </cell>
          <cell r="O33">
            <v>1.2356561855503156</v>
          </cell>
        </row>
        <row r="34">
          <cell r="A34">
            <v>29</v>
          </cell>
          <cell r="B34">
            <v>2.2964237017845441</v>
          </cell>
          <cell r="C34">
            <v>2.0861108521426424</v>
          </cell>
          <cell r="D34">
            <v>1.9236749656013794</v>
          </cell>
          <cell r="E34">
            <v>1.3283606374497428</v>
          </cell>
          <cell r="F34">
            <v>1.1658398541261894</v>
          </cell>
          <cell r="G34">
            <v>1.3521935930738471</v>
          </cell>
          <cell r="H34">
            <v>1.3585529352830694</v>
          </cell>
          <cell r="I34">
            <v>2.8111251833589614</v>
          </cell>
          <cell r="J34">
            <v>1.2426472364444479</v>
          </cell>
          <cell r="K34">
            <v>0.89045393039532605</v>
          </cell>
          <cell r="L34">
            <v>1.2503752118196798</v>
          </cell>
          <cell r="M34">
            <v>1.344630944125758</v>
          </cell>
          <cell r="N34">
            <v>1.2551510516495665</v>
          </cell>
          <cell r="O34">
            <v>1.2538538311324439</v>
          </cell>
        </row>
        <row r="35">
          <cell r="A35">
            <v>30</v>
          </cell>
          <cell r="B35">
            <v>2.3425387773174182</v>
          </cell>
          <cell r="C35">
            <v>2.112583526398454</v>
          </cell>
          <cell r="D35">
            <v>1.9482127862359451</v>
          </cell>
          <cell r="E35">
            <v>1.3464510979006257</v>
          </cell>
          <cell r="F35">
            <v>1.1820071378889083</v>
          </cell>
          <cell r="G35">
            <v>1.3704843718597333</v>
          </cell>
          <cell r="H35">
            <v>1.3769332530757454</v>
          </cell>
          <cell r="I35">
            <v>2.8451553790388133</v>
          </cell>
          <cell r="J35">
            <v>1.2597858531058801</v>
          </cell>
          <cell r="K35">
            <v>0.90404382087772805</v>
          </cell>
          <cell r="L35">
            <v>1.2674794636470827</v>
          </cell>
          <cell r="M35">
            <v>1.3629401165196064</v>
          </cell>
          <cell r="N35">
            <v>1.272351639158493</v>
          </cell>
          <cell r="O35">
            <v>1.2710201498802289</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OSList"/>
      <sheetName val="CurrentMeasures"/>
      <sheetName val="CurrentMeasuresAutoUpdated"/>
      <sheetName val="Sheet3"/>
      <sheetName val="SpendingBreakout"/>
      <sheetName val="% Change"/>
      <sheetName val="Rollup"/>
      <sheetName val="18230734"/>
      <sheetName val="18230680"/>
      <sheetName val="18230687"/>
      <sheetName val="18230634"/>
      <sheetName val="18230501"/>
      <sheetName val="18230612"/>
      <sheetName val="18230625"/>
      <sheetName val="18230626"/>
      <sheetName val="18230627"/>
      <sheetName val="18230628"/>
      <sheetName val="18230635"/>
      <sheetName val="18230636"/>
      <sheetName val="18230637"/>
      <sheetName val="18230638"/>
      <sheetName val="18230486"/>
      <sheetName val="18230407"/>
      <sheetName val="18230673"/>
      <sheetName val="18230736"/>
      <sheetName val="18230405"/>
      <sheetName val="18230433"/>
      <sheetName val="18230442"/>
      <sheetName val="18230684"/>
      <sheetName val="18230409"/>
      <sheetName val="18230434"/>
      <sheetName val="18230434G"/>
      <sheetName val="Unused"/>
      <sheetName val="18230435"/>
      <sheetName val="18230440"/>
      <sheetName val="18230468"/>
      <sheetName val="18230700"/>
      <sheetName val="18230461"/>
      <sheetName val="18230629"/>
      <sheetName val="18230639"/>
      <sheetName val="18230738"/>
      <sheetName val="Sheet4"/>
      <sheetName val="18230611"/>
      <sheetName val="Track"/>
      <sheetName val="18230661"/>
      <sheetName val="luOrder"/>
      <sheetName val="LFCR"/>
      <sheetName val="E-CESTD"/>
      <sheetName val="E-CESTDWO"/>
      <sheetName val="G-CESTD"/>
      <sheetName val="G-CESTDWO"/>
      <sheetName val="zELECTRIC_Template"/>
      <sheetName val="zGAS_Template"/>
      <sheetName val="PLANNER-ELECTRIC"/>
      <sheetName val="PLANNER-GAS"/>
      <sheetName val="Rollup_Original"/>
      <sheetName val="SpendingBreakout_Original"/>
      <sheetName val="z18230653"/>
      <sheetName val="z18230671"/>
      <sheetName val="z18230675"/>
      <sheetName val="z18230685"/>
      <sheetName val="z18230686"/>
      <sheetName val="z18230704"/>
      <sheetName val="z18230621"/>
      <sheetName val="z18230602"/>
      <sheetName val="z18230610"/>
      <sheetName val="z18230487"/>
      <sheetName val="z18230483"/>
      <sheetName val="z18230482"/>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Comm Flat </v>
          </cell>
          <cell r="O5" t="str">
            <v>Comm Water Heat</v>
          </cell>
        </row>
        <row r="6">
          <cell r="A6">
            <v>1</v>
          </cell>
          <cell r="B6">
            <v>0.17001589674863504</v>
          </cell>
          <cell r="C6">
            <v>0.15913061319258609</v>
          </cell>
          <cell r="D6">
            <v>0.14698391037021163</v>
          </cell>
          <cell r="E6">
            <v>9.6481665203731276E-2</v>
          </cell>
          <cell r="F6">
            <v>8.39706486437585E-2</v>
          </cell>
          <cell r="G6">
            <v>9.8880520578477515E-2</v>
          </cell>
          <cell r="H6">
            <v>9.9132412697840649E-2</v>
          </cell>
          <cell r="I6">
            <v>0.2211860692227425</v>
          </cell>
          <cell r="J6">
            <v>8.9655317097104448E-2</v>
          </cell>
          <cell r="K6">
            <v>5.8215523339608409E-2</v>
          </cell>
          <cell r="L6">
            <v>9.0693248024027798E-2</v>
          </cell>
          <cell r="M6">
            <v>9.7700107805667763E-2</v>
          </cell>
          <cell r="N6">
            <v>9.0996656638561838E-2</v>
          </cell>
          <cell r="O6">
            <v>9.085809602708822E-2</v>
          </cell>
        </row>
        <row r="7">
          <cell r="A7">
            <v>2</v>
          </cell>
          <cell r="B7">
            <v>0.32999656710822745</v>
          </cell>
          <cell r="C7">
            <v>0.3089447092590531</v>
          </cell>
          <cell r="D7">
            <v>0.28540258315868455</v>
          </cell>
          <cell r="E7">
            <v>0.18786325579849411</v>
          </cell>
          <cell r="F7">
            <v>0.16358713303128047</v>
          </cell>
          <cell r="G7">
            <v>0.19245163088477932</v>
          </cell>
          <cell r="H7">
            <v>0.19296952817690904</v>
          </cell>
          <cell r="I7">
            <v>0.4286141974128358</v>
          </cell>
          <cell r="J7">
            <v>0.17453965579551398</v>
          </cell>
          <cell r="K7">
            <v>0.11388509228011065</v>
          </cell>
          <cell r="L7">
            <v>0.17665841644512931</v>
          </cell>
          <cell r="M7">
            <v>0.19017939491840674</v>
          </cell>
          <cell r="N7">
            <v>0.17715297488291121</v>
          </cell>
          <cell r="O7">
            <v>0.17696815065447224</v>
          </cell>
        </row>
        <row r="8">
          <cell r="A8">
            <v>3</v>
          </cell>
          <cell r="B8">
            <v>0.48111607485927854</v>
          </cell>
          <cell r="C8">
            <v>0.45051527769391164</v>
          </cell>
          <cell r="D8">
            <v>0.41631321687792211</v>
          </cell>
          <cell r="E8">
            <v>0.27449830194253938</v>
          </cell>
          <cell r="F8">
            <v>0.23917551867815662</v>
          </cell>
          <cell r="G8">
            <v>0.28113597717719385</v>
          </cell>
          <cell r="H8">
            <v>0.28185705854641185</v>
          </cell>
          <cell r="I8">
            <v>0.6241049213406622</v>
          </cell>
          <cell r="J8">
            <v>0.25511885973891202</v>
          </cell>
          <cell r="K8">
            <v>0.16688652169169108</v>
          </cell>
          <cell r="L8">
            <v>0.25811162342981953</v>
          </cell>
          <cell r="M8">
            <v>0.27782830950175669</v>
          </cell>
          <cell r="N8">
            <v>0.25886873789221909</v>
          </cell>
          <cell r="O8">
            <v>0.25858125383890185</v>
          </cell>
        </row>
        <row r="9">
          <cell r="A9">
            <v>4</v>
          </cell>
          <cell r="B9">
            <v>0.62241293975685097</v>
          </cell>
          <cell r="C9">
            <v>0.58307253283057114</v>
          </cell>
          <cell r="D9">
            <v>0.53875777350806675</v>
          </cell>
          <cell r="E9">
            <v>0.35609669231180224</v>
          </cell>
          <cell r="F9">
            <v>0.31049469979375627</v>
          </cell>
          <cell r="G9">
            <v>0.36462242878736806</v>
          </cell>
          <cell r="H9">
            <v>0.36558325043572348</v>
          </cell>
          <cell r="I9">
            <v>0.8066048596726223</v>
          </cell>
          <cell r="J9">
            <v>0.33111918722793354</v>
          </cell>
          <cell r="K9">
            <v>0.21757297375330767</v>
          </cell>
          <cell r="L9">
            <v>0.33489709747987273</v>
          </cell>
          <cell r="M9">
            <v>0.36044634106537066</v>
          </cell>
          <cell r="N9">
            <v>0.33590909440321587</v>
          </cell>
          <cell r="O9">
            <v>0.33551290288103935</v>
          </cell>
        </row>
        <row r="10">
          <cell r="A10">
            <v>5</v>
          </cell>
          <cell r="B10">
            <v>0.75626586318794053</v>
          </cell>
          <cell r="C10">
            <v>0.70878849810399536</v>
          </cell>
          <cell r="D10">
            <v>0.65488676292068226</v>
          </cell>
          <cell r="E10">
            <v>0.43425218061140736</v>
          </cell>
          <cell r="F10">
            <v>0.37893639761346504</v>
          </cell>
          <cell r="G10">
            <v>0.44450803400126787</v>
          </cell>
          <cell r="H10">
            <v>0.44574940452037132</v>
          </cell>
          <cell r="I10">
            <v>0.97919077000176524</v>
          </cell>
          <cell r="J10">
            <v>0.40415649479383053</v>
          </cell>
          <cell r="K10">
            <v>0.2677172724950731</v>
          </cell>
          <cell r="L10">
            <v>0.40858352139590637</v>
          </cell>
          <cell r="M10">
            <v>0.44006152474644306</v>
          </cell>
          <cell r="N10">
            <v>0.40986313763769266</v>
          </cell>
          <cell r="O10">
            <v>0.40934635626765814</v>
          </cell>
        </row>
        <row r="11">
          <cell r="A11">
            <v>6</v>
          </cell>
          <cell r="B11">
            <v>0.88387765181303091</v>
          </cell>
          <cell r="C11">
            <v>0.82879743921947124</v>
          </cell>
          <cell r="D11">
            <v>0.76571712672399994</v>
          </cell>
          <cell r="E11">
            <v>0.50942227399990447</v>
          </cell>
          <cell r="F11">
            <v>0.4448306664787135</v>
          </cell>
          <cell r="G11">
            <v>0.52127142549602667</v>
          </cell>
          <cell r="H11">
            <v>0.52274944761820508</v>
          </cell>
          <cell r="I11">
            <v>1.1432003523067462</v>
          </cell>
          <cell r="J11">
            <v>0.47440998164856013</v>
          </cell>
          <cell r="K11">
            <v>0.31620435475665426</v>
          </cell>
          <cell r="L11">
            <v>0.47934385404085822</v>
          </cell>
          <cell r="M11">
            <v>0.51632029514652689</v>
          </cell>
          <cell r="N11">
            <v>0.48094189079616778</v>
          </cell>
          <cell r="O11">
            <v>0.48027285935078323</v>
          </cell>
        </row>
        <row r="12">
          <cell r="A12">
            <v>7</v>
          </cell>
          <cell r="B12">
            <v>1.0046056769996614</v>
          </cell>
          <cell r="C12">
            <v>0.94252890474416828</v>
          </cell>
          <cell r="D12">
            <v>0.87050336987402099</v>
          </cell>
          <cell r="E12">
            <v>0.58100266499562236</v>
          </cell>
          <cell r="F12">
            <v>0.50747860595464001</v>
          </cell>
          <cell r="G12">
            <v>0.59421815567927361</v>
          </cell>
          <cell r="H12">
            <v>0.59599865496450111</v>
          </cell>
          <cell r="I12">
            <v>1.2974117166259145</v>
          </cell>
          <cell r="J12">
            <v>0.54109658480550282</v>
          </cell>
          <cell r="K12">
            <v>0.36271191560810134</v>
          </cell>
          <cell r="L12">
            <v>0.54663657679030198</v>
          </cell>
          <cell r="M12">
            <v>0.58850444418752335</v>
          </cell>
          <cell r="N12">
            <v>0.5484364993187858</v>
          </cell>
          <cell r="O12">
            <v>0.54772670351527608</v>
          </cell>
        </row>
        <row r="13">
          <cell r="A13">
            <v>8</v>
          </cell>
          <cell r="B13">
            <v>1.1184952770416381</v>
          </cell>
          <cell r="C13">
            <v>1.0499295007121696</v>
          </cell>
          <cell r="D13">
            <v>0.9695113298225071</v>
          </cell>
          <cell r="E13">
            <v>0.64922601194908425</v>
          </cell>
          <cell r="F13">
            <v>0.56729866427180908</v>
          </cell>
          <cell r="G13">
            <v>0.66366469770318959</v>
          </cell>
          <cell r="H13">
            <v>0.66584314205708228</v>
          </cell>
          <cell r="I13">
            <v>1.442524240409675</v>
          </cell>
          <cell r="J13">
            <v>0.60463417383115381</v>
          </cell>
          <cell r="K13">
            <v>0.40769321318602281</v>
          </cell>
          <cell r="L13">
            <v>0.6108919145319246</v>
          </cell>
          <cell r="M13">
            <v>0.6572949856596435</v>
          </cell>
          <cell r="N13">
            <v>0.61278141727680513</v>
          </cell>
          <cell r="O13">
            <v>0.6121244981899856</v>
          </cell>
        </row>
        <row r="14">
          <cell r="A14">
            <v>9</v>
          </cell>
          <cell r="B14">
            <v>1.2247918611166839</v>
          </cell>
          <cell r="C14">
            <v>1.1500594396284742</v>
          </cell>
          <cell r="D14">
            <v>1.0615903916577265</v>
          </cell>
          <cell r="E14">
            <v>0.71207440097316332</v>
          </cell>
          <cell r="F14">
            <v>0.62206840337212255</v>
          </cell>
          <cell r="G14">
            <v>0.72764958538781455</v>
          </cell>
          <cell r="H14">
            <v>0.73011479784613753</v>
          </cell>
          <cell r="I14">
            <v>1.5780390208737565</v>
          </cell>
          <cell r="J14">
            <v>0.66320461530587216</v>
          </cell>
          <cell r="K14">
            <v>0.44872844521921817</v>
          </cell>
          <cell r="L14">
            <v>0.66980810742928243</v>
          </cell>
          <cell r="M14">
            <v>0.72073049517837262</v>
          </cell>
          <cell r="N14">
            <v>0.67193552694167735</v>
          </cell>
          <cell r="O14">
            <v>0.67122969114930164</v>
          </cell>
        </row>
        <row r="15">
          <cell r="A15">
            <v>10</v>
          </cell>
          <cell r="B15">
            <v>1.3257293974063522</v>
          </cell>
          <cell r="C15">
            <v>1.2454638901234145</v>
          </cell>
          <cell r="D15">
            <v>1.149099150970941</v>
          </cell>
          <cell r="E15">
            <v>0.772479894449701</v>
          </cell>
          <cell r="F15">
            <v>0.67476225095455089</v>
          </cell>
          <cell r="G15">
            <v>0.78901900018792537</v>
          </cell>
          <cell r="H15">
            <v>0.79182507952665881</v>
          </cell>
          <cell r="I15">
            <v>1.7066251624364486</v>
          </cell>
          <cell r="J15">
            <v>0.71977584472983003</v>
          </cell>
          <cell r="K15">
            <v>0.48995003537318488</v>
          </cell>
          <cell r="L15">
            <v>0.7264851990938177</v>
          </cell>
          <cell r="M15">
            <v>0.7822748356026008</v>
          </cell>
          <cell r="N15">
            <v>0.72894926895830681</v>
          </cell>
          <cell r="O15">
            <v>0.72809481988883673</v>
          </cell>
        </row>
        <row r="16">
          <cell r="A16">
            <v>11</v>
          </cell>
          <cell r="B16">
            <v>1.4219626760591353</v>
          </cell>
          <cell r="C16">
            <v>1.3365242982817773</v>
          </cell>
          <cell r="D16">
            <v>1.2328592478610045</v>
          </cell>
          <cell r="E16">
            <v>0.83126121985200785</v>
          </cell>
          <cell r="F16">
            <v>0.72629922312996165</v>
          </cell>
          <cell r="G16">
            <v>0.84868805293017324</v>
          </cell>
          <cell r="H16">
            <v>0.85189513643564263</v>
          </cell>
          <cell r="I16">
            <v>1.8292667259247501</v>
          </cell>
          <cell r="J16">
            <v>0.77506615767170017</v>
          </cell>
          <cell r="K16">
            <v>0.53162104000865384</v>
          </cell>
          <cell r="L16">
            <v>0.78189541998549039</v>
          </cell>
          <cell r="M16">
            <v>0.84265391823745706</v>
          </cell>
          <cell r="N16">
            <v>0.78466914017683131</v>
          </cell>
          <cell r="O16">
            <v>0.78365983366006942</v>
          </cell>
        </row>
        <row r="17">
          <cell r="A17">
            <v>12</v>
          </cell>
          <cell r="B17">
            <v>1.5121220100670756</v>
          </cell>
          <cell r="C17">
            <v>1.4218901264422898</v>
          </cell>
          <cell r="D17">
            <v>1.3113053505679058</v>
          </cell>
          <cell r="E17">
            <v>0.8860019019665788</v>
          </cell>
          <cell r="F17">
            <v>0.7742680367674839</v>
          </cell>
          <cell r="G17">
            <v>0.90427871704200258</v>
          </cell>
          <cell r="H17">
            <v>0.90772095909595474</v>
          </cell>
          <cell r="I17">
            <v>1.9436656825465002</v>
          </cell>
          <cell r="J17">
            <v>0.82647331962497472</v>
          </cell>
          <cell r="K17">
            <v>0.56951828792603421</v>
          </cell>
          <cell r="L17">
            <v>0.83322232460072021</v>
          </cell>
          <cell r="M17">
            <v>0.8982540688274907</v>
          </cell>
          <cell r="N17">
            <v>0.8364176614385509</v>
          </cell>
          <cell r="O17">
            <v>0.83519906675976596</v>
          </cell>
        </row>
        <row r="18">
          <cell r="A18">
            <v>13</v>
          </cell>
          <cell r="B18">
            <v>1.5929955904009212</v>
          </cell>
          <cell r="C18">
            <v>1.4983004209632913</v>
          </cell>
          <cell r="D18">
            <v>1.3815017834360568</v>
          </cell>
          <cell r="E18">
            <v>0.93447745513284164</v>
          </cell>
          <cell r="F18">
            <v>0.8166034418964877</v>
          </cell>
          <cell r="G18">
            <v>0.9535511645658421</v>
          </cell>
          <cell r="H18">
            <v>0.95728550036082349</v>
          </cell>
          <cell r="I18">
            <v>2.0464754882234399</v>
          </cell>
          <cell r="J18">
            <v>0.87162068161810202</v>
          </cell>
          <cell r="K18">
            <v>0.60192106650651189</v>
          </cell>
          <cell r="L18">
            <v>0.87869585723191945</v>
          </cell>
          <cell r="M18">
            <v>0.94701675158496457</v>
          </cell>
          <cell r="N18">
            <v>0.88202724580610881</v>
          </cell>
          <cell r="O18">
            <v>0.88082882560718856</v>
          </cell>
        </row>
        <row r="19">
          <cell r="A19">
            <v>14</v>
          </cell>
          <cell r="B19">
            <v>1.6694893839003404</v>
          </cell>
          <cell r="C19">
            <v>1.5706408636224367</v>
          </cell>
          <cell r="D19">
            <v>1.4479516795187277</v>
          </cell>
          <cell r="E19">
            <v>0.98085606079710697</v>
          </cell>
          <cell r="F19">
            <v>0.85715408346236044</v>
          </cell>
          <cell r="G19">
            <v>1.0006377398502231</v>
          </cell>
          <cell r="H19">
            <v>1.0047625324323333</v>
          </cell>
          <cell r="I19">
            <v>2.1433292668779087</v>
          </cell>
          <cell r="J19">
            <v>0.9147830608957821</v>
          </cell>
          <cell r="K19">
            <v>0.63337342844473044</v>
          </cell>
          <cell r="L19">
            <v>0.92231071729975989</v>
          </cell>
          <cell r="M19">
            <v>0.99366109908510414</v>
          </cell>
          <cell r="N19">
            <v>0.92568058180012502</v>
          </cell>
          <cell r="O19">
            <v>0.92456512997418572</v>
          </cell>
        </row>
        <row r="20">
          <cell r="A20">
            <v>15</v>
          </cell>
          <cell r="B20">
            <v>1.742281829696477</v>
          </cell>
          <cell r="C20">
            <v>1.6395184291849785</v>
          </cell>
          <cell r="D20">
            <v>1.5113319986628126</v>
          </cell>
          <cell r="E20">
            <v>1.0250515210594204</v>
          </cell>
          <cell r="F20">
            <v>0.89589831525503083</v>
          </cell>
          <cell r="G20">
            <v>1.0455286561998194</v>
          </cell>
          <cell r="H20">
            <v>1.0498837637738472</v>
          </cell>
          <cell r="I20">
            <v>2.2350992765462943</v>
          </cell>
          <cell r="J20">
            <v>0.95612245178574518</v>
          </cell>
          <cell r="K20">
            <v>0.66358103746025154</v>
          </cell>
          <cell r="L20">
            <v>0.96379856363367811</v>
          </cell>
          <cell r="M20">
            <v>1.0382066898999334</v>
          </cell>
          <cell r="N20">
            <v>0.96735149139522703</v>
          </cell>
          <cell r="O20">
            <v>0.96620315205614071</v>
          </cell>
        </row>
        <row r="21">
          <cell r="A21">
            <v>16</v>
          </cell>
          <cell r="B21">
            <v>1.8102962517533725</v>
          </cell>
          <cell r="C21">
            <v>1.703957539922603</v>
          </cell>
          <cell r="D21">
            <v>1.5705094154235666</v>
          </cell>
          <cell r="E21">
            <v>1.0663976747780031</v>
          </cell>
          <cell r="F21">
            <v>0.93211937507578901</v>
          </cell>
          <cell r="G21">
            <v>1.0875251122006879</v>
          </cell>
          <cell r="H21">
            <v>1.0921157574288198</v>
          </cell>
          <cell r="I21">
            <v>2.3213079963268712</v>
          </cell>
          <cell r="J21">
            <v>0.99493998424595942</v>
          </cell>
          <cell r="K21">
            <v>0.69243467958086957</v>
          </cell>
          <cell r="L21">
            <v>1.0026960779899949</v>
          </cell>
          <cell r="M21">
            <v>1.0803117983472437</v>
          </cell>
          <cell r="N21">
            <v>1.0064440709098059</v>
          </cell>
          <cell r="O21">
            <v>1.0052286068324712</v>
          </cell>
        </row>
        <row r="22">
          <cell r="A22">
            <v>17</v>
          </cell>
          <cell r="B22">
            <v>1.8751335861924345</v>
          </cell>
          <cell r="C22">
            <v>1.7655515873163226</v>
          </cell>
          <cell r="D22">
            <v>1.6271043555265221</v>
          </cell>
          <cell r="E22">
            <v>1.1066156287551387</v>
          </cell>
          <cell r="F22">
            <v>0.96752218382408672</v>
          </cell>
          <cell r="G22">
            <v>1.1283712589574522</v>
          </cell>
          <cell r="H22">
            <v>1.1333065422977249</v>
          </cell>
          <cell r="I22">
            <v>2.4033680409999114</v>
          </cell>
          <cell r="J22">
            <v>1.032684744963591</v>
          </cell>
          <cell r="K22">
            <v>0.72095413066468117</v>
          </cell>
          <cell r="L22">
            <v>1.0407087648279414</v>
          </cell>
          <cell r="M22">
            <v>1.1211659991175329</v>
          </cell>
          <cell r="N22">
            <v>1.0445473859212229</v>
          </cell>
          <cell r="O22">
            <v>1.0433456091867186</v>
          </cell>
        </row>
        <row r="23">
          <cell r="A23">
            <v>18</v>
          </cell>
          <cell r="B23">
            <v>1.9371389417443488</v>
          </cell>
          <cell r="C23">
            <v>1.8245399275178438</v>
          </cell>
          <cell r="D23">
            <v>1.6812952507043002</v>
          </cell>
          <cell r="E23">
            <v>1.1452278841706871</v>
          </cell>
          <cell r="F23">
            <v>1.0015294122672735</v>
          </cell>
          <cell r="G23">
            <v>1.1675471347914259</v>
          </cell>
          <cell r="H23">
            <v>1.1727709049086033</v>
          </cell>
          <cell r="I23">
            <v>2.48111966973975</v>
          </cell>
          <cell r="J23">
            <v>1.0688327808045512</v>
          </cell>
          <cell r="K23">
            <v>0.74809126187172659</v>
          </cell>
          <cell r="L23">
            <v>1.0770729970188957</v>
          </cell>
          <cell r="M23">
            <v>1.1598763947943225</v>
          </cell>
          <cell r="N23">
            <v>1.0809879919313543</v>
          </cell>
          <cell r="O23">
            <v>1.0798518678848867</v>
          </cell>
        </row>
        <row r="24">
          <cell r="A24">
            <v>19</v>
          </cell>
          <cell r="B24">
            <v>1.9963401860731362</v>
          </cell>
          <cell r="C24">
            <v>1.8808990285813283</v>
          </cell>
          <cell r="D24">
            <v>1.7330627938188998</v>
          </cell>
          <cell r="E24">
            <v>1.182460975361098</v>
          </cell>
          <cell r="F24">
            <v>1.0343200660724969</v>
          </cell>
          <cell r="G24">
            <v>1.2052425019623176</v>
          </cell>
          <cell r="H24">
            <v>1.2107624349470323</v>
          </cell>
          <cell r="I24">
            <v>2.5550443527445226</v>
          </cell>
          <cell r="J24">
            <v>1.1036170868579995</v>
          </cell>
          <cell r="K24">
            <v>0.77456060714303998</v>
          </cell>
          <cell r="L24">
            <v>1.1121213259366356</v>
          </cell>
          <cell r="M24">
            <v>1.1971635919669403</v>
          </cell>
          <cell r="N24">
            <v>1.1160683808461875</v>
          </cell>
          <cell r="O24">
            <v>1.1150287683968856</v>
          </cell>
        </row>
        <row r="25">
          <cell r="A25">
            <v>20</v>
          </cell>
          <cell r="B25">
            <v>2.0523647707496258</v>
          </cell>
          <cell r="C25">
            <v>1.9342183548791292</v>
          </cell>
          <cell r="D25">
            <v>1.7822262108090938</v>
          </cell>
          <cell r="E25">
            <v>1.2180929373984133</v>
          </cell>
          <cell r="F25">
            <v>1.0658640340670109</v>
          </cell>
          <cell r="G25">
            <v>1.2413069919472461</v>
          </cell>
          <cell r="H25">
            <v>1.2471347538421766</v>
          </cell>
          <cell r="I25">
            <v>2.624676441716201</v>
          </cell>
          <cell r="J25">
            <v>1.1369470771452215</v>
          </cell>
          <cell r="K25">
            <v>0.80007733893312716</v>
          </cell>
          <cell r="L25">
            <v>1.1457720854494386</v>
          </cell>
          <cell r="M25">
            <v>1.2328734895335283</v>
          </cell>
          <cell r="N25">
            <v>1.149716648722199</v>
          </cell>
          <cell r="O25">
            <v>1.1487762748791117</v>
          </cell>
        </row>
        <row r="26">
          <cell r="A26">
            <v>21</v>
          </cell>
          <cell r="B26">
            <v>2.1078588014611421</v>
          </cell>
          <cell r="C26">
            <v>1.9848381197625113</v>
          </cell>
          <cell r="D26">
            <v>1.8290663445563009</v>
          </cell>
          <cell r="E26">
            <v>1.2519174351029145</v>
          </cell>
          <cell r="F26">
            <v>1.0959275373560888</v>
          </cell>
          <cell r="G26">
            <v>1.2755792492121723</v>
          </cell>
          <cell r="H26">
            <v>1.2815659943791804</v>
          </cell>
          <cell r="I26">
            <v>2.6907241938157078</v>
          </cell>
          <cell r="J26">
            <v>1.168909804492515</v>
          </cell>
          <cell r="K26">
            <v>0.82473132611134525</v>
          </cell>
          <cell r="L26">
            <v>1.1777030215035116</v>
          </cell>
          <cell r="M26">
            <v>1.267148850731552</v>
          </cell>
          <cell r="N26">
            <v>1.1818310772437783</v>
          </cell>
          <cell r="O26">
            <v>1.1808204808542175</v>
          </cell>
        </row>
        <row r="27">
          <cell r="A27">
            <v>22</v>
          </cell>
          <cell r="B27">
            <v>2.162347330850924</v>
          </cell>
          <cell r="C27">
            <v>2.0324156018289177</v>
          </cell>
          <cell r="D27">
            <v>1.8730999636762173</v>
          </cell>
          <cell r="E27">
            <v>1.2837917306939803</v>
          </cell>
          <cell r="F27">
            <v>1.1242758844191898</v>
          </cell>
          <cell r="G27">
            <v>1.307867419449678</v>
          </cell>
          <cell r="H27">
            <v>1.3140049106623792</v>
          </cell>
          <cell r="I27">
            <v>2.7526971643429863</v>
          </cell>
          <cell r="J27">
            <v>1.1990387170671943</v>
          </cell>
          <cell r="K27">
            <v>0.84804712116515946</v>
          </cell>
          <cell r="L27">
            <v>1.2077983983169851</v>
          </cell>
          <cell r="M27">
            <v>1.2994433939248673</v>
          </cell>
          <cell r="N27">
            <v>1.2120989956516848</v>
          </cell>
          <cell r="O27">
            <v>1.2110229031220761</v>
          </cell>
        </row>
        <row r="28">
          <cell r="A28">
            <v>23</v>
          </cell>
          <cell r="B28">
            <v>2.2159658373110465</v>
          </cell>
          <cell r="C28">
            <v>2.0771398726842247</v>
          </cell>
          <cell r="D28">
            <v>1.9145009311936065</v>
          </cell>
          <cell r="E28">
            <v>1.3138316856121397</v>
          </cell>
          <cell r="F28">
            <v>1.1510097473142376</v>
          </cell>
          <cell r="G28">
            <v>1.3382899204210497</v>
          </cell>
          <cell r="H28">
            <v>1.3445703472689412</v>
          </cell>
          <cell r="I28">
            <v>2.8108553913473795</v>
          </cell>
          <cell r="J28">
            <v>1.2274421528465944</v>
          </cell>
          <cell r="K28">
            <v>0.87009861989736281</v>
          </cell>
          <cell r="L28">
            <v>1.2361668983556562</v>
          </cell>
          <cell r="M28">
            <v>1.329875110528256</v>
          </cell>
          <cell r="N28">
            <v>1.2406297620029911</v>
          </cell>
          <cell r="O28">
            <v>1.2394925733236455</v>
          </cell>
        </row>
        <row r="29">
          <cell r="A29">
            <v>24</v>
          </cell>
          <cell r="B29">
            <v>2.2688418554485459</v>
          </cell>
          <cell r="C29">
            <v>2.1191878512587037</v>
          </cell>
          <cell r="D29">
            <v>1.9534319697288982</v>
          </cell>
          <cell r="E29">
            <v>1.3421460477497442</v>
          </cell>
          <cell r="F29">
            <v>1.1762236971928948</v>
          </cell>
          <cell r="G29">
            <v>1.3669578638963269</v>
          </cell>
          <cell r="H29">
            <v>1.3733738206669068</v>
          </cell>
          <cell r="I29">
            <v>2.865441774153096</v>
          </cell>
          <cell r="J29">
            <v>1.2542218379618388</v>
          </cell>
          <cell r="K29">
            <v>0.89095554741941907</v>
          </cell>
          <cell r="L29">
            <v>1.2629105553520317</v>
          </cell>
          <cell r="M29">
            <v>1.3585547273087111</v>
          </cell>
          <cell r="N29">
            <v>1.2675260425087278</v>
          </cell>
          <cell r="O29">
            <v>1.2663318542755468</v>
          </cell>
        </row>
        <row r="30">
          <cell r="A30">
            <v>25</v>
          </cell>
          <cell r="B30">
            <v>2.3210955900247425</v>
          </cell>
          <cell r="C30">
            <v>2.1587251100516198</v>
          </cell>
          <cell r="D30">
            <v>1.9900453984881947</v>
          </cell>
          <cell r="E30">
            <v>1.3688369032439434</v>
          </cell>
          <cell r="F30">
            <v>1.2000065867174499</v>
          </cell>
          <cell r="G30">
            <v>1.3939755219135916</v>
          </cell>
          <cell r="H30">
            <v>1.4005199866208073</v>
          </cell>
          <cell r="I30">
            <v>2.9166832360380823</v>
          </cell>
          <cell r="J30">
            <v>1.2794733041116699</v>
          </cell>
          <cell r="K30">
            <v>0.91068369988083187</v>
          </cell>
          <cell r="L30">
            <v>1.288125175056825</v>
          </cell>
          <cell r="M30">
            <v>1.3855861690600291</v>
          </cell>
          <cell r="N30">
            <v>1.2928842351268122</v>
          </cell>
          <cell r="O30">
            <v>1.2916368619123995</v>
          </cell>
        </row>
        <row r="31">
          <cell r="A31">
            <v>26</v>
          </cell>
          <cell r="B31">
            <v>2.3728404862494799</v>
          </cell>
          <cell r="C31">
            <v>2.1959066263698293</v>
          </cell>
          <cell r="D31">
            <v>2.0244838200948934</v>
          </cell>
          <cell r="E31">
            <v>1.3940000986245389</v>
          </cell>
          <cell r="F31">
            <v>1.2224419076941599</v>
          </cell>
          <cell r="G31">
            <v>1.4194407623067617</v>
          </cell>
          <cell r="H31">
            <v>1.4261070768063624</v>
          </cell>
          <cell r="I31">
            <v>2.9647918060887024</v>
          </cell>
          <cell r="J31">
            <v>1.3032862787407291</v>
          </cell>
          <cell r="K31">
            <v>0.92934517175242126</v>
          </cell>
          <cell r="L31">
            <v>1.3119007284750892</v>
          </cell>
          <cell r="M31">
            <v>1.4110669908397329</v>
          </cell>
          <cell r="N31">
            <v>1.3167948654468575</v>
          </cell>
          <cell r="O31">
            <v>1.3154978596408551</v>
          </cell>
        </row>
        <row r="32">
          <cell r="A32">
            <v>27</v>
          </cell>
          <cell r="B32">
            <v>2.4241837596616587</v>
          </cell>
          <cell r="C32">
            <v>2.2308774824019308</v>
          </cell>
          <cell r="D32">
            <v>2.0568807607589452</v>
          </cell>
          <cell r="E32">
            <v>1.4177256353200594</v>
          </cell>
          <cell r="F32">
            <v>1.2436081255795544</v>
          </cell>
          <cell r="G32">
            <v>1.443445455586756</v>
          </cell>
          <cell r="H32">
            <v>1.4502273067222045</v>
          </cell>
          <cell r="I32">
            <v>3.0099656259602772</v>
          </cell>
          <cell r="J32">
            <v>1.3257450498136982</v>
          </cell>
          <cell r="K32">
            <v>0.94699856955600858</v>
          </cell>
          <cell r="L32">
            <v>1.3343217194409036</v>
          </cell>
          <cell r="M32">
            <v>1.4350887818298612</v>
          </cell>
          <cell r="N32">
            <v>1.3393429567341759</v>
          </cell>
          <cell r="O32">
            <v>1.3379996269638776</v>
          </cell>
        </row>
        <row r="33">
          <cell r="A33">
            <v>28</v>
          </cell>
          <cell r="B33">
            <v>2.475226888589424</v>
          </cell>
          <cell r="C33">
            <v>2.2637735176962002</v>
          </cell>
          <cell r="D33">
            <v>2.0873612670314117</v>
          </cell>
          <cell r="E33">
            <v>1.4400980383865674</v>
          </cell>
          <cell r="F33">
            <v>1.263578992402465</v>
          </cell>
          <cell r="G33">
            <v>1.4660758551159545</v>
          </cell>
          <cell r="H33">
            <v>1.4729672568414816</v>
          </cell>
          <cell r="I33">
            <v>3.0523898868610679</v>
          </cell>
          <cell r="J33">
            <v>1.3469288068903256</v>
          </cell>
          <cell r="K33">
            <v>0.96369921287597116</v>
          </cell>
          <cell r="L33">
            <v>1.3554675282563786</v>
          </cell>
          <cell r="M33">
            <v>1.4577375427400481</v>
          </cell>
          <cell r="N33">
            <v>1.3606083758711964</v>
          </cell>
          <cell r="O33">
            <v>1.359221804105347</v>
          </cell>
        </row>
        <row r="34">
          <cell r="A34">
            <v>29</v>
          </cell>
          <cell r="B34">
            <v>2.5260660719629984</v>
          </cell>
          <cell r="C34">
            <v>2.2947219373569059</v>
          </cell>
          <cell r="D34">
            <v>2.1160424621615177</v>
          </cell>
          <cell r="E34">
            <v>1.4611967011947167</v>
          </cell>
          <cell r="F34">
            <v>1.2824238395388083</v>
          </cell>
          <cell r="G34">
            <v>1.4874129523812321</v>
          </cell>
          <cell r="H34">
            <v>1.4944082288113762</v>
          </cell>
          <cell r="I34">
            <v>3.0922377016948577</v>
          </cell>
          <cell r="J34">
            <v>1.3669119600888924</v>
          </cell>
          <cell r="K34">
            <v>0.97949932343485857</v>
          </cell>
          <cell r="L34">
            <v>1.3754127330016477</v>
          </cell>
          <cell r="M34">
            <v>1.4790940385383338</v>
          </cell>
          <cell r="N34">
            <v>1.3806661568145235</v>
          </cell>
          <cell r="O34">
            <v>1.3792392142456877</v>
          </cell>
        </row>
        <row r="35">
          <cell r="A35">
            <v>30</v>
          </cell>
          <cell r="B35">
            <v>2.57679265504916</v>
          </cell>
          <cell r="C35">
            <v>2.3238418790382989</v>
          </cell>
          <cell r="D35">
            <v>2.1430340648595396</v>
          </cell>
          <cell r="E35">
            <v>1.4810962076906877</v>
          </cell>
          <cell r="F35">
            <v>1.3002078516777988</v>
          </cell>
          <cell r="G35">
            <v>1.5075328090457067</v>
          </cell>
          <cell r="H35">
            <v>1.5146265783833199</v>
          </cell>
          <cell r="I35">
            <v>3.1296709169426942</v>
          </cell>
          <cell r="J35">
            <v>1.3857644384164678</v>
          </cell>
          <cell r="K35">
            <v>0.99444820296550074</v>
          </cell>
          <cell r="L35">
            <v>1.3942274100117908</v>
          </cell>
          <cell r="M35">
            <v>1.4992341281715671</v>
          </cell>
          <cell r="N35">
            <v>1.3995868030743426</v>
          </cell>
          <cell r="O35">
            <v>1.3981221648682516</v>
          </cell>
        </row>
      </sheetData>
      <sheetData sheetId="48">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Flat </v>
          </cell>
          <cell r="O5" t="str">
            <v xml:space="preserve">Comm Water Heat </v>
          </cell>
        </row>
        <row r="6">
          <cell r="A6">
            <v>1</v>
          </cell>
          <cell r="B6">
            <v>0.15455990613512277</v>
          </cell>
          <cell r="C6">
            <v>0.14466419381144191</v>
          </cell>
          <cell r="D6">
            <v>0.1336217367001924</v>
          </cell>
          <cell r="E6">
            <v>8.7710604730664804E-2</v>
          </cell>
          <cell r="F6">
            <v>7.6336953312507741E-2</v>
          </cell>
          <cell r="G6">
            <v>8.9891382344070458E-2</v>
          </cell>
          <cell r="H6">
            <v>9.0120375179855133E-2</v>
          </cell>
          <cell r="I6">
            <v>0.20107824474794775</v>
          </cell>
          <cell r="J6">
            <v>8.1504833724640402E-2</v>
          </cell>
          <cell r="K6">
            <v>5.2923203036007636E-2</v>
          </cell>
          <cell r="L6">
            <v>8.244840729457073E-2</v>
          </cell>
          <cell r="M6">
            <v>8.8818279823334331E-2</v>
          </cell>
          <cell r="N6">
            <v>8.2724233307783501E-2</v>
          </cell>
          <cell r="O6">
            <v>8.2598269115534736E-2</v>
          </cell>
        </row>
        <row r="7">
          <cell r="A7">
            <v>2</v>
          </cell>
          <cell r="B7">
            <v>0.29999687918929768</v>
          </cell>
          <cell r="C7">
            <v>0.28085882659913913</v>
          </cell>
          <cell r="D7">
            <v>0.25945689378062231</v>
          </cell>
          <cell r="E7">
            <v>0.17078477799863101</v>
          </cell>
          <cell r="F7">
            <v>0.14871557548298223</v>
          </cell>
          <cell r="G7">
            <v>0.17495602807707211</v>
          </cell>
          <cell r="H7">
            <v>0.17542684379719004</v>
          </cell>
          <cell r="I7">
            <v>0.38964927037530528</v>
          </cell>
          <cell r="J7">
            <v>0.15867241435955814</v>
          </cell>
          <cell r="K7">
            <v>0.10353190207282785</v>
          </cell>
          <cell r="L7">
            <v>0.16059856040466303</v>
          </cell>
          <cell r="M7">
            <v>0.17289035901673339</v>
          </cell>
          <cell r="N7">
            <v>0.16104815898446473</v>
          </cell>
          <cell r="O7">
            <v>0.16088013695861114</v>
          </cell>
        </row>
        <row r="8">
          <cell r="A8">
            <v>3</v>
          </cell>
          <cell r="B8">
            <v>0.43737824987207147</v>
          </cell>
          <cell r="C8">
            <v>0.40955934335810157</v>
          </cell>
          <cell r="D8">
            <v>0.37846656079811103</v>
          </cell>
          <cell r="E8">
            <v>0.24954391085685396</v>
          </cell>
          <cell r="F8">
            <v>0.21743228970741513</v>
          </cell>
          <cell r="G8">
            <v>0.25557816107017617</v>
          </cell>
          <cell r="H8">
            <v>0.25623368958764714</v>
          </cell>
          <cell r="I8">
            <v>0.56736811030969292</v>
          </cell>
          <cell r="J8">
            <v>0.23192623612628366</v>
          </cell>
          <cell r="K8">
            <v>0.15171501971971915</v>
          </cell>
          <cell r="L8">
            <v>0.23464693039074502</v>
          </cell>
          <cell r="M8">
            <v>0.25257119045614246</v>
          </cell>
          <cell r="N8">
            <v>0.23533521626565371</v>
          </cell>
          <cell r="O8">
            <v>0.23507386712627443</v>
          </cell>
        </row>
        <row r="9">
          <cell r="A9">
            <v>4</v>
          </cell>
          <cell r="B9">
            <v>0.56582994523350094</v>
          </cell>
          <cell r="C9">
            <v>0.53006593893688281</v>
          </cell>
          <cell r="D9">
            <v>0.48977979409824246</v>
          </cell>
          <cell r="E9">
            <v>0.32372426573800206</v>
          </cell>
          <cell r="F9">
            <v>0.2822679089034148</v>
          </cell>
          <cell r="G9">
            <v>0.33147493526124372</v>
          </cell>
          <cell r="H9">
            <v>0.33234840948702132</v>
          </cell>
          <cell r="I9">
            <v>0.73327714515692932</v>
          </cell>
          <cell r="J9">
            <v>0.30101744293448507</v>
          </cell>
          <cell r="K9">
            <v>0.19779361250300698</v>
          </cell>
          <cell r="L9">
            <v>0.30445190679988432</v>
          </cell>
          <cell r="M9">
            <v>0.32767849187760967</v>
          </cell>
          <cell r="N9">
            <v>0.30537190400292352</v>
          </cell>
          <cell r="O9">
            <v>0.30501172989185393</v>
          </cell>
        </row>
        <row r="10">
          <cell r="A10">
            <v>5</v>
          </cell>
          <cell r="B10">
            <v>0.68751442107994598</v>
          </cell>
          <cell r="C10">
            <v>0.64435318009454134</v>
          </cell>
          <cell r="D10">
            <v>0.59535160265516573</v>
          </cell>
          <cell r="E10">
            <v>0.394774709646734</v>
          </cell>
          <cell r="F10">
            <v>0.3444876341940592</v>
          </cell>
          <cell r="G10">
            <v>0.40409821272842539</v>
          </cell>
          <cell r="H10">
            <v>0.40522673138215576</v>
          </cell>
          <cell r="I10">
            <v>0.89017342727433202</v>
          </cell>
          <cell r="J10">
            <v>0.36741499526711868</v>
          </cell>
          <cell r="K10">
            <v>0.24337933863188463</v>
          </cell>
          <cell r="L10">
            <v>0.37143956490536945</v>
          </cell>
          <cell r="M10">
            <v>0.4000559315876755</v>
          </cell>
          <cell r="N10">
            <v>0.37260285239790247</v>
          </cell>
          <cell r="O10">
            <v>0.37213305115241652</v>
          </cell>
        </row>
        <row r="11">
          <cell r="A11">
            <v>6</v>
          </cell>
          <cell r="B11">
            <v>0.80352513801184644</v>
          </cell>
          <cell r="C11">
            <v>0.75345221747224667</v>
          </cell>
          <cell r="D11">
            <v>0.69610647883999999</v>
          </cell>
          <cell r="E11">
            <v>0.46311115818173132</v>
          </cell>
          <cell r="F11">
            <v>0.40439151498064874</v>
          </cell>
          <cell r="G11">
            <v>0.47388311408729711</v>
          </cell>
          <cell r="H11">
            <v>0.47522677056200457</v>
          </cell>
          <cell r="I11">
            <v>1.0392730475515874</v>
          </cell>
          <cell r="J11">
            <v>0.43128180149869105</v>
          </cell>
          <cell r="K11">
            <v>0.28745850432423115</v>
          </cell>
          <cell r="L11">
            <v>0.4357671400371439</v>
          </cell>
          <cell r="M11">
            <v>0.46938208649684265</v>
          </cell>
          <cell r="N11">
            <v>0.43721990072378891</v>
          </cell>
          <cell r="O11">
            <v>0.43661169031889391</v>
          </cell>
        </row>
        <row r="12">
          <cell r="A12">
            <v>7</v>
          </cell>
          <cell r="B12">
            <v>0.91327788818151034</v>
          </cell>
          <cell r="C12">
            <v>0.85684445885833493</v>
          </cell>
          <cell r="D12">
            <v>0.79136669988547359</v>
          </cell>
          <cell r="E12">
            <v>0.52818424090511129</v>
          </cell>
          <cell r="F12">
            <v>0.46134418723149095</v>
          </cell>
          <cell r="G12">
            <v>0.54019832334479423</v>
          </cell>
          <cell r="H12">
            <v>0.54181695905863736</v>
          </cell>
          <cell r="I12">
            <v>1.1794651969326497</v>
          </cell>
          <cell r="J12">
            <v>0.4919059861868208</v>
          </cell>
          <cell r="K12">
            <v>0.329738105098274</v>
          </cell>
          <cell r="L12">
            <v>0.49694234253663822</v>
          </cell>
          <cell r="M12">
            <v>0.53500404017047576</v>
          </cell>
          <cell r="N12">
            <v>0.49857863574435091</v>
          </cell>
          <cell r="O12">
            <v>0.49793336683206924</v>
          </cell>
        </row>
        <row r="13">
          <cell r="A13">
            <v>8</v>
          </cell>
          <cell r="B13">
            <v>1.0168138882196709</v>
          </cell>
          <cell r="C13">
            <v>0.95448136428379071</v>
          </cell>
          <cell r="D13">
            <v>0.88137393620227911</v>
          </cell>
          <cell r="E13">
            <v>0.59020546540825847</v>
          </cell>
          <cell r="F13">
            <v>0.51572605842891739</v>
          </cell>
          <cell r="G13">
            <v>0.60333154336653616</v>
          </cell>
          <cell r="H13">
            <v>0.60531194732462024</v>
          </cell>
          <cell r="I13">
            <v>1.3113856730997047</v>
          </cell>
          <cell r="J13">
            <v>0.54966743075559432</v>
          </cell>
          <cell r="K13">
            <v>0.37063019380547529</v>
          </cell>
          <cell r="L13">
            <v>0.55535628593811337</v>
          </cell>
          <cell r="M13">
            <v>0.59754089605422145</v>
          </cell>
          <cell r="N13">
            <v>0.55707401570618653</v>
          </cell>
          <cell r="O13">
            <v>0.55647681653635062</v>
          </cell>
        </row>
        <row r="14">
          <cell r="A14">
            <v>9</v>
          </cell>
          <cell r="B14">
            <v>1.1134471464697127</v>
          </cell>
          <cell r="C14">
            <v>1.0455085814804312</v>
          </cell>
          <cell r="D14">
            <v>0.96508217423429676</v>
          </cell>
          <cell r="E14">
            <v>0.64734036452105759</v>
          </cell>
          <cell r="F14">
            <v>0.56551673033829331</v>
          </cell>
          <cell r="G14">
            <v>0.66149962307983157</v>
          </cell>
          <cell r="H14">
            <v>0.66374072531467054</v>
          </cell>
          <cell r="I14">
            <v>1.4345809280670516</v>
          </cell>
          <cell r="J14">
            <v>0.60291328664170196</v>
          </cell>
          <cell r="K14">
            <v>0.40793495019928921</v>
          </cell>
          <cell r="L14">
            <v>0.60891646129934773</v>
          </cell>
          <cell r="M14">
            <v>0.65520954107124774</v>
          </cell>
          <cell r="N14">
            <v>0.61085047903788847</v>
          </cell>
          <cell r="O14">
            <v>0.61020881013572881</v>
          </cell>
        </row>
        <row r="15">
          <cell r="A15">
            <v>10</v>
          </cell>
          <cell r="B15">
            <v>1.2052085430966839</v>
          </cell>
          <cell r="C15">
            <v>1.1322399001121952</v>
          </cell>
          <cell r="D15">
            <v>1.0446355917917645</v>
          </cell>
          <cell r="E15">
            <v>0.70225444949972815</v>
          </cell>
          <cell r="F15">
            <v>0.61342022814050079</v>
          </cell>
          <cell r="G15">
            <v>0.71729000017084144</v>
          </cell>
          <cell r="H15">
            <v>0.71984098138787167</v>
          </cell>
          <cell r="I15">
            <v>1.5514774203967716</v>
          </cell>
          <cell r="J15">
            <v>0.65434167702711821</v>
          </cell>
          <cell r="K15">
            <v>0.44540912306653169</v>
          </cell>
          <cell r="L15">
            <v>0.66044109008528884</v>
          </cell>
          <cell r="M15">
            <v>0.71115894145690994</v>
          </cell>
          <cell r="N15">
            <v>0.66268115359846069</v>
          </cell>
          <cell r="O15">
            <v>0.6619043817171244</v>
          </cell>
        </row>
        <row r="16">
          <cell r="A16">
            <v>11</v>
          </cell>
          <cell r="B16">
            <v>1.2926933418719413</v>
          </cell>
          <cell r="C16">
            <v>1.2150220893470705</v>
          </cell>
          <cell r="D16">
            <v>1.120781134419095</v>
          </cell>
          <cell r="E16">
            <v>0.75569201804727992</v>
          </cell>
          <cell r="F16">
            <v>0.66027202102723792</v>
          </cell>
          <cell r="G16">
            <v>0.7715345935728849</v>
          </cell>
          <cell r="H16">
            <v>0.77445012403240243</v>
          </cell>
          <cell r="I16">
            <v>1.662969750840682</v>
          </cell>
          <cell r="J16">
            <v>0.70460559788336385</v>
          </cell>
          <cell r="K16">
            <v>0.48329185455332169</v>
          </cell>
          <cell r="L16">
            <v>0.71081401816862777</v>
          </cell>
          <cell r="M16">
            <v>0.76604901657950641</v>
          </cell>
          <cell r="N16">
            <v>0.71333558197893765</v>
          </cell>
          <cell r="O16">
            <v>0.71241803060006315</v>
          </cell>
        </row>
        <row r="17">
          <cell r="A17">
            <v>12</v>
          </cell>
          <cell r="B17">
            <v>1.3746563727882506</v>
          </cell>
          <cell r="C17">
            <v>1.2926273876748091</v>
          </cell>
          <cell r="D17">
            <v>1.1920957732435506</v>
          </cell>
          <cell r="E17">
            <v>0.80545627451507174</v>
          </cell>
          <cell r="F17">
            <v>0.7038800334249854</v>
          </cell>
          <cell r="G17">
            <v>0.82207156094727507</v>
          </cell>
          <cell r="H17">
            <v>0.82520087190541347</v>
          </cell>
          <cell r="I17">
            <v>1.7669688023150005</v>
          </cell>
          <cell r="J17">
            <v>0.75133938147724977</v>
          </cell>
          <cell r="K17">
            <v>0.51774389811457655</v>
          </cell>
          <cell r="L17">
            <v>0.75747484054610936</v>
          </cell>
          <cell r="M17">
            <v>0.81659460802499151</v>
          </cell>
          <cell r="N17">
            <v>0.76037969221686463</v>
          </cell>
          <cell r="O17">
            <v>0.75927187887251479</v>
          </cell>
        </row>
        <row r="18">
          <cell r="A18">
            <v>13</v>
          </cell>
          <cell r="B18">
            <v>1.448177809455383</v>
          </cell>
          <cell r="C18">
            <v>1.3620912917848103</v>
          </cell>
          <cell r="D18">
            <v>1.2559107122145972</v>
          </cell>
          <cell r="E18">
            <v>0.84952495921167437</v>
          </cell>
          <cell r="F18">
            <v>0.74236676536044344</v>
          </cell>
          <cell r="G18">
            <v>0.86686469505985653</v>
          </cell>
          <cell r="H18">
            <v>0.87025954578256681</v>
          </cell>
          <cell r="I18">
            <v>1.8604322620213094</v>
          </cell>
          <cell r="J18">
            <v>0.79238243783463824</v>
          </cell>
          <cell r="K18">
            <v>0.54720096955137454</v>
          </cell>
          <cell r="L18">
            <v>0.79881441566538147</v>
          </cell>
          <cell r="M18">
            <v>0.86092431962269511</v>
          </cell>
          <cell r="N18">
            <v>0.80184295073282619</v>
          </cell>
          <cell r="O18">
            <v>0.80075347782471695</v>
          </cell>
        </row>
        <row r="19">
          <cell r="A19">
            <v>14</v>
          </cell>
          <cell r="B19">
            <v>1.5177176217275825</v>
          </cell>
          <cell r="C19">
            <v>1.4278553305658517</v>
          </cell>
          <cell r="D19">
            <v>1.3163197086533889</v>
          </cell>
          <cell r="E19">
            <v>0.89168732799737005</v>
          </cell>
          <cell r="F19">
            <v>0.77923098496578214</v>
          </cell>
          <cell r="G19">
            <v>0.90967067259111223</v>
          </cell>
          <cell r="H19">
            <v>0.91342048402939413</v>
          </cell>
          <cell r="I19">
            <v>1.9484811517071901</v>
          </cell>
          <cell r="J19">
            <v>0.83162096445071121</v>
          </cell>
          <cell r="K19">
            <v>0.57579402585884587</v>
          </cell>
          <cell r="L19">
            <v>0.83846428845432741</v>
          </cell>
          <cell r="M19">
            <v>0.90332827189554932</v>
          </cell>
          <cell r="N19">
            <v>0.84152780163647734</v>
          </cell>
          <cell r="O19">
            <v>0.84051375452198718</v>
          </cell>
        </row>
        <row r="20">
          <cell r="A20">
            <v>15</v>
          </cell>
          <cell r="B20">
            <v>1.5838925724513431</v>
          </cell>
          <cell r="C20">
            <v>1.4904712992590716</v>
          </cell>
          <cell r="D20">
            <v>1.3739381806025568</v>
          </cell>
          <cell r="E20">
            <v>0.93186501914492781</v>
          </cell>
          <cell r="F20">
            <v>0.8144530138682099</v>
          </cell>
          <cell r="G20">
            <v>0.9504805965452906</v>
          </cell>
          <cell r="H20">
            <v>0.95443978524895223</v>
          </cell>
          <cell r="I20">
            <v>2.0319084332239044</v>
          </cell>
          <cell r="J20">
            <v>0.86920222889613219</v>
          </cell>
          <cell r="K20">
            <v>0.60325548860022871</v>
          </cell>
          <cell r="L20">
            <v>0.87618051239425299</v>
          </cell>
          <cell r="M20">
            <v>0.94382426354539417</v>
          </cell>
          <cell r="N20">
            <v>0.87941044672293356</v>
          </cell>
          <cell r="O20">
            <v>0.87836650186921894</v>
          </cell>
        </row>
        <row r="21">
          <cell r="A21">
            <v>16</v>
          </cell>
          <cell r="B21">
            <v>1.6457238652303388</v>
          </cell>
          <cell r="C21">
            <v>1.5490523090205484</v>
          </cell>
          <cell r="D21">
            <v>1.4277358322032423</v>
          </cell>
          <cell r="E21">
            <v>0.96945243161636663</v>
          </cell>
          <cell r="F21">
            <v>0.84738125006889919</v>
          </cell>
          <cell r="G21">
            <v>0.9886591929097166</v>
          </cell>
          <cell r="H21">
            <v>0.9928325067534729</v>
          </cell>
          <cell r="I21">
            <v>2.1102799966607924</v>
          </cell>
          <cell r="J21">
            <v>0.90449089476905409</v>
          </cell>
          <cell r="K21">
            <v>0.6294860723462451</v>
          </cell>
          <cell r="L21">
            <v>0.91154188908181388</v>
          </cell>
          <cell r="M21">
            <v>0.98210163486113067</v>
          </cell>
          <cell r="N21">
            <v>0.91494915537255073</v>
          </cell>
          <cell r="O21">
            <v>0.91384418802951939</v>
          </cell>
        </row>
        <row r="22">
          <cell r="A22">
            <v>17</v>
          </cell>
          <cell r="B22">
            <v>1.7046668965385772</v>
          </cell>
          <cell r="C22">
            <v>1.605046897560293</v>
          </cell>
          <cell r="D22">
            <v>1.4791857777513835</v>
          </cell>
          <cell r="E22">
            <v>1.0060142079592171</v>
          </cell>
          <cell r="F22">
            <v>0.87956562165826069</v>
          </cell>
          <cell r="G22">
            <v>1.0257920535976839</v>
          </cell>
          <cell r="H22">
            <v>1.0302786748161137</v>
          </cell>
          <cell r="I22">
            <v>2.1848800372726469</v>
          </cell>
          <cell r="J22">
            <v>0.93880431360326477</v>
          </cell>
          <cell r="K22">
            <v>0.65541284605880112</v>
          </cell>
          <cell r="L22">
            <v>0.9460988771163108</v>
          </cell>
          <cell r="M22">
            <v>1.0192418173795754</v>
          </cell>
          <cell r="N22">
            <v>0.94958853265565701</v>
          </cell>
          <cell r="O22">
            <v>0.94849600835156245</v>
          </cell>
        </row>
        <row r="23">
          <cell r="A23">
            <v>18</v>
          </cell>
          <cell r="B23">
            <v>1.7610354015857719</v>
          </cell>
          <cell r="C23">
            <v>1.6586726613798581</v>
          </cell>
          <cell r="D23">
            <v>1.5284502279130001</v>
          </cell>
          <cell r="E23">
            <v>1.0411162583369884</v>
          </cell>
          <cell r="F23">
            <v>0.91048128387933969</v>
          </cell>
          <cell r="G23">
            <v>1.0614064861740238</v>
          </cell>
          <cell r="H23">
            <v>1.0661553680987303</v>
          </cell>
          <cell r="I23">
            <v>2.2555633361270462</v>
          </cell>
          <cell r="J23">
            <v>0.97166616436777398</v>
          </cell>
          <cell r="K23">
            <v>0.68008296533793333</v>
          </cell>
          <cell r="L23">
            <v>0.97915727001717823</v>
          </cell>
          <cell r="M23">
            <v>1.0544330861766569</v>
          </cell>
          <cell r="N23">
            <v>0.98271635630123111</v>
          </cell>
          <cell r="O23">
            <v>0.98168351625898809</v>
          </cell>
        </row>
        <row r="24">
          <cell r="A24">
            <v>19</v>
          </cell>
          <cell r="B24">
            <v>1.8148547146119425</v>
          </cell>
          <cell r="C24">
            <v>1.7099082078012076</v>
          </cell>
          <cell r="D24">
            <v>1.5755116307444545</v>
          </cell>
          <cell r="E24">
            <v>1.074964523055544</v>
          </cell>
          <cell r="F24">
            <v>0.94029096915681543</v>
          </cell>
          <cell r="G24">
            <v>1.0956750017839254</v>
          </cell>
          <cell r="H24">
            <v>1.1006931226791203</v>
          </cell>
          <cell r="I24">
            <v>2.3227675934041119</v>
          </cell>
          <cell r="J24">
            <v>1.0032882607799998</v>
          </cell>
          <cell r="K24">
            <v>0.70414600649367276</v>
          </cell>
          <cell r="L24">
            <v>1.0110193872151234</v>
          </cell>
          <cell r="M24">
            <v>1.0883305381517641</v>
          </cell>
          <cell r="N24">
            <v>1.0146076189510793</v>
          </cell>
          <cell r="O24">
            <v>1.0136625167244415</v>
          </cell>
        </row>
        <row r="25">
          <cell r="A25">
            <v>20</v>
          </cell>
          <cell r="B25">
            <v>1.8657861552269326</v>
          </cell>
          <cell r="C25">
            <v>1.7583803226173902</v>
          </cell>
          <cell r="D25">
            <v>1.6202056461900853</v>
          </cell>
          <cell r="E25">
            <v>1.1073572158167395</v>
          </cell>
          <cell r="F25">
            <v>0.96896730369728279</v>
          </cell>
          <cell r="G25">
            <v>1.1284609017702238</v>
          </cell>
          <cell r="H25">
            <v>1.1337588671292516</v>
          </cell>
          <cell r="I25">
            <v>2.3860694924692738</v>
          </cell>
          <cell r="J25">
            <v>1.0335882519502015</v>
          </cell>
          <cell r="K25">
            <v>0.727343035393752</v>
          </cell>
          <cell r="L25">
            <v>1.0416109867722172</v>
          </cell>
          <cell r="M25">
            <v>1.1207940813941168</v>
          </cell>
          <cell r="N25">
            <v>1.0451969533838172</v>
          </cell>
          <cell r="O25">
            <v>1.04434206807192</v>
          </cell>
        </row>
        <row r="26">
          <cell r="A26">
            <v>21</v>
          </cell>
          <cell r="B26">
            <v>1.9162352740555839</v>
          </cell>
          <cell r="C26">
            <v>1.8043982906931921</v>
          </cell>
          <cell r="D26">
            <v>1.6627875859602734</v>
          </cell>
          <cell r="E26">
            <v>1.138106759184468</v>
          </cell>
          <cell r="F26">
            <v>0.99629776123280789</v>
          </cell>
          <cell r="G26">
            <v>1.1596174992837931</v>
          </cell>
          <cell r="H26">
            <v>1.1650599948901643</v>
          </cell>
          <cell r="I26">
            <v>2.4461129034688258</v>
          </cell>
          <cell r="J26">
            <v>1.0626452768113777</v>
          </cell>
          <cell r="K26">
            <v>0.74975575101031389</v>
          </cell>
          <cell r="L26">
            <v>1.070639110457738</v>
          </cell>
          <cell r="M26">
            <v>1.1519535006650474</v>
          </cell>
          <cell r="N26">
            <v>1.0743918884034345</v>
          </cell>
          <cell r="O26">
            <v>1.0734731644129254</v>
          </cell>
        </row>
        <row r="27">
          <cell r="A27">
            <v>22</v>
          </cell>
          <cell r="B27">
            <v>1.9657703007735676</v>
          </cell>
          <cell r="C27">
            <v>1.847650547117198</v>
          </cell>
          <cell r="D27">
            <v>1.7028181487965612</v>
          </cell>
          <cell r="E27">
            <v>1.1670833915399825</v>
          </cell>
          <cell r="F27">
            <v>1.0220689858356271</v>
          </cell>
          <cell r="G27">
            <v>1.1889703813178893</v>
          </cell>
          <cell r="H27">
            <v>1.1945499187839814</v>
          </cell>
          <cell r="I27">
            <v>2.5024519675845331</v>
          </cell>
          <cell r="J27">
            <v>1.0900351973338134</v>
          </cell>
          <cell r="K27">
            <v>0.77095192833196313</v>
          </cell>
          <cell r="L27">
            <v>1.0979985439245323</v>
          </cell>
          <cell r="M27">
            <v>1.181312176295334</v>
          </cell>
          <cell r="N27">
            <v>1.1019081778651678</v>
          </cell>
          <cell r="O27">
            <v>1.1009299119291605</v>
          </cell>
        </row>
        <row r="28">
          <cell r="A28">
            <v>23</v>
          </cell>
          <cell r="B28">
            <v>2.0145143975554971</v>
          </cell>
          <cell r="C28">
            <v>1.8883089751674769</v>
          </cell>
          <cell r="D28">
            <v>1.7404553919941876</v>
          </cell>
          <cell r="E28">
            <v>1.194392441465582</v>
          </cell>
          <cell r="F28">
            <v>1.0463724975583979</v>
          </cell>
          <cell r="G28">
            <v>1.2166272003827727</v>
          </cell>
          <cell r="H28">
            <v>1.2223366793354011</v>
          </cell>
          <cell r="I28">
            <v>2.5553230830430724</v>
          </cell>
          <cell r="J28">
            <v>1.1158565025878135</v>
          </cell>
          <cell r="K28">
            <v>0.79099874536123882</v>
          </cell>
          <cell r="L28">
            <v>1.1237880894142331</v>
          </cell>
          <cell r="M28">
            <v>1.2089773732075058</v>
          </cell>
          <cell r="N28">
            <v>1.1278452381845372</v>
          </cell>
          <cell r="O28">
            <v>1.1268114302942234</v>
          </cell>
        </row>
        <row r="29">
          <cell r="A29">
            <v>24</v>
          </cell>
          <cell r="B29">
            <v>2.0625835049532233</v>
          </cell>
          <cell r="C29">
            <v>1.9265344102351851</v>
          </cell>
          <cell r="D29">
            <v>1.7758472452080891</v>
          </cell>
          <cell r="E29">
            <v>1.2201327706815861</v>
          </cell>
          <cell r="F29">
            <v>1.0692942701753589</v>
          </cell>
          <cell r="G29">
            <v>1.2426889671784793</v>
          </cell>
          <cell r="H29">
            <v>1.2485216551517335</v>
          </cell>
          <cell r="I29">
            <v>2.604947067411906</v>
          </cell>
          <cell r="J29">
            <v>1.1402016708743992</v>
          </cell>
          <cell r="K29">
            <v>0.80995958856310823</v>
          </cell>
          <cell r="L29">
            <v>1.1481005048654835</v>
          </cell>
          <cell r="M29">
            <v>1.2350497520988284</v>
          </cell>
          <cell r="N29">
            <v>1.1522964022806614</v>
          </cell>
          <cell r="O29">
            <v>1.151210776614134</v>
          </cell>
        </row>
        <row r="30">
          <cell r="A30">
            <v>25</v>
          </cell>
          <cell r="B30">
            <v>2.1100869000224938</v>
          </cell>
          <cell r="C30">
            <v>1.9624773727742</v>
          </cell>
          <cell r="D30">
            <v>1.8091321804438134</v>
          </cell>
          <cell r="E30">
            <v>1.2443971847672215</v>
          </cell>
          <cell r="F30">
            <v>1.0909150788340454</v>
          </cell>
          <cell r="G30">
            <v>1.2672504744669015</v>
          </cell>
          <cell r="H30">
            <v>1.2731999878370976</v>
          </cell>
          <cell r="I30">
            <v>2.6515302145800752</v>
          </cell>
          <cell r="J30">
            <v>1.1631575491924275</v>
          </cell>
          <cell r="K30">
            <v>0.827894272618938</v>
          </cell>
          <cell r="L30">
            <v>1.1710228864152958</v>
          </cell>
          <cell r="M30">
            <v>1.2596237900545721</v>
          </cell>
          <cell r="N30">
            <v>1.1753493046607382</v>
          </cell>
          <cell r="O30">
            <v>1.1742153290112725</v>
          </cell>
        </row>
        <row r="31">
          <cell r="A31">
            <v>26</v>
          </cell>
          <cell r="B31">
            <v>2.1571277147722547</v>
          </cell>
          <cell r="C31">
            <v>1.9962787512452995</v>
          </cell>
          <cell r="D31">
            <v>1.8404398364499031</v>
          </cell>
          <cell r="E31">
            <v>1.2672728169313994</v>
          </cell>
          <cell r="F31">
            <v>1.1113108251765091</v>
          </cell>
          <cell r="G31">
            <v>1.2904006930061471</v>
          </cell>
          <cell r="H31">
            <v>1.2964609789148749</v>
          </cell>
          <cell r="I31">
            <v>2.6952652782624571</v>
          </cell>
          <cell r="J31">
            <v>1.1848057079461176</v>
          </cell>
          <cell r="K31">
            <v>0.84485924704765558</v>
          </cell>
          <cell r="L31">
            <v>1.1926370258864452</v>
          </cell>
          <cell r="M31">
            <v>1.2827881734906663</v>
          </cell>
          <cell r="N31">
            <v>1.1970862413153247</v>
          </cell>
          <cell r="O31">
            <v>1.1959071451280503</v>
          </cell>
        </row>
        <row r="32">
          <cell r="A32">
            <v>27</v>
          </cell>
          <cell r="B32">
            <v>2.2038034178742354</v>
          </cell>
          <cell r="C32">
            <v>2.0280704385472101</v>
          </cell>
          <cell r="D32">
            <v>1.8698916006899502</v>
          </cell>
          <cell r="E32">
            <v>1.2888414866545999</v>
          </cell>
          <cell r="F32">
            <v>1.1305528414359585</v>
          </cell>
          <cell r="G32">
            <v>1.3122231414425056</v>
          </cell>
          <cell r="H32">
            <v>1.3183884606565495</v>
          </cell>
          <cell r="I32">
            <v>2.7363323872366161</v>
          </cell>
          <cell r="J32">
            <v>1.2052227725579079</v>
          </cell>
          <cell r="K32">
            <v>0.8609077905054624</v>
          </cell>
          <cell r="L32">
            <v>1.2130197449462763</v>
          </cell>
          <cell r="M32">
            <v>1.3046261652998739</v>
          </cell>
          <cell r="N32">
            <v>1.2175845061219779</v>
          </cell>
          <cell r="O32">
            <v>1.216363297239889</v>
          </cell>
        </row>
        <row r="33">
          <cell r="A33">
            <v>28</v>
          </cell>
          <cell r="B33">
            <v>2.2502062623540215</v>
          </cell>
          <cell r="C33">
            <v>2.057975925178364</v>
          </cell>
          <cell r="D33">
            <v>1.8976011518467375</v>
          </cell>
          <cell r="E33">
            <v>1.3091800348968798</v>
          </cell>
          <cell r="F33">
            <v>1.1487081749113319</v>
          </cell>
          <cell r="G33">
            <v>1.3327962319235951</v>
          </cell>
          <cell r="H33">
            <v>1.3390611425831649</v>
          </cell>
          <cell r="I33">
            <v>2.7748998971464252</v>
          </cell>
          <cell r="J33">
            <v>1.2244807335366601</v>
          </cell>
          <cell r="K33">
            <v>0.87609019352361028</v>
          </cell>
          <cell r="L33">
            <v>1.2322432075057992</v>
          </cell>
          <cell r="M33">
            <v>1.3252159479454984</v>
          </cell>
          <cell r="N33">
            <v>1.2369167053374512</v>
          </cell>
          <cell r="O33">
            <v>1.2356561855503156</v>
          </cell>
        </row>
        <row r="34">
          <cell r="A34">
            <v>29</v>
          </cell>
          <cell r="B34">
            <v>2.2964237017845441</v>
          </cell>
          <cell r="C34">
            <v>2.0861108521426424</v>
          </cell>
          <cell r="D34">
            <v>1.9236749656013794</v>
          </cell>
          <cell r="E34">
            <v>1.3283606374497428</v>
          </cell>
          <cell r="F34">
            <v>1.1658398541261894</v>
          </cell>
          <cell r="G34">
            <v>1.3521935930738471</v>
          </cell>
          <cell r="H34">
            <v>1.3585529352830694</v>
          </cell>
          <cell r="I34">
            <v>2.8111251833589614</v>
          </cell>
          <cell r="J34">
            <v>1.2426472364444479</v>
          </cell>
          <cell r="K34">
            <v>0.89045393039532605</v>
          </cell>
          <cell r="L34">
            <v>1.2503752118196798</v>
          </cell>
          <cell r="M34">
            <v>1.344630944125758</v>
          </cell>
          <cell r="N34">
            <v>1.2551510516495665</v>
          </cell>
          <cell r="O34">
            <v>1.2538538311324439</v>
          </cell>
        </row>
        <row r="35">
          <cell r="A35">
            <v>30</v>
          </cell>
          <cell r="B35">
            <v>2.3425387773174182</v>
          </cell>
          <cell r="C35">
            <v>2.112583526398454</v>
          </cell>
          <cell r="D35">
            <v>1.9482127862359451</v>
          </cell>
          <cell r="E35">
            <v>1.3464510979006257</v>
          </cell>
          <cell r="F35">
            <v>1.1820071378889083</v>
          </cell>
          <cell r="G35">
            <v>1.3704843718597333</v>
          </cell>
          <cell r="H35">
            <v>1.3769332530757454</v>
          </cell>
          <cell r="I35">
            <v>2.8451553790388133</v>
          </cell>
          <cell r="J35">
            <v>1.2597858531058801</v>
          </cell>
          <cell r="K35">
            <v>0.90404382087772805</v>
          </cell>
          <cell r="L35">
            <v>1.2674794636470827</v>
          </cell>
          <cell r="M35">
            <v>1.3629401165196064</v>
          </cell>
          <cell r="N35">
            <v>1.272351639158493</v>
          </cell>
          <cell r="O35">
            <v>1.2710201498802289</v>
          </cell>
        </row>
      </sheetData>
      <sheetData sheetId="49">
        <row r="5">
          <cell r="B5" t="str">
            <v>Res Space Heat</v>
          </cell>
          <cell r="C5" t="str">
            <v>Res Water Heat</v>
          </cell>
          <cell r="D5" t="str">
            <v xml:space="preserve">Commercial Space Heat </v>
          </cell>
          <cell r="E5" t="str">
            <v xml:space="preserve">Commercial Cooking </v>
          </cell>
          <cell r="F5" t="str">
            <v>Commercial Water Heat</v>
          </cell>
          <cell r="G5" t="str">
            <v xml:space="preserve">Flat </v>
          </cell>
        </row>
        <row r="6">
          <cell r="A6">
            <v>1</v>
          </cell>
          <cell r="B6">
            <v>0.41074318487668204</v>
          </cell>
          <cell r="C6">
            <v>0.26913875323620962</v>
          </cell>
          <cell r="D6">
            <v>0.41780212869357669</v>
          </cell>
          <cell r="E6">
            <v>0.27212458932811168</v>
          </cell>
          <cell r="F6">
            <v>0.27052047237268662</v>
          </cell>
          <cell r="G6">
            <v>0.27003926849774834</v>
          </cell>
        </row>
        <row r="7">
          <cell r="A7">
            <v>2</v>
          </cell>
          <cell r="B7">
            <v>0.87102762244502263</v>
          </cell>
          <cell r="C7">
            <v>0.60326377906830031</v>
          </cell>
          <cell r="D7">
            <v>0.88185273763350946</v>
          </cell>
          <cell r="E7">
            <v>0.60956698649151675</v>
          </cell>
          <cell r="F7">
            <v>0.60619492068899405</v>
          </cell>
          <cell r="G7">
            <v>0.6051646586874464</v>
          </cell>
        </row>
        <row r="8">
          <cell r="A8">
            <v>3</v>
          </cell>
          <cell r="B8">
            <v>1.3294824213099907</v>
          </cell>
          <cell r="C8">
            <v>0.94502284372357293</v>
          </cell>
          <cell r="D8">
            <v>1.3428926467549798</v>
          </cell>
          <cell r="E8">
            <v>0.95482363907071954</v>
          </cell>
          <cell r="F8">
            <v>0.94961953440521274</v>
          </cell>
          <cell r="G8">
            <v>0.9478045597793423</v>
          </cell>
        </row>
        <row r="9">
          <cell r="A9">
            <v>4</v>
          </cell>
          <cell r="B9">
            <v>1.7694882278878634</v>
          </cell>
          <cell r="C9">
            <v>1.2732139626643453</v>
          </cell>
          <cell r="D9">
            <v>1.7855685628991211</v>
          </cell>
          <cell r="E9">
            <v>1.2864278179737245</v>
          </cell>
          <cell r="F9">
            <v>1.2794462292038649</v>
          </cell>
          <cell r="G9">
            <v>1.2766764017913537</v>
          </cell>
        </row>
        <row r="10">
          <cell r="A10">
            <v>5</v>
          </cell>
          <cell r="B10">
            <v>2.3406483047182909</v>
          </cell>
          <cell r="C10">
            <v>1.6202732797458723</v>
          </cell>
          <cell r="D10">
            <v>2.3544172920904916</v>
          </cell>
          <cell r="E10">
            <v>1.6406769642212313</v>
          </cell>
          <cell r="F10">
            <v>1.6299040912495113</v>
          </cell>
          <cell r="G10">
            <v>1.6262391943609189</v>
          </cell>
        </row>
        <row r="11">
          <cell r="A11">
            <v>6</v>
          </cell>
          <cell r="B11">
            <v>2.9033544788196846</v>
          </cell>
          <cell r="C11">
            <v>1.9783561538153649</v>
          </cell>
          <cell r="D11">
            <v>2.9139024647670122</v>
          </cell>
          <cell r="E11">
            <v>2.0055878022893499</v>
          </cell>
          <cell r="F11">
            <v>1.9912190602819073</v>
          </cell>
          <cell r="G11">
            <v>1.9867385093990642</v>
          </cell>
        </row>
        <row r="12">
          <cell r="A12">
            <v>7</v>
          </cell>
          <cell r="B12">
            <v>3.4623500633560882</v>
          </cell>
          <cell r="C12">
            <v>2.3453058742964998</v>
          </cell>
          <cell r="D12">
            <v>3.4687020082501214</v>
          </cell>
          <cell r="E12">
            <v>2.3791935374224957</v>
          </cell>
          <cell r="F12">
            <v>2.3613226031459589</v>
          </cell>
          <cell r="G12">
            <v>2.3560990074096262</v>
          </cell>
        </row>
        <row r="13">
          <cell r="A13">
            <v>8</v>
          </cell>
          <cell r="B13">
            <v>4.0093679284081007</v>
          </cell>
          <cell r="C13">
            <v>2.7169118045989769</v>
          </cell>
          <cell r="D13">
            <v>4.0108948799907518</v>
          </cell>
          <cell r="E13">
            <v>2.7571131491323695</v>
          </cell>
          <cell r="F13">
            <v>2.7359239447555614</v>
          </cell>
          <cell r="G13">
            <v>2.7300237140161245</v>
          </cell>
        </row>
        <row r="14">
          <cell r="A14">
            <v>9</v>
          </cell>
          <cell r="B14">
            <v>4.5393091613896326</v>
          </cell>
          <cell r="C14">
            <v>3.0792277985661531</v>
          </cell>
          <cell r="D14">
            <v>4.5381379091347718</v>
          </cell>
          <cell r="E14">
            <v>3.1250428354637116</v>
          </cell>
          <cell r="F14">
            <v>3.100888237499599</v>
          </cell>
          <cell r="G14">
            <v>3.0944113008971561</v>
          </cell>
        </row>
        <row r="15">
          <cell r="A15">
            <v>10</v>
          </cell>
          <cell r="B15">
            <v>5.0450464277600915</v>
          </cell>
          <cell r="C15">
            <v>3.4280632963638427</v>
          </cell>
          <cell r="D15">
            <v>5.0413860880556722</v>
          </cell>
          <cell r="E15">
            <v>3.4792990812058315</v>
          </cell>
          <cell r="F15">
            <v>3.4522787686572762</v>
          </cell>
          <cell r="G15">
            <v>3.4451423244801318</v>
          </cell>
        </row>
        <row r="16">
          <cell r="A16">
            <v>11</v>
          </cell>
          <cell r="B16">
            <v>5.5218417415800092</v>
          </cell>
          <cell r="C16">
            <v>3.7562276802263161</v>
          </cell>
          <cell r="D16">
            <v>5.516365429162791</v>
          </cell>
          <cell r="E16">
            <v>3.8124911934660881</v>
          </cell>
          <cell r="F16">
            <v>3.7828174804037937</v>
          </cell>
          <cell r="G16">
            <v>3.774966922755489</v>
          </cell>
        </row>
        <row r="17">
          <cell r="A17">
            <v>12</v>
          </cell>
          <cell r="B17">
            <v>5.9801959892617278</v>
          </cell>
          <cell r="C17">
            <v>4.0748342684682148</v>
          </cell>
          <cell r="D17">
            <v>5.9726246046902025</v>
          </cell>
          <cell r="E17">
            <v>4.1358634470288473</v>
          </cell>
          <cell r="F17">
            <v>4.1036661753822097</v>
          </cell>
          <cell r="G17">
            <v>4.0952489909359713</v>
          </cell>
        </row>
        <row r="18">
          <cell r="A18">
            <v>13</v>
          </cell>
          <cell r="B18">
            <v>6.4121106415344773</v>
          </cell>
          <cell r="C18">
            <v>4.3735190265478288</v>
          </cell>
          <cell r="D18">
            <v>6.4032017768119136</v>
          </cell>
          <cell r="E18">
            <v>4.4390753387637671</v>
          </cell>
          <cell r="F18">
            <v>4.4044905687422942</v>
          </cell>
          <cell r="G18">
            <v>4.3939620971839668</v>
          </cell>
        </row>
        <row r="19">
          <cell r="A19">
            <v>14</v>
          </cell>
          <cell r="B19">
            <v>6.8231482882400503</v>
          </cell>
          <cell r="C19">
            <v>4.6612011248741876</v>
          </cell>
          <cell r="D19">
            <v>6.8129885503096501</v>
          </cell>
          <cell r="E19">
            <v>4.7309008163061579</v>
          </cell>
          <cell r="F19">
            <v>4.6941255752027642</v>
          </cell>
          <cell r="G19">
            <v>4.6830125774616791</v>
          </cell>
        </row>
        <row r="20">
          <cell r="A20">
            <v>15</v>
          </cell>
          <cell r="B20">
            <v>7.214407974727739</v>
          </cell>
          <cell r="C20">
            <v>4.936624671033373</v>
          </cell>
          <cell r="D20">
            <v>7.2032307245752607</v>
          </cell>
          <cell r="E20">
            <v>5.0102076714825561</v>
          </cell>
          <cell r="F20">
            <v>4.9713877884190882</v>
          </cell>
          <cell r="G20">
            <v>4.9596606079275052</v>
          </cell>
        </row>
        <row r="21">
          <cell r="A21">
            <v>16</v>
          </cell>
          <cell r="B21">
            <v>7.5831965583876171</v>
          </cell>
          <cell r="C21">
            <v>5.1964436521830626</v>
          </cell>
          <cell r="D21">
            <v>7.571295064905625</v>
          </cell>
          <cell r="E21">
            <v>5.2737447022474084</v>
          </cell>
          <cell r="F21">
            <v>5.2329739474867143</v>
          </cell>
          <cell r="G21">
            <v>5.2205783962025603</v>
          </cell>
        </row>
        <row r="22">
          <cell r="A22">
            <v>17</v>
          </cell>
          <cell r="B22">
            <v>7.936584325167769</v>
          </cell>
          <cell r="C22">
            <v>5.4455089506911474</v>
          </cell>
          <cell r="D22">
            <v>7.9241831287383873</v>
          </cell>
          <cell r="E22">
            <v>5.5262877947816245</v>
          </cell>
          <cell r="F22">
            <v>5.4836886977404635</v>
          </cell>
          <cell r="G22">
            <v>5.4707036054807601</v>
          </cell>
        </row>
        <row r="23">
          <cell r="A23">
            <v>18</v>
          </cell>
          <cell r="B23">
            <v>8.273893819205755</v>
          </cell>
          <cell r="C23">
            <v>5.6847674439614329</v>
          </cell>
          <cell r="D23">
            <v>8.2611806194871882</v>
          </cell>
          <cell r="E23">
            <v>5.7688711194665157</v>
          </cell>
          <cell r="F23">
            <v>5.7245317917130087</v>
          </cell>
          <cell r="G23">
            <v>5.7109238940987535</v>
          </cell>
        </row>
        <row r="24">
          <cell r="A24">
            <v>19</v>
          </cell>
          <cell r="B24">
            <v>8.5950749334873215</v>
          </cell>
          <cell r="C24">
            <v>5.9127061031975465</v>
          </cell>
          <cell r="D24">
            <v>8.5825581471538221</v>
          </cell>
          <cell r="E24">
            <v>5.9998968760969102</v>
          </cell>
          <cell r="F24">
            <v>5.9539434601876717</v>
          </cell>
          <cell r="G24">
            <v>5.9397313434132766</v>
          </cell>
        </row>
        <row r="25">
          <cell r="A25">
            <v>20</v>
          </cell>
          <cell r="B25">
            <v>8.9040325425654796</v>
          </cell>
          <cell r="C25">
            <v>6.1335718568642026</v>
          </cell>
          <cell r="D25">
            <v>8.891918175446575</v>
          </cell>
          <cell r="E25">
            <v>6.2236963302564572</v>
          </cell>
          <cell r="F25">
            <v>6.1762117317652683</v>
          </cell>
          <cell r="G25">
            <v>6.1613947311954433</v>
          </cell>
        </row>
        <row r="26">
          <cell r="A26">
            <v>21</v>
          </cell>
          <cell r="B26">
            <v>9.1964870524403679</v>
          </cell>
          <cell r="C26">
            <v>6.3433121716573506</v>
          </cell>
          <cell r="D26">
            <v>9.1847969727089733</v>
          </cell>
          <cell r="E26">
            <v>6.4361912155029088</v>
          </cell>
          <cell r="F26">
            <v>6.3872693002142409</v>
          </cell>
          <cell r="G26">
            <v>6.371877155033733</v>
          </cell>
        </row>
        <row r="27">
          <cell r="A27">
            <v>22</v>
          </cell>
          <cell r="B27">
            <v>9.4757505871769876</v>
          </cell>
          <cell r="C27">
            <v>6.5429572800545284</v>
          </cell>
          <cell r="D27">
            <v>9.4644252953955625</v>
          </cell>
          <cell r="E27">
            <v>6.6384878350463792</v>
          </cell>
          <cell r="F27">
            <v>6.5881820285465862</v>
          </cell>
          <cell r="G27">
            <v>6.572243015809538</v>
          </cell>
        </row>
        <row r="28">
          <cell r="A28">
            <v>23</v>
          </cell>
          <cell r="B28">
            <v>9.7400982996828382</v>
          </cell>
          <cell r="C28">
            <v>6.7325466826044105</v>
          </cell>
          <cell r="D28">
            <v>9.7291574966866978</v>
          </cell>
          <cell r="E28">
            <v>6.830566858161534</v>
          </cell>
          <cell r="F28">
            <v>6.7789619920970736</v>
          </cell>
          <cell r="G28">
            <v>6.7625029986128506</v>
          </cell>
        </row>
        <row r="29">
          <cell r="A29">
            <v>24</v>
          </cell>
          <cell r="B29">
            <v>9.9903493279300335</v>
          </cell>
          <cell r="C29">
            <v>6.9125921441968217</v>
          </cell>
          <cell r="D29">
            <v>9.9798090227852647</v>
          </cell>
          <cell r="E29">
            <v>7.0129502904066801</v>
          </cell>
          <cell r="F29">
            <v>6.9601258106264412</v>
          </cell>
          <cell r="G29">
            <v>6.9431724013111857</v>
          </cell>
        </row>
        <row r="30">
          <cell r="A30">
            <v>25</v>
          </cell>
          <cell r="B30">
            <v>10.227276328726633</v>
          </cell>
          <cell r="C30">
            <v>7.0835790115571218</v>
          </cell>
          <cell r="D30">
            <v>10.217149217275036</v>
          </cell>
          <cell r="E30">
            <v>7.186133050625827</v>
          </cell>
          <cell r="F30">
            <v>7.1321633698901721</v>
          </cell>
          <cell r="G30">
            <v>7.1147398527578405</v>
          </cell>
        </row>
        <row r="31">
          <cell r="A31">
            <v>26</v>
          </cell>
          <cell r="B31">
            <v>10.451608212166695</v>
          </cell>
          <cell r="C31">
            <v>7.2459676030633675</v>
          </cell>
          <cell r="D31">
            <v>10.441904022702543</v>
          </cell>
          <cell r="E31">
            <v>7.3505844055787524</v>
          </cell>
          <cell r="F31">
            <v>7.2955392325663295</v>
          </cell>
          <cell r="G31">
            <v>7.2776687205244404</v>
          </cell>
        </row>
        <row r="32">
          <cell r="A32">
            <v>27</v>
          </cell>
          <cell r="B32">
            <v>10.665767881854553</v>
          </cell>
          <cell r="C32">
            <v>7.4005291641034647</v>
          </cell>
          <cell r="D32">
            <v>10.656437952153949</v>
          </cell>
          <cell r="E32">
            <v>7.5071306610602209</v>
          </cell>
          <cell r="F32">
            <v>7.4510504376588758</v>
          </cell>
          <cell r="G32">
            <v>7.4327549072660615</v>
          </cell>
        </row>
        <row r="33">
          <cell r="A33">
            <v>28</v>
          </cell>
          <cell r="B33">
            <v>10.868543577351977</v>
          </cell>
          <cell r="C33">
            <v>7.547318976553095</v>
          </cell>
          <cell r="D33">
            <v>10.859596652226223</v>
          </cell>
          <cell r="E33">
            <v>7.6557848496171657</v>
          </cell>
          <cell r="F33">
            <v>7.5987325760414022</v>
          </cell>
          <cell r="G33">
            <v>7.5800329233761419</v>
          </cell>
        </row>
        <row r="34">
          <cell r="A34">
            <v>29</v>
          </cell>
          <cell r="B34">
            <v>11.060556842362123</v>
          </cell>
          <cell r="C34">
            <v>7.6867316360689486</v>
          </cell>
          <cell r="D34">
            <v>11.051999272548919</v>
          </cell>
          <cell r="E34">
            <v>7.7969491277948864</v>
          </cell>
          <cell r="F34">
            <v>7.7389838304793583</v>
          </cell>
          <cell r="G34">
            <v>7.7198999242619113</v>
          </cell>
        </row>
        <row r="35">
          <cell r="A35">
            <v>30</v>
          </cell>
          <cell r="B35">
            <v>11.242394187140158</v>
          </cell>
          <cell r="C35">
            <v>7.8191414337507537</v>
          </cell>
          <cell r="D35">
            <v>11.234230189125816</v>
          </cell>
          <cell r="E35">
            <v>7.9310048567931215</v>
          </cell>
          <cell r="F35">
            <v>7.8721818471745779</v>
          </cell>
          <cell r="G35">
            <v>7.8527325792771734</v>
          </cell>
        </row>
      </sheetData>
      <sheetData sheetId="50">
        <row r="5">
          <cell r="B5" t="str">
            <v>Res Space Heat</v>
          </cell>
          <cell r="C5" t="str">
            <v>Res WH</v>
          </cell>
          <cell r="D5" t="str">
            <v>Commercial SH</v>
          </cell>
          <cell r="E5" t="str">
            <v>Commercial Ck</v>
          </cell>
          <cell r="F5" t="str">
            <v>Commercial WH</v>
          </cell>
          <cell r="G5" t="str">
            <v xml:space="preserve">Flat </v>
          </cell>
        </row>
        <row r="6">
          <cell r="A6">
            <v>1</v>
          </cell>
          <cell r="B6">
            <v>0.67333813423547728</v>
          </cell>
          <cell r="C6">
            <v>0.57183626323469838</v>
          </cell>
          <cell r="D6">
            <v>0.70500290377775132</v>
          </cell>
          <cell r="E6">
            <v>0.57803593647223761</v>
          </cell>
          <cell r="F6">
            <v>0.57488617269156317</v>
          </cell>
          <cell r="G6">
            <v>0.5726021949560326</v>
          </cell>
        </row>
        <row r="7">
          <cell r="A7">
            <v>2</v>
          </cell>
          <cell r="B7">
            <v>1.3318154925115802</v>
          </cell>
          <cell r="C7">
            <v>1.1273757871950765</v>
          </cell>
          <cell r="D7">
            <v>1.3959823943097487</v>
          </cell>
          <cell r="E7">
            <v>1.1399116325391441</v>
          </cell>
          <cell r="F7">
            <v>1.1335437493117737</v>
          </cell>
          <cell r="G7">
            <v>1.1289485203800893</v>
          </cell>
        </row>
        <row r="8">
          <cell r="A8">
            <v>3</v>
          </cell>
          <cell r="B8">
            <v>1.9689727616633366</v>
          </cell>
          <cell r="C8">
            <v>1.6634298318229501</v>
          </cell>
          <cell r="D8">
            <v>2.0448680486800472</v>
          </cell>
          <cell r="E8">
            <v>1.6818667482665066</v>
          </cell>
          <cell r="F8">
            <v>1.6725032038723378</v>
          </cell>
          <cell r="G8">
            <v>1.665606185318337</v>
          </cell>
        </row>
        <row r="9">
          <cell r="A9">
            <v>4</v>
          </cell>
          <cell r="B9">
            <v>2.5752201512114601</v>
          </cell>
          <cell r="C9">
            <v>2.1777949764956928</v>
          </cell>
          <cell r="D9">
            <v>2.680824989498654</v>
          </cell>
          <cell r="E9">
            <v>2.2016390199760316</v>
          </cell>
          <cell r="F9">
            <v>2.189527801358703</v>
          </cell>
          <cell r="G9">
            <v>2.1806095303545034</v>
          </cell>
        </row>
        <row r="10">
          <cell r="A10">
            <v>5</v>
          </cell>
          <cell r="B10">
            <v>3.1746854031946641</v>
          </cell>
          <cell r="C10">
            <v>2.6886080552881442</v>
          </cell>
          <cell r="D10">
            <v>3.3083537769876843</v>
          </cell>
          <cell r="E10">
            <v>2.7174868645373635</v>
          </cell>
          <cell r="F10">
            <v>2.7028207348635762</v>
          </cell>
          <cell r="G10">
            <v>2.6918961588590293</v>
          </cell>
        </row>
        <row r="11">
          <cell r="A11">
            <v>6</v>
          </cell>
          <cell r="B11">
            <v>3.7649810619061581</v>
          </cell>
          <cell r="C11">
            <v>3.1935134317952651</v>
          </cell>
          <cell r="D11">
            <v>3.925146822222529</v>
          </cell>
          <cell r="E11">
            <v>3.2270800892231732</v>
          </cell>
          <cell r="F11">
            <v>3.2100383510181194</v>
          </cell>
          <cell r="G11">
            <v>3.1971315259392399</v>
          </cell>
        </row>
        <row r="12">
          <cell r="A12">
            <v>7</v>
          </cell>
          <cell r="B12">
            <v>4.3456542967805998</v>
          </cell>
          <cell r="C12">
            <v>3.6911486112482166</v>
          </cell>
          <cell r="D12">
            <v>4.531206595547201</v>
          </cell>
          <cell r="E12">
            <v>3.7291658458360453</v>
          </cell>
          <cell r="F12">
            <v>3.7098706156264889</v>
          </cell>
          <cell r="G12">
            <v>3.6950088943391903</v>
          </cell>
        </row>
        <row r="13">
          <cell r="A13">
            <v>8</v>
          </cell>
          <cell r="B13">
            <v>4.8987091406129526</v>
          </cell>
          <cell r="C13">
            <v>4.1654670935899771</v>
          </cell>
          <cell r="D13">
            <v>5.1083328565369852</v>
          </cell>
          <cell r="E13">
            <v>4.2077043481741097</v>
          </cell>
          <cell r="F13">
            <v>4.1862723655763014</v>
          </cell>
          <cell r="G13">
            <v>4.1695570192744666</v>
          </cell>
        </row>
        <row r="14">
          <cell r="A14">
            <v>9</v>
          </cell>
          <cell r="B14">
            <v>5.4365295660323607</v>
          </cell>
          <cell r="C14">
            <v>4.628630007135059</v>
          </cell>
          <cell r="D14">
            <v>5.6689777063579445</v>
          </cell>
          <cell r="E14">
            <v>4.6748686684182328</v>
          </cell>
          <cell r="F14">
            <v>4.6514106253732352</v>
          </cell>
          <cell r="G14">
            <v>4.6329376788999355</v>
          </cell>
        </row>
        <row r="15">
          <cell r="A15">
            <v>10</v>
          </cell>
          <cell r="B15">
            <v>5.9773310301200295</v>
          </cell>
          <cell r="C15">
            <v>5.0986415089366623</v>
          </cell>
          <cell r="D15">
            <v>6.2314212013906083</v>
          </cell>
          <cell r="E15">
            <v>5.1486742888140267</v>
          </cell>
          <cell r="F15">
            <v>5.1232951428160494</v>
          </cell>
          <cell r="G15">
            <v>5.1031556463801673</v>
          </cell>
        </row>
        <row r="16">
          <cell r="A16">
            <v>11</v>
          </cell>
          <cell r="B16">
            <v>6.5164294105681506</v>
          </cell>
          <cell r="C16">
            <v>5.5706171225320125</v>
          </cell>
          <cell r="D16">
            <v>6.79104047184242</v>
          </cell>
          <cell r="E16">
            <v>5.6242474711825938</v>
          </cell>
          <cell r="F16">
            <v>5.5970467425651851</v>
          </cell>
          <cell r="G16">
            <v>5.5753270296663491</v>
          </cell>
        </row>
        <row r="17">
          <cell r="A17">
            <v>12</v>
          </cell>
          <cell r="B17">
            <v>7.0195405110954665</v>
          </cell>
          <cell r="C17">
            <v>6.0100826762152249</v>
          </cell>
          <cell r="D17">
            <v>7.3136094004357828</v>
          </cell>
          <cell r="E17">
            <v>6.0671242255186826</v>
          </cell>
          <cell r="F17">
            <v>6.038196279419191</v>
          </cell>
          <cell r="G17">
            <v>6.0149782114900709</v>
          </cell>
        </row>
        <row r="18">
          <cell r="A18">
            <v>13</v>
          </cell>
          <cell r="B18">
            <v>7.443217236961976</v>
          </cell>
          <cell r="C18">
            <v>6.3734109411425983</v>
          </cell>
          <cell r="D18">
            <v>7.7557359625721345</v>
          </cell>
          <cell r="E18">
            <v>6.4336869771181826</v>
          </cell>
          <cell r="F18">
            <v>6.4031212906463466</v>
          </cell>
          <cell r="G18">
            <v>6.3769408211871115</v>
          </cell>
        </row>
        <row r="19">
          <cell r="A19">
            <v>14</v>
          </cell>
          <cell r="B19">
            <v>7.8510384513479297</v>
          </cell>
          <cell r="C19">
            <v>6.7240099794180725</v>
          </cell>
          <cell r="D19">
            <v>8.1810512401068145</v>
          </cell>
          <cell r="E19">
            <v>6.7873529431504362</v>
          </cell>
          <cell r="F19">
            <v>6.7552343575594493</v>
          </cell>
          <cell r="G19">
            <v>6.7277067536894677</v>
          </cell>
        </row>
        <row r="20">
          <cell r="A20">
            <v>15</v>
          </cell>
          <cell r="B20">
            <v>8.2446672446397109</v>
          </cell>
          <cell r="C20">
            <v>7.0633809277384474</v>
          </cell>
          <cell r="D20">
            <v>8.5912678361984085</v>
          </cell>
          <cell r="E20">
            <v>7.129631940523474</v>
          </cell>
          <cell r="F20">
            <v>7.0960409019515804</v>
          </cell>
          <cell r="G20">
            <v>7.0672359503977491</v>
          </cell>
        </row>
        <row r="21">
          <cell r="A21">
            <v>16</v>
          </cell>
          <cell r="B21">
            <v>8.6170329213525552</v>
          </cell>
          <cell r="C21">
            <v>7.3842995266457567</v>
          </cell>
          <cell r="D21">
            <v>8.9793620030664023</v>
          </cell>
          <cell r="E21">
            <v>7.4533079402354119</v>
          </cell>
          <cell r="F21">
            <v>7.41832072747642</v>
          </cell>
          <cell r="G21">
            <v>7.3883045998201169</v>
          </cell>
        </row>
        <row r="22">
          <cell r="A22">
            <v>17</v>
          </cell>
          <cell r="B22">
            <v>8.9785128074121552</v>
          </cell>
          <cell r="C22">
            <v>7.6969974935280847</v>
          </cell>
          <cell r="D22">
            <v>9.3557555824923941</v>
          </cell>
          <cell r="E22">
            <v>7.7686204639316374</v>
          </cell>
          <cell r="F22">
            <v>7.7323094041487295</v>
          </cell>
          <cell r="G22">
            <v>7.7011448439335792</v>
          </cell>
        </row>
        <row r="23">
          <cell r="A23">
            <v>18</v>
          </cell>
          <cell r="B23">
            <v>9.3266304519945802</v>
          </cell>
          <cell r="C23">
            <v>7.9988603119495449</v>
          </cell>
          <cell r="D23">
            <v>9.718014333251741</v>
          </cell>
          <cell r="E23">
            <v>8.0729623950195553</v>
          </cell>
          <cell r="F23">
            <v>8.0353960685782653</v>
          </cell>
          <cell r="G23">
            <v>8.0031425690189781</v>
          </cell>
        </row>
        <row r="24">
          <cell r="A24">
            <v>19</v>
          </cell>
          <cell r="B24">
            <v>9.6685267419942811</v>
          </cell>
          <cell r="C24">
            <v>8.2968979556528257</v>
          </cell>
          <cell r="D24">
            <v>10.073319165342008</v>
          </cell>
          <cell r="E24">
            <v>8.3733507238394012</v>
          </cell>
          <cell r="F24">
            <v>8.334594158311404</v>
          </cell>
          <cell r="G24">
            <v>8.3013081305785459</v>
          </cell>
        </row>
        <row r="25">
          <cell r="A25">
            <v>20</v>
          </cell>
          <cell r="B25">
            <v>9.9926946793819234</v>
          </cell>
          <cell r="C25">
            <v>8.5794792950258216</v>
          </cell>
          <cell r="D25">
            <v>10.410201030243831</v>
          </cell>
          <cell r="E25">
            <v>8.6581609737068295</v>
          </cell>
          <cell r="F25">
            <v>8.6182758281012433</v>
          </cell>
          <cell r="G25">
            <v>8.584010761165878</v>
          </cell>
        </row>
        <row r="26">
          <cell r="A26">
            <v>21</v>
          </cell>
          <cell r="B26">
            <v>10.30005392026904</v>
          </cell>
          <cell r="C26">
            <v>8.8474062852515019</v>
          </cell>
          <cell r="D26">
            <v>10.729615567802583</v>
          </cell>
          <cell r="E26">
            <v>8.9282014082033641</v>
          </cell>
          <cell r="F26">
            <v>8.8872461473530695</v>
          </cell>
          <cell r="G26">
            <v>8.8520527592497409</v>
          </cell>
        </row>
        <row r="27">
          <cell r="A27">
            <v>22</v>
          </cell>
          <cell r="B27">
            <v>10.591476384702293</v>
          </cell>
          <cell r="C27">
            <v>9.1014392428133668</v>
          </cell>
          <cell r="D27">
            <v>11.032468817701538</v>
          </cell>
          <cell r="E27">
            <v>9.1842383254115045</v>
          </cell>
          <cell r="F27">
            <v>9.142268385443888</v>
          </cell>
          <cell r="G27">
            <v>9.1061947668158929</v>
          </cell>
        </row>
        <row r="28">
          <cell r="A28">
            <v>23</v>
          </cell>
          <cell r="B28">
            <v>10.867788736643449</v>
          </cell>
          <cell r="C28">
            <v>9.3422990096081993</v>
          </cell>
          <cell r="D28">
            <v>11.319619796009341</v>
          </cell>
          <cell r="E28">
            <v>9.4269982389569709</v>
          </cell>
          <cell r="F28">
            <v>9.3840661841926316</v>
          </cell>
          <cell r="G28">
            <v>9.3471579344010998</v>
          </cell>
        </row>
        <row r="29">
          <cell r="A29">
            <v>24</v>
          </cell>
          <cell r="B29">
            <v>11.129774734947262</v>
          </cell>
          <cell r="C29">
            <v>9.5706690044198943</v>
          </cell>
          <cell r="D29">
            <v>11.591882937722788</v>
          </cell>
          <cell r="E29">
            <v>9.6571699455349922</v>
          </cell>
          <cell r="F29">
            <v>9.6133256172584982</v>
          </cell>
          <cell r="G29">
            <v>9.575625973440486</v>
          </cell>
        </row>
        <row r="30">
          <cell r="A30">
            <v>25</v>
          </cell>
          <cell r="B30">
            <v>11.378177462059771</v>
          </cell>
          <cell r="C30">
            <v>9.7871971676291452</v>
          </cell>
          <cell r="D30">
            <v>11.850030412286614</v>
          </cell>
          <cell r="E30">
            <v>9.875406484840898</v>
          </cell>
          <cell r="F30">
            <v>9.8306971423646274</v>
          </cell>
          <cell r="G30">
            <v>9.7922471018055042</v>
          </cell>
        </row>
        <row r="31">
          <cell r="A31">
            <v>26</v>
          </cell>
          <cell r="B31">
            <v>11.613701436808245</v>
          </cell>
          <cell r="C31">
            <v>9.9924978047265203</v>
          </cell>
          <cell r="D31">
            <v>12.094794318707244</v>
          </cell>
          <cell r="E31">
            <v>10.082326997515581</v>
          </cell>
          <cell r="F31">
            <v>10.036797451935914</v>
          </cell>
          <cell r="G31">
            <v>9.9976358881023799</v>
          </cell>
        </row>
        <row r="32">
          <cell r="A32">
            <v>27</v>
          </cell>
          <cell r="B32">
            <v>11.837014617321248</v>
          </cell>
          <cell r="C32">
            <v>10.187153333905226</v>
          </cell>
          <cell r="D32">
            <v>12.326868766531959</v>
          </cell>
          <cell r="E32">
            <v>10.278518486423001</v>
          </cell>
          <cell r="F32">
            <v>10.232211227447424</v>
          </cell>
          <cell r="G32">
            <v>10.192375000009566</v>
          </cell>
        </row>
        <row r="33">
          <cell r="A33">
            <v>28</v>
          </cell>
          <cell r="B33">
            <v>12.048750299801918</v>
          </cell>
          <cell r="C33">
            <v>10.371715942734038</v>
          </cell>
          <cell r="D33">
            <v>12.546911848637516</v>
          </cell>
          <cell r="E33">
            <v>10.464537486298932</v>
          </cell>
          <cell r="F33">
            <v>10.417492802502993</v>
          </cell>
          <cell r="G33">
            <v>10.377016861656783</v>
          </cell>
        </row>
        <row r="34">
          <cell r="A34">
            <v>29</v>
          </cell>
          <cell r="B34">
            <v>12.249508918578702</v>
          </cell>
          <cell r="C34">
            <v>10.54670915864944</v>
          </cell>
          <cell r="D34">
            <v>12.755547511461948</v>
          </cell>
          <cell r="E34">
            <v>10.640911646546709</v>
          </cell>
          <cell r="F34">
            <v>10.593167739401213</v>
          </cell>
          <cell r="G34">
            <v>10.552085224786676</v>
          </cell>
        </row>
        <row r="35">
          <cell r="A35">
            <v>30</v>
          </cell>
          <cell r="B35">
            <v>12.439859752574669</v>
          </cell>
          <cell r="C35">
            <v>10.712629337758347</v>
          </cell>
          <cell r="D35">
            <v>12.953367328019288</v>
          </cell>
          <cell r="E35">
            <v>10.808141231706198</v>
          </cell>
          <cell r="F35">
            <v>10.759734323697341</v>
          </cell>
          <cell r="G35">
            <v>10.718076658192391</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OSList"/>
      <sheetName val="CurrentMeasures"/>
      <sheetName val="CurrentMeasuresAutoUpdated"/>
      <sheetName val="Sheet3"/>
      <sheetName val="SpendingBreakout"/>
      <sheetName val="% Change"/>
      <sheetName val="Rollup"/>
      <sheetName val="18230687"/>
      <sheetName val="18230734"/>
      <sheetName val="18230680"/>
      <sheetName val="18230628 (18230634)"/>
      <sheetName val="18230634"/>
      <sheetName val="18230628 (18230501)"/>
      <sheetName val="18230501"/>
      <sheetName val="18230612"/>
      <sheetName val="18230625"/>
      <sheetName val="18230626"/>
      <sheetName val="18230627"/>
      <sheetName val="18230628"/>
      <sheetName val="18230635"/>
      <sheetName val="18230636"/>
      <sheetName val="18230637"/>
      <sheetName val="18230638"/>
      <sheetName val="18230486"/>
      <sheetName val="18230407"/>
      <sheetName val="18230673"/>
      <sheetName val="18230736"/>
      <sheetName val="18230405"/>
      <sheetName val="18230433"/>
      <sheetName val="18230442"/>
      <sheetName val="18230684"/>
      <sheetName val="18230409"/>
      <sheetName val="18230434"/>
      <sheetName val="18230434G"/>
      <sheetName val="Unused"/>
      <sheetName val="18230435"/>
      <sheetName val="18230440"/>
      <sheetName val="18230468"/>
      <sheetName val="18230700"/>
      <sheetName val="18230461"/>
      <sheetName val="18230629"/>
      <sheetName val="18230639"/>
      <sheetName val="18230738"/>
      <sheetName val="Sheet4"/>
      <sheetName val="18230611"/>
      <sheetName val="18230661"/>
      <sheetName val="luOrder"/>
      <sheetName val="LFCR"/>
      <sheetName val="E-CESTD"/>
      <sheetName val="E-CESTDWO"/>
      <sheetName val="G-CESTD"/>
      <sheetName val="G-CESTDWO"/>
      <sheetName val="zELECTRIC_Template"/>
      <sheetName val="zGAS_Template"/>
      <sheetName val="PLANNER-ELECTRIC"/>
      <sheetName val="PLANNER-GAS"/>
      <sheetName val="Rollup_Original"/>
      <sheetName val="SpendingBreakout_Original"/>
      <sheetName val="z18230653"/>
      <sheetName val="z18230671"/>
      <sheetName val="z18230675"/>
      <sheetName val="z18230685"/>
      <sheetName val="z18230686"/>
      <sheetName val="z18230704"/>
      <sheetName val="z18230621"/>
      <sheetName val="z18230602"/>
      <sheetName val="z18230610"/>
      <sheetName val="z18230487"/>
      <sheetName val="z18230483"/>
      <sheetName val="z18230482"/>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Comm Flat </v>
          </cell>
          <cell r="O5" t="str">
            <v>Comm Water Heat</v>
          </cell>
        </row>
        <row r="6">
          <cell r="A6">
            <v>1</v>
          </cell>
          <cell r="B6">
            <v>0.17001589674863504</v>
          </cell>
          <cell r="C6">
            <v>0.15913061319258609</v>
          </cell>
          <cell r="D6">
            <v>0.14698391037021163</v>
          </cell>
          <cell r="E6">
            <v>9.6481665203731276E-2</v>
          </cell>
          <cell r="F6">
            <v>8.39706486437585E-2</v>
          </cell>
          <cell r="G6">
            <v>9.8880520578477515E-2</v>
          </cell>
          <cell r="H6">
            <v>9.9132412697840649E-2</v>
          </cell>
          <cell r="I6">
            <v>0.2211860692227425</v>
          </cell>
          <cell r="J6">
            <v>8.9655317097104448E-2</v>
          </cell>
          <cell r="K6">
            <v>5.8215523339608409E-2</v>
          </cell>
          <cell r="L6">
            <v>9.0693248024027798E-2</v>
          </cell>
          <cell r="M6">
            <v>9.7700107805667763E-2</v>
          </cell>
          <cell r="N6">
            <v>9.0996656638561838E-2</v>
          </cell>
          <cell r="O6">
            <v>9.085809602708822E-2</v>
          </cell>
        </row>
        <row r="7">
          <cell r="A7">
            <v>2</v>
          </cell>
          <cell r="B7">
            <v>0.32999656710822745</v>
          </cell>
          <cell r="C7">
            <v>0.3089447092590531</v>
          </cell>
          <cell r="D7">
            <v>0.28540258315868455</v>
          </cell>
          <cell r="E7">
            <v>0.18786325579849411</v>
          </cell>
          <cell r="F7">
            <v>0.16358713303128047</v>
          </cell>
          <cell r="G7">
            <v>0.19245163088477932</v>
          </cell>
          <cell r="H7">
            <v>0.19296952817690904</v>
          </cell>
          <cell r="I7">
            <v>0.4286141974128358</v>
          </cell>
          <cell r="J7">
            <v>0.17453965579551398</v>
          </cell>
          <cell r="K7">
            <v>0.11388509228011065</v>
          </cell>
          <cell r="L7">
            <v>0.17665841644512931</v>
          </cell>
          <cell r="M7">
            <v>0.19017939491840674</v>
          </cell>
          <cell r="N7">
            <v>0.17715297488291121</v>
          </cell>
          <cell r="O7">
            <v>0.17696815065447224</v>
          </cell>
        </row>
        <row r="8">
          <cell r="A8">
            <v>3</v>
          </cell>
          <cell r="B8">
            <v>0.48111607485927854</v>
          </cell>
          <cell r="C8">
            <v>0.45051527769391164</v>
          </cell>
          <cell r="D8">
            <v>0.41631321687792211</v>
          </cell>
          <cell r="E8">
            <v>0.27449830194253938</v>
          </cell>
          <cell r="F8">
            <v>0.23917551867815662</v>
          </cell>
          <cell r="G8">
            <v>0.28113597717719385</v>
          </cell>
          <cell r="H8">
            <v>0.28185705854641185</v>
          </cell>
          <cell r="I8">
            <v>0.6241049213406622</v>
          </cell>
          <cell r="J8">
            <v>0.25511885973891202</v>
          </cell>
          <cell r="K8">
            <v>0.16688652169169108</v>
          </cell>
          <cell r="L8">
            <v>0.25811162342981953</v>
          </cell>
          <cell r="M8">
            <v>0.27782830950175669</v>
          </cell>
          <cell r="N8">
            <v>0.25886873789221909</v>
          </cell>
          <cell r="O8">
            <v>0.25858125383890185</v>
          </cell>
        </row>
        <row r="9">
          <cell r="A9">
            <v>4</v>
          </cell>
          <cell r="B9">
            <v>0.62241293975685097</v>
          </cell>
          <cell r="C9">
            <v>0.58307253283057114</v>
          </cell>
          <cell r="D9">
            <v>0.53875777350806675</v>
          </cell>
          <cell r="E9">
            <v>0.35609669231180224</v>
          </cell>
          <cell r="F9">
            <v>0.31049469979375627</v>
          </cell>
          <cell r="G9">
            <v>0.36462242878736806</v>
          </cell>
          <cell r="H9">
            <v>0.36558325043572348</v>
          </cell>
          <cell r="I9">
            <v>0.8066048596726223</v>
          </cell>
          <cell r="J9">
            <v>0.33111918722793354</v>
          </cell>
          <cell r="K9">
            <v>0.21757297375330767</v>
          </cell>
          <cell r="L9">
            <v>0.33489709747987273</v>
          </cell>
          <cell r="M9">
            <v>0.36044634106537066</v>
          </cell>
          <cell r="N9">
            <v>0.33590909440321587</v>
          </cell>
          <cell r="O9">
            <v>0.33551290288103935</v>
          </cell>
        </row>
        <row r="10">
          <cell r="A10">
            <v>5</v>
          </cell>
          <cell r="B10">
            <v>0.75626586318794053</v>
          </cell>
          <cell r="C10">
            <v>0.70878849810399536</v>
          </cell>
          <cell r="D10">
            <v>0.65488676292068226</v>
          </cell>
          <cell r="E10">
            <v>0.43425218061140736</v>
          </cell>
          <cell r="F10">
            <v>0.37893639761346504</v>
          </cell>
          <cell r="G10">
            <v>0.44450803400126787</v>
          </cell>
          <cell r="H10">
            <v>0.44574940452037132</v>
          </cell>
          <cell r="I10">
            <v>0.97919077000176524</v>
          </cell>
          <cell r="J10">
            <v>0.40415649479383053</v>
          </cell>
          <cell r="K10">
            <v>0.2677172724950731</v>
          </cell>
          <cell r="L10">
            <v>0.40858352139590637</v>
          </cell>
          <cell r="M10">
            <v>0.44006152474644306</v>
          </cell>
          <cell r="N10">
            <v>0.40986313763769266</v>
          </cell>
          <cell r="O10">
            <v>0.40934635626765814</v>
          </cell>
        </row>
        <row r="11">
          <cell r="A11">
            <v>6</v>
          </cell>
          <cell r="B11">
            <v>0.88387765181303091</v>
          </cell>
          <cell r="C11">
            <v>0.82879743921947124</v>
          </cell>
          <cell r="D11">
            <v>0.76571712672399994</v>
          </cell>
          <cell r="E11">
            <v>0.50942227399990447</v>
          </cell>
          <cell r="F11">
            <v>0.4448306664787135</v>
          </cell>
          <cell r="G11">
            <v>0.52127142549602667</v>
          </cell>
          <cell r="H11">
            <v>0.52274944761820508</v>
          </cell>
          <cell r="I11">
            <v>1.1432003523067462</v>
          </cell>
          <cell r="J11">
            <v>0.47440998164856013</v>
          </cell>
          <cell r="K11">
            <v>0.31620435475665426</v>
          </cell>
          <cell r="L11">
            <v>0.47934385404085822</v>
          </cell>
          <cell r="M11">
            <v>0.51632029514652689</v>
          </cell>
          <cell r="N11">
            <v>0.48094189079616778</v>
          </cell>
          <cell r="O11">
            <v>0.48027285935078323</v>
          </cell>
        </row>
        <row r="12">
          <cell r="A12">
            <v>7</v>
          </cell>
          <cell r="B12">
            <v>1.0046056769996614</v>
          </cell>
          <cell r="C12">
            <v>0.94252890474416828</v>
          </cell>
          <cell r="D12">
            <v>0.87050336987402099</v>
          </cell>
          <cell r="E12">
            <v>0.58100266499562236</v>
          </cell>
          <cell r="F12">
            <v>0.50747860595464001</v>
          </cell>
          <cell r="G12">
            <v>0.59421815567927361</v>
          </cell>
          <cell r="H12">
            <v>0.59599865496450111</v>
          </cell>
          <cell r="I12">
            <v>1.2974117166259145</v>
          </cell>
          <cell r="J12">
            <v>0.54109658480550282</v>
          </cell>
          <cell r="K12">
            <v>0.36271191560810134</v>
          </cell>
          <cell r="L12">
            <v>0.54663657679030198</v>
          </cell>
          <cell r="M12">
            <v>0.58850444418752335</v>
          </cell>
          <cell r="N12">
            <v>0.5484364993187858</v>
          </cell>
          <cell r="O12">
            <v>0.54772670351527608</v>
          </cell>
        </row>
        <row r="13">
          <cell r="A13">
            <v>8</v>
          </cell>
          <cell r="B13">
            <v>1.1184952770416381</v>
          </cell>
          <cell r="C13">
            <v>1.0499295007121696</v>
          </cell>
          <cell r="D13">
            <v>0.9695113298225071</v>
          </cell>
          <cell r="E13">
            <v>0.64922601194908425</v>
          </cell>
          <cell r="F13">
            <v>0.56729866427180908</v>
          </cell>
          <cell r="G13">
            <v>0.66366469770318959</v>
          </cell>
          <cell r="H13">
            <v>0.66584314205708228</v>
          </cell>
          <cell r="I13">
            <v>1.442524240409675</v>
          </cell>
          <cell r="J13">
            <v>0.60463417383115381</v>
          </cell>
          <cell r="K13">
            <v>0.40769321318602281</v>
          </cell>
          <cell r="L13">
            <v>0.6108919145319246</v>
          </cell>
          <cell r="M13">
            <v>0.6572949856596435</v>
          </cell>
          <cell r="N13">
            <v>0.61278141727680513</v>
          </cell>
          <cell r="O13">
            <v>0.6121244981899856</v>
          </cell>
        </row>
        <row r="14">
          <cell r="A14">
            <v>9</v>
          </cell>
          <cell r="B14">
            <v>1.2247918611166839</v>
          </cell>
          <cell r="C14">
            <v>1.1500594396284742</v>
          </cell>
          <cell r="D14">
            <v>1.0615903916577265</v>
          </cell>
          <cell r="E14">
            <v>0.71207440097316332</v>
          </cell>
          <cell r="F14">
            <v>0.62206840337212255</v>
          </cell>
          <cell r="G14">
            <v>0.72764958538781455</v>
          </cell>
          <cell r="H14">
            <v>0.73011479784613753</v>
          </cell>
          <cell r="I14">
            <v>1.5780390208737565</v>
          </cell>
          <cell r="J14">
            <v>0.66320461530587216</v>
          </cell>
          <cell r="K14">
            <v>0.44872844521921817</v>
          </cell>
          <cell r="L14">
            <v>0.66980810742928243</v>
          </cell>
          <cell r="M14">
            <v>0.72073049517837262</v>
          </cell>
          <cell r="N14">
            <v>0.67193552694167735</v>
          </cell>
          <cell r="O14">
            <v>0.67122969114930164</v>
          </cell>
        </row>
        <row r="15">
          <cell r="A15">
            <v>10</v>
          </cell>
          <cell r="B15">
            <v>1.3257293974063522</v>
          </cell>
          <cell r="C15">
            <v>1.2454638901234145</v>
          </cell>
          <cell r="D15">
            <v>1.149099150970941</v>
          </cell>
          <cell r="E15">
            <v>0.772479894449701</v>
          </cell>
          <cell r="F15">
            <v>0.67476225095455089</v>
          </cell>
          <cell r="G15">
            <v>0.78901900018792537</v>
          </cell>
          <cell r="H15">
            <v>0.79182507952665881</v>
          </cell>
          <cell r="I15">
            <v>1.7066251624364486</v>
          </cell>
          <cell r="J15">
            <v>0.71977584472983003</v>
          </cell>
          <cell r="K15">
            <v>0.48995003537318488</v>
          </cell>
          <cell r="L15">
            <v>0.7264851990938177</v>
          </cell>
          <cell r="M15">
            <v>0.7822748356026008</v>
          </cell>
          <cell r="N15">
            <v>0.72894926895830681</v>
          </cell>
          <cell r="O15">
            <v>0.72809481988883673</v>
          </cell>
        </row>
        <row r="16">
          <cell r="A16">
            <v>11</v>
          </cell>
          <cell r="B16">
            <v>1.4219626760591353</v>
          </cell>
          <cell r="C16">
            <v>1.3365242982817773</v>
          </cell>
          <cell r="D16">
            <v>1.2328592478610045</v>
          </cell>
          <cell r="E16">
            <v>0.83126121985200785</v>
          </cell>
          <cell r="F16">
            <v>0.72629922312996165</v>
          </cell>
          <cell r="G16">
            <v>0.84868805293017324</v>
          </cell>
          <cell r="H16">
            <v>0.85189513643564263</v>
          </cell>
          <cell r="I16">
            <v>1.8292667259247501</v>
          </cell>
          <cell r="J16">
            <v>0.77506615767170017</v>
          </cell>
          <cell r="K16">
            <v>0.53162104000865384</v>
          </cell>
          <cell r="L16">
            <v>0.78189541998549039</v>
          </cell>
          <cell r="M16">
            <v>0.84265391823745706</v>
          </cell>
          <cell r="N16">
            <v>0.78466914017683131</v>
          </cell>
          <cell r="O16">
            <v>0.78365983366006942</v>
          </cell>
        </row>
        <row r="17">
          <cell r="A17">
            <v>12</v>
          </cell>
          <cell r="B17">
            <v>1.5121220100670756</v>
          </cell>
          <cell r="C17">
            <v>1.4218901264422898</v>
          </cell>
          <cell r="D17">
            <v>1.3113053505679058</v>
          </cell>
          <cell r="E17">
            <v>0.8860019019665788</v>
          </cell>
          <cell r="F17">
            <v>0.7742680367674839</v>
          </cell>
          <cell r="G17">
            <v>0.90427871704200258</v>
          </cell>
          <cell r="H17">
            <v>0.90772095909595474</v>
          </cell>
          <cell r="I17">
            <v>1.9436656825465002</v>
          </cell>
          <cell r="J17">
            <v>0.82647331962497472</v>
          </cell>
          <cell r="K17">
            <v>0.56951828792603421</v>
          </cell>
          <cell r="L17">
            <v>0.83322232460072021</v>
          </cell>
          <cell r="M17">
            <v>0.8982540688274907</v>
          </cell>
          <cell r="N17">
            <v>0.8364176614385509</v>
          </cell>
          <cell r="O17">
            <v>0.83519906675976596</v>
          </cell>
        </row>
        <row r="18">
          <cell r="A18">
            <v>13</v>
          </cell>
          <cell r="B18">
            <v>1.5929955904009212</v>
          </cell>
          <cell r="C18">
            <v>1.4983004209632913</v>
          </cell>
          <cell r="D18">
            <v>1.3815017834360568</v>
          </cell>
          <cell r="E18">
            <v>0.93447745513284164</v>
          </cell>
          <cell r="F18">
            <v>0.8166034418964877</v>
          </cell>
          <cell r="G18">
            <v>0.9535511645658421</v>
          </cell>
          <cell r="H18">
            <v>0.95728550036082349</v>
          </cell>
          <cell r="I18">
            <v>2.0464754882234399</v>
          </cell>
          <cell r="J18">
            <v>0.87162068161810202</v>
          </cell>
          <cell r="K18">
            <v>0.60192106650651189</v>
          </cell>
          <cell r="L18">
            <v>0.87869585723191945</v>
          </cell>
          <cell r="M18">
            <v>0.94701675158496457</v>
          </cell>
          <cell r="N18">
            <v>0.88202724580610881</v>
          </cell>
          <cell r="O18">
            <v>0.88082882560718856</v>
          </cell>
        </row>
        <row r="19">
          <cell r="A19">
            <v>14</v>
          </cell>
          <cell r="B19">
            <v>1.6694893839003404</v>
          </cell>
          <cell r="C19">
            <v>1.5706408636224367</v>
          </cell>
          <cell r="D19">
            <v>1.4479516795187277</v>
          </cell>
          <cell r="E19">
            <v>0.98085606079710697</v>
          </cell>
          <cell r="F19">
            <v>0.85715408346236044</v>
          </cell>
          <cell r="G19">
            <v>1.0006377398502231</v>
          </cell>
          <cell r="H19">
            <v>1.0047625324323333</v>
          </cell>
          <cell r="I19">
            <v>2.1433292668779087</v>
          </cell>
          <cell r="J19">
            <v>0.9147830608957821</v>
          </cell>
          <cell r="K19">
            <v>0.63337342844473044</v>
          </cell>
          <cell r="L19">
            <v>0.92231071729975989</v>
          </cell>
          <cell r="M19">
            <v>0.99366109908510414</v>
          </cell>
          <cell r="N19">
            <v>0.92568058180012502</v>
          </cell>
          <cell r="O19">
            <v>0.92456512997418572</v>
          </cell>
        </row>
        <row r="20">
          <cell r="A20">
            <v>15</v>
          </cell>
          <cell r="B20">
            <v>1.742281829696477</v>
          </cell>
          <cell r="C20">
            <v>1.6395184291849785</v>
          </cell>
          <cell r="D20">
            <v>1.5113319986628126</v>
          </cell>
          <cell r="E20">
            <v>1.0250515210594204</v>
          </cell>
          <cell r="F20">
            <v>0.89589831525503083</v>
          </cell>
          <cell r="G20">
            <v>1.0455286561998194</v>
          </cell>
          <cell r="H20">
            <v>1.0498837637738472</v>
          </cell>
          <cell r="I20">
            <v>2.2350992765462943</v>
          </cell>
          <cell r="J20">
            <v>0.95612245178574518</v>
          </cell>
          <cell r="K20">
            <v>0.66358103746025154</v>
          </cell>
          <cell r="L20">
            <v>0.96379856363367811</v>
          </cell>
          <cell r="M20">
            <v>1.0382066898999334</v>
          </cell>
          <cell r="N20">
            <v>0.96735149139522703</v>
          </cell>
          <cell r="O20">
            <v>0.96620315205614071</v>
          </cell>
        </row>
        <row r="21">
          <cell r="A21">
            <v>16</v>
          </cell>
          <cell r="B21">
            <v>1.8102962517533725</v>
          </cell>
          <cell r="C21">
            <v>1.703957539922603</v>
          </cell>
          <cell r="D21">
            <v>1.5705094154235666</v>
          </cell>
          <cell r="E21">
            <v>1.0663976747780031</v>
          </cell>
          <cell r="F21">
            <v>0.93211937507578901</v>
          </cell>
          <cell r="G21">
            <v>1.0875251122006879</v>
          </cell>
          <cell r="H21">
            <v>1.0921157574288198</v>
          </cell>
          <cell r="I21">
            <v>2.3213079963268712</v>
          </cell>
          <cell r="J21">
            <v>0.99493998424595942</v>
          </cell>
          <cell r="K21">
            <v>0.69243467958086957</v>
          </cell>
          <cell r="L21">
            <v>1.0026960779899949</v>
          </cell>
          <cell r="M21">
            <v>1.0803117983472437</v>
          </cell>
          <cell r="N21">
            <v>1.0064440709098059</v>
          </cell>
          <cell r="O21">
            <v>1.0052286068324712</v>
          </cell>
        </row>
        <row r="22">
          <cell r="A22">
            <v>17</v>
          </cell>
          <cell r="B22">
            <v>1.8751335861924345</v>
          </cell>
          <cell r="C22">
            <v>1.7655515873163226</v>
          </cell>
          <cell r="D22">
            <v>1.6271043555265221</v>
          </cell>
          <cell r="E22">
            <v>1.1066156287551387</v>
          </cell>
          <cell r="F22">
            <v>0.96752218382408672</v>
          </cell>
          <cell r="G22">
            <v>1.1283712589574522</v>
          </cell>
          <cell r="H22">
            <v>1.1333065422977249</v>
          </cell>
          <cell r="I22">
            <v>2.4033680409999114</v>
          </cell>
          <cell r="J22">
            <v>1.032684744963591</v>
          </cell>
          <cell r="K22">
            <v>0.72095413066468117</v>
          </cell>
          <cell r="L22">
            <v>1.0407087648279414</v>
          </cell>
          <cell r="M22">
            <v>1.1211659991175329</v>
          </cell>
          <cell r="N22">
            <v>1.0445473859212229</v>
          </cell>
          <cell r="O22">
            <v>1.0433456091867186</v>
          </cell>
        </row>
        <row r="23">
          <cell r="A23">
            <v>18</v>
          </cell>
          <cell r="B23">
            <v>1.9371389417443488</v>
          </cell>
          <cell r="C23">
            <v>1.8245399275178438</v>
          </cell>
          <cell r="D23">
            <v>1.6812952507043002</v>
          </cell>
          <cell r="E23">
            <v>1.1452278841706871</v>
          </cell>
          <cell r="F23">
            <v>1.0015294122672735</v>
          </cell>
          <cell r="G23">
            <v>1.1675471347914259</v>
          </cell>
          <cell r="H23">
            <v>1.1727709049086033</v>
          </cell>
          <cell r="I23">
            <v>2.48111966973975</v>
          </cell>
          <cell r="J23">
            <v>1.0688327808045512</v>
          </cell>
          <cell r="K23">
            <v>0.74809126187172659</v>
          </cell>
          <cell r="L23">
            <v>1.0770729970188957</v>
          </cell>
          <cell r="M23">
            <v>1.1598763947943225</v>
          </cell>
          <cell r="N23">
            <v>1.0809879919313543</v>
          </cell>
          <cell r="O23">
            <v>1.0798518678848867</v>
          </cell>
        </row>
        <row r="24">
          <cell r="A24">
            <v>19</v>
          </cell>
          <cell r="B24">
            <v>1.9963401860731362</v>
          </cell>
          <cell r="C24">
            <v>1.8808990285813283</v>
          </cell>
          <cell r="D24">
            <v>1.7330627938188998</v>
          </cell>
          <cell r="E24">
            <v>1.182460975361098</v>
          </cell>
          <cell r="F24">
            <v>1.0343200660724969</v>
          </cell>
          <cell r="G24">
            <v>1.2052425019623176</v>
          </cell>
          <cell r="H24">
            <v>1.2107624349470323</v>
          </cell>
          <cell r="I24">
            <v>2.5550443527445226</v>
          </cell>
          <cell r="J24">
            <v>1.1036170868579995</v>
          </cell>
          <cell r="K24">
            <v>0.77456060714303998</v>
          </cell>
          <cell r="L24">
            <v>1.1121213259366356</v>
          </cell>
          <cell r="M24">
            <v>1.1971635919669403</v>
          </cell>
          <cell r="N24">
            <v>1.1160683808461875</v>
          </cell>
          <cell r="O24">
            <v>1.1150287683968856</v>
          </cell>
        </row>
        <row r="25">
          <cell r="A25">
            <v>20</v>
          </cell>
          <cell r="B25">
            <v>2.0523647707496258</v>
          </cell>
          <cell r="C25">
            <v>1.9342183548791292</v>
          </cell>
          <cell r="D25">
            <v>1.7822262108090938</v>
          </cell>
          <cell r="E25">
            <v>1.2180929373984133</v>
          </cell>
          <cell r="F25">
            <v>1.0658640340670109</v>
          </cell>
          <cell r="G25">
            <v>1.2413069919472461</v>
          </cell>
          <cell r="H25">
            <v>1.2471347538421766</v>
          </cell>
          <cell r="I25">
            <v>2.624676441716201</v>
          </cell>
          <cell r="J25">
            <v>1.1369470771452215</v>
          </cell>
          <cell r="K25">
            <v>0.80007733893312716</v>
          </cell>
          <cell r="L25">
            <v>1.1457720854494386</v>
          </cell>
          <cell r="M25">
            <v>1.2328734895335283</v>
          </cell>
          <cell r="N25">
            <v>1.149716648722199</v>
          </cell>
          <cell r="O25">
            <v>1.1487762748791117</v>
          </cell>
        </row>
        <row r="26">
          <cell r="A26">
            <v>21</v>
          </cell>
          <cell r="B26">
            <v>2.1078588014611421</v>
          </cell>
          <cell r="C26">
            <v>1.9848381197625113</v>
          </cell>
          <cell r="D26">
            <v>1.8290663445563009</v>
          </cell>
          <cell r="E26">
            <v>1.2519174351029145</v>
          </cell>
          <cell r="F26">
            <v>1.0959275373560888</v>
          </cell>
          <cell r="G26">
            <v>1.2755792492121723</v>
          </cell>
          <cell r="H26">
            <v>1.2815659943791804</v>
          </cell>
          <cell r="I26">
            <v>2.6907241938157078</v>
          </cell>
          <cell r="J26">
            <v>1.168909804492515</v>
          </cell>
          <cell r="K26">
            <v>0.82473132611134525</v>
          </cell>
          <cell r="L26">
            <v>1.1777030215035116</v>
          </cell>
          <cell r="M26">
            <v>1.267148850731552</v>
          </cell>
          <cell r="N26">
            <v>1.1818310772437783</v>
          </cell>
          <cell r="O26">
            <v>1.1808204808542175</v>
          </cell>
        </row>
        <row r="27">
          <cell r="A27">
            <v>22</v>
          </cell>
          <cell r="B27">
            <v>2.162347330850924</v>
          </cell>
          <cell r="C27">
            <v>2.0324156018289177</v>
          </cell>
          <cell r="D27">
            <v>1.8730999636762173</v>
          </cell>
          <cell r="E27">
            <v>1.2837917306939803</v>
          </cell>
          <cell r="F27">
            <v>1.1242758844191898</v>
          </cell>
          <cell r="G27">
            <v>1.307867419449678</v>
          </cell>
          <cell r="H27">
            <v>1.3140049106623792</v>
          </cell>
          <cell r="I27">
            <v>2.7526971643429863</v>
          </cell>
          <cell r="J27">
            <v>1.1990387170671943</v>
          </cell>
          <cell r="K27">
            <v>0.84804712116515946</v>
          </cell>
          <cell r="L27">
            <v>1.2077983983169851</v>
          </cell>
          <cell r="M27">
            <v>1.2994433939248673</v>
          </cell>
          <cell r="N27">
            <v>1.2120989956516848</v>
          </cell>
          <cell r="O27">
            <v>1.2110229031220761</v>
          </cell>
        </row>
        <row r="28">
          <cell r="A28">
            <v>23</v>
          </cell>
          <cell r="B28">
            <v>2.2159658373110465</v>
          </cell>
          <cell r="C28">
            <v>2.0771398726842247</v>
          </cell>
          <cell r="D28">
            <v>1.9145009311936065</v>
          </cell>
          <cell r="E28">
            <v>1.3138316856121397</v>
          </cell>
          <cell r="F28">
            <v>1.1510097473142376</v>
          </cell>
          <cell r="G28">
            <v>1.3382899204210497</v>
          </cell>
          <cell r="H28">
            <v>1.3445703472689412</v>
          </cell>
          <cell r="I28">
            <v>2.8108553913473795</v>
          </cell>
          <cell r="J28">
            <v>1.2274421528465944</v>
          </cell>
          <cell r="K28">
            <v>0.87009861989736281</v>
          </cell>
          <cell r="L28">
            <v>1.2361668983556562</v>
          </cell>
          <cell r="M28">
            <v>1.329875110528256</v>
          </cell>
          <cell r="N28">
            <v>1.2406297620029911</v>
          </cell>
          <cell r="O28">
            <v>1.2394925733236455</v>
          </cell>
        </row>
        <row r="29">
          <cell r="A29">
            <v>24</v>
          </cell>
          <cell r="B29">
            <v>2.2688418554485459</v>
          </cell>
          <cell r="C29">
            <v>2.1191878512587037</v>
          </cell>
          <cell r="D29">
            <v>1.9534319697288982</v>
          </cell>
          <cell r="E29">
            <v>1.3421460477497442</v>
          </cell>
          <cell r="F29">
            <v>1.1762236971928948</v>
          </cell>
          <cell r="G29">
            <v>1.3669578638963269</v>
          </cell>
          <cell r="H29">
            <v>1.3733738206669068</v>
          </cell>
          <cell r="I29">
            <v>2.865441774153096</v>
          </cell>
          <cell r="J29">
            <v>1.2542218379618388</v>
          </cell>
          <cell r="K29">
            <v>0.89095554741941907</v>
          </cell>
          <cell r="L29">
            <v>1.2629105553520317</v>
          </cell>
          <cell r="M29">
            <v>1.3585547273087111</v>
          </cell>
          <cell r="N29">
            <v>1.2675260425087278</v>
          </cell>
          <cell r="O29">
            <v>1.2663318542755468</v>
          </cell>
        </row>
        <row r="30">
          <cell r="A30">
            <v>25</v>
          </cell>
          <cell r="B30">
            <v>2.3210955900247425</v>
          </cell>
          <cell r="C30">
            <v>2.1587251100516198</v>
          </cell>
          <cell r="D30">
            <v>1.9900453984881947</v>
          </cell>
          <cell r="E30">
            <v>1.3688369032439434</v>
          </cell>
          <cell r="F30">
            <v>1.2000065867174499</v>
          </cell>
          <cell r="G30">
            <v>1.3939755219135916</v>
          </cell>
          <cell r="H30">
            <v>1.4005199866208073</v>
          </cell>
          <cell r="I30">
            <v>2.9166832360380823</v>
          </cell>
          <cell r="J30">
            <v>1.2794733041116699</v>
          </cell>
          <cell r="K30">
            <v>0.91068369988083187</v>
          </cell>
          <cell r="L30">
            <v>1.288125175056825</v>
          </cell>
          <cell r="M30">
            <v>1.3855861690600291</v>
          </cell>
          <cell r="N30">
            <v>1.2928842351268122</v>
          </cell>
          <cell r="O30">
            <v>1.2916368619123995</v>
          </cell>
        </row>
        <row r="31">
          <cell r="A31">
            <v>26</v>
          </cell>
          <cell r="B31">
            <v>2.3728404862494799</v>
          </cell>
          <cell r="C31">
            <v>2.1959066263698293</v>
          </cell>
          <cell r="D31">
            <v>2.0244838200948934</v>
          </cell>
          <cell r="E31">
            <v>1.3940000986245389</v>
          </cell>
          <cell r="F31">
            <v>1.2224419076941599</v>
          </cell>
          <cell r="G31">
            <v>1.4194407623067617</v>
          </cell>
          <cell r="H31">
            <v>1.4261070768063624</v>
          </cell>
          <cell r="I31">
            <v>2.9647918060887024</v>
          </cell>
          <cell r="J31">
            <v>1.3032862787407291</v>
          </cell>
          <cell r="K31">
            <v>0.92934517175242126</v>
          </cell>
          <cell r="L31">
            <v>1.3119007284750892</v>
          </cell>
          <cell r="M31">
            <v>1.4110669908397329</v>
          </cell>
          <cell r="N31">
            <v>1.3167948654468575</v>
          </cell>
          <cell r="O31">
            <v>1.3154978596408551</v>
          </cell>
        </row>
        <row r="32">
          <cell r="A32">
            <v>27</v>
          </cell>
          <cell r="B32">
            <v>2.4241837596616587</v>
          </cell>
          <cell r="C32">
            <v>2.2308774824019308</v>
          </cell>
          <cell r="D32">
            <v>2.0568807607589452</v>
          </cell>
          <cell r="E32">
            <v>1.4177256353200594</v>
          </cell>
          <cell r="F32">
            <v>1.2436081255795544</v>
          </cell>
          <cell r="G32">
            <v>1.443445455586756</v>
          </cell>
          <cell r="H32">
            <v>1.4502273067222045</v>
          </cell>
          <cell r="I32">
            <v>3.0099656259602772</v>
          </cell>
          <cell r="J32">
            <v>1.3257450498136982</v>
          </cell>
          <cell r="K32">
            <v>0.94699856955600858</v>
          </cell>
          <cell r="L32">
            <v>1.3343217194409036</v>
          </cell>
          <cell r="M32">
            <v>1.4350887818298612</v>
          </cell>
          <cell r="N32">
            <v>1.3393429567341759</v>
          </cell>
          <cell r="O32">
            <v>1.3379996269638776</v>
          </cell>
        </row>
        <row r="33">
          <cell r="A33">
            <v>28</v>
          </cell>
          <cell r="B33">
            <v>2.475226888589424</v>
          </cell>
          <cell r="C33">
            <v>2.2637735176962002</v>
          </cell>
          <cell r="D33">
            <v>2.0873612670314117</v>
          </cell>
          <cell r="E33">
            <v>1.4400980383865674</v>
          </cell>
          <cell r="F33">
            <v>1.263578992402465</v>
          </cell>
          <cell r="G33">
            <v>1.4660758551159545</v>
          </cell>
          <cell r="H33">
            <v>1.4729672568414816</v>
          </cell>
          <cell r="I33">
            <v>3.0523898868610679</v>
          </cell>
          <cell r="J33">
            <v>1.3469288068903256</v>
          </cell>
          <cell r="K33">
            <v>0.96369921287597116</v>
          </cell>
          <cell r="L33">
            <v>1.3554675282563786</v>
          </cell>
          <cell r="M33">
            <v>1.4577375427400481</v>
          </cell>
          <cell r="N33">
            <v>1.3606083758711964</v>
          </cell>
          <cell r="O33">
            <v>1.359221804105347</v>
          </cell>
        </row>
        <row r="34">
          <cell r="A34">
            <v>29</v>
          </cell>
          <cell r="B34">
            <v>2.5260660719629984</v>
          </cell>
          <cell r="C34">
            <v>2.2947219373569059</v>
          </cell>
          <cell r="D34">
            <v>2.1160424621615177</v>
          </cell>
          <cell r="E34">
            <v>1.4611967011947167</v>
          </cell>
          <cell r="F34">
            <v>1.2824238395388083</v>
          </cell>
          <cell r="G34">
            <v>1.4874129523812321</v>
          </cell>
          <cell r="H34">
            <v>1.4944082288113762</v>
          </cell>
          <cell r="I34">
            <v>3.0922377016948577</v>
          </cell>
          <cell r="J34">
            <v>1.3669119600888924</v>
          </cell>
          <cell r="K34">
            <v>0.97949932343485857</v>
          </cell>
          <cell r="L34">
            <v>1.3754127330016477</v>
          </cell>
          <cell r="M34">
            <v>1.4790940385383338</v>
          </cell>
          <cell r="N34">
            <v>1.3806661568145235</v>
          </cell>
          <cell r="O34">
            <v>1.3792392142456877</v>
          </cell>
        </row>
        <row r="35">
          <cell r="A35">
            <v>30</v>
          </cell>
          <cell r="B35">
            <v>2.57679265504916</v>
          </cell>
          <cell r="C35">
            <v>2.3238418790382989</v>
          </cell>
          <cell r="D35">
            <v>2.1430340648595396</v>
          </cell>
          <cell r="E35">
            <v>1.4810962076906877</v>
          </cell>
          <cell r="F35">
            <v>1.3002078516777988</v>
          </cell>
          <cell r="G35">
            <v>1.5075328090457067</v>
          </cell>
          <cell r="H35">
            <v>1.5146265783833199</v>
          </cell>
          <cell r="I35">
            <v>3.1296709169426942</v>
          </cell>
          <cell r="J35">
            <v>1.3857644384164678</v>
          </cell>
          <cell r="K35">
            <v>0.99444820296550074</v>
          </cell>
          <cell r="L35">
            <v>1.3942274100117908</v>
          </cell>
          <cell r="M35">
            <v>1.4992341281715671</v>
          </cell>
          <cell r="N35">
            <v>1.3995868030743426</v>
          </cell>
          <cell r="O35">
            <v>1.3981221648682516</v>
          </cell>
        </row>
      </sheetData>
      <sheetData sheetId="49" refreshError="1">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Flat </v>
          </cell>
          <cell r="O5" t="str">
            <v xml:space="preserve">Comm Water Heat </v>
          </cell>
        </row>
        <row r="6">
          <cell r="A6">
            <v>1</v>
          </cell>
          <cell r="B6">
            <v>0.15455990613512277</v>
          </cell>
          <cell r="C6">
            <v>0.14466419381144191</v>
          </cell>
          <cell r="D6">
            <v>0.1336217367001924</v>
          </cell>
          <cell r="E6">
            <v>8.7710604730664804E-2</v>
          </cell>
          <cell r="F6">
            <v>7.6336953312507741E-2</v>
          </cell>
          <cell r="G6">
            <v>8.9891382344070458E-2</v>
          </cell>
          <cell r="H6">
            <v>9.0120375179855133E-2</v>
          </cell>
          <cell r="I6">
            <v>0.20107824474794775</v>
          </cell>
          <cell r="J6">
            <v>8.1504833724640402E-2</v>
          </cell>
          <cell r="K6">
            <v>5.2923203036007636E-2</v>
          </cell>
          <cell r="L6">
            <v>8.244840729457073E-2</v>
          </cell>
          <cell r="M6">
            <v>8.8818279823334331E-2</v>
          </cell>
          <cell r="N6">
            <v>8.2724233307783501E-2</v>
          </cell>
          <cell r="O6">
            <v>8.2598269115534736E-2</v>
          </cell>
        </row>
        <row r="7">
          <cell r="A7">
            <v>2</v>
          </cell>
          <cell r="B7">
            <v>0.29999687918929768</v>
          </cell>
          <cell r="C7">
            <v>0.28085882659913913</v>
          </cell>
          <cell r="D7">
            <v>0.25945689378062231</v>
          </cell>
          <cell r="E7">
            <v>0.17078477799863101</v>
          </cell>
          <cell r="F7">
            <v>0.14871557548298223</v>
          </cell>
          <cell r="G7">
            <v>0.17495602807707211</v>
          </cell>
          <cell r="H7">
            <v>0.17542684379719004</v>
          </cell>
          <cell r="I7">
            <v>0.38964927037530528</v>
          </cell>
          <cell r="J7">
            <v>0.15867241435955814</v>
          </cell>
          <cell r="K7">
            <v>0.10353190207282785</v>
          </cell>
          <cell r="L7">
            <v>0.16059856040466303</v>
          </cell>
          <cell r="M7">
            <v>0.17289035901673339</v>
          </cell>
          <cell r="N7">
            <v>0.16104815898446473</v>
          </cell>
          <cell r="O7">
            <v>0.16088013695861114</v>
          </cell>
        </row>
        <row r="8">
          <cell r="A8">
            <v>3</v>
          </cell>
          <cell r="B8">
            <v>0.43737824987207147</v>
          </cell>
          <cell r="C8">
            <v>0.40955934335810157</v>
          </cell>
          <cell r="D8">
            <v>0.37846656079811103</v>
          </cell>
          <cell r="E8">
            <v>0.24954391085685396</v>
          </cell>
          <cell r="F8">
            <v>0.21743228970741513</v>
          </cell>
          <cell r="G8">
            <v>0.25557816107017617</v>
          </cell>
          <cell r="H8">
            <v>0.25623368958764714</v>
          </cell>
          <cell r="I8">
            <v>0.56736811030969292</v>
          </cell>
          <cell r="J8">
            <v>0.23192623612628366</v>
          </cell>
          <cell r="K8">
            <v>0.15171501971971915</v>
          </cell>
          <cell r="L8">
            <v>0.23464693039074502</v>
          </cell>
          <cell r="M8">
            <v>0.25257119045614246</v>
          </cell>
          <cell r="N8">
            <v>0.23533521626565371</v>
          </cell>
          <cell r="O8">
            <v>0.23507386712627443</v>
          </cell>
        </row>
        <row r="9">
          <cell r="A9">
            <v>4</v>
          </cell>
          <cell r="B9">
            <v>0.56582994523350094</v>
          </cell>
          <cell r="C9">
            <v>0.53006593893688281</v>
          </cell>
          <cell r="D9">
            <v>0.48977979409824246</v>
          </cell>
          <cell r="E9">
            <v>0.32372426573800206</v>
          </cell>
          <cell r="F9">
            <v>0.2822679089034148</v>
          </cell>
          <cell r="G9">
            <v>0.33147493526124372</v>
          </cell>
          <cell r="H9">
            <v>0.33234840948702132</v>
          </cell>
          <cell r="I9">
            <v>0.73327714515692932</v>
          </cell>
          <cell r="J9">
            <v>0.30101744293448507</v>
          </cell>
          <cell r="K9">
            <v>0.19779361250300698</v>
          </cell>
          <cell r="L9">
            <v>0.30445190679988432</v>
          </cell>
          <cell r="M9">
            <v>0.32767849187760967</v>
          </cell>
          <cell r="N9">
            <v>0.30537190400292352</v>
          </cell>
          <cell r="O9">
            <v>0.30501172989185393</v>
          </cell>
        </row>
        <row r="10">
          <cell r="A10">
            <v>5</v>
          </cell>
          <cell r="B10">
            <v>0.68751442107994598</v>
          </cell>
          <cell r="C10">
            <v>0.64435318009454134</v>
          </cell>
          <cell r="D10">
            <v>0.59535160265516573</v>
          </cell>
          <cell r="E10">
            <v>0.394774709646734</v>
          </cell>
          <cell r="F10">
            <v>0.3444876341940592</v>
          </cell>
          <cell r="G10">
            <v>0.40409821272842539</v>
          </cell>
          <cell r="H10">
            <v>0.40522673138215576</v>
          </cell>
          <cell r="I10">
            <v>0.89017342727433202</v>
          </cell>
          <cell r="J10">
            <v>0.36741499526711868</v>
          </cell>
          <cell r="K10">
            <v>0.24337933863188463</v>
          </cell>
          <cell r="L10">
            <v>0.37143956490536945</v>
          </cell>
          <cell r="M10">
            <v>0.4000559315876755</v>
          </cell>
          <cell r="N10">
            <v>0.37260285239790247</v>
          </cell>
          <cell r="O10">
            <v>0.37213305115241652</v>
          </cell>
        </row>
        <row r="11">
          <cell r="A11">
            <v>6</v>
          </cell>
          <cell r="B11">
            <v>0.80352513801184644</v>
          </cell>
          <cell r="C11">
            <v>0.75345221747224667</v>
          </cell>
          <cell r="D11">
            <v>0.69610647883999999</v>
          </cell>
          <cell r="E11">
            <v>0.46311115818173132</v>
          </cell>
          <cell r="F11">
            <v>0.40439151498064874</v>
          </cell>
          <cell r="G11">
            <v>0.47388311408729711</v>
          </cell>
          <cell r="H11">
            <v>0.47522677056200457</v>
          </cell>
          <cell r="I11">
            <v>1.0392730475515874</v>
          </cell>
          <cell r="J11">
            <v>0.43128180149869105</v>
          </cell>
          <cell r="K11">
            <v>0.28745850432423115</v>
          </cell>
          <cell r="L11">
            <v>0.4357671400371439</v>
          </cell>
          <cell r="M11">
            <v>0.46938208649684265</v>
          </cell>
          <cell r="N11">
            <v>0.43721990072378891</v>
          </cell>
          <cell r="O11">
            <v>0.43661169031889391</v>
          </cell>
        </row>
        <row r="12">
          <cell r="A12">
            <v>7</v>
          </cell>
          <cell r="B12">
            <v>0.91327788818151034</v>
          </cell>
          <cell r="C12">
            <v>0.85684445885833493</v>
          </cell>
          <cell r="D12">
            <v>0.79136669988547359</v>
          </cell>
          <cell r="E12">
            <v>0.52818424090511129</v>
          </cell>
          <cell r="F12">
            <v>0.46134418723149095</v>
          </cell>
          <cell r="G12">
            <v>0.54019832334479423</v>
          </cell>
          <cell r="H12">
            <v>0.54181695905863736</v>
          </cell>
          <cell r="I12">
            <v>1.1794651969326497</v>
          </cell>
          <cell r="J12">
            <v>0.4919059861868208</v>
          </cell>
          <cell r="K12">
            <v>0.329738105098274</v>
          </cell>
          <cell r="L12">
            <v>0.49694234253663822</v>
          </cell>
          <cell r="M12">
            <v>0.53500404017047576</v>
          </cell>
          <cell r="N12">
            <v>0.49857863574435091</v>
          </cell>
          <cell r="O12">
            <v>0.49793336683206924</v>
          </cell>
        </row>
        <row r="13">
          <cell r="A13">
            <v>8</v>
          </cell>
          <cell r="B13">
            <v>1.0168138882196709</v>
          </cell>
          <cell r="C13">
            <v>0.95448136428379071</v>
          </cell>
          <cell r="D13">
            <v>0.88137393620227911</v>
          </cell>
          <cell r="E13">
            <v>0.59020546540825847</v>
          </cell>
          <cell r="F13">
            <v>0.51572605842891739</v>
          </cell>
          <cell r="G13">
            <v>0.60333154336653616</v>
          </cell>
          <cell r="H13">
            <v>0.60531194732462024</v>
          </cell>
          <cell r="I13">
            <v>1.3113856730997047</v>
          </cell>
          <cell r="J13">
            <v>0.54966743075559432</v>
          </cell>
          <cell r="K13">
            <v>0.37063019380547529</v>
          </cell>
          <cell r="L13">
            <v>0.55535628593811337</v>
          </cell>
          <cell r="M13">
            <v>0.59754089605422145</v>
          </cell>
          <cell r="N13">
            <v>0.55707401570618653</v>
          </cell>
          <cell r="O13">
            <v>0.55647681653635062</v>
          </cell>
        </row>
        <row r="14">
          <cell r="A14">
            <v>9</v>
          </cell>
          <cell r="B14">
            <v>1.1134471464697127</v>
          </cell>
          <cell r="C14">
            <v>1.0455085814804312</v>
          </cell>
          <cell r="D14">
            <v>0.96508217423429676</v>
          </cell>
          <cell r="E14">
            <v>0.64734036452105759</v>
          </cell>
          <cell r="F14">
            <v>0.56551673033829331</v>
          </cell>
          <cell r="G14">
            <v>0.66149962307983157</v>
          </cell>
          <cell r="H14">
            <v>0.66374072531467054</v>
          </cell>
          <cell r="I14">
            <v>1.4345809280670516</v>
          </cell>
          <cell r="J14">
            <v>0.60291328664170196</v>
          </cell>
          <cell r="K14">
            <v>0.40793495019928921</v>
          </cell>
          <cell r="L14">
            <v>0.60891646129934773</v>
          </cell>
          <cell r="M14">
            <v>0.65520954107124774</v>
          </cell>
          <cell r="N14">
            <v>0.61085047903788847</v>
          </cell>
          <cell r="O14">
            <v>0.61020881013572881</v>
          </cell>
        </row>
        <row r="15">
          <cell r="A15">
            <v>10</v>
          </cell>
          <cell r="B15">
            <v>1.2052085430966839</v>
          </cell>
          <cell r="C15">
            <v>1.1322399001121952</v>
          </cell>
          <cell r="D15">
            <v>1.0446355917917645</v>
          </cell>
          <cell r="E15">
            <v>0.70225444949972815</v>
          </cell>
          <cell r="F15">
            <v>0.61342022814050079</v>
          </cell>
          <cell r="G15">
            <v>0.71729000017084144</v>
          </cell>
          <cell r="H15">
            <v>0.71984098138787167</v>
          </cell>
          <cell r="I15">
            <v>1.5514774203967716</v>
          </cell>
          <cell r="J15">
            <v>0.65434167702711821</v>
          </cell>
          <cell r="K15">
            <v>0.44540912306653169</v>
          </cell>
          <cell r="L15">
            <v>0.66044109008528884</v>
          </cell>
          <cell r="M15">
            <v>0.71115894145690994</v>
          </cell>
          <cell r="N15">
            <v>0.66268115359846069</v>
          </cell>
          <cell r="O15">
            <v>0.6619043817171244</v>
          </cell>
        </row>
        <row r="16">
          <cell r="A16">
            <v>11</v>
          </cell>
          <cell r="B16">
            <v>1.2926933418719413</v>
          </cell>
          <cell r="C16">
            <v>1.2150220893470705</v>
          </cell>
          <cell r="D16">
            <v>1.120781134419095</v>
          </cell>
          <cell r="E16">
            <v>0.75569201804727992</v>
          </cell>
          <cell r="F16">
            <v>0.66027202102723792</v>
          </cell>
          <cell r="G16">
            <v>0.7715345935728849</v>
          </cell>
          <cell r="H16">
            <v>0.77445012403240243</v>
          </cell>
          <cell r="I16">
            <v>1.662969750840682</v>
          </cell>
          <cell r="J16">
            <v>0.70460559788336385</v>
          </cell>
          <cell r="K16">
            <v>0.48329185455332169</v>
          </cell>
          <cell r="L16">
            <v>0.71081401816862777</v>
          </cell>
          <cell r="M16">
            <v>0.76604901657950641</v>
          </cell>
          <cell r="N16">
            <v>0.71333558197893765</v>
          </cell>
          <cell r="O16">
            <v>0.71241803060006315</v>
          </cell>
        </row>
        <row r="17">
          <cell r="A17">
            <v>12</v>
          </cell>
          <cell r="B17">
            <v>1.3746563727882506</v>
          </cell>
          <cell r="C17">
            <v>1.2926273876748091</v>
          </cell>
          <cell r="D17">
            <v>1.1920957732435506</v>
          </cell>
          <cell r="E17">
            <v>0.80545627451507174</v>
          </cell>
          <cell r="F17">
            <v>0.7038800334249854</v>
          </cell>
          <cell r="G17">
            <v>0.82207156094727507</v>
          </cell>
          <cell r="H17">
            <v>0.82520087190541347</v>
          </cell>
          <cell r="I17">
            <v>1.7669688023150005</v>
          </cell>
          <cell r="J17">
            <v>0.75133938147724977</v>
          </cell>
          <cell r="K17">
            <v>0.51774389811457655</v>
          </cell>
          <cell r="L17">
            <v>0.75747484054610936</v>
          </cell>
          <cell r="M17">
            <v>0.81659460802499151</v>
          </cell>
          <cell r="N17">
            <v>0.76037969221686463</v>
          </cell>
          <cell r="O17">
            <v>0.75927187887251479</v>
          </cell>
        </row>
        <row r="18">
          <cell r="A18">
            <v>13</v>
          </cell>
          <cell r="B18">
            <v>1.448177809455383</v>
          </cell>
          <cell r="C18">
            <v>1.3620912917848103</v>
          </cell>
          <cell r="D18">
            <v>1.2559107122145972</v>
          </cell>
          <cell r="E18">
            <v>0.84952495921167437</v>
          </cell>
          <cell r="F18">
            <v>0.74236676536044344</v>
          </cell>
          <cell r="G18">
            <v>0.86686469505985653</v>
          </cell>
          <cell r="H18">
            <v>0.87025954578256681</v>
          </cell>
          <cell r="I18">
            <v>1.8604322620213094</v>
          </cell>
          <cell r="J18">
            <v>0.79238243783463824</v>
          </cell>
          <cell r="K18">
            <v>0.54720096955137454</v>
          </cell>
          <cell r="L18">
            <v>0.79881441566538147</v>
          </cell>
          <cell r="M18">
            <v>0.86092431962269511</v>
          </cell>
          <cell r="N18">
            <v>0.80184295073282619</v>
          </cell>
          <cell r="O18">
            <v>0.80075347782471695</v>
          </cell>
        </row>
        <row r="19">
          <cell r="A19">
            <v>14</v>
          </cell>
          <cell r="B19">
            <v>1.5177176217275825</v>
          </cell>
          <cell r="C19">
            <v>1.4278553305658517</v>
          </cell>
          <cell r="D19">
            <v>1.3163197086533889</v>
          </cell>
          <cell r="E19">
            <v>0.89168732799737005</v>
          </cell>
          <cell r="F19">
            <v>0.77923098496578214</v>
          </cell>
          <cell r="G19">
            <v>0.90967067259111223</v>
          </cell>
          <cell r="H19">
            <v>0.91342048402939413</v>
          </cell>
          <cell r="I19">
            <v>1.9484811517071901</v>
          </cell>
          <cell r="J19">
            <v>0.83162096445071121</v>
          </cell>
          <cell r="K19">
            <v>0.57579402585884587</v>
          </cell>
          <cell r="L19">
            <v>0.83846428845432741</v>
          </cell>
          <cell r="M19">
            <v>0.90332827189554932</v>
          </cell>
          <cell r="N19">
            <v>0.84152780163647734</v>
          </cell>
          <cell r="O19">
            <v>0.84051375452198718</v>
          </cell>
        </row>
        <row r="20">
          <cell r="A20">
            <v>15</v>
          </cell>
          <cell r="B20">
            <v>1.5838925724513431</v>
          </cell>
          <cell r="C20">
            <v>1.4904712992590716</v>
          </cell>
          <cell r="D20">
            <v>1.3739381806025568</v>
          </cell>
          <cell r="E20">
            <v>0.93186501914492781</v>
          </cell>
          <cell r="F20">
            <v>0.8144530138682099</v>
          </cell>
          <cell r="G20">
            <v>0.9504805965452906</v>
          </cell>
          <cell r="H20">
            <v>0.95443978524895223</v>
          </cell>
          <cell r="I20">
            <v>2.0319084332239044</v>
          </cell>
          <cell r="J20">
            <v>0.86920222889613219</v>
          </cell>
          <cell r="K20">
            <v>0.60325548860022871</v>
          </cell>
          <cell r="L20">
            <v>0.87618051239425299</v>
          </cell>
          <cell r="M20">
            <v>0.94382426354539417</v>
          </cell>
          <cell r="N20">
            <v>0.87941044672293356</v>
          </cell>
          <cell r="O20">
            <v>0.87836650186921894</v>
          </cell>
        </row>
        <row r="21">
          <cell r="A21">
            <v>16</v>
          </cell>
          <cell r="B21">
            <v>1.6457238652303388</v>
          </cell>
          <cell r="C21">
            <v>1.5490523090205484</v>
          </cell>
          <cell r="D21">
            <v>1.4277358322032423</v>
          </cell>
          <cell r="E21">
            <v>0.96945243161636663</v>
          </cell>
          <cell r="F21">
            <v>0.84738125006889919</v>
          </cell>
          <cell r="G21">
            <v>0.9886591929097166</v>
          </cell>
          <cell r="H21">
            <v>0.9928325067534729</v>
          </cell>
          <cell r="I21">
            <v>2.1102799966607924</v>
          </cell>
          <cell r="J21">
            <v>0.90449089476905409</v>
          </cell>
          <cell r="K21">
            <v>0.6294860723462451</v>
          </cell>
          <cell r="L21">
            <v>0.91154188908181388</v>
          </cell>
          <cell r="M21">
            <v>0.98210163486113067</v>
          </cell>
          <cell r="N21">
            <v>0.91494915537255073</v>
          </cell>
          <cell r="O21">
            <v>0.91384418802951939</v>
          </cell>
        </row>
        <row r="22">
          <cell r="A22">
            <v>17</v>
          </cell>
          <cell r="B22">
            <v>1.7046668965385772</v>
          </cell>
          <cell r="C22">
            <v>1.605046897560293</v>
          </cell>
          <cell r="D22">
            <v>1.4791857777513835</v>
          </cell>
          <cell r="E22">
            <v>1.0060142079592171</v>
          </cell>
          <cell r="F22">
            <v>0.87956562165826069</v>
          </cell>
          <cell r="G22">
            <v>1.0257920535976839</v>
          </cell>
          <cell r="H22">
            <v>1.0302786748161137</v>
          </cell>
          <cell r="I22">
            <v>2.1848800372726469</v>
          </cell>
          <cell r="J22">
            <v>0.93880431360326477</v>
          </cell>
          <cell r="K22">
            <v>0.65541284605880112</v>
          </cell>
          <cell r="L22">
            <v>0.9460988771163108</v>
          </cell>
          <cell r="M22">
            <v>1.0192418173795754</v>
          </cell>
          <cell r="N22">
            <v>0.94958853265565701</v>
          </cell>
          <cell r="O22">
            <v>0.94849600835156245</v>
          </cell>
        </row>
        <row r="23">
          <cell r="A23">
            <v>18</v>
          </cell>
          <cell r="B23">
            <v>1.7610354015857719</v>
          </cell>
          <cell r="C23">
            <v>1.6586726613798581</v>
          </cell>
          <cell r="D23">
            <v>1.5284502279130001</v>
          </cell>
          <cell r="E23">
            <v>1.0411162583369884</v>
          </cell>
          <cell r="F23">
            <v>0.91048128387933969</v>
          </cell>
          <cell r="G23">
            <v>1.0614064861740238</v>
          </cell>
          <cell r="H23">
            <v>1.0661553680987303</v>
          </cell>
          <cell r="I23">
            <v>2.2555633361270462</v>
          </cell>
          <cell r="J23">
            <v>0.97166616436777398</v>
          </cell>
          <cell r="K23">
            <v>0.68008296533793333</v>
          </cell>
          <cell r="L23">
            <v>0.97915727001717823</v>
          </cell>
          <cell r="M23">
            <v>1.0544330861766569</v>
          </cell>
          <cell r="N23">
            <v>0.98271635630123111</v>
          </cell>
          <cell r="O23">
            <v>0.98168351625898809</v>
          </cell>
        </row>
        <row r="24">
          <cell r="A24">
            <v>19</v>
          </cell>
          <cell r="B24">
            <v>1.8148547146119425</v>
          </cell>
          <cell r="C24">
            <v>1.7099082078012076</v>
          </cell>
          <cell r="D24">
            <v>1.5755116307444545</v>
          </cell>
          <cell r="E24">
            <v>1.074964523055544</v>
          </cell>
          <cell r="F24">
            <v>0.94029096915681543</v>
          </cell>
          <cell r="G24">
            <v>1.0956750017839254</v>
          </cell>
          <cell r="H24">
            <v>1.1006931226791203</v>
          </cell>
          <cell r="I24">
            <v>2.3227675934041119</v>
          </cell>
          <cell r="J24">
            <v>1.0032882607799998</v>
          </cell>
          <cell r="K24">
            <v>0.70414600649367276</v>
          </cell>
          <cell r="L24">
            <v>1.0110193872151234</v>
          </cell>
          <cell r="M24">
            <v>1.0883305381517641</v>
          </cell>
          <cell r="N24">
            <v>1.0146076189510793</v>
          </cell>
          <cell r="O24">
            <v>1.0136625167244415</v>
          </cell>
        </row>
        <row r="25">
          <cell r="A25">
            <v>20</v>
          </cell>
          <cell r="B25">
            <v>1.8657861552269326</v>
          </cell>
          <cell r="C25">
            <v>1.7583803226173902</v>
          </cell>
          <cell r="D25">
            <v>1.6202056461900853</v>
          </cell>
          <cell r="E25">
            <v>1.1073572158167395</v>
          </cell>
          <cell r="F25">
            <v>0.96896730369728279</v>
          </cell>
          <cell r="G25">
            <v>1.1284609017702238</v>
          </cell>
          <cell r="H25">
            <v>1.1337588671292516</v>
          </cell>
          <cell r="I25">
            <v>2.3860694924692738</v>
          </cell>
          <cell r="J25">
            <v>1.0335882519502015</v>
          </cell>
          <cell r="K25">
            <v>0.727343035393752</v>
          </cell>
          <cell r="L25">
            <v>1.0416109867722172</v>
          </cell>
          <cell r="M25">
            <v>1.1207940813941168</v>
          </cell>
          <cell r="N25">
            <v>1.0451969533838172</v>
          </cell>
          <cell r="O25">
            <v>1.04434206807192</v>
          </cell>
        </row>
        <row r="26">
          <cell r="A26">
            <v>21</v>
          </cell>
          <cell r="B26">
            <v>1.9162352740555839</v>
          </cell>
          <cell r="C26">
            <v>1.8043982906931921</v>
          </cell>
          <cell r="D26">
            <v>1.6627875859602734</v>
          </cell>
          <cell r="E26">
            <v>1.138106759184468</v>
          </cell>
          <cell r="F26">
            <v>0.99629776123280789</v>
          </cell>
          <cell r="G26">
            <v>1.1596174992837931</v>
          </cell>
          <cell r="H26">
            <v>1.1650599948901643</v>
          </cell>
          <cell r="I26">
            <v>2.4461129034688258</v>
          </cell>
          <cell r="J26">
            <v>1.0626452768113777</v>
          </cell>
          <cell r="K26">
            <v>0.74975575101031389</v>
          </cell>
          <cell r="L26">
            <v>1.070639110457738</v>
          </cell>
          <cell r="M26">
            <v>1.1519535006650474</v>
          </cell>
          <cell r="N26">
            <v>1.0743918884034345</v>
          </cell>
          <cell r="O26">
            <v>1.0734731644129254</v>
          </cell>
        </row>
        <row r="27">
          <cell r="A27">
            <v>22</v>
          </cell>
          <cell r="B27">
            <v>1.9657703007735676</v>
          </cell>
          <cell r="C27">
            <v>1.847650547117198</v>
          </cell>
          <cell r="D27">
            <v>1.7028181487965612</v>
          </cell>
          <cell r="E27">
            <v>1.1670833915399825</v>
          </cell>
          <cell r="F27">
            <v>1.0220689858356271</v>
          </cell>
          <cell r="G27">
            <v>1.1889703813178893</v>
          </cell>
          <cell r="H27">
            <v>1.1945499187839814</v>
          </cell>
          <cell r="I27">
            <v>2.5024519675845331</v>
          </cell>
          <cell r="J27">
            <v>1.0900351973338134</v>
          </cell>
          <cell r="K27">
            <v>0.77095192833196313</v>
          </cell>
          <cell r="L27">
            <v>1.0979985439245323</v>
          </cell>
          <cell r="M27">
            <v>1.181312176295334</v>
          </cell>
          <cell r="N27">
            <v>1.1019081778651678</v>
          </cell>
          <cell r="O27">
            <v>1.1009299119291605</v>
          </cell>
        </row>
        <row r="28">
          <cell r="A28">
            <v>23</v>
          </cell>
          <cell r="B28">
            <v>2.0145143975554971</v>
          </cell>
          <cell r="C28">
            <v>1.8883089751674769</v>
          </cell>
          <cell r="D28">
            <v>1.7404553919941876</v>
          </cell>
          <cell r="E28">
            <v>1.194392441465582</v>
          </cell>
          <cell r="F28">
            <v>1.0463724975583979</v>
          </cell>
          <cell r="G28">
            <v>1.2166272003827727</v>
          </cell>
          <cell r="H28">
            <v>1.2223366793354011</v>
          </cell>
          <cell r="I28">
            <v>2.5553230830430724</v>
          </cell>
          <cell r="J28">
            <v>1.1158565025878135</v>
          </cell>
          <cell r="K28">
            <v>0.79099874536123882</v>
          </cell>
          <cell r="L28">
            <v>1.1237880894142331</v>
          </cell>
          <cell r="M28">
            <v>1.2089773732075058</v>
          </cell>
          <cell r="N28">
            <v>1.1278452381845372</v>
          </cell>
          <cell r="O28">
            <v>1.1268114302942234</v>
          </cell>
        </row>
        <row r="29">
          <cell r="A29">
            <v>24</v>
          </cell>
          <cell r="B29">
            <v>2.0625835049532233</v>
          </cell>
          <cell r="C29">
            <v>1.9265344102351851</v>
          </cell>
          <cell r="D29">
            <v>1.7758472452080891</v>
          </cell>
          <cell r="E29">
            <v>1.2201327706815861</v>
          </cell>
          <cell r="F29">
            <v>1.0692942701753589</v>
          </cell>
          <cell r="G29">
            <v>1.2426889671784793</v>
          </cell>
          <cell r="H29">
            <v>1.2485216551517335</v>
          </cell>
          <cell r="I29">
            <v>2.604947067411906</v>
          </cell>
          <cell r="J29">
            <v>1.1402016708743992</v>
          </cell>
          <cell r="K29">
            <v>0.80995958856310823</v>
          </cell>
          <cell r="L29">
            <v>1.1481005048654835</v>
          </cell>
          <cell r="M29">
            <v>1.2350497520988284</v>
          </cell>
          <cell r="N29">
            <v>1.1522964022806614</v>
          </cell>
          <cell r="O29">
            <v>1.151210776614134</v>
          </cell>
        </row>
        <row r="30">
          <cell r="A30">
            <v>25</v>
          </cell>
          <cell r="B30">
            <v>2.1100869000224938</v>
          </cell>
          <cell r="C30">
            <v>1.9624773727742</v>
          </cell>
          <cell r="D30">
            <v>1.8091321804438134</v>
          </cell>
          <cell r="E30">
            <v>1.2443971847672215</v>
          </cell>
          <cell r="F30">
            <v>1.0909150788340454</v>
          </cell>
          <cell r="G30">
            <v>1.2672504744669015</v>
          </cell>
          <cell r="H30">
            <v>1.2731999878370976</v>
          </cell>
          <cell r="I30">
            <v>2.6515302145800752</v>
          </cell>
          <cell r="J30">
            <v>1.1631575491924275</v>
          </cell>
          <cell r="K30">
            <v>0.827894272618938</v>
          </cell>
          <cell r="L30">
            <v>1.1710228864152958</v>
          </cell>
          <cell r="M30">
            <v>1.2596237900545721</v>
          </cell>
          <cell r="N30">
            <v>1.1753493046607382</v>
          </cell>
          <cell r="O30">
            <v>1.1742153290112725</v>
          </cell>
        </row>
        <row r="31">
          <cell r="A31">
            <v>26</v>
          </cell>
          <cell r="B31">
            <v>2.1571277147722547</v>
          </cell>
          <cell r="C31">
            <v>1.9962787512452995</v>
          </cell>
          <cell r="D31">
            <v>1.8404398364499031</v>
          </cell>
          <cell r="E31">
            <v>1.2672728169313994</v>
          </cell>
          <cell r="F31">
            <v>1.1113108251765091</v>
          </cell>
          <cell r="G31">
            <v>1.2904006930061471</v>
          </cell>
          <cell r="H31">
            <v>1.2964609789148749</v>
          </cell>
          <cell r="I31">
            <v>2.6952652782624571</v>
          </cell>
          <cell r="J31">
            <v>1.1848057079461176</v>
          </cell>
          <cell r="K31">
            <v>0.84485924704765558</v>
          </cell>
          <cell r="L31">
            <v>1.1926370258864452</v>
          </cell>
          <cell r="M31">
            <v>1.2827881734906663</v>
          </cell>
          <cell r="N31">
            <v>1.1970862413153247</v>
          </cell>
          <cell r="O31">
            <v>1.1959071451280503</v>
          </cell>
        </row>
        <row r="32">
          <cell r="A32">
            <v>27</v>
          </cell>
          <cell r="B32">
            <v>2.2038034178742354</v>
          </cell>
          <cell r="C32">
            <v>2.0280704385472101</v>
          </cell>
          <cell r="D32">
            <v>1.8698916006899502</v>
          </cell>
          <cell r="E32">
            <v>1.2888414866545999</v>
          </cell>
          <cell r="F32">
            <v>1.1305528414359585</v>
          </cell>
          <cell r="G32">
            <v>1.3122231414425056</v>
          </cell>
          <cell r="H32">
            <v>1.3183884606565495</v>
          </cell>
          <cell r="I32">
            <v>2.7363323872366161</v>
          </cell>
          <cell r="J32">
            <v>1.2052227725579079</v>
          </cell>
          <cell r="K32">
            <v>0.8609077905054624</v>
          </cell>
          <cell r="L32">
            <v>1.2130197449462763</v>
          </cell>
          <cell r="M32">
            <v>1.3046261652998739</v>
          </cell>
          <cell r="N32">
            <v>1.2175845061219779</v>
          </cell>
          <cell r="O32">
            <v>1.216363297239889</v>
          </cell>
        </row>
        <row r="33">
          <cell r="A33">
            <v>28</v>
          </cell>
          <cell r="B33">
            <v>2.2502062623540215</v>
          </cell>
          <cell r="C33">
            <v>2.057975925178364</v>
          </cell>
          <cell r="D33">
            <v>1.8976011518467375</v>
          </cell>
          <cell r="E33">
            <v>1.3091800348968798</v>
          </cell>
          <cell r="F33">
            <v>1.1487081749113319</v>
          </cell>
          <cell r="G33">
            <v>1.3327962319235951</v>
          </cell>
          <cell r="H33">
            <v>1.3390611425831649</v>
          </cell>
          <cell r="I33">
            <v>2.7748998971464252</v>
          </cell>
          <cell r="J33">
            <v>1.2244807335366601</v>
          </cell>
          <cell r="K33">
            <v>0.87609019352361028</v>
          </cell>
          <cell r="L33">
            <v>1.2322432075057992</v>
          </cell>
          <cell r="M33">
            <v>1.3252159479454984</v>
          </cell>
          <cell r="N33">
            <v>1.2369167053374512</v>
          </cell>
          <cell r="O33">
            <v>1.2356561855503156</v>
          </cell>
        </row>
        <row r="34">
          <cell r="A34">
            <v>29</v>
          </cell>
          <cell r="B34">
            <v>2.2964237017845441</v>
          </cell>
          <cell r="C34">
            <v>2.0861108521426424</v>
          </cell>
          <cell r="D34">
            <v>1.9236749656013794</v>
          </cell>
          <cell r="E34">
            <v>1.3283606374497428</v>
          </cell>
          <cell r="F34">
            <v>1.1658398541261894</v>
          </cell>
          <cell r="G34">
            <v>1.3521935930738471</v>
          </cell>
          <cell r="H34">
            <v>1.3585529352830694</v>
          </cell>
          <cell r="I34">
            <v>2.8111251833589614</v>
          </cell>
          <cell r="J34">
            <v>1.2426472364444479</v>
          </cell>
          <cell r="K34">
            <v>0.89045393039532605</v>
          </cell>
          <cell r="L34">
            <v>1.2503752118196798</v>
          </cell>
          <cell r="M34">
            <v>1.344630944125758</v>
          </cell>
          <cell r="N34">
            <v>1.2551510516495665</v>
          </cell>
          <cell r="O34">
            <v>1.2538538311324439</v>
          </cell>
        </row>
        <row r="35">
          <cell r="A35">
            <v>30</v>
          </cell>
          <cell r="B35">
            <v>2.3425387773174182</v>
          </cell>
          <cell r="C35">
            <v>2.112583526398454</v>
          </cell>
          <cell r="D35">
            <v>1.9482127862359451</v>
          </cell>
          <cell r="E35">
            <v>1.3464510979006257</v>
          </cell>
          <cell r="F35">
            <v>1.1820071378889083</v>
          </cell>
          <cell r="G35">
            <v>1.3704843718597333</v>
          </cell>
          <cell r="H35">
            <v>1.3769332530757454</v>
          </cell>
          <cell r="I35">
            <v>2.8451553790388133</v>
          </cell>
          <cell r="J35">
            <v>1.2597858531058801</v>
          </cell>
          <cell r="K35">
            <v>0.90404382087772805</v>
          </cell>
          <cell r="L35">
            <v>1.2674794636470827</v>
          </cell>
          <cell r="M35">
            <v>1.3629401165196064</v>
          </cell>
          <cell r="N35">
            <v>1.272351639158493</v>
          </cell>
          <cell r="O35">
            <v>1.2710201498802289</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OSList"/>
      <sheetName val="CurrentMeasures"/>
      <sheetName val="CurrentMeasuresAutoUpdated"/>
      <sheetName val="Sheet3"/>
      <sheetName val="SpendingBreakout"/>
      <sheetName val="% Change"/>
      <sheetName val="Rollup"/>
      <sheetName val="18230734"/>
      <sheetName val="18230680"/>
      <sheetName val="18230687"/>
      <sheetName val="18230634"/>
      <sheetName val="18230501"/>
      <sheetName val="18230612"/>
      <sheetName val="18230625"/>
      <sheetName val="18230626"/>
      <sheetName val="18230627"/>
      <sheetName val="18230628"/>
      <sheetName val="18230635"/>
      <sheetName val="18230636"/>
      <sheetName val="18230637"/>
      <sheetName val="18230638"/>
      <sheetName val="18230486"/>
      <sheetName val="18230407"/>
      <sheetName val="18230673"/>
      <sheetName val="18230736"/>
      <sheetName val="18230405"/>
      <sheetName val="18230433"/>
      <sheetName val="18230442"/>
      <sheetName val="18230684"/>
      <sheetName val="18230409"/>
      <sheetName val="18230434"/>
      <sheetName val="18230434G"/>
      <sheetName val="Unused"/>
      <sheetName val="18230435"/>
      <sheetName val="18230440"/>
      <sheetName val="18230468"/>
      <sheetName val="18230700"/>
      <sheetName val="18230461"/>
      <sheetName val="18230629"/>
      <sheetName val="18230639"/>
      <sheetName val="18230738"/>
      <sheetName val="Sheet4"/>
      <sheetName val="18230611"/>
      <sheetName val="Track"/>
      <sheetName val="18230661"/>
      <sheetName val="luOrder"/>
      <sheetName val="LFCR"/>
      <sheetName val="E-CESTD"/>
      <sheetName val="E-CESTDWO"/>
      <sheetName val="G-CESTD"/>
      <sheetName val="G-CESTDWO"/>
      <sheetName val="zELECTRIC_Template"/>
      <sheetName val="zGAS_Template"/>
      <sheetName val="PLANNER-ELECTRIC"/>
      <sheetName val="PLANNER-GAS"/>
      <sheetName val="Rollup_Original"/>
      <sheetName val="SpendingBreakout_Original"/>
      <sheetName val="z18230653"/>
      <sheetName val="z18230671"/>
      <sheetName val="z18230675"/>
      <sheetName val="z18230685"/>
      <sheetName val="z18230686"/>
      <sheetName val="z18230704"/>
      <sheetName val="z18230621"/>
      <sheetName val="z18230602"/>
      <sheetName val="z18230610"/>
      <sheetName val="z18230487"/>
      <sheetName val="z18230483"/>
      <sheetName val="z18230482"/>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Comm Flat </v>
          </cell>
          <cell r="O5" t="str">
            <v>Comm Water Heat</v>
          </cell>
        </row>
        <row r="6">
          <cell r="A6">
            <v>1</v>
          </cell>
          <cell r="B6">
            <v>0.17001589674863504</v>
          </cell>
          <cell r="C6">
            <v>0.15913061319258609</v>
          </cell>
          <cell r="D6">
            <v>0.14698391037021163</v>
          </cell>
          <cell r="E6">
            <v>9.6481665203731276E-2</v>
          </cell>
          <cell r="F6">
            <v>8.39706486437585E-2</v>
          </cell>
          <cell r="G6">
            <v>9.8880520578477515E-2</v>
          </cell>
          <cell r="H6">
            <v>9.9132412697840649E-2</v>
          </cell>
          <cell r="I6">
            <v>0.2211860692227425</v>
          </cell>
          <cell r="J6">
            <v>8.9655317097104448E-2</v>
          </cell>
          <cell r="K6">
            <v>5.8215523339608409E-2</v>
          </cell>
          <cell r="L6">
            <v>9.0693248024027798E-2</v>
          </cell>
          <cell r="M6">
            <v>9.7700107805667763E-2</v>
          </cell>
          <cell r="N6">
            <v>9.0996656638561838E-2</v>
          </cell>
          <cell r="O6">
            <v>9.085809602708822E-2</v>
          </cell>
        </row>
        <row r="7">
          <cell r="A7">
            <v>2</v>
          </cell>
          <cell r="B7">
            <v>0.32999656710822745</v>
          </cell>
          <cell r="C7">
            <v>0.3089447092590531</v>
          </cell>
          <cell r="D7">
            <v>0.28540258315868455</v>
          </cell>
          <cell r="E7">
            <v>0.18786325579849411</v>
          </cell>
          <cell r="F7">
            <v>0.16358713303128047</v>
          </cell>
          <cell r="G7">
            <v>0.19245163088477932</v>
          </cell>
          <cell r="H7">
            <v>0.19296952817690904</v>
          </cell>
          <cell r="I7">
            <v>0.4286141974128358</v>
          </cell>
          <cell r="J7">
            <v>0.17453965579551398</v>
          </cell>
          <cell r="K7">
            <v>0.11388509228011065</v>
          </cell>
          <cell r="L7">
            <v>0.17665841644512931</v>
          </cell>
          <cell r="M7">
            <v>0.19017939491840674</v>
          </cell>
          <cell r="N7">
            <v>0.17715297488291121</v>
          </cell>
          <cell r="O7">
            <v>0.17696815065447224</v>
          </cell>
        </row>
        <row r="8">
          <cell r="A8">
            <v>3</v>
          </cell>
          <cell r="B8">
            <v>0.48111607485927854</v>
          </cell>
          <cell r="C8">
            <v>0.45051527769391164</v>
          </cell>
          <cell r="D8">
            <v>0.41631321687792211</v>
          </cell>
          <cell r="E8">
            <v>0.27449830194253938</v>
          </cell>
          <cell r="F8">
            <v>0.23917551867815662</v>
          </cell>
          <cell r="G8">
            <v>0.28113597717719385</v>
          </cell>
          <cell r="H8">
            <v>0.28185705854641185</v>
          </cell>
          <cell r="I8">
            <v>0.6241049213406622</v>
          </cell>
          <cell r="J8">
            <v>0.25511885973891202</v>
          </cell>
          <cell r="K8">
            <v>0.16688652169169108</v>
          </cell>
          <cell r="L8">
            <v>0.25811162342981953</v>
          </cell>
          <cell r="M8">
            <v>0.27782830950175669</v>
          </cell>
          <cell r="N8">
            <v>0.25886873789221909</v>
          </cell>
          <cell r="O8">
            <v>0.25858125383890185</v>
          </cell>
        </row>
        <row r="9">
          <cell r="A9">
            <v>4</v>
          </cell>
          <cell r="B9">
            <v>0.62241293975685097</v>
          </cell>
          <cell r="C9">
            <v>0.58307253283057114</v>
          </cell>
          <cell r="D9">
            <v>0.53875777350806675</v>
          </cell>
          <cell r="E9">
            <v>0.35609669231180224</v>
          </cell>
          <cell r="F9">
            <v>0.31049469979375627</v>
          </cell>
          <cell r="G9">
            <v>0.36462242878736806</v>
          </cell>
          <cell r="H9">
            <v>0.36558325043572348</v>
          </cell>
          <cell r="I9">
            <v>0.8066048596726223</v>
          </cell>
          <cell r="J9">
            <v>0.33111918722793354</v>
          </cell>
          <cell r="K9">
            <v>0.21757297375330767</v>
          </cell>
          <cell r="L9">
            <v>0.33489709747987273</v>
          </cell>
          <cell r="M9">
            <v>0.36044634106537066</v>
          </cell>
          <cell r="N9">
            <v>0.33590909440321587</v>
          </cell>
          <cell r="O9">
            <v>0.33551290288103935</v>
          </cell>
        </row>
        <row r="10">
          <cell r="A10">
            <v>5</v>
          </cell>
          <cell r="B10">
            <v>0.75626586318794053</v>
          </cell>
          <cell r="C10">
            <v>0.70878849810399536</v>
          </cell>
          <cell r="D10">
            <v>0.65488676292068226</v>
          </cell>
          <cell r="E10">
            <v>0.43425218061140736</v>
          </cell>
          <cell r="F10">
            <v>0.37893639761346504</v>
          </cell>
          <cell r="G10">
            <v>0.44450803400126787</v>
          </cell>
          <cell r="H10">
            <v>0.44574940452037132</v>
          </cell>
          <cell r="I10">
            <v>0.97919077000176524</v>
          </cell>
          <cell r="J10">
            <v>0.40415649479383053</v>
          </cell>
          <cell r="K10">
            <v>0.2677172724950731</v>
          </cell>
          <cell r="L10">
            <v>0.40858352139590637</v>
          </cell>
          <cell r="M10">
            <v>0.44006152474644306</v>
          </cell>
          <cell r="N10">
            <v>0.40986313763769266</v>
          </cell>
          <cell r="O10">
            <v>0.40934635626765814</v>
          </cell>
        </row>
        <row r="11">
          <cell r="A11">
            <v>6</v>
          </cell>
          <cell r="B11">
            <v>0.88387765181303091</v>
          </cell>
          <cell r="C11">
            <v>0.82879743921947124</v>
          </cell>
          <cell r="D11">
            <v>0.76571712672399994</v>
          </cell>
          <cell r="E11">
            <v>0.50942227399990447</v>
          </cell>
          <cell r="F11">
            <v>0.4448306664787135</v>
          </cell>
          <cell r="G11">
            <v>0.52127142549602667</v>
          </cell>
          <cell r="H11">
            <v>0.52274944761820508</v>
          </cell>
          <cell r="I11">
            <v>1.1432003523067462</v>
          </cell>
          <cell r="J11">
            <v>0.47440998164856013</v>
          </cell>
          <cell r="K11">
            <v>0.31620435475665426</v>
          </cell>
          <cell r="L11">
            <v>0.47934385404085822</v>
          </cell>
          <cell r="M11">
            <v>0.51632029514652689</v>
          </cell>
          <cell r="N11">
            <v>0.48094189079616778</v>
          </cell>
          <cell r="O11">
            <v>0.48027285935078323</v>
          </cell>
        </row>
        <row r="12">
          <cell r="A12">
            <v>7</v>
          </cell>
          <cell r="B12">
            <v>1.0046056769996614</v>
          </cell>
          <cell r="C12">
            <v>0.94252890474416828</v>
          </cell>
          <cell r="D12">
            <v>0.87050336987402099</v>
          </cell>
          <cell r="E12">
            <v>0.58100266499562236</v>
          </cell>
          <cell r="F12">
            <v>0.50747860595464001</v>
          </cell>
          <cell r="G12">
            <v>0.59421815567927361</v>
          </cell>
          <cell r="H12">
            <v>0.59599865496450111</v>
          </cell>
          <cell r="I12">
            <v>1.2974117166259145</v>
          </cell>
          <cell r="J12">
            <v>0.54109658480550282</v>
          </cell>
          <cell r="K12">
            <v>0.36271191560810134</v>
          </cell>
          <cell r="L12">
            <v>0.54663657679030198</v>
          </cell>
          <cell r="M12">
            <v>0.58850444418752335</v>
          </cell>
          <cell r="N12">
            <v>0.5484364993187858</v>
          </cell>
          <cell r="O12">
            <v>0.54772670351527608</v>
          </cell>
        </row>
        <row r="13">
          <cell r="A13">
            <v>8</v>
          </cell>
          <cell r="B13">
            <v>1.1184952770416381</v>
          </cell>
          <cell r="C13">
            <v>1.0499295007121696</v>
          </cell>
          <cell r="D13">
            <v>0.9695113298225071</v>
          </cell>
          <cell r="E13">
            <v>0.64922601194908425</v>
          </cell>
          <cell r="F13">
            <v>0.56729866427180908</v>
          </cell>
          <cell r="G13">
            <v>0.66366469770318959</v>
          </cell>
          <cell r="H13">
            <v>0.66584314205708228</v>
          </cell>
          <cell r="I13">
            <v>1.442524240409675</v>
          </cell>
          <cell r="J13">
            <v>0.60463417383115381</v>
          </cell>
          <cell r="K13">
            <v>0.40769321318602281</v>
          </cell>
          <cell r="L13">
            <v>0.6108919145319246</v>
          </cell>
          <cell r="M13">
            <v>0.6572949856596435</v>
          </cell>
          <cell r="N13">
            <v>0.61278141727680513</v>
          </cell>
          <cell r="O13">
            <v>0.6121244981899856</v>
          </cell>
        </row>
        <row r="14">
          <cell r="A14">
            <v>9</v>
          </cell>
          <cell r="B14">
            <v>1.2247918611166839</v>
          </cell>
          <cell r="C14">
            <v>1.1500594396284742</v>
          </cell>
          <cell r="D14">
            <v>1.0615903916577265</v>
          </cell>
          <cell r="E14">
            <v>0.71207440097316332</v>
          </cell>
          <cell r="F14">
            <v>0.62206840337212255</v>
          </cell>
          <cell r="G14">
            <v>0.72764958538781455</v>
          </cell>
          <cell r="H14">
            <v>0.73011479784613753</v>
          </cell>
          <cell r="I14">
            <v>1.5780390208737565</v>
          </cell>
          <cell r="J14">
            <v>0.66320461530587216</v>
          </cell>
          <cell r="K14">
            <v>0.44872844521921817</v>
          </cell>
          <cell r="L14">
            <v>0.66980810742928243</v>
          </cell>
          <cell r="M14">
            <v>0.72073049517837262</v>
          </cell>
          <cell r="N14">
            <v>0.67193552694167735</v>
          </cell>
          <cell r="O14">
            <v>0.67122969114930164</v>
          </cell>
        </row>
        <row r="15">
          <cell r="A15">
            <v>10</v>
          </cell>
          <cell r="B15">
            <v>1.3257293974063522</v>
          </cell>
          <cell r="C15">
            <v>1.2454638901234145</v>
          </cell>
          <cell r="D15">
            <v>1.149099150970941</v>
          </cell>
          <cell r="E15">
            <v>0.772479894449701</v>
          </cell>
          <cell r="F15">
            <v>0.67476225095455089</v>
          </cell>
          <cell r="G15">
            <v>0.78901900018792537</v>
          </cell>
          <cell r="H15">
            <v>0.79182507952665881</v>
          </cell>
          <cell r="I15">
            <v>1.7066251624364486</v>
          </cell>
          <cell r="J15">
            <v>0.71977584472983003</v>
          </cell>
          <cell r="K15">
            <v>0.48995003537318488</v>
          </cell>
          <cell r="L15">
            <v>0.7264851990938177</v>
          </cell>
          <cell r="M15">
            <v>0.7822748356026008</v>
          </cell>
          <cell r="N15">
            <v>0.72894926895830681</v>
          </cell>
          <cell r="O15">
            <v>0.72809481988883673</v>
          </cell>
        </row>
        <row r="16">
          <cell r="A16">
            <v>11</v>
          </cell>
          <cell r="B16">
            <v>1.4219626760591353</v>
          </cell>
          <cell r="C16">
            <v>1.3365242982817773</v>
          </cell>
          <cell r="D16">
            <v>1.2328592478610045</v>
          </cell>
          <cell r="E16">
            <v>0.83126121985200785</v>
          </cell>
          <cell r="F16">
            <v>0.72629922312996165</v>
          </cell>
          <cell r="G16">
            <v>0.84868805293017324</v>
          </cell>
          <cell r="H16">
            <v>0.85189513643564263</v>
          </cell>
          <cell r="I16">
            <v>1.8292667259247501</v>
          </cell>
          <cell r="J16">
            <v>0.77506615767170017</v>
          </cell>
          <cell r="K16">
            <v>0.53162104000865384</v>
          </cell>
          <cell r="L16">
            <v>0.78189541998549039</v>
          </cell>
          <cell r="M16">
            <v>0.84265391823745706</v>
          </cell>
          <cell r="N16">
            <v>0.78466914017683131</v>
          </cell>
          <cell r="O16">
            <v>0.78365983366006942</v>
          </cell>
        </row>
        <row r="17">
          <cell r="A17">
            <v>12</v>
          </cell>
          <cell r="B17">
            <v>1.5121220100670756</v>
          </cell>
          <cell r="C17">
            <v>1.4218901264422898</v>
          </cell>
          <cell r="D17">
            <v>1.3113053505679058</v>
          </cell>
          <cell r="E17">
            <v>0.8860019019665788</v>
          </cell>
          <cell r="F17">
            <v>0.7742680367674839</v>
          </cell>
          <cell r="G17">
            <v>0.90427871704200258</v>
          </cell>
          <cell r="H17">
            <v>0.90772095909595474</v>
          </cell>
          <cell r="I17">
            <v>1.9436656825465002</v>
          </cell>
          <cell r="J17">
            <v>0.82647331962497472</v>
          </cell>
          <cell r="K17">
            <v>0.56951828792603421</v>
          </cell>
          <cell r="L17">
            <v>0.83322232460072021</v>
          </cell>
          <cell r="M17">
            <v>0.8982540688274907</v>
          </cell>
          <cell r="N17">
            <v>0.8364176614385509</v>
          </cell>
          <cell r="O17">
            <v>0.83519906675976596</v>
          </cell>
        </row>
        <row r="18">
          <cell r="A18">
            <v>13</v>
          </cell>
          <cell r="B18">
            <v>1.5929955904009212</v>
          </cell>
          <cell r="C18">
            <v>1.4983004209632913</v>
          </cell>
          <cell r="D18">
            <v>1.3815017834360568</v>
          </cell>
          <cell r="E18">
            <v>0.93447745513284164</v>
          </cell>
          <cell r="F18">
            <v>0.8166034418964877</v>
          </cell>
          <cell r="G18">
            <v>0.9535511645658421</v>
          </cell>
          <cell r="H18">
            <v>0.95728550036082349</v>
          </cell>
          <cell r="I18">
            <v>2.0464754882234399</v>
          </cell>
          <cell r="J18">
            <v>0.87162068161810202</v>
          </cell>
          <cell r="K18">
            <v>0.60192106650651189</v>
          </cell>
          <cell r="L18">
            <v>0.87869585723191945</v>
          </cell>
          <cell r="M18">
            <v>0.94701675158496457</v>
          </cell>
          <cell r="N18">
            <v>0.88202724580610881</v>
          </cell>
          <cell r="O18">
            <v>0.88082882560718856</v>
          </cell>
        </row>
        <row r="19">
          <cell r="A19">
            <v>14</v>
          </cell>
          <cell r="B19">
            <v>1.6694893839003404</v>
          </cell>
          <cell r="C19">
            <v>1.5706408636224367</v>
          </cell>
          <cell r="D19">
            <v>1.4479516795187277</v>
          </cell>
          <cell r="E19">
            <v>0.98085606079710697</v>
          </cell>
          <cell r="F19">
            <v>0.85715408346236044</v>
          </cell>
          <cell r="G19">
            <v>1.0006377398502231</v>
          </cell>
          <cell r="H19">
            <v>1.0047625324323333</v>
          </cell>
          <cell r="I19">
            <v>2.1433292668779087</v>
          </cell>
          <cell r="J19">
            <v>0.9147830608957821</v>
          </cell>
          <cell r="K19">
            <v>0.63337342844473044</v>
          </cell>
          <cell r="L19">
            <v>0.92231071729975989</v>
          </cell>
          <cell r="M19">
            <v>0.99366109908510414</v>
          </cell>
          <cell r="N19">
            <v>0.92568058180012502</v>
          </cell>
          <cell r="O19">
            <v>0.92456512997418572</v>
          </cell>
        </row>
        <row r="20">
          <cell r="A20">
            <v>15</v>
          </cell>
          <cell r="B20">
            <v>1.742281829696477</v>
          </cell>
          <cell r="C20">
            <v>1.6395184291849785</v>
          </cell>
          <cell r="D20">
            <v>1.5113319986628126</v>
          </cell>
          <cell r="E20">
            <v>1.0250515210594204</v>
          </cell>
          <cell r="F20">
            <v>0.89589831525503083</v>
          </cell>
          <cell r="G20">
            <v>1.0455286561998194</v>
          </cell>
          <cell r="H20">
            <v>1.0498837637738472</v>
          </cell>
          <cell r="I20">
            <v>2.2350992765462943</v>
          </cell>
          <cell r="J20">
            <v>0.95612245178574518</v>
          </cell>
          <cell r="K20">
            <v>0.66358103746025154</v>
          </cell>
          <cell r="L20">
            <v>0.96379856363367811</v>
          </cell>
          <cell r="M20">
            <v>1.0382066898999334</v>
          </cell>
          <cell r="N20">
            <v>0.96735149139522703</v>
          </cell>
          <cell r="O20">
            <v>0.96620315205614071</v>
          </cell>
        </row>
        <row r="21">
          <cell r="A21">
            <v>16</v>
          </cell>
          <cell r="B21">
            <v>1.8102962517533725</v>
          </cell>
          <cell r="C21">
            <v>1.703957539922603</v>
          </cell>
          <cell r="D21">
            <v>1.5705094154235666</v>
          </cell>
          <cell r="E21">
            <v>1.0663976747780031</v>
          </cell>
          <cell r="F21">
            <v>0.93211937507578901</v>
          </cell>
          <cell r="G21">
            <v>1.0875251122006879</v>
          </cell>
          <cell r="H21">
            <v>1.0921157574288198</v>
          </cell>
          <cell r="I21">
            <v>2.3213079963268712</v>
          </cell>
          <cell r="J21">
            <v>0.99493998424595942</v>
          </cell>
          <cell r="K21">
            <v>0.69243467958086957</v>
          </cell>
          <cell r="L21">
            <v>1.0026960779899949</v>
          </cell>
          <cell r="M21">
            <v>1.0803117983472437</v>
          </cell>
          <cell r="N21">
            <v>1.0064440709098059</v>
          </cell>
          <cell r="O21">
            <v>1.0052286068324712</v>
          </cell>
        </row>
        <row r="22">
          <cell r="A22">
            <v>17</v>
          </cell>
          <cell r="B22">
            <v>1.8751335861924345</v>
          </cell>
          <cell r="C22">
            <v>1.7655515873163226</v>
          </cell>
          <cell r="D22">
            <v>1.6271043555265221</v>
          </cell>
          <cell r="E22">
            <v>1.1066156287551387</v>
          </cell>
          <cell r="F22">
            <v>0.96752218382408672</v>
          </cell>
          <cell r="G22">
            <v>1.1283712589574522</v>
          </cell>
          <cell r="H22">
            <v>1.1333065422977249</v>
          </cell>
          <cell r="I22">
            <v>2.4033680409999114</v>
          </cell>
          <cell r="J22">
            <v>1.032684744963591</v>
          </cell>
          <cell r="K22">
            <v>0.72095413066468117</v>
          </cell>
          <cell r="L22">
            <v>1.0407087648279414</v>
          </cell>
          <cell r="M22">
            <v>1.1211659991175329</v>
          </cell>
          <cell r="N22">
            <v>1.0445473859212229</v>
          </cell>
          <cell r="O22">
            <v>1.0433456091867186</v>
          </cell>
        </row>
        <row r="23">
          <cell r="A23">
            <v>18</v>
          </cell>
          <cell r="B23">
            <v>1.9371389417443488</v>
          </cell>
          <cell r="C23">
            <v>1.8245399275178438</v>
          </cell>
          <cell r="D23">
            <v>1.6812952507043002</v>
          </cell>
          <cell r="E23">
            <v>1.1452278841706871</v>
          </cell>
          <cell r="F23">
            <v>1.0015294122672735</v>
          </cell>
          <cell r="G23">
            <v>1.1675471347914259</v>
          </cell>
          <cell r="H23">
            <v>1.1727709049086033</v>
          </cell>
          <cell r="I23">
            <v>2.48111966973975</v>
          </cell>
          <cell r="J23">
            <v>1.0688327808045512</v>
          </cell>
          <cell r="K23">
            <v>0.74809126187172659</v>
          </cell>
          <cell r="L23">
            <v>1.0770729970188957</v>
          </cell>
          <cell r="M23">
            <v>1.1598763947943225</v>
          </cell>
          <cell r="N23">
            <v>1.0809879919313543</v>
          </cell>
          <cell r="O23">
            <v>1.0798518678848867</v>
          </cell>
        </row>
        <row r="24">
          <cell r="A24">
            <v>19</v>
          </cell>
          <cell r="B24">
            <v>1.9963401860731362</v>
          </cell>
          <cell r="C24">
            <v>1.8808990285813283</v>
          </cell>
          <cell r="D24">
            <v>1.7330627938188998</v>
          </cell>
          <cell r="E24">
            <v>1.182460975361098</v>
          </cell>
          <cell r="F24">
            <v>1.0343200660724969</v>
          </cell>
          <cell r="G24">
            <v>1.2052425019623176</v>
          </cell>
          <cell r="H24">
            <v>1.2107624349470323</v>
          </cell>
          <cell r="I24">
            <v>2.5550443527445226</v>
          </cell>
          <cell r="J24">
            <v>1.1036170868579995</v>
          </cell>
          <cell r="K24">
            <v>0.77456060714303998</v>
          </cell>
          <cell r="L24">
            <v>1.1121213259366356</v>
          </cell>
          <cell r="M24">
            <v>1.1971635919669403</v>
          </cell>
          <cell r="N24">
            <v>1.1160683808461875</v>
          </cell>
          <cell r="O24">
            <v>1.1150287683968856</v>
          </cell>
        </row>
        <row r="25">
          <cell r="A25">
            <v>20</v>
          </cell>
          <cell r="B25">
            <v>2.0523647707496258</v>
          </cell>
          <cell r="C25">
            <v>1.9342183548791292</v>
          </cell>
          <cell r="D25">
            <v>1.7822262108090938</v>
          </cell>
          <cell r="E25">
            <v>1.2180929373984133</v>
          </cell>
          <cell r="F25">
            <v>1.0658640340670109</v>
          </cell>
          <cell r="G25">
            <v>1.2413069919472461</v>
          </cell>
          <cell r="H25">
            <v>1.2471347538421766</v>
          </cell>
          <cell r="I25">
            <v>2.624676441716201</v>
          </cell>
          <cell r="J25">
            <v>1.1369470771452215</v>
          </cell>
          <cell r="K25">
            <v>0.80007733893312716</v>
          </cell>
          <cell r="L25">
            <v>1.1457720854494386</v>
          </cell>
          <cell r="M25">
            <v>1.2328734895335283</v>
          </cell>
          <cell r="N25">
            <v>1.149716648722199</v>
          </cell>
          <cell r="O25">
            <v>1.1487762748791117</v>
          </cell>
        </row>
        <row r="26">
          <cell r="A26">
            <v>21</v>
          </cell>
          <cell r="B26">
            <v>2.1078588014611421</v>
          </cell>
          <cell r="C26">
            <v>1.9848381197625113</v>
          </cell>
          <cell r="D26">
            <v>1.8290663445563009</v>
          </cell>
          <cell r="E26">
            <v>1.2519174351029145</v>
          </cell>
          <cell r="F26">
            <v>1.0959275373560888</v>
          </cell>
          <cell r="G26">
            <v>1.2755792492121723</v>
          </cell>
          <cell r="H26">
            <v>1.2815659943791804</v>
          </cell>
          <cell r="I26">
            <v>2.6907241938157078</v>
          </cell>
          <cell r="J26">
            <v>1.168909804492515</v>
          </cell>
          <cell r="K26">
            <v>0.82473132611134525</v>
          </cell>
          <cell r="L26">
            <v>1.1777030215035116</v>
          </cell>
          <cell r="M26">
            <v>1.267148850731552</v>
          </cell>
          <cell r="N26">
            <v>1.1818310772437783</v>
          </cell>
          <cell r="O26">
            <v>1.1808204808542175</v>
          </cell>
        </row>
        <row r="27">
          <cell r="A27">
            <v>22</v>
          </cell>
          <cell r="B27">
            <v>2.162347330850924</v>
          </cell>
          <cell r="C27">
            <v>2.0324156018289177</v>
          </cell>
          <cell r="D27">
            <v>1.8730999636762173</v>
          </cell>
          <cell r="E27">
            <v>1.2837917306939803</v>
          </cell>
          <cell r="F27">
            <v>1.1242758844191898</v>
          </cell>
          <cell r="G27">
            <v>1.307867419449678</v>
          </cell>
          <cell r="H27">
            <v>1.3140049106623792</v>
          </cell>
          <cell r="I27">
            <v>2.7526971643429863</v>
          </cell>
          <cell r="J27">
            <v>1.1990387170671943</v>
          </cell>
          <cell r="K27">
            <v>0.84804712116515946</v>
          </cell>
          <cell r="L27">
            <v>1.2077983983169851</v>
          </cell>
          <cell r="M27">
            <v>1.2994433939248673</v>
          </cell>
          <cell r="N27">
            <v>1.2120989956516848</v>
          </cell>
          <cell r="O27">
            <v>1.2110229031220761</v>
          </cell>
        </row>
        <row r="28">
          <cell r="A28">
            <v>23</v>
          </cell>
          <cell r="B28">
            <v>2.2159658373110465</v>
          </cell>
          <cell r="C28">
            <v>2.0771398726842247</v>
          </cell>
          <cell r="D28">
            <v>1.9145009311936065</v>
          </cell>
          <cell r="E28">
            <v>1.3138316856121397</v>
          </cell>
          <cell r="F28">
            <v>1.1510097473142376</v>
          </cell>
          <cell r="G28">
            <v>1.3382899204210497</v>
          </cell>
          <cell r="H28">
            <v>1.3445703472689412</v>
          </cell>
          <cell r="I28">
            <v>2.8108553913473795</v>
          </cell>
          <cell r="J28">
            <v>1.2274421528465944</v>
          </cell>
          <cell r="K28">
            <v>0.87009861989736281</v>
          </cell>
          <cell r="L28">
            <v>1.2361668983556562</v>
          </cell>
          <cell r="M28">
            <v>1.329875110528256</v>
          </cell>
          <cell r="N28">
            <v>1.2406297620029911</v>
          </cell>
          <cell r="O28">
            <v>1.2394925733236455</v>
          </cell>
        </row>
        <row r="29">
          <cell r="A29">
            <v>24</v>
          </cell>
          <cell r="B29">
            <v>2.2688418554485459</v>
          </cell>
          <cell r="C29">
            <v>2.1191878512587037</v>
          </cell>
          <cell r="D29">
            <v>1.9534319697288982</v>
          </cell>
          <cell r="E29">
            <v>1.3421460477497442</v>
          </cell>
          <cell r="F29">
            <v>1.1762236971928948</v>
          </cell>
          <cell r="G29">
            <v>1.3669578638963269</v>
          </cell>
          <cell r="H29">
            <v>1.3733738206669068</v>
          </cell>
          <cell r="I29">
            <v>2.865441774153096</v>
          </cell>
          <cell r="J29">
            <v>1.2542218379618388</v>
          </cell>
          <cell r="K29">
            <v>0.89095554741941907</v>
          </cell>
          <cell r="L29">
            <v>1.2629105553520317</v>
          </cell>
          <cell r="M29">
            <v>1.3585547273087111</v>
          </cell>
          <cell r="N29">
            <v>1.2675260425087278</v>
          </cell>
          <cell r="O29">
            <v>1.2663318542755468</v>
          </cell>
        </row>
        <row r="30">
          <cell r="A30">
            <v>25</v>
          </cell>
          <cell r="B30">
            <v>2.3210955900247425</v>
          </cell>
          <cell r="C30">
            <v>2.1587251100516198</v>
          </cell>
          <cell r="D30">
            <v>1.9900453984881947</v>
          </cell>
          <cell r="E30">
            <v>1.3688369032439434</v>
          </cell>
          <cell r="F30">
            <v>1.2000065867174499</v>
          </cell>
          <cell r="G30">
            <v>1.3939755219135916</v>
          </cell>
          <cell r="H30">
            <v>1.4005199866208073</v>
          </cell>
          <cell r="I30">
            <v>2.9166832360380823</v>
          </cell>
          <cell r="J30">
            <v>1.2794733041116699</v>
          </cell>
          <cell r="K30">
            <v>0.91068369988083187</v>
          </cell>
          <cell r="L30">
            <v>1.288125175056825</v>
          </cell>
          <cell r="M30">
            <v>1.3855861690600291</v>
          </cell>
          <cell r="N30">
            <v>1.2928842351268122</v>
          </cell>
          <cell r="O30">
            <v>1.2916368619123995</v>
          </cell>
        </row>
        <row r="31">
          <cell r="A31">
            <v>26</v>
          </cell>
          <cell r="B31">
            <v>2.3728404862494799</v>
          </cell>
          <cell r="C31">
            <v>2.1959066263698293</v>
          </cell>
          <cell r="D31">
            <v>2.0244838200948934</v>
          </cell>
          <cell r="E31">
            <v>1.3940000986245389</v>
          </cell>
          <cell r="F31">
            <v>1.2224419076941599</v>
          </cell>
          <cell r="G31">
            <v>1.4194407623067617</v>
          </cell>
          <cell r="H31">
            <v>1.4261070768063624</v>
          </cell>
          <cell r="I31">
            <v>2.9647918060887024</v>
          </cell>
          <cell r="J31">
            <v>1.3032862787407291</v>
          </cell>
          <cell r="K31">
            <v>0.92934517175242126</v>
          </cell>
          <cell r="L31">
            <v>1.3119007284750892</v>
          </cell>
          <cell r="M31">
            <v>1.4110669908397329</v>
          </cell>
          <cell r="N31">
            <v>1.3167948654468575</v>
          </cell>
          <cell r="O31">
            <v>1.3154978596408551</v>
          </cell>
        </row>
        <row r="32">
          <cell r="A32">
            <v>27</v>
          </cell>
          <cell r="B32">
            <v>2.4241837596616587</v>
          </cell>
          <cell r="C32">
            <v>2.2308774824019308</v>
          </cell>
          <cell r="D32">
            <v>2.0568807607589452</v>
          </cell>
          <cell r="E32">
            <v>1.4177256353200594</v>
          </cell>
          <cell r="F32">
            <v>1.2436081255795544</v>
          </cell>
          <cell r="G32">
            <v>1.443445455586756</v>
          </cell>
          <cell r="H32">
            <v>1.4502273067222045</v>
          </cell>
          <cell r="I32">
            <v>3.0099656259602772</v>
          </cell>
          <cell r="J32">
            <v>1.3257450498136982</v>
          </cell>
          <cell r="K32">
            <v>0.94699856955600858</v>
          </cell>
          <cell r="L32">
            <v>1.3343217194409036</v>
          </cell>
          <cell r="M32">
            <v>1.4350887818298612</v>
          </cell>
          <cell r="N32">
            <v>1.3393429567341759</v>
          </cell>
          <cell r="O32">
            <v>1.3379996269638776</v>
          </cell>
        </row>
        <row r="33">
          <cell r="A33">
            <v>28</v>
          </cell>
          <cell r="B33">
            <v>2.475226888589424</v>
          </cell>
          <cell r="C33">
            <v>2.2637735176962002</v>
          </cell>
          <cell r="D33">
            <v>2.0873612670314117</v>
          </cell>
          <cell r="E33">
            <v>1.4400980383865674</v>
          </cell>
          <cell r="F33">
            <v>1.263578992402465</v>
          </cell>
          <cell r="G33">
            <v>1.4660758551159545</v>
          </cell>
          <cell r="H33">
            <v>1.4729672568414816</v>
          </cell>
          <cell r="I33">
            <v>3.0523898868610679</v>
          </cell>
          <cell r="J33">
            <v>1.3469288068903256</v>
          </cell>
          <cell r="K33">
            <v>0.96369921287597116</v>
          </cell>
          <cell r="L33">
            <v>1.3554675282563786</v>
          </cell>
          <cell r="M33">
            <v>1.4577375427400481</v>
          </cell>
          <cell r="N33">
            <v>1.3606083758711964</v>
          </cell>
          <cell r="O33">
            <v>1.359221804105347</v>
          </cell>
        </row>
        <row r="34">
          <cell r="A34">
            <v>29</v>
          </cell>
          <cell r="B34">
            <v>2.5260660719629984</v>
          </cell>
          <cell r="C34">
            <v>2.2947219373569059</v>
          </cell>
          <cell r="D34">
            <v>2.1160424621615177</v>
          </cell>
          <cell r="E34">
            <v>1.4611967011947167</v>
          </cell>
          <cell r="F34">
            <v>1.2824238395388083</v>
          </cell>
          <cell r="G34">
            <v>1.4874129523812321</v>
          </cell>
          <cell r="H34">
            <v>1.4944082288113762</v>
          </cell>
          <cell r="I34">
            <v>3.0922377016948577</v>
          </cell>
          <cell r="J34">
            <v>1.3669119600888924</v>
          </cell>
          <cell r="K34">
            <v>0.97949932343485857</v>
          </cell>
          <cell r="L34">
            <v>1.3754127330016477</v>
          </cell>
          <cell r="M34">
            <v>1.4790940385383338</v>
          </cell>
          <cell r="N34">
            <v>1.3806661568145235</v>
          </cell>
          <cell r="O34">
            <v>1.3792392142456877</v>
          </cell>
        </row>
        <row r="35">
          <cell r="A35">
            <v>30</v>
          </cell>
          <cell r="B35">
            <v>2.57679265504916</v>
          </cell>
          <cell r="C35">
            <v>2.3238418790382989</v>
          </cell>
          <cell r="D35">
            <v>2.1430340648595396</v>
          </cell>
          <cell r="E35">
            <v>1.4810962076906877</v>
          </cell>
          <cell r="F35">
            <v>1.3002078516777988</v>
          </cell>
          <cell r="G35">
            <v>1.5075328090457067</v>
          </cell>
          <cell r="H35">
            <v>1.5146265783833199</v>
          </cell>
          <cell r="I35">
            <v>3.1296709169426942</v>
          </cell>
          <cell r="J35">
            <v>1.3857644384164678</v>
          </cell>
          <cell r="K35">
            <v>0.99444820296550074</v>
          </cell>
          <cell r="L35">
            <v>1.3942274100117908</v>
          </cell>
          <cell r="M35">
            <v>1.4992341281715671</v>
          </cell>
          <cell r="N35">
            <v>1.3995868030743426</v>
          </cell>
          <cell r="O35">
            <v>1.3981221648682516</v>
          </cell>
        </row>
      </sheetData>
      <sheetData sheetId="48">
        <row r="5">
          <cell r="B5" t="str">
            <v>SF Space Heat</v>
          </cell>
          <cell r="C5" t="str">
            <v>SF Heat Pump</v>
          </cell>
          <cell r="D5" t="str">
            <v>MF Space Heat</v>
          </cell>
          <cell r="E5" t="str">
            <v>Res Water Heat</v>
          </cell>
          <cell r="F5" t="str">
            <v>Res Refrigerator</v>
          </cell>
          <cell r="G5" t="str">
            <v>Plug Load</v>
          </cell>
          <cell r="H5" t="str">
            <v>Res Lighting</v>
          </cell>
          <cell r="I5" t="str">
            <v>Comm Space Heat</v>
          </cell>
          <cell r="J5" t="str">
            <v xml:space="preserve">Comm Refrigeration </v>
          </cell>
          <cell r="K5" t="str">
            <v>Comm Cooling</v>
          </cell>
          <cell r="L5" t="str">
            <v xml:space="preserve">Comm Cooking </v>
          </cell>
          <cell r="M5" t="str">
            <v>Comm Lighting</v>
          </cell>
          <cell r="N5" t="str">
            <v xml:space="preserve">Flat </v>
          </cell>
          <cell r="O5" t="str">
            <v xml:space="preserve">Comm Water Heat </v>
          </cell>
        </row>
        <row r="6">
          <cell r="A6">
            <v>1</v>
          </cell>
          <cell r="B6">
            <v>0.15455990613512277</v>
          </cell>
          <cell r="C6">
            <v>0.14466419381144191</v>
          </cell>
          <cell r="D6">
            <v>0.1336217367001924</v>
          </cell>
          <cell r="E6">
            <v>8.7710604730664804E-2</v>
          </cell>
          <cell r="F6">
            <v>7.6336953312507741E-2</v>
          </cell>
          <cell r="G6">
            <v>8.9891382344070458E-2</v>
          </cell>
          <cell r="H6">
            <v>9.0120375179855133E-2</v>
          </cell>
          <cell r="I6">
            <v>0.20107824474794775</v>
          </cell>
          <cell r="J6">
            <v>8.1504833724640402E-2</v>
          </cell>
          <cell r="K6">
            <v>5.2923203036007636E-2</v>
          </cell>
          <cell r="L6">
            <v>8.244840729457073E-2</v>
          </cell>
          <cell r="M6">
            <v>8.8818279823334331E-2</v>
          </cell>
          <cell r="N6">
            <v>8.2724233307783501E-2</v>
          </cell>
          <cell r="O6">
            <v>8.2598269115534736E-2</v>
          </cell>
        </row>
        <row r="7">
          <cell r="A7">
            <v>2</v>
          </cell>
          <cell r="B7">
            <v>0.29999687918929768</v>
          </cell>
          <cell r="C7">
            <v>0.28085882659913913</v>
          </cell>
          <cell r="D7">
            <v>0.25945689378062231</v>
          </cell>
          <cell r="E7">
            <v>0.17078477799863101</v>
          </cell>
          <cell r="F7">
            <v>0.14871557548298223</v>
          </cell>
          <cell r="G7">
            <v>0.17495602807707211</v>
          </cell>
          <cell r="H7">
            <v>0.17542684379719004</v>
          </cell>
          <cell r="I7">
            <v>0.38964927037530528</v>
          </cell>
          <cell r="J7">
            <v>0.15867241435955814</v>
          </cell>
          <cell r="K7">
            <v>0.10353190207282785</v>
          </cell>
          <cell r="L7">
            <v>0.16059856040466303</v>
          </cell>
          <cell r="M7">
            <v>0.17289035901673339</v>
          </cell>
          <cell r="N7">
            <v>0.16104815898446473</v>
          </cell>
          <cell r="O7">
            <v>0.16088013695861114</v>
          </cell>
        </row>
        <row r="8">
          <cell r="A8">
            <v>3</v>
          </cell>
          <cell r="B8">
            <v>0.43737824987207147</v>
          </cell>
          <cell r="C8">
            <v>0.40955934335810157</v>
          </cell>
          <cell r="D8">
            <v>0.37846656079811103</v>
          </cell>
          <cell r="E8">
            <v>0.24954391085685396</v>
          </cell>
          <cell r="F8">
            <v>0.21743228970741513</v>
          </cell>
          <cell r="G8">
            <v>0.25557816107017617</v>
          </cell>
          <cell r="H8">
            <v>0.25623368958764714</v>
          </cell>
          <cell r="I8">
            <v>0.56736811030969292</v>
          </cell>
          <cell r="J8">
            <v>0.23192623612628366</v>
          </cell>
          <cell r="K8">
            <v>0.15171501971971915</v>
          </cell>
          <cell r="L8">
            <v>0.23464693039074502</v>
          </cell>
          <cell r="M8">
            <v>0.25257119045614246</v>
          </cell>
          <cell r="N8">
            <v>0.23533521626565371</v>
          </cell>
          <cell r="O8">
            <v>0.23507386712627443</v>
          </cell>
        </row>
        <row r="9">
          <cell r="A9">
            <v>4</v>
          </cell>
          <cell r="B9">
            <v>0.56582994523350094</v>
          </cell>
          <cell r="C9">
            <v>0.53006593893688281</v>
          </cell>
          <cell r="D9">
            <v>0.48977979409824246</v>
          </cell>
          <cell r="E9">
            <v>0.32372426573800206</v>
          </cell>
          <cell r="F9">
            <v>0.2822679089034148</v>
          </cell>
          <cell r="G9">
            <v>0.33147493526124372</v>
          </cell>
          <cell r="H9">
            <v>0.33234840948702132</v>
          </cell>
          <cell r="I9">
            <v>0.73327714515692932</v>
          </cell>
          <cell r="J9">
            <v>0.30101744293448507</v>
          </cell>
          <cell r="K9">
            <v>0.19779361250300698</v>
          </cell>
          <cell r="L9">
            <v>0.30445190679988432</v>
          </cell>
          <cell r="M9">
            <v>0.32767849187760967</v>
          </cell>
          <cell r="N9">
            <v>0.30537190400292352</v>
          </cell>
          <cell r="O9">
            <v>0.30501172989185393</v>
          </cell>
        </row>
        <row r="10">
          <cell r="A10">
            <v>5</v>
          </cell>
          <cell r="B10">
            <v>0.68751442107994598</v>
          </cell>
          <cell r="C10">
            <v>0.64435318009454134</v>
          </cell>
          <cell r="D10">
            <v>0.59535160265516573</v>
          </cell>
          <cell r="E10">
            <v>0.394774709646734</v>
          </cell>
          <cell r="F10">
            <v>0.3444876341940592</v>
          </cell>
          <cell r="G10">
            <v>0.40409821272842539</v>
          </cell>
          <cell r="H10">
            <v>0.40522673138215576</v>
          </cell>
          <cell r="I10">
            <v>0.89017342727433202</v>
          </cell>
          <cell r="J10">
            <v>0.36741499526711868</v>
          </cell>
          <cell r="K10">
            <v>0.24337933863188463</v>
          </cell>
          <cell r="L10">
            <v>0.37143956490536945</v>
          </cell>
          <cell r="M10">
            <v>0.4000559315876755</v>
          </cell>
          <cell r="N10">
            <v>0.37260285239790247</v>
          </cell>
          <cell r="O10">
            <v>0.37213305115241652</v>
          </cell>
        </row>
        <row r="11">
          <cell r="A11">
            <v>6</v>
          </cell>
          <cell r="B11">
            <v>0.80352513801184644</v>
          </cell>
          <cell r="C11">
            <v>0.75345221747224667</v>
          </cell>
          <cell r="D11">
            <v>0.69610647883999999</v>
          </cell>
          <cell r="E11">
            <v>0.46311115818173132</v>
          </cell>
          <cell r="F11">
            <v>0.40439151498064874</v>
          </cell>
          <cell r="G11">
            <v>0.47388311408729711</v>
          </cell>
          <cell r="H11">
            <v>0.47522677056200457</v>
          </cell>
          <cell r="I11">
            <v>1.0392730475515874</v>
          </cell>
          <cell r="J11">
            <v>0.43128180149869105</v>
          </cell>
          <cell r="K11">
            <v>0.28745850432423115</v>
          </cell>
          <cell r="L11">
            <v>0.4357671400371439</v>
          </cell>
          <cell r="M11">
            <v>0.46938208649684265</v>
          </cell>
          <cell r="N11">
            <v>0.43721990072378891</v>
          </cell>
          <cell r="O11">
            <v>0.43661169031889391</v>
          </cell>
        </row>
        <row r="12">
          <cell r="A12">
            <v>7</v>
          </cell>
          <cell r="B12">
            <v>0.91327788818151034</v>
          </cell>
          <cell r="C12">
            <v>0.85684445885833493</v>
          </cell>
          <cell r="D12">
            <v>0.79136669988547359</v>
          </cell>
          <cell r="E12">
            <v>0.52818424090511129</v>
          </cell>
          <cell r="F12">
            <v>0.46134418723149095</v>
          </cell>
          <cell r="G12">
            <v>0.54019832334479423</v>
          </cell>
          <cell r="H12">
            <v>0.54181695905863736</v>
          </cell>
          <cell r="I12">
            <v>1.1794651969326497</v>
          </cell>
          <cell r="J12">
            <v>0.4919059861868208</v>
          </cell>
          <cell r="K12">
            <v>0.329738105098274</v>
          </cell>
          <cell r="L12">
            <v>0.49694234253663822</v>
          </cell>
          <cell r="M12">
            <v>0.53500404017047576</v>
          </cell>
          <cell r="N12">
            <v>0.49857863574435091</v>
          </cell>
          <cell r="O12">
            <v>0.49793336683206924</v>
          </cell>
        </row>
        <row r="13">
          <cell r="A13">
            <v>8</v>
          </cell>
          <cell r="B13">
            <v>1.0168138882196709</v>
          </cell>
          <cell r="C13">
            <v>0.95448136428379071</v>
          </cell>
          <cell r="D13">
            <v>0.88137393620227911</v>
          </cell>
          <cell r="E13">
            <v>0.59020546540825847</v>
          </cell>
          <cell r="F13">
            <v>0.51572605842891739</v>
          </cell>
          <cell r="G13">
            <v>0.60333154336653616</v>
          </cell>
          <cell r="H13">
            <v>0.60531194732462024</v>
          </cell>
          <cell r="I13">
            <v>1.3113856730997047</v>
          </cell>
          <cell r="J13">
            <v>0.54966743075559432</v>
          </cell>
          <cell r="K13">
            <v>0.37063019380547529</v>
          </cell>
          <cell r="L13">
            <v>0.55535628593811337</v>
          </cell>
          <cell r="M13">
            <v>0.59754089605422145</v>
          </cell>
          <cell r="N13">
            <v>0.55707401570618653</v>
          </cell>
          <cell r="O13">
            <v>0.55647681653635062</v>
          </cell>
        </row>
        <row r="14">
          <cell r="A14">
            <v>9</v>
          </cell>
          <cell r="B14">
            <v>1.1134471464697127</v>
          </cell>
          <cell r="C14">
            <v>1.0455085814804312</v>
          </cell>
          <cell r="D14">
            <v>0.96508217423429676</v>
          </cell>
          <cell r="E14">
            <v>0.64734036452105759</v>
          </cell>
          <cell r="F14">
            <v>0.56551673033829331</v>
          </cell>
          <cell r="G14">
            <v>0.66149962307983157</v>
          </cell>
          <cell r="H14">
            <v>0.66374072531467054</v>
          </cell>
          <cell r="I14">
            <v>1.4345809280670516</v>
          </cell>
          <cell r="J14">
            <v>0.60291328664170196</v>
          </cell>
          <cell r="K14">
            <v>0.40793495019928921</v>
          </cell>
          <cell r="L14">
            <v>0.60891646129934773</v>
          </cell>
          <cell r="M14">
            <v>0.65520954107124774</v>
          </cell>
          <cell r="N14">
            <v>0.61085047903788847</v>
          </cell>
          <cell r="O14">
            <v>0.61020881013572881</v>
          </cell>
        </row>
        <row r="15">
          <cell r="A15">
            <v>10</v>
          </cell>
          <cell r="B15">
            <v>1.2052085430966839</v>
          </cell>
          <cell r="C15">
            <v>1.1322399001121952</v>
          </cell>
          <cell r="D15">
            <v>1.0446355917917645</v>
          </cell>
          <cell r="E15">
            <v>0.70225444949972815</v>
          </cell>
          <cell r="F15">
            <v>0.61342022814050079</v>
          </cell>
          <cell r="G15">
            <v>0.71729000017084144</v>
          </cell>
          <cell r="H15">
            <v>0.71984098138787167</v>
          </cell>
          <cell r="I15">
            <v>1.5514774203967716</v>
          </cell>
          <cell r="J15">
            <v>0.65434167702711821</v>
          </cell>
          <cell r="K15">
            <v>0.44540912306653169</v>
          </cell>
          <cell r="L15">
            <v>0.66044109008528884</v>
          </cell>
          <cell r="M15">
            <v>0.71115894145690994</v>
          </cell>
          <cell r="N15">
            <v>0.66268115359846069</v>
          </cell>
          <cell r="O15">
            <v>0.6619043817171244</v>
          </cell>
        </row>
        <row r="16">
          <cell r="A16">
            <v>11</v>
          </cell>
          <cell r="B16">
            <v>1.2926933418719413</v>
          </cell>
          <cell r="C16">
            <v>1.2150220893470705</v>
          </cell>
          <cell r="D16">
            <v>1.120781134419095</v>
          </cell>
          <cell r="E16">
            <v>0.75569201804727992</v>
          </cell>
          <cell r="F16">
            <v>0.66027202102723792</v>
          </cell>
          <cell r="G16">
            <v>0.7715345935728849</v>
          </cell>
          <cell r="H16">
            <v>0.77445012403240243</v>
          </cell>
          <cell r="I16">
            <v>1.662969750840682</v>
          </cell>
          <cell r="J16">
            <v>0.70460559788336385</v>
          </cell>
          <cell r="K16">
            <v>0.48329185455332169</v>
          </cell>
          <cell r="L16">
            <v>0.71081401816862777</v>
          </cell>
          <cell r="M16">
            <v>0.76604901657950641</v>
          </cell>
          <cell r="N16">
            <v>0.71333558197893765</v>
          </cell>
          <cell r="O16">
            <v>0.71241803060006315</v>
          </cell>
        </row>
        <row r="17">
          <cell r="A17">
            <v>12</v>
          </cell>
          <cell r="B17">
            <v>1.3746563727882506</v>
          </cell>
          <cell r="C17">
            <v>1.2926273876748091</v>
          </cell>
          <cell r="D17">
            <v>1.1920957732435506</v>
          </cell>
          <cell r="E17">
            <v>0.80545627451507174</v>
          </cell>
          <cell r="F17">
            <v>0.7038800334249854</v>
          </cell>
          <cell r="G17">
            <v>0.82207156094727507</v>
          </cell>
          <cell r="H17">
            <v>0.82520087190541347</v>
          </cell>
          <cell r="I17">
            <v>1.7669688023150005</v>
          </cell>
          <cell r="J17">
            <v>0.75133938147724977</v>
          </cell>
          <cell r="K17">
            <v>0.51774389811457655</v>
          </cell>
          <cell r="L17">
            <v>0.75747484054610936</v>
          </cell>
          <cell r="M17">
            <v>0.81659460802499151</v>
          </cell>
          <cell r="N17">
            <v>0.76037969221686463</v>
          </cell>
          <cell r="O17">
            <v>0.75927187887251479</v>
          </cell>
        </row>
        <row r="18">
          <cell r="A18">
            <v>13</v>
          </cell>
          <cell r="B18">
            <v>1.448177809455383</v>
          </cell>
          <cell r="C18">
            <v>1.3620912917848103</v>
          </cell>
          <cell r="D18">
            <v>1.2559107122145972</v>
          </cell>
          <cell r="E18">
            <v>0.84952495921167437</v>
          </cell>
          <cell r="F18">
            <v>0.74236676536044344</v>
          </cell>
          <cell r="G18">
            <v>0.86686469505985653</v>
          </cell>
          <cell r="H18">
            <v>0.87025954578256681</v>
          </cell>
          <cell r="I18">
            <v>1.8604322620213094</v>
          </cell>
          <cell r="J18">
            <v>0.79238243783463824</v>
          </cell>
          <cell r="K18">
            <v>0.54720096955137454</v>
          </cell>
          <cell r="L18">
            <v>0.79881441566538147</v>
          </cell>
          <cell r="M18">
            <v>0.86092431962269511</v>
          </cell>
          <cell r="N18">
            <v>0.80184295073282619</v>
          </cell>
          <cell r="O18">
            <v>0.80075347782471695</v>
          </cell>
        </row>
        <row r="19">
          <cell r="A19">
            <v>14</v>
          </cell>
          <cell r="B19">
            <v>1.5177176217275825</v>
          </cell>
          <cell r="C19">
            <v>1.4278553305658517</v>
          </cell>
          <cell r="D19">
            <v>1.3163197086533889</v>
          </cell>
          <cell r="E19">
            <v>0.89168732799737005</v>
          </cell>
          <cell r="F19">
            <v>0.77923098496578214</v>
          </cell>
          <cell r="G19">
            <v>0.90967067259111223</v>
          </cell>
          <cell r="H19">
            <v>0.91342048402939413</v>
          </cell>
          <cell r="I19">
            <v>1.9484811517071901</v>
          </cell>
          <cell r="J19">
            <v>0.83162096445071121</v>
          </cell>
          <cell r="K19">
            <v>0.57579402585884587</v>
          </cell>
          <cell r="L19">
            <v>0.83846428845432741</v>
          </cell>
          <cell r="M19">
            <v>0.90332827189554932</v>
          </cell>
          <cell r="N19">
            <v>0.84152780163647734</v>
          </cell>
          <cell r="O19">
            <v>0.84051375452198718</v>
          </cell>
        </row>
        <row r="20">
          <cell r="A20">
            <v>15</v>
          </cell>
          <cell r="B20">
            <v>1.5838925724513431</v>
          </cell>
          <cell r="C20">
            <v>1.4904712992590716</v>
          </cell>
          <cell r="D20">
            <v>1.3739381806025568</v>
          </cell>
          <cell r="E20">
            <v>0.93186501914492781</v>
          </cell>
          <cell r="F20">
            <v>0.8144530138682099</v>
          </cell>
          <cell r="G20">
            <v>0.9504805965452906</v>
          </cell>
          <cell r="H20">
            <v>0.95443978524895223</v>
          </cell>
          <cell r="I20">
            <v>2.0319084332239044</v>
          </cell>
          <cell r="J20">
            <v>0.86920222889613219</v>
          </cell>
          <cell r="K20">
            <v>0.60325548860022871</v>
          </cell>
          <cell r="L20">
            <v>0.87618051239425299</v>
          </cell>
          <cell r="M20">
            <v>0.94382426354539417</v>
          </cell>
          <cell r="N20">
            <v>0.87941044672293356</v>
          </cell>
          <cell r="O20">
            <v>0.87836650186921894</v>
          </cell>
        </row>
        <row r="21">
          <cell r="A21">
            <v>16</v>
          </cell>
          <cell r="B21">
            <v>1.6457238652303388</v>
          </cell>
          <cell r="C21">
            <v>1.5490523090205484</v>
          </cell>
          <cell r="D21">
            <v>1.4277358322032423</v>
          </cell>
          <cell r="E21">
            <v>0.96945243161636663</v>
          </cell>
          <cell r="F21">
            <v>0.84738125006889919</v>
          </cell>
          <cell r="G21">
            <v>0.9886591929097166</v>
          </cell>
          <cell r="H21">
            <v>0.9928325067534729</v>
          </cell>
          <cell r="I21">
            <v>2.1102799966607924</v>
          </cell>
          <cell r="J21">
            <v>0.90449089476905409</v>
          </cell>
          <cell r="K21">
            <v>0.6294860723462451</v>
          </cell>
          <cell r="L21">
            <v>0.91154188908181388</v>
          </cell>
          <cell r="M21">
            <v>0.98210163486113067</v>
          </cell>
          <cell r="N21">
            <v>0.91494915537255073</v>
          </cell>
          <cell r="O21">
            <v>0.91384418802951939</v>
          </cell>
        </row>
        <row r="22">
          <cell r="A22">
            <v>17</v>
          </cell>
          <cell r="B22">
            <v>1.7046668965385772</v>
          </cell>
          <cell r="C22">
            <v>1.605046897560293</v>
          </cell>
          <cell r="D22">
            <v>1.4791857777513835</v>
          </cell>
          <cell r="E22">
            <v>1.0060142079592171</v>
          </cell>
          <cell r="F22">
            <v>0.87956562165826069</v>
          </cell>
          <cell r="G22">
            <v>1.0257920535976839</v>
          </cell>
          <cell r="H22">
            <v>1.0302786748161137</v>
          </cell>
          <cell r="I22">
            <v>2.1848800372726469</v>
          </cell>
          <cell r="J22">
            <v>0.93880431360326477</v>
          </cell>
          <cell r="K22">
            <v>0.65541284605880112</v>
          </cell>
          <cell r="L22">
            <v>0.9460988771163108</v>
          </cell>
          <cell r="M22">
            <v>1.0192418173795754</v>
          </cell>
          <cell r="N22">
            <v>0.94958853265565701</v>
          </cell>
          <cell r="O22">
            <v>0.94849600835156245</v>
          </cell>
        </row>
        <row r="23">
          <cell r="A23">
            <v>18</v>
          </cell>
          <cell r="B23">
            <v>1.7610354015857719</v>
          </cell>
          <cell r="C23">
            <v>1.6586726613798581</v>
          </cell>
          <cell r="D23">
            <v>1.5284502279130001</v>
          </cell>
          <cell r="E23">
            <v>1.0411162583369884</v>
          </cell>
          <cell r="F23">
            <v>0.91048128387933969</v>
          </cell>
          <cell r="G23">
            <v>1.0614064861740238</v>
          </cell>
          <cell r="H23">
            <v>1.0661553680987303</v>
          </cell>
          <cell r="I23">
            <v>2.2555633361270462</v>
          </cell>
          <cell r="J23">
            <v>0.97166616436777398</v>
          </cell>
          <cell r="K23">
            <v>0.68008296533793333</v>
          </cell>
          <cell r="L23">
            <v>0.97915727001717823</v>
          </cell>
          <cell r="M23">
            <v>1.0544330861766569</v>
          </cell>
          <cell r="N23">
            <v>0.98271635630123111</v>
          </cell>
          <cell r="O23">
            <v>0.98168351625898809</v>
          </cell>
        </row>
        <row r="24">
          <cell r="A24">
            <v>19</v>
          </cell>
          <cell r="B24">
            <v>1.8148547146119425</v>
          </cell>
          <cell r="C24">
            <v>1.7099082078012076</v>
          </cell>
          <cell r="D24">
            <v>1.5755116307444545</v>
          </cell>
          <cell r="E24">
            <v>1.074964523055544</v>
          </cell>
          <cell r="F24">
            <v>0.94029096915681543</v>
          </cell>
          <cell r="G24">
            <v>1.0956750017839254</v>
          </cell>
          <cell r="H24">
            <v>1.1006931226791203</v>
          </cell>
          <cell r="I24">
            <v>2.3227675934041119</v>
          </cell>
          <cell r="J24">
            <v>1.0032882607799998</v>
          </cell>
          <cell r="K24">
            <v>0.70414600649367276</v>
          </cell>
          <cell r="L24">
            <v>1.0110193872151234</v>
          </cell>
          <cell r="M24">
            <v>1.0883305381517641</v>
          </cell>
          <cell r="N24">
            <v>1.0146076189510793</v>
          </cell>
          <cell r="O24">
            <v>1.0136625167244415</v>
          </cell>
        </row>
        <row r="25">
          <cell r="A25">
            <v>20</v>
          </cell>
          <cell r="B25">
            <v>1.8657861552269326</v>
          </cell>
          <cell r="C25">
            <v>1.7583803226173902</v>
          </cell>
          <cell r="D25">
            <v>1.6202056461900853</v>
          </cell>
          <cell r="E25">
            <v>1.1073572158167395</v>
          </cell>
          <cell r="F25">
            <v>0.96896730369728279</v>
          </cell>
          <cell r="G25">
            <v>1.1284609017702238</v>
          </cell>
          <cell r="H25">
            <v>1.1337588671292516</v>
          </cell>
          <cell r="I25">
            <v>2.3860694924692738</v>
          </cell>
          <cell r="J25">
            <v>1.0335882519502015</v>
          </cell>
          <cell r="K25">
            <v>0.727343035393752</v>
          </cell>
          <cell r="L25">
            <v>1.0416109867722172</v>
          </cell>
          <cell r="M25">
            <v>1.1207940813941168</v>
          </cell>
          <cell r="N25">
            <v>1.0451969533838172</v>
          </cell>
          <cell r="O25">
            <v>1.04434206807192</v>
          </cell>
        </row>
        <row r="26">
          <cell r="A26">
            <v>21</v>
          </cell>
          <cell r="B26">
            <v>1.9162352740555839</v>
          </cell>
          <cell r="C26">
            <v>1.8043982906931921</v>
          </cell>
          <cell r="D26">
            <v>1.6627875859602734</v>
          </cell>
          <cell r="E26">
            <v>1.138106759184468</v>
          </cell>
          <cell r="F26">
            <v>0.99629776123280789</v>
          </cell>
          <cell r="G26">
            <v>1.1596174992837931</v>
          </cell>
          <cell r="H26">
            <v>1.1650599948901643</v>
          </cell>
          <cell r="I26">
            <v>2.4461129034688258</v>
          </cell>
          <cell r="J26">
            <v>1.0626452768113777</v>
          </cell>
          <cell r="K26">
            <v>0.74975575101031389</v>
          </cell>
          <cell r="L26">
            <v>1.070639110457738</v>
          </cell>
          <cell r="M26">
            <v>1.1519535006650474</v>
          </cell>
          <cell r="N26">
            <v>1.0743918884034345</v>
          </cell>
          <cell r="O26">
            <v>1.0734731644129254</v>
          </cell>
        </row>
        <row r="27">
          <cell r="A27">
            <v>22</v>
          </cell>
          <cell r="B27">
            <v>1.9657703007735676</v>
          </cell>
          <cell r="C27">
            <v>1.847650547117198</v>
          </cell>
          <cell r="D27">
            <v>1.7028181487965612</v>
          </cell>
          <cell r="E27">
            <v>1.1670833915399825</v>
          </cell>
          <cell r="F27">
            <v>1.0220689858356271</v>
          </cell>
          <cell r="G27">
            <v>1.1889703813178893</v>
          </cell>
          <cell r="H27">
            <v>1.1945499187839814</v>
          </cell>
          <cell r="I27">
            <v>2.5024519675845331</v>
          </cell>
          <cell r="J27">
            <v>1.0900351973338134</v>
          </cell>
          <cell r="K27">
            <v>0.77095192833196313</v>
          </cell>
          <cell r="L27">
            <v>1.0979985439245323</v>
          </cell>
          <cell r="M27">
            <v>1.181312176295334</v>
          </cell>
          <cell r="N27">
            <v>1.1019081778651678</v>
          </cell>
          <cell r="O27">
            <v>1.1009299119291605</v>
          </cell>
        </row>
        <row r="28">
          <cell r="A28">
            <v>23</v>
          </cell>
          <cell r="B28">
            <v>2.0145143975554971</v>
          </cell>
          <cell r="C28">
            <v>1.8883089751674769</v>
          </cell>
          <cell r="D28">
            <v>1.7404553919941876</v>
          </cell>
          <cell r="E28">
            <v>1.194392441465582</v>
          </cell>
          <cell r="F28">
            <v>1.0463724975583979</v>
          </cell>
          <cell r="G28">
            <v>1.2166272003827727</v>
          </cell>
          <cell r="H28">
            <v>1.2223366793354011</v>
          </cell>
          <cell r="I28">
            <v>2.5553230830430724</v>
          </cell>
          <cell r="J28">
            <v>1.1158565025878135</v>
          </cell>
          <cell r="K28">
            <v>0.79099874536123882</v>
          </cell>
          <cell r="L28">
            <v>1.1237880894142331</v>
          </cell>
          <cell r="M28">
            <v>1.2089773732075058</v>
          </cell>
          <cell r="N28">
            <v>1.1278452381845372</v>
          </cell>
          <cell r="O28">
            <v>1.1268114302942234</v>
          </cell>
        </row>
        <row r="29">
          <cell r="A29">
            <v>24</v>
          </cell>
          <cell r="B29">
            <v>2.0625835049532233</v>
          </cell>
          <cell r="C29">
            <v>1.9265344102351851</v>
          </cell>
          <cell r="D29">
            <v>1.7758472452080891</v>
          </cell>
          <cell r="E29">
            <v>1.2201327706815861</v>
          </cell>
          <cell r="F29">
            <v>1.0692942701753589</v>
          </cell>
          <cell r="G29">
            <v>1.2426889671784793</v>
          </cell>
          <cell r="H29">
            <v>1.2485216551517335</v>
          </cell>
          <cell r="I29">
            <v>2.604947067411906</v>
          </cell>
          <cell r="J29">
            <v>1.1402016708743992</v>
          </cell>
          <cell r="K29">
            <v>0.80995958856310823</v>
          </cell>
          <cell r="L29">
            <v>1.1481005048654835</v>
          </cell>
          <cell r="M29">
            <v>1.2350497520988284</v>
          </cell>
          <cell r="N29">
            <v>1.1522964022806614</v>
          </cell>
          <cell r="O29">
            <v>1.151210776614134</v>
          </cell>
        </row>
        <row r="30">
          <cell r="A30">
            <v>25</v>
          </cell>
          <cell r="B30">
            <v>2.1100869000224938</v>
          </cell>
          <cell r="C30">
            <v>1.9624773727742</v>
          </cell>
          <cell r="D30">
            <v>1.8091321804438134</v>
          </cell>
          <cell r="E30">
            <v>1.2443971847672215</v>
          </cell>
          <cell r="F30">
            <v>1.0909150788340454</v>
          </cell>
          <cell r="G30">
            <v>1.2672504744669015</v>
          </cell>
          <cell r="H30">
            <v>1.2731999878370976</v>
          </cell>
          <cell r="I30">
            <v>2.6515302145800752</v>
          </cell>
          <cell r="J30">
            <v>1.1631575491924275</v>
          </cell>
          <cell r="K30">
            <v>0.827894272618938</v>
          </cell>
          <cell r="L30">
            <v>1.1710228864152958</v>
          </cell>
          <cell r="M30">
            <v>1.2596237900545721</v>
          </cell>
          <cell r="N30">
            <v>1.1753493046607382</v>
          </cell>
          <cell r="O30">
            <v>1.1742153290112725</v>
          </cell>
        </row>
        <row r="31">
          <cell r="A31">
            <v>26</v>
          </cell>
          <cell r="B31">
            <v>2.1571277147722547</v>
          </cell>
          <cell r="C31">
            <v>1.9962787512452995</v>
          </cell>
          <cell r="D31">
            <v>1.8404398364499031</v>
          </cell>
          <cell r="E31">
            <v>1.2672728169313994</v>
          </cell>
          <cell r="F31">
            <v>1.1113108251765091</v>
          </cell>
          <cell r="G31">
            <v>1.2904006930061471</v>
          </cell>
          <cell r="H31">
            <v>1.2964609789148749</v>
          </cell>
          <cell r="I31">
            <v>2.6952652782624571</v>
          </cell>
          <cell r="J31">
            <v>1.1848057079461176</v>
          </cell>
          <cell r="K31">
            <v>0.84485924704765558</v>
          </cell>
          <cell r="L31">
            <v>1.1926370258864452</v>
          </cell>
          <cell r="M31">
            <v>1.2827881734906663</v>
          </cell>
          <cell r="N31">
            <v>1.1970862413153247</v>
          </cell>
          <cell r="O31">
            <v>1.1959071451280503</v>
          </cell>
        </row>
        <row r="32">
          <cell r="A32">
            <v>27</v>
          </cell>
          <cell r="B32">
            <v>2.2038034178742354</v>
          </cell>
          <cell r="C32">
            <v>2.0280704385472101</v>
          </cell>
          <cell r="D32">
            <v>1.8698916006899502</v>
          </cell>
          <cell r="E32">
            <v>1.2888414866545999</v>
          </cell>
          <cell r="F32">
            <v>1.1305528414359585</v>
          </cell>
          <cell r="G32">
            <v>1.3122231414425056</v>
          </cell>
          <cell r="H32">
            <v>1.3183884606565495</v>
          </cell>
          <cell r="I32">
            <v>2.7363323872366161</v>
          </cell>
          <cell r="J32">
            <v>1.2052227725579079</v>
          </cell>
          <cell r="K32">
            <v>0.8609077905054624</v>
          </cell>
          <cell r="L32">
            <v>1.2130197449462763</v>
          </cell>
          <cell r="M32">
            <v>1.3046261652998739</v>
          </cell>
          <cell r="N32">
            <v>1.2175845061219779</v>
          </cell>
          <cell r="O32">
            <v>1.216363297239889</v>
          </cell>
        </row>
        <row r="33">
          <cell r="A33">
            <v>28</v>
          </cell>
          <cell r="B33">
            <v>2.2502062623540215</v>
          </cell>
          <cell r="C33">
            <v>2.057975925178364</v>
          </cell>
          <cell r="D33">
            <v>1.8976011518467375</v>
          </cell>
          <cell r="E33">
            <v>1.3091800348968798</v>
          </cell>
          <cell r="F33">
            <v>1.1487081749113319</v>
          </cell>
          <cell r="G33">
            <v>1.3327962319235951</v>
          </cell>
          <cell r="H33">
            <v>1.3390611425831649</v>
          </cell>
          <cell r="I33">
            <v>2.7748998971464252</v>
          </cell>
          <cell r="J33">
            <v>1.2244807335366601</v>
          </cell>
          <cell r="K33">
            <v>0.87609019352361028</v>
          </cell>
          <cell r="L33">
            <v>1.2322432075057992</v>
          </cell>
          <cell r="M33">
            <v>1.3252159479454984</v>
          </cell>
          <cell r="N33">
            <v>1.2369167053374512</v>
          </cell>
          <cell r="O33">
            <v>1.2356561855503156</v>
          </cell>
        </row>
        <row r="34">
          <cell r="A34">
            <v>29</v>
          </cell>
          <cell r="B34">
            <v>2.2964237017845441</v>
          </cell>
          <cell r="C34">
            <v>2.0861108521426424</v>
          </cell>
          <cell r="D34">
            <v>1.9236749656013794</v>
          </cell>
          <cell r="E34">
            <v>1.3283606374497428</v>
          </cell>
          <cell r="F34">
            <v>1.1658398541261894</v>
          </cell>
          <cell r="G34">
            <v>1.3521935930738471</v>
          </cell>
          <cell r="H34">
            <v>1.3585529352830694</v>
          </cell>
          <cell r="I34">
            <v>2.8111251833589614</v>
          </cell>
          <cell r="J34">
            <v>1.2426472364444479</v>
          </cell>
          <cell r="K34">
            <v>0.89045393039532605</v>
          </cell>
          <cell r="L34">
            <v>1.2503752118196798</v>
          </cell>
          <cell r="M34">
            <v>1.344630944125758</v>
          </cell>
          <cell r="N34">
            <v>1.2551510516495665</v>
          </cell>
          <cell r="O34">
            <v>1.2538538311324439</v>
          </cell>
        </row>
        <row r="35">
          <cell r="A35">
            <v>30</v>
          </cell>
          <cell r="B35">
            <v>2.3425387773174182</v>
          </cell>
          <cell r="C35">
            <v>2.112583526398454</v>
          </cell>
          <cell r="D35">
            <v>1.9482127862359451</v>
          </cell>
          <cell r="E35">
            <v>1.3464510979006257</v>
          </cell>
          <cell r="F35">
            <v>1.1820071378889083</v>
          </cell>
          <cell r="G35">
            <v>1.3704843718597333</v>
          </cell>
          <cell r="H35">
            <v>1.3769332530757454</v>
          </cell>
          <cell r="I35">
            <v>2.8451553790388133</v>
          </cell>
          <cell r="J35">
            <v>1.2597858531058801</v>
          </cell>
          <cell r="K35">
            <v>0.90404382087772805</v>
          </cell>
          <cell r="L35">
            <v>1.2674794636470827</v>
          </cell>
          <cell r="M35">
            <v>1.3629401165196064</v>
          </cell>
          <cell r="N35">
            <v>1.272351639158493</v>
          </cell>
          <cell r="O35">
            <v>1.2710201498802289</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ary"/>
      <sheetName val="E250"/>
      <sheetName val="E251"/>
      <sheetName val="E253"/>
      <sheetName val="E255"/>
      <sheetName val="E258"/>
      <sheetName val="E261"/>
      <sheetName val="E262"/>
      <sheetName val="G205"/>
      <sheetName val="G208"/>
      <sheetName val="G251"/>
      <sheetName val="G261"/>
      <sheetName val="G262"/>
      <sheetName val="Gen&amp;T&amp;D"/>
      <sheetName val="InHouseProgs"/>
      <sheetName val="ContractProgs"/>
      <sheetName val="Labor-EG"/>
      <sheetName val="Emp Exp-E"/>
      <sheetName val="Emp Exp-G"/>
      <sheetName val="Out Svc-EG"/>
      <sheetName val="Matls-E"/>
      <sheetName val="Matls-G"/>
      <sheetName val="Misc-E"/>
      <sheetName val="Misc-G"/>
      <sheetName val="Mktg-Non-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5">
          <cell r="AC75">
            <v>1755000</v>
          </cell>
        </row>
      </sheetData>
      <sheetData sheetId="17"/>
      <sheetData sheetId="18"/>
      <sheetData sheetId="19"/>
      <sheetData sheetId="20"/>
      <sheetData sheetId="21"/>
      <sheetData sheetId="22"/>
      <sheetData sheetId="23"/>
      <sheetData sheetId="24">
        <row r="31">
          <cell r="N31">
            <v>42000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0.xml"/><Relationship Id="rId1" Type="http://schemas.openxmlformats.org/officeDocument/2006/relationships/printerSettings" Target="../printerSettings/printerSettings66.bin"/><Relationship Id="rId4" Type="http://schemas.openxmlformats.org/officeDocument/2006/relationships/comments" Target="../comments8.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s>
</file>

<file path=xl/worksheets/sheet1.xml><?xml version="1.0" encoding="utf-8"?>
<worksheet xmlns="http://schemas.openxmlformats.org/spreadsheetml/2006/main" xmlns:r="http://schemas.openxmlformats.org/officeDocument/2006/relationships">
  <dimension ref="B1:D17"/>
  <sheetViews>
    <sheetView topLeftCell="A13" workbookViewId="0">
      <selection activeCell="C21" sqref="C21"/>
    </sheetView>
  </sheetViews>
  <sheetFormatPr defaultColWidth="8.85546875" defaultRowHeight="12.75"/>
  <cols>
    <col min="1" max="1" width="2.7109375" customWidth="1"/>
    <col min="2" max="2" width="20.7109375" customWidth="1"/>
    <col min="3" max="3" width="99.42578125" style="2352" customWidth="1"/>
  </cols>
  <sheetData>
    <row r="1" spans="2:4" ht="18">
      <c r="B1" s="2360" t="s">
        <v>926</v>
      </c>
      <c r="C1" s="2358"/>
      <c r="D1" s="2359"/>
    </row>
    <row r="2" spans="2:4" ht="18">
      <c r="B2" s="2360"/>
      <c r="C2" s="2358"/>
      <c r="D2" s="2359"/>
    </row>
    <row r="3" spans="2:4">
      <c r="B3" s="5110" t="s">
        <v>927</v>
      </c>
      <c r="C3" s="5110"/>
      <c r="D3" s="2362"/>
    </row>
    <row r="4" spans="2:4">
      <c r="B4" s="2361"/>
      <c r="C4" s="2357"/>
      <c r="D4" s="2359"/>
    </row>
    <row r="5" spans="2:4" ht="63" customHeight="1">
      <c r="B5" s="2363" t="s">
        <v>928</v>
      </c>
      <c r="C5" s="2356" t="s">
        <v>929</v>
      </c>
      <c r="D5" s="2362"/>
    </row>
    <row r="6" spans="2:4">
      <c r="B6" s="2361"/>
      <c r="C6" s="2357"/>
      <c r="D6" s="2362"/>
    </row>
    <row r="7" spans="2:4" ht="64.5" customHeight="1">
      <c r="B7" s="2364" t="s">
        <v>930</v>
      </c>
      <c r="C7" s="2355" t="s">
        <v>931</v>
      </c>
      <c r="D7" s="2362"/>
    </row>
    <row r="8" spans="2:4" ht="54" customHeight="1">
      <c r="B8" s="2364" t="s">
        <v>932</v>
      </c>
      <c r="C8" s="2354" t="s">
        <v>936</v>
      </c>
      <c r="D8" s="2362"/>
    </row>
    <row r="9" spans="2:4" ht="36" customHeight="1">
      <c r="B9" s="2364" t="s">
        <v>10</v>
      </c>
      <c r="C9" s="2354" t="s">
        <v>937</v>
      </c>
      <c r="D9" s="2362"/>
    </row>
    <row r="10" spans="2:4" ht="43.5" customHeight="1">
      <c r="B10" s="2364" t="s">
        <v>640</v>
      </c>
      <c r="C10" s="2353" t="s">
        <v>918</v>
      </c>
      <c r="D10" s="2362"/>
    </row>
    <row r="11" spans="2:4" ht="42.75" customHeight="1">
      <c r="B11" s="2364" t="s">
        <v>12</v>
      </c>
      <c r="C11" s="2354" t="s">
        <v>919</v>
      </c>
      <c r="D11" s="2362"/>
    </row>
    <row r="12" spans="2:4" ht="52.5" customHeight="1">
      <c r="B12" s="2365" t="s">
        <v>13</v>
      </c>
      <c r="C12" s="2355" t="s">
        <v>938</v>
      </c>
      <c r="D12" s="2362"/>
    </row>
    <row r="13" spans="2:4" ht="54.75" customHeight="1">
      <c r="B13" s="2364" t="s">
        <v>14</v>
      </c>
      <c r="C13" s="2354" t="s">
        <v>933</v>
      </c>
      <c r="D13" s="2362"/>
    </row>
    <row r="14" spans="2:4" ht="36.75" customHeight="1">
      <c r="B14" s="2364" t="s">
        <v>15</v>
      </c>
      <c r="C14" s="2354" t="s">
        <v>934</v>
      </c>
      <c r="D14" s="2362"/>
    </row>
    <row r="15" spans="2:4" ht="69" customHeight="1">
      <c r="B15" s="2364" t="s">
        <v>16</v>
      </c>
      <c r="C15" s="2354" t="s">
        <v>939</v>
      </c>
      <c r="D15" s="2362"/>
    </row>
    <row r="16" spans="2:4" ht="32.25" customHeight="1">
      <c r="B16" s="2364" t="s">
        <v>17</v>
      </c>
      <c r="C16" s="2354" t="s">
        <v>924</v>
      </c>
      <c r="D16" s="2362"/>
    </row>
    <row r="17" spans="2:3" ht="36.75" customHeight="1">
      <c r="B17" s="2364" t="s">
        <v>935</v>
      </c>
      <c r="C17" s="2354" t="s">
        <v>925</v>
      </c>
    </row>
  </sheetData>
  <customSheetViews>
    <customSheetView guid="{074EB09C-6289-46D7-9513-012B68BCA7BF}" topLeftCell="A13">
      <selection activeCell="C21" sqref="C21"/>
      <pageMargins left="0.26" right="0.17" top="0.75" bottom="0.75" header="0.3" footer="0.3"/>
      <pageSetup scale="80" orientation="portrait" r:id="rId1"/>
    </customSheetView>
    <customSheetView guid="{AF9F1D33-B8C2-423F-86A1-47612B8F532C}" topLeftCell="A13">
      <selection activeCell="C21" sqref="C21"/>
      <pageMargins left="0.7" right="0.7" top="0.75" bottom="0.75" header="0.3" footer="0.3"/>
      <pageSetup scale="80" orientation="portrait"/>
    </customSheetView>
  </customSheetViews>
  <mergeCells count="1">
    <mergeCell ref="B3:C3"/>
  </mergeCells>
  <pageMargins left="0.26" right="0.17" top="0.75" bottom="0.75" header="0.3" footer="0.3"/>
  <pageSetup paperSize="3" scale="80" orientation="landscape"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enableFormatConditionsCalculation="0">
    <tabColor theme="3" tint="0.59999389629810485"/>
    <pageSetUpPr fitToPage="1"/>
  </sheetPr>
  <dimension ref="A1:Y105"/>
  <sheetViews>
    <sheetView zoomScaleNormal="10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6.28515625" style="3064" customWidth="1"/>
    <col min="2" max="2" width="19.42578125" customWidth="1"/>
    <col min="3" max="3" width="32.42578125" customWidth="1"/>
    <col min="4" max="4" width="16" style="19" customWidth="1"/>
    <col min="5" max="5" width="16" customWidth="1"/>
    <col min="6" max="6" width="17"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6"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6"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6"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6"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6"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6"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6"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6"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6"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6"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6"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6"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6"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6"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6"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6"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6"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6"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6"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6"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6"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6"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6"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6"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6"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6"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6"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6"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6"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6"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6"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6"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6"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6"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6"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6"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6"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6"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6"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6"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6"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6"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6"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6"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6"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6"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6"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6"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6"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6"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6"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6"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6"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6"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6"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6"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6"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6"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6"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6"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6"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6"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6"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3.5" customHeight="1" thickBot="1">
      <c r="B1" s="3461"/>
      <c r="F1" s="198"/>
      <c r="G1" s="198">
        <f>C3</f>
        <v>18230627</v>
      </c>
      <c r="H1" s="198" t="str">
        <f>C4</f>
        <v>SF Existing Wx - Electric</v>
      </c>
      <c r="I1" s="198"/>
    </row>
    <row r="2" spans="2:22" ht="16.5" thickBot="1">
      <c r="B2" s="198" t="s">
        <v>109</v>
      </c>
      <c r="C2" s="199" t="s">
        <v>227</v>
      </c>
      <c r="G2" s="200" t="s">
        <v>8</v>
      </c>
      <c r="Q2" s="5133"/>
      <c r="R2" s="5133"/>
      <c r="S2" s="5124" t="s">
        <v>110</v>
      </c>
      <c r="T2" s="5125"/>
      <c r="U2" s="5126"/>
      <c r="V2" s="5118" t="s">
        <v>111</v>
      </c>
    </row>
    <row r="3" spans="2:22" ht="16.5" thickBot="1">
      <c r="B3" s="199" t="s">
        <v>6</v>
      </c>
      <c r="C3" s="199">
        <v>18230627</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357</v>
      </c>
      <c r="F4" s="198">
        <v>2011</v>
      </c>
      <c r="G4" s="206">
        <f>B13</f>
        <v>48426</v>
      </c>
      <c r="H4" s="207">
        <f>B18</f>
        <v>6918</v>
      </c>
      <c r="I4" s="207">
        <f>B23</f>
        <v>34867</v>
      </c>
      <c r="J4" s="207">
        <f>B28</f>
        <v>48000</v>
      </c>
      <c r="K4" s="207">
        <f>B33</f>
        <v>3540</v>
      </c>
      <c r="L4" s="207">
        <f>B38</f>
        <v>444579</v>
      </c>
      <c r="M4" s="207">
        <f>B43</f>
        <v>2880</v>
      </c>
      <c r="N4" s="207">
        <f>B48</f>
        <v>127800</v>
      </c>
      <c r="O4" s="207">
        <f>B53</f>
        <v>451494</v>
      </c>
      <c r="P4" s="207">
        <f>B54</f>
        <v>0</v>
      </c>
      <c r="Q4" s="209">
        <f>B55</f>
        <v>1168504</v>
      </c>
      <c r="R4" s="210">
        <f>T55</f>
        <v>0</v>
      </c>
      <c r="S4" s="316">
        <f>O4/Q4</f>
        <v>0.38638635383361974</v>
      </c>
      <c r="T4" s="316">
        <f>(J4+(H4*1.63))/Q4</f>
        <v>5.0728401443212855E-2</v>
      </c>
      <c r="U4" s="316">
        <f>L4/Q4</f>
        <v>0.38046853070250508</v>
      </c>
      <c r="V4" s="212" t="e">
        <f>Q4/R4</f>
        <v>#DIV/0!</v>
      </c>
    </row>
    <row r="5" spans="2:22" ht="16.5" thickBot="1">
      <c r="B5" s="198" t="s">
        <v>33</v>
      </c>
      <c r="C5" s="4750" t="s">
        <v>1425</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317" t="e">
        <f>O5/Q5</f>
        <v>#DIV/0!</v>
      </c>
      <c r="T5" s="317" t="e">
        <f>(J5+(H5*1.63))/Q5</f>
        <v>#DIV/0!</v>
      </c>
      <c r="U5" s="317" t="e">
        <f>L5/Q5</f>
        <v>#DIV/0!</v>
      </c>
      <c r="V5" s="218" t="e">
        <f>Q5/R5</f>
        <v>#DIV/0!</v>
      </c>
    </row>
    <row r="6" spans="2:22" s="3532" customFormat="1" ht="16.5" thickBot="1">
      <c r="B6" s="3536"/>
      <c r="D6" s="3533"/>
      <c r="F6" s="4249" t="s">
        <v>1168</v>
      </c>
      <c r="G6" s="4241">
        <v>157441.63</v>
      </c>
      <c r="H6" s="4242">
        <v>18450</v>
      </c>
      <c r="I6" s="4242">
        <v>110811.72690000001</v>
      </c>
      <c r="J6" s="4242">
        <v>48000</v>
      </c>
      <c r="K6" s="4242">
        <v>3540</v>
      </c>
      <c r="L6" s="4242">
        <v>1542625</v>
      </c>
      <c r="M6" s="4242">
        <v>3000</v>
      </c>
      <c r="N6" s="4242">
        <v>5000</v>
      </c>
      <c r="O6" s="4242">
        <v>2446731.06</v>
      </c>
      <c r="P6" s="4242">
        <v>0</v>
      </c>
      <c r="Q6" s="4243">
        <v>4335599.4168999996</v>
      </c>
      <c r="R6" s="219">
        <v>10268682.960000001</v>
      </c>
      <c r="S6" s="3637">
        <v>0.56433512986987144</v>
      </c>
      <c r="T6" s="3637">
        <v>1.8007544630546931E-2</v>
      </c>
      <c r="U6" s="3637">
        <v>0.3558043194643184</v>
      </c>
      <c r="V6" s="3498">
        <v>0.42221572462492302</v>
      </c>
    </row>
    <row r="7" spans="2:22" ht="16.5" thickBot="1">
      <c r="C7" s="198" t="s">
        <v>229</v>
      </c>
      <c r="F7" s="4191" t="s">
        <v>1169</v>
      </c>
      <c r="G7" s="4192">
        <f>E13</f>
        <v>160000</v>
      </c>
      <c r="H7" s="4193">
        <f>E18</f>
        <v>70000</v>
      </c>
      <c r="I7" s="4193">
        <f>E23</f>
        <v>162610</v>
      </c>
      <c r="J7" s="4193">
        <f>E28</f>
        <v>218000</v>
      </c>
      <c r="K7" s="4193">
        <f>E33</f>
        <v>2302</v>
      </c>
      <c r="L7" s="4193">
        <f>E38</f>
        <v>95000</v>
      </c>
      <c r="M7" s="4193">
        <f>E43</f>
        <v>3000</v>
      </c>
      <c r="N7" s="4193">
        <f>E48</f>
        <v>20019</v>
      </c>
      <c r="O7" s="4193">
        <f>E53</f>
        <v>1403261.2787409062</v>
      </c>
      <c r="P7" s="4193">
        <f>E54</f>
        <v>0</v>
      </c>
      <c r="Q7" s="4244">
        <f>SUM(G7:P7)</f>
        <v>2134192.2787409062</v>
      </c>
      <c r="R7" s="4245">
        <f>Q55</f>
        <v>6351898.6054794313</v>
      </c>
      <c r="S7" s="317">
        <f>O7/Q7</f>
        <v>0.65751398911853343</v>
      </c>
      <c r="T7" s="317">
        <f>(J7+(H7*1.63))/Q7</f>
        <v>0.15560922195629281</v>
      </c>
      <c r="U7" s="317">
        <f>L7/Q7</f>
        <v>4.4513327569550787E-2</v>
      </c>
      <c r="V7" s="218">
        <f>Q7/R7</f>
        <v>0.33599281274733456</v>
      </c>
    </row>
    <row r="8" spans="2:22" ht="16.5" thickBot="1">
      <c r="C8" s="220" t="s">
        <v>230</v>
      </c>
      <c r="F8" s="221" t="s">
        <v>1170</v>
      </c>
      <c r="G8" s="222">
        <f>SUM(G5+G7)</f>
        <v>160000</v>
      </c>
      <c r="H8" s="222">
        <f t="shared" ref="H8:R8" si="0">SUM(H5+H7)</f>
        <v>70000</v>
      </c>
      <c r="I8" s="222">
        <f t="shared" si="0"/>
        <v>162610</v>
      </c>
      <c r="J8" s="222">
        <f t="shared" si="0"/>
        <v>218000</v>
      </c>
      <c r="K8" s="222">
        <f t="shared" si="0"/>
        <v>2302</v>
      </c>
      <c r="L8" s="222">
        <f t="shared" si="0"/>
        <v>95000</v>
      </c>
      <c r="M8" s="222">
        <f t="shared" si="0"/>
        <v>3000</v>
      </c>
      <c r="N8" s="222">
        <f t="shared" si="0"/>
        <v>20019</v>
      </c>
      <c r="O8" s="222">
        <f t="shared" si="0"/>
        <v>1403261.2787409062</v>
      </c>
      <c r="P8" s="222">
        <f t="shared" si="0"/>
        <v>0</v>
      </c>
      <c r="Q8" s="4248">
        <f t="shared" si="0"/>
        <v>2134192.2787409062</v>
      </c>
      <c r="R8" s="223">
        <f t="shared" si="0"/>
        <v>6351898.6054794313</v>
      </c>
      <c r="S8" s="317">
        <f>O8/Q8</f>
        <v>0.65751398911853343</v>
      </c>
      <c r="T8" s="317">
        <f>(J8+(H8*1.63))/Q8</f>
        <v>0.15560922195629281</v>
      </c>
      <c r="U8" s="317">
        <f>L8/Q8</f>
        <v>4.4513327569550787E-2</v>
      </c>
      <c r="V8" s="218">
        <f>Q8/R8</f>
        <v>0.33599281274733456</v>
      </c>
    </row>
    <row r="10" spans="2:22" ht="20.25" customHeight="1" thickBot="1">
      <c r="C10" s="224" t="s">
        <v>118</v>
      </c>
      <c r="D10" s="5120" t="s">
        <v>119</v>
      </c>
      <c r="E10" s="5120"/>
      <c r="I10" s="5121" t="s">
        <v>120</v>
      </c>
      <c r="J10" s="5121"/>
      <c r="K10" s="5121"/>
      <c r="L10" s="5121"/>
      <c r="M10" s="5131" t="s">
        <v>119</v>
      </c>
      <c r="N10" s="5131"/>
      <c r="T10" s="3535"/>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35">
        <v>48426</v>
      </c>
      <c r="C13" s="236" t="s">
        <v>138</v>
      </c>
      <c r="D13" s="237">
        <f>SUM(D14:D17)</f>
        <v>0</v>
      </c>
      <c r="E13" s="4468">
        <f>SUM(E14:E17)</f>
        <v>160000</v>
      </c>
      <c r="F13" s="238">
        <f>D13+E13</f>
        <v>160000</v>
      </c>
      <c r="H13" s="132"/>
      <c r="I13" s="239" t="str">
        <f t="shared" ref="I13:I54" si="1">C63</f>
        <v>Attic Insulation R-0 to R-49 - Average</v>
      </c>
      <c r="J13" s="240"/>
      <c r="K13" s="241"/>
      <c r="L13" s="242">
        <f t="shared" ref="L13:L54" si="2">D63</f>
        <v>2.2400000000000002</v>
      </c>
      <c r="M13" s="3183">
        <v>0</v>
      </c>
      <c r="N13" s="3184">
        <v>0</v>
      </c>
      <c r="O13" s="244">
        <f>M13+N13</f>
        <v>0</v>
      </c>
      <c r="P13" s="245">
        <f t="shared" ref="P13:R28" si="3">M13*$D63</f>
        <v>0</v>
      </c>
      <c r="Q13" s="245">
        <f t="shared" si="3"/>
        <v>0</v>
      </c>
      <c r="R13" s="246">
        <f t="shared" si="3"/>
        <v>0</v>
      </c>
      <c r="T13" s="4891"/>
    </row>
    <row r="14" spans="2:22">
      <c r="B14" s="247"/>
      <c r="C14" s="248" t="s">
        <v>139</v>
      </c>
      <c r="D14" s="249"/>
      <c r="E14" s="4447">
        <v>160000</v>
      </c>
      <c r="F14" s="249">
        <f>SUM(D14:E14)</f>
        <v>160000</v>
      </c>
      <c r="H14" s="132"/>
      <c r="I14" s="250" t="str">
        <f t="shared" si="1"/>
        <v>Floor Insulation R-0 to R-30 - Average</v>
      </c>
      <c r="J14" s="251"/>
      <c r="K14" s="252"/>
      <c r="L14" s="242">
        <f t="shared" si="2"/>
        <v>1.29</v>
      </c>
      <c r="M14" s="3186">
        <v>0</v>
      </c>
      <c r="N14" s="3187">
        <v>0</v>
      </c>
      <c r="O14" s="244">
        <f t="shared" ref="O14:O54" si="4">M14+N14</f>
        <v>0</v>
      </c>
      <c r="P14" s="245">
        <f t="shared" si="3"/>
        <v>0</v>
      </c>
      <c r="Q14" s="245">
        <f t="shared" si="3"/>
        <v>0</v>
      </c>
      <c r="R14" s="246">
        <f t="shared" si="3"/>
        <v>0</v>
      </c>
      <c r="T14" s="4891"/>
    </row>
    <row r="15" spans="2:22">
      <c r="B15" s="254"/>
      <c r="C15" s="255" t="s">
        <v>140</v>
      </c>
      <c r="D15" s="256"/>
      <c r="E15" s="256"/>
      <c r="F15" s="249">
        <f t="shared" ref="F15:F25" si="5">SUM(D15:E15)</f>
        <v>0</v>
      </c>
      <c r="H15" s="132"/>
      <c r="I15" s="250" t="str">
        <f t="shared" si="1"/>
        <v>Wall Insulation R-0 to R-11 - Average</v>
      </c>
      <c r="J15" s="251"/>
      <c r="K15" s="252"/>
      <c r="L15" s="242">
        <f t="shared" si="2"/>
        <v>1.52</v>
      </c>
      <c r="M15" s="3183">
        <v>0</v>
      </c>
      <c r="N15" s="3184">
        <v>0</v>
      </c>
      <c r="O15" s="244">
        <f t="shared" si="4"/>
        <v>0</v>
      </c>
      <c r="P15" s="245">
        <f t="shared" si="3"/>
        <v>0</v>
      </c>
      <c r="Q15" s="245">
        <f t="shared" si="3"/>
        <v>0</v>
      </c>
      <c r="R15" s="246">
        <f t="shared" si="3"/>
        <v>0</v>
      </c>
      <c r="T15" s="4891"/>
    </row>
    <row r="16" spans="2:22">
      <c r="B16" s="254"/>
      <c r="C16" s="255" t="s">
        <v>141</v>
      </c>
      <c r="D16" s="258"/>
      <c r="E16" s="258"/>
      <c r="F16" s="249">
        <f t="shared" si="5"/>
        <v>0</v>
      </c>
      <c r="H16" s="132"/>
      <c r="I16" s="250" t="str">
        <f t="shared" si="1"/>
        <v>Duct Insulation R-2 to R-11</v>
      </c>
      <c r="J16" s="251"/>
      <c r="K16" s="252"/>
      <c r="L16" s="242">
        <f t="shared" si="2"/>
        <v>790</v>
      </c>
      <c r="M16" s="3183">
        <v>0</v>
      </c>
      <c r="N16" s="3184">
        <v>0</v>
      </c>
      <c r="O16" s="244">
        <f t="shared" si="4"/>
        <v>0</v>
      </c>
      <c r="P16" s="245">
        <f t="shared" si="3"/>
        <v>0</v>
      </c>
      <c r="Q16" s="245">
        <f t="shared" si="3"/>
        <v>0</v>
      </c>
      <c r="R16" s="246">
        <f t="shared" si="3"/>
        <v>0</v>
      </c>
      <c r="T16" s="4891"/>
    </row>
    <row r="17" spans="2:20" ht="13.5" thickBot="1">
      <c r="B17" s="254"/>
      <c r="C17" s="255" t="s">
        <v>142</v>
      </c>
      <c r="D17" s="258"/>
      <c r="E17" s="258"/>
      <c r="F17" s="249">
        <f t="shared" si="5"/>
        <v>0</v>
      </c>
      <c r="H17" s="132"/>
      <c r="I17" s="250" t="str">
        <f t="shared" si="1"/>
        <v>PTCS Duct Sealing</v>
      </c>
      <c r="J17" s="251"/>
      <c r="K17" s="252"/>
      <c r="L17" s="242">
        <f t="shared" si="2"/>
        <v>1244</v>
      </c>
      <c r="M17" s="3183">
        <v>0</v>
      </c>
      <c r="N17" s="3184">
        <v>0</v>
      </c>
      <c r="O17" s="244">
        <f t="shared" si="4"/>
        <v>0</v>
      </c>
      <c r="P17" s="245">
        <f t="shared" si="3"/>
        <v>0</v>
      </c>
      <c r="Q17" s="245">
        <f t="shared" si="3"/>
        <v>0</v>
      </c>
      <c r="R17" s="246">
        <f t="shared" si="3"/>
        <v>0</v>
      </c>
      <c r="T17" s="4891"/>
    </row>
    <row r="18" spans="2:20" ht="13.5" thickBot="1">
      <c r="B18" s="235">
        <v>6918</v>
      </c>
      <c r="C18" s="236" t="s">
        <v>143</v>
      </c>
      <c r="D18" s="237">
        <f>SUM(D19:D22)</f>
        <v>0</v>
      </c>
      <c r="E18" s="4468">
        <f>SUM(E19:E22)</f>
        <v>70000</v>
      </c>
      <c r="F18" s="238">
        <f>D18+E18</f>
        <v>70000</v>
      </c>
      <c r="G18" t="s">
        <v>7</v>
      </c>
      <c r="H18" s="132"/>
      <c r="I18" s="250" t="str">
        <f t="shared" si="1"/>
        <v>Air Sealing- Average</v>
      </c>
      <c r="J18" s="251"/>
      <c r="K18" s="252"/>
      <c r="L18" s="242">
        <f t="shared" si="2"/>
        <v>0.46</v>
      </c>
      <c r="M18" s="3183">
        <v>0</v>
      </c>
      <c r="N18" s="3184">
        <v>0</v>
      </c>
      <c r="O18" s="244">
        <f t="shared" si="4"/>
        <v>0</v>
      </c>
      <c r="P18" s="245">
        <f t="shared" si="3"/>
        <v>0</v>
      </c>
      <c r="Q18" s="245">
        <f t="shared" si="3"/>
        <v>0</v>
      </c>
      <c r="R18" s="246">
        <f t="shared" si="3"/>
        <v>0</v>
      </c>
      <c r="T18" s="4891"/>
    </row>
    <row r="19" spans="2:20">
      <c r="B19" s="247"/>
      <c r="C19" s="248" t="s">
        <v>139</v>
      </c>
      <c r="D19" s="249"/>
      <c r="E19" s="4447">
        <v>70000</v>
      </c>
      <c r="F19" s="249">
        <f t="shared" si="5"/>
        <v>70000</v>
      </c>
      <c r="H19" s="132"/>
      <c r="I19" s="250" t="str">
        <f t="shared" si="1"/>
        <v>Windows- Single Pane to U.30- Average</v>
      </c>
      <c r="J19" s="251"/>
      <c r="K19" s="252"/>
      <c r="L19" s="242">
        <f t="shared" si="2"/>
        <v>20.84</v>
      </c>
      <c r="M19" s="3183">
        <v>0</v>
      </c>
      <c r="N19" s="3184">
        <v>168480</v>
      </c>
      <c r="O19" s="244">
        <f t="shared" si="4"/>
        <v>168480</v>
      </c>
      <c r="P19" s="245">
        <f t="shared" si="3"/>
        <v>0</v>
      </c>
      <c r="Q19" s="245">
        <f t="shared" si="3"/>
        <v>3511123.2</v>
      </c>
      <c r="R19" s="246">
        <f t="shared" si="3"/>
        <v>3511123.2</v>
      </c>
      <c r="T19" s="4891"/>
    </row>
    <row r="20" spans="2:20">
      <c r="B20" s="254"/>
      <c r="C20" s="255" t="s">
        <v>140</v>
      </c>
      <c r="D20" s="256"/>
      <c r="E20" s="256"/>
      <c r="F20" s="249">
        <f t="shared" si="5"/>
        <v>0</v>
      </c>
      <c r="H20" s="132"/>
      <c r="I20" s="250" t="str">
        <f t="shared" si="1"/>
        <v>Windows- Double Pane to U.30- Average</v>
      </c>
      <c r="J20" s="251"/>
      <c r="K20" s="252"/>
      <c r="L20" s="242">
        <f t="shared" si="2"/>
        <v>11.53</v>
      </c>
      <c r="M20" s="3183">
        <v>0</v>
      </c>
      <c r="N20" s="3184">
        <v>56520</v>
      </c>
      <c r="O20" s="244">
        <f t="shared" si="4"/>
        <v>56520</v>
      </c>
      <c r="P20" s="245">
        <f t="shared" si="3"/>
        <v>0</v>
      </c>
      <c r="Q20" s="245">
        <f t="shared" si="3"/>
        <v>651675.6</v>
      </c>
      <c r="R20" s="246">
        <f t="shared" si="3"/>
        <v>651675.6</v>
      </c>
      <c r="T20" s="4891"/>
    </row>
    <row r="21" spans="2:20">
      <c r="B21" s="254"/>
      <c r="C21" s="255" t="s">
        <v>141</v>
      </c>
      <c r="D21" s="258"/>
      <c r="E21" s="258"/>
      <c r="F21" s="249">
        <f t="shared" si="5"/>
        <v>0</v>
      </c>
      <c r="H21" s="132"/>
      <c r="I21" s="250" t="str">
        <f t="shared" si="1"/>
        <v>MH Duct Sealing L1</v>
      </c>
      <c r="J21" s="251"/>
      <c r="K21" s="252"/>
      <c r="L21" s="242">
        <f t="shared" si="2"/>
        <v>600</v>
      </c>
      <c r="M21" s="3183">
        <v>0</v>
      </c>
      <c r="N21" s="3184">
        <v>0</v>
      </c>
      <c r="O21" s="244">
        <f t="shared" si="4"/>
        <v>0</v>
      </c>
      <c r="P21" s="245">
        <f t="shared" si="3"/>
        <v>0</v>
      </c>
      <c r="Q21" s="245">
        <f t="shared" si="3"/>
        <v>0</v>
      </c>
      <c r="R21" s="246">
        <f t="shared" si="3"/>
        <v>0</v>
      </c>
      <c r="T21" s="4891"/>
    </row>
    <row r="22" spans="2:20" ht="13.5" thickBot="1">
      <c r="B22" s="254"/>
      <c r="C22" s="255" t="s">
        <v>142</v>
      </c>
      <c r="D22" s="258"/>
      <c r="E22" s="258"/>
      <c r="F22" s="249">
        <f t="shared" si="5"/>
        <v>0</v>
      </c>
      <c r="H22" s="132"/>
      <c r="I22" s="250" t="str">
        <f t="shared" si="1"/>
        <v>MH Duct Sealing L2</v>
      </c>
      <c r="J22" s="251"/>
      <c r="K22" s="252"/>
      <c r="L22" s="242">
        <f t="shared" si="2"/>
        <v>800</v>
      </c>
      <c r="M22" s="3183">
        <v>0</v>
      </c>
      <c r="N22" s="3184">
        <v>0</v>
      </c>
      <c r="O22" s="244">
        <f t="shared" si="4"/>
        <v>0</v>
      </c>
      <c r="P22" s="245">
        <f t="shared" si="3"/>
        <v>0</v>
      </c>
      <c r="Q22" s="245">
        <f t="shared" si="3"/>
        <v>0</v>
      </c>
      <c r="R22" s="246">
        <f t="shared" si="3"/>
        <v>0</v>
      </c>
      <c r="T22" s="4891"/>
    </row>
    <row r="23" spans="2:20" ht="13.5" thickBot="1">
      <c r="B23" s="235">
        <v>34867</v>
      </c>
      <c r="C23" s="236" t="s">
        <v>144</v>
      </c>
      <c r="D23" s="237">
        <f>SUM(D24:D27)</f>
        <v>0</v>
      </c>
      <c r="E23" s="237">
        <f>SUM(E24:E27)</f>
        <v>162610</v>
      </c>
      <c r="F23" s="238">
        <f>D23+E23</f>
        <v>162610</v>
      </c>
      <c r="G23" s="53"/>
      <c r="H23" s="132"/>
      <c r="I23" s="250" t="str">
        <f t="shared" si="1"/>
        <v>MH Duct Sealing L3</v>
      </c>
      <c r="J23" s="251"/>
      <c r="K23" s="252"/>
      <c r="L23" s="242">
        <f t="shared" si="2"/>
        <v>1000</v>
      </c>
      <c r="M23" s="3183">
        <v>0</v>
      </c>
      <c r="N23" s="3184">
        <v>0</v>
      </c>
      <c r="O23" s="244">
        <f t="shared" si="4"/>
        <v>0</v>
      </c>
      <c r="P23" s="245">
        <f t="shared" si="3"/>
        <v>0</v>
      </c>
      <c r="Q23" s="245">
        <f t="shared" si="3"/>
        <v>0</v>
      </c>
      <c r="R23" s="246">
        <f t="shared" si="3"/>
        <v>0</v>
      </c>
      <c r="T23" s="4891"/>
    </row>
    <row r="24" spans="2:20">
      <c r="B24" s="259"/>
      <c r="C24" s="3566" t="s">
        <v>1434</v>
      </c>
      <c r="D24" s="249"/>
      <c r="E24" s="249">
        <f>0.707*E13</f>
        <v>113120</v>
      </c>
      <c r="F24" s="249">
        <f t="shared" si="5"/>
        <v>113120</v>
      </c>
      <c r="H24" s="132"/>
      <c r="I24" s="250" t="str">
        <f t="shared" si="1"/>
        <v>MH CFL (DI )</v>
      </c>
      <c r="J24" s="251"/>
      <c r="K24" s="252"/>
      <c r="L24" s="242">
        <f t="shared" si="2"/>
        <v>23</v>
      </c>
      <c r="M24" s="3183">
        <v>0</v>
      </c>
      <c r="N24" s="3184">
        <v>0</v>
      </c>
      <c r="O24" s="244">
        <f t="shared" si="4"/>
        <v>0</v>
      </c>
      <c r="P24" s="245">
        <f t="shared" si="3"/>
        <v>0</v>
      </c>
      <c r="Q24" s="245">
        <f t="shared" si="3"/>
        <v>0</v>
      </c>
      <c r="R24" s="246">
        <f>O24*$D74</f>
        <v>0</v>
      </c>
      <c r="T24" s="4891"/>
    </row>
    <row r="25" spans="2:20">
      <c r="B25" s="247"/>
      <c r="C25" s="3566" t="s">
        <v>1435</v>
      </c>
      <c r="D25" s="256"/>
      <c r="E25" s="256">
        <f>0.707*E18</f>
        <v>49490</v>
      </c>
      <c r="F25" s="249">
        <f t="shared" si="5"/>
        <v>49490</v>
      </c>
      <c r="H25" s="132"/>
      <c r="I25" s="250" t="str">
        <f t="shared" si="1"/>
        <v>MH Showerheads (Leave Behind)</v>
      </c>
      <c r="J25" s="251"/>
      <c r="K25" s="252"/>
      <c r="L25" s="242">
        <f t="shared" si="2"/>
        <v>123</v>
      </c>
      <c r="M25" s="3183">
        <v>0</v>
      </c>
      <c r="N25" s="3184">
        <v>0</v>
      </c>
      <c r="O25" s="244">
        <f t="shared" si="4"/>
        <v>0</v>
      </c>
      <c r="P25" s="245">
        <f t="shared" si="3"/>
        <v>0</v>
      </c>
      <c r="Q25" s="245">
        <f t="shared" si="3"/>
        <v>0</v>
      </c>
      <c r="R25" s="246">
        <f t="shared" si="3"/>
        <v>0</v>
      </c>
      <c r="T25" s="4891"/>
    </row>
    <row r="26" spans="2:20">
      <c r="B26" s="254"/>
      <c r="C26" s="255"/>
      <c r="D26" s="258"/>
      <c r="E26" s="258"/>
      <c r="F26" s="258"/>
      <c r="H26" s="132"/>
      <c r="I26" s="250" t="str">
        <f t="shared" si="1"/>
        <v>Home Performance with Energy Star</v>
      </c>
      <c r="J26" s="251"/>
      <c r="K26" s="252"/>
      <c r="L26" s="242">
        <f t="shared" si="2"/>
        <v>0</v>
      </c>
      <c r="M26" s="3183">
        <v>0</v>
      </c>
      <c r="N26" s="3184">
        <v>40</v>
      </c>
      <c r="O26" s="244">
        <f t="shared" si="4"/>
        <v>40</v>
      </c>
      <c r="P26" s="245">
        <f t="shared" si="3"/>
        <v>0</v>
      </c>
      <c r="Q26" s="245">
        <f t="shared" si="3"/>
        <v>0</v>
      </c>
      <c r="R26" s="246">
        <f t="shared" si="3"/>
        <v>0</v>
      </c>
      <c r="T26" s="4891"/>
    </row>
    <row r="27" spans="2:20" ht="13.5" thickBot="1">
      <c r="B27" s="254"/>
      <c r="C27" s="255"/>
      <c r="D27" s="258"/>
      <c r="E27" s="258"/>
      <c r="F27" s="258"/>
      <c r="H27" s="132"/>
      <c r="I27" s="250" t="str">
        <f t="shared" si="1"/>
        <v>Attic Insulation R-19 to R-49 - Average</v>
      </c>
      <c r="J27" s="251"/>
      <c r="K27" s="252"/>
      <c r="L27" s="242">
        <f t="shared" si="2"/>
        <v>0.77</v>
      </c>
      <c r="M27" s="3183">
        <v>0</v>
      </c>
      <c r="N27" s="3185">
        <v>0</v>
      </c>
      <c r="O27" s="244">
        <f t="shared" si="4"/>
        <v>0</v>
      </c>
      <c r="P27" s="245">
        <f t="shared" si="3"/>
        <v>0</v>
      </c>
      <c r="Q27" s="245">
        <f t="shared" si="3"/>
        <v>0</v>
      </c>
      <c r="R27" s="246">
        <f t="shared" si="3"/>
        <v>0</v>
      </c>
      <c r="T27" s="4891"/>
    </row>
    <row r="28" spans="2:20" ht="13.5" thickBot="1">
      <c r="B28" s="235">
        <v>48000</v>
      </c>
      <c r="C28" s="236" t="s">
        <v>145</v>
      </c>
      <c r="D28" s="237">
        <f>SUM(D29:D32)</f>
        <v>0</v>
      </c>
      <c r="E28" s="4468">
        <f>SUM(E29:E32)</f>
        <v>218000</v>
      </c>
      <c r="F28" s="238">
        <f>D28+E28</f>
        <v>218000</v>
      </c>
      <c r="H28" s="132"/>
      <c r="I28" s="250" t="str">
        <f t="shared" si="1"/>
        <v>Prescriptive Duct Sealing and Insulation - Electric</v>
      </c>
      <c r="J28" s="251"/>
      <c r="K28" s="252"/>
      <c r="L28" s="242">
        <f t="shared" si="2"/>
        <v>1859</v>
      </c>
      <c r="M28" s="3186">
        <v>0</v>
      </c>
      <c r="N28" s="3186">
        <v>360</v>
      </c>
      <c r="O28" s="244">
        <f t="shared" si="4"/>
        <v>360</v>
      </c>
      <c r="P28" s="245">
        <f t="shared" si="3"/>
        <v>0</v>
      </c>
      <c r="Q28" s="245">
        <f t="shared" si="3"/>
        <v>669240</v>
      </c>
      <c r="R28" s="246">
        <f t="shared" si="3"/>
        <v>669240</v>
      </c>
      <c r="T28" s="4891"/>
    </row>
    <row r="29" spans="2:20">
      <c r="B29" s="247"/>
      <c r="C29" s="248" t="s">
        <v>139</v>
      </c>
      <c r="D29" s="249"/>
      <c r="E29" s="4447">
        <v>200000</v>
      </c>
      <c r="F29" s="249">
        <f t="shared" ref="F29:F37" si="6">SUM(D29:E29)</f>
        <v>200000</v>
      </c>
      <c r="H29" s="132"/>
      <c r="I29" s="4475" t="str">
        <f t="shared" si="1"/>
        <v>Attic Insulation R-0 to R-49 Zonal</v>
      </c>
      <c r="J29" s="4476"/>
      <c r="K29" s="4477"/>
      <c r="L29" s="4474">
        <f t="shared" si="2"/>
        <v>2.14</v>
      </c>
      <c r="M29" s="314">
        <v>0</v>
      </c>
      <c r="N29" s="4488">
        <v>142211.53846153847</v>
      </c>
      <c r="O29" s="244">
        <f t="shared" si="4"/>
        <v>142211.53846153847</v>
      </c>
      <c r="P29" s="245">
        <f t="shared" ref="P29:R44" si="7">M29*$D79</f>
        <v>0</v>
      </c>
      <c r="Q29" s="245">
        <f t="shared" si="7"/>
        <v>304332.69230769231</v>
      </c>
      <c r="R29" s="246">
        <f t="shared" si="7"/>
        <v>304332.69230769231</v>
      </c>
      <c r="T29" s="4891"/>
    </row>
    <row r="30" spans="2:20">
      <c r="B30" s="254"/>
      <c r="C30" s="3572" t="s">
        <v>1263</v>
      </c>
      <c r="D30" s="256"/>
      <c r="E30" s="4449">
        <v>18000</v>
      </c>
      <c r="F30" s="249">
        <f t="shared" si="6"/>
        <v>18000</v>
      </c>
      <c r="H30" s="132"/>
      <c r="I30" s="4475" t="str">
        <f t="shared" si="1"/>
        <v>Attic Insulation R-0 to R-49 FAF</v>
      </c>
      <c r="J30" s="4476"/>
      <c r="K30" s="4477"/>
      <c r="L30" s="4474">
        <f t="shared" si="2"/>
        <v>2.38</v>
      </c>
      <c r="M30" s="314">
        <v>0</v>
      </c>
      <c r="N30" s="4488">
        <v>88269.230769230766</v>
      </c>
      <c r="O30" s="244">
        <f t="shared" si="4"/>
        <v>88269.230769230766</v>
      </c>
      <c r="P30" s="245">
        <f t="shared" si="7"/>
        <v>0</v>
      </c>
      <c r="Q30" s="245">
        <f t="shared" si="7"/>
        <v>210080.76923076922</v>
      </c>
      <c r="R30" s="246">
        <f t="shared" si="7"/>
        <v>210080.76923076922</v>
      </c>
      <c r="T30" s="4891"/>
    </row>
    <row r="31" spans="2:20">
      <c r="B31" s="254"/>
      <c r="C31" s="255" t="s">
        <v>141</v>
      </c>
      <c r="D31" s="256"/>
      <c r="E31" s="256"/>
      <c r="F31" s="249">
        <f t="shared" si="6"/>
        <v>0</v>
      </c>
      <c r="H31" s="132"/>
      <c r="I31" s="4475" t="str">
        <f t="shared" si="1"/>
        <v>Attic Insulation R-0 to R-49 HP</v>
      </c>
      <c r="J31" s="4476"/>
      <c r="K31" s="4477"/>
      <c r="L31" s="4474">
        <f t="shared" si="2"/>
        <v>1.04</v>
      </c>
      <c r="M31" s="314">
        <v>0</v>
      </c>
      <c r="N31" s="4488">
        <v>24519.23076923077</v>
      </c>
      <c r="O31" s="244">
        <f t="shared" si="4"/>
        <v>24519.23076923077</v>
      </c>
      <c r="P31" s="245">
        <f t="shared" si="7"/>
        <v>0</v>
      </c>
      <c r="Q31" s="245">
        <f t="shared" si="7"/>
        <v>25500</v>
      </c>
      <c r="R31" s="246">
        <f t="shared" si="7"/>
        <v>25500</v>
      </c>
      <c r="T31" s="4891"/>
    </row>
    <row r="32" spans="2:20" ht="13.5" thickBot="1">
      <c r="B32" s="254"/>
      <c r="C32" s="255" t="s">
        <v>142</v>
      </c>
      <c r="D32" s="256"/>
      <c r="E32" s="256"/>
      <c r="F32" s="249">
        <f t="shared" si="6"/>
        <v>0</v>
      </c>
      <c r="H32" s="132"/>
      <c r="I32" s="4475" t="str">
        <f t="shared" si="1"/>
        <v>Attic Insulation R-19 to R-49 Zonal</v>
      </c>
      <c r="J32" s="4476"/>
      <c r="K32" s="4477"/>
      <c r="L32" s="4474">
        <f t="shared" si="2"/>
        <v>0.67</v>
      </c>
      <c r="M32" s="314">
        <v>0</v>
      </c>
      <c r="N32" s="4488">
        <v>39038.461538461539</v>
      </c>
      <c r="O32" s="244">
        <f t="shared" si="4"/>
        <v>39038.461538461539</v>
      </c>
      <c r="P32" s="245">
        <f t="shared" si="7"/>
        <v>0</v>
      </c>
      <c r="Q32" s="245">
        <f t="shared" si="7"/>
        <v>26155.769230769234</v>
      </c>
      <c r="R32" s="246">
        <f t="shared" si="7"/>
        <v>26155.769230769234</v>
      </c>
      <c r="T32" s="4891"/>
    </row>
    <row r="33" spans="2:20" ht="13.5" thickBot="1">
      <c r="B33" s="235">
        <v>3540</v>
      </c>
      <c r="C33" s="236" t="s">
        <v>146</v>
      </c>
      <c r="D33" s="237">
        <f>SUM(D34:D37)</f>
        <v>0</v>
      </c>
      <c r="E33" s="4468">
        <f>SUM(E34:E37)</f>
        <v>2302</v>
      </c>
      <c r="F33" s="238">
        <f>D33+E33</f>
        <v>2302</v>
      </c>
      <c r="H33" s="132"/>
      <c r="I33" s="4475" t="str">
        <f t="shared" si="1"/>
        <v>Attic Insulation R-19 to R-49 FAF</v>
      </c>
      <c r="J33" s="4476"/>
      <c r="K33" s="4477"/>
      <c r="L33" s="4474">
        <f t="shared" si="2"/>
        <v>0.75</v>
      </c>
      <c r="M33" s="314">
        <v>0</v>
      </c>
      <c r="N33" s="4488">
        <v>24230.76923076923</v>
      </c>
      <c r="O33" s="244">
        <f t="shared" si="4"/>
        <v>24230.76923076923</v>
      </c>
      <c r="P33" s="245">
        <f t="shared" si="7"/>
        <v>0</v>
      </c>
      <c r="Q33" s="245">
        <f t="shared" si="7"/>
        <v>18173.076923076922</v>
      </c>
      <c r="R33" s="246">
        <f t="shared" si="7"/>
        <v>18173.076923076922</v>
      </c>
      <c r="T33" s="4891"/>
    </row>
    <row r="34" spans="2:20">
      <c r="B34" s="254"/>
      <c r="C34" s="255" t="s">
        <v>139</v>
      </c>
      <c r="D34" s="256"/>
      <c r="E34" s="4449">
        <v>2302</v>
      </c>
      <c r="F34" s="249">
        <f t="shared" si="6"/>
        <v>2302</v>
      </c>
      <c r="H34" s="132"/>
      <c r="I34" s="4475" t="str">
        <f t="shared" si="1"/>
        <v>Attic Insulation R-19 to R-49 HP</v>
      </c>
      <c r="J34" s="4476"/>
      <c r="K34" s="4477"/>
      <c r="L34" s="4474">
        <f t="shared" si="2"/>
        <v>0.32</v>
      </c>
      <c r="M34" s="314">
        <v>0</v>
      </c>
      <c r="N34" s="4488">
        <v>6730.7692307692314</v>
      </c>
      <c r="O34" s="244">
        <f t="shared" si="4"/>
        <v>6730.7692307692314</v>
      </c>
      <c r="P34" s="245">
        <f t="shared" si="7"/>
        <v>0</v>
      </c>
      <c r="Q34" s="245">
        <f t="shared" si="7"/>
        <v>2153.8461538461543</v>
      </c>
      <c r="R34" s="246">
        <f t="shared" si="7"/>
        <v>2153.8461538461543</v>
      </c>
      <c r="T34" s="4891"/>
    </row>
    <row r="35" spans="2:20">
      <c r="B35" s="254"/>
      <c r="C35" s="3572" t="s">
        <v>140</v>
      </c>
      <c r="D35" s="256"/>
      <c r="E35" s="4449"/>
      <c r="F35" s="249">
        <f t="shared" si="6"/>
        <v>0</v>
      </c>
      <c r="H35" s="132"/>
      <c r="I35" s="4475" t="str">
        <f t="shared" si="1"/>
        <v>Wall Insulation R-0 to R-13 Zonal</v>
      </c>
      <c r="J35" s="4476"/>
      <c r="K35" s="4477"/>
      <c r="L35" s="4474">
        <f t="shared" si="2"/>
        <v>1.48</v>
      </c>
      <c r="M35" s="314">
        <v>0</v>
      </c>
      <c r="N35" s="4488">
        <v>28909.489051094894</v>
      </c>
      <c r="O35" s="244">
        <f t="shared" si="4"/>
        <v>28909.489051094894</v>
      </c>
      <c r="P35" s="245">
        <f t="shared" si="7"/>
        <v>0</v>
      </c>
      <c r="Q35" s="245">
        <f t="shared" si="7"/>
        <v>42786.043795620441</v>
      </c>
      <c r="R35" s="246">
        <f t="shared" si="7"/>
        <v>42786.043795620441</v>
      </c>
      <c r="T35" s="4891"/>
    </row>
    <row r="36" spans="2:20">
      <c r="B36" s="254"/>
      <c r="C36" s="255" t="s">
        <v>141</v>
      </c>
      <c r="D36" s="256"/>
      <c r="E36" s="256"/>
      <c r="F36" s="249">
        <f t="shared" si="6"/>
        <v>0</v>
      </c>
      <c r="H36" s="132"/>
      <c r="I36" s="4475" t="str">
        <f t="shared" si="1"/>
        <v>Wall Insulation R-0 to R-13 FAF</v>
      </c>
      <c r="J36" s="4476"/>
      <c r="K36" s="4477"/>
      <c r="L36" s="4474">
        <f t="shared" si="2"/>
        <v>1.67</v>
      </c>
      <c r="M36" s="314">
        <v>0</v>
      </c>
      <c r="N36" s="4488">
        <v>10929.197080291971</v>
      </c>
      <c r="O36" s="244">
        <f t="shared" si="4"/>
        <v>10929.197080291971</v>
      </c>
      <c r="P36" s="245">
        <f t="shared" si="7"/>
        <v>0</v>
      </c>
      <c r="Q36" s="245">
        <f t="shared" si="7"/>
        <v>18251.759124087592</v>
      </c>
      <c r="R36" s="246">
        <f t="shared" si="7"/>
        <v>18251.759124087592</v>
      </c>
      <c r="T36" s="4891"/>
    </row>
    <row r="37" spans="2:20" ht="13.5" thickBot="1">
      <c r="B37" s="254"/>
      <c r="C37" s="255" t="s">
        <v>142</v>
      </c>
      <c r="D37" s="256"/>
      <c r="E37" s="256"/>
      <c r="F37" s="249">
        <f t="shared" si="6"/>
        <v>0</v>
      </c>
      <c r="H37" s="132"/>
      <c r="I37" s="4475" t="str">
        <f t="shared" si="1"/>
        <v>Wall Insulation R-0 to R-13 HP</v>
      </c>
      <c r="J37" s="4476"/>
      <c r="K37" s="4477"/>
      <c r="L37" s="4474">
        <f t="shared" si="2"/>
        <v>0.72</v>
      </c>
      <c r="M37" s="314">
        <v>0</v>
      </c>
      <c r="N37" s="4488">
        <v>8461.3138686131388</v>
      </c>
      <c r="O37" s="244">
        <f t="shared" si="4"/>
        <v>8461.3138686131388</v>
      </c>
      <c r="P37" s="245">
        <f t="shared" si="7"/>
        <v>0</v>
      </c>
      <c r="Q37" s="245">
        <f t="shared" si="7"/>
        <v>6092.1459854014593</v>
      </c>
      <c r="R37" s="246">
        <f>O37*$D87</f>
        <v>6092.1459854014593</v>
      </c>
      <c r="T37" s="4891"/>
    </row>
    <row r="38" spans="2:20" ht="13.5" thickBot="1">
      <c r="B38" s="235">
        <v>444579</v>
      </c>
      <c r="C38" s="236" t="s">
        <v>147</v>
      </c>
      <c r="D38" s="237">
        <f>SUM(D39:D42)</f>
        <v>0</v>
      </c>
      <c r="E38" s="4468">
        <f>SUM(E39:E42)</f>
        <v>95000</v>
      </c>
      <c r="F38" s="238">
        <f>D38+E38</f>
        <v>95000</v>
      </c>
      <c r="H38" s="132"/>
      <c r="I38" s="4475" t="str">
        <f t="shared" si="1"/>
        <v>Floor Insulation R-0 to R-30 Zonal</v>
      </c>
      <c r="J38" s="4476"/>
      <c r="K38" s="4487"/>
      <c r="L38" s="4474">
        <f t="shared" si="2"/>
        <v>1.38</v>
      </c>
      <c r="M38" s="314">
        <v>0</v>
      </c>
      <c r="N38" s="4488">
        <v>192481.27340823968</v>
      </c>
      <c r="O38" s="244">
        <f t="shared" si="4"/>
        <v>192481.27340823968</v>
      </c>
      <c r="P38" s="245">
        <f t="shared" si="7"/>
        <v>0</v>
      </c>
      <c r="Q38" s="245">
        <f t="shared" si="7"/>
        <v>265624.15730337071</v>
      </c>
      <c r="R38" s="246">
        <f t="shared" si="7"/>
        <v>265624.15730337071</v>
      </c>
      <c r="T38" s="4891"/>
    </row>
    <row r="39" spans="2:20">
      <c r="B39" s="254"/>
      <c r="C39" s="255" t="s">
        <v>139</v>
      </c>
      <c r="D39" s="318"/>
      <c r="E39" s="4478">
        <v>95000</v>
      </c>
      <c r="F39" s="249">
        <f t="shared" ref="F39:F52" si="8">SUM(D39:E39)</f>
        <v>95000</v>
      </c>
      <c r="H39" s="132"/>
      <c r="I39" s="4475" t="str">
        <f t="shared" si="1"/>
        <v>Floor Insulation R-0 to R-30 FAF</v>
      </c>
      <c r="J39" s="4476"/>
      <c r="K39" s="4487"/>
      <c r="L39" s="4474">
        <f t="shared" si="2"/>
        <v>1.46</v>
      </c>
      <c r="M39" s="314">
        <v>0</v>
      </c>
      <c r="N39" s="4488">
        <v>91507.490636704126</v>
      </c>
      <c r="O39" s="244">
        <f t="shared" si="4"/>
        <v>91507.490636704126</v>
      </c>
      <c r="P39" s="245">
        <f t="shared" si="7"/>
        <v>0</v>
      </c>
      <c r="Q39" s="245">
        <f t="shared" si="7"/>
        <v>133600.93632958803</v>
      </c>
      <c r="R39" s="246">
        <f t="shared" si="7"/>
        <v>133600.93632958803</v>
      </c>
      <c r="T39" s="4891"/>
    </row>
    <row r="40" spans="2:20">
      <c r="B40" s="254"/>
      <c r="C40" s="255" t="s">
        <v>140</v>
      </c>
      <c r="D40" s="3603"/>
      <c r="E40" s="3603"/>
      <c r="F40" s="249">
        <f t="shared" si="8"/>
        <v>0</v>
      </c>
      <c r="H40" s="132"/>
      <c r="I40" s="4475" t="str">
        <f t="shared" si="1"/>
        <v>Floor Insulation R-0 to R-30 HP</v>
      </c>
      <c r="J40" s="4476"/>
      <c r="K40" s="4487"/>
      <c r="L40" s="4474">
        <f t="shared" si="2"/>
        <v>0.56999999999999995</v>
      </c>
      <c r="M40" s="243">
        <v>0</v>
      </c>
      <c r="N40" s="4488">
        <v>53011.235955056181</v>
      </c>
      <c r="O40" s="244">
        <f t="shared" si="4"/>
        <v>53011.235955056181</v>
      </c>
      <c r="P40" s="245">
        <f t="shared" si="7"/>
        <v>0</v>
      </c>
      <c r="Q40" s="245">
        <f t="shared" si="7"/>
        <v>30216.404494382019</v>
      </c>
      <c r="R40" s="246">
        <f t="shared" si="7"/>
        <v>30216.404494382019</v>
      </c>
      <c r="T40" s="4891"/>
    </row>
    <row r="41" spans="2:20">
      <c r="B41" s="254"/>
      <c r="C41" s="255" t="s">
        <v>141</v>
      </c>
      <c r="D41" s="256"/>
      <c r="E41" s="256"/>
      <c r="F41" s="249">
        <f t="shared" si="8"/>
        <v>0</v>
      </c>
      <c r="H41" s="132"/>
      <c r="I41" s="4475" t="str">
        <f t="shared" si="1"/>
        <v>Air Sealing CFM50 - Zonal</v>
      </c>
      <c r="J41" s="4476"/>
      <c r="K41" s="4487"/>
      <c r="L41" s="4474">
        <f t="shared" si="2"/>
        <v>1.81</v>
      </c>
      <c r="M41" s="243">
        <v>0</v>
      </c>
      <c r="N41" s="4488">
        <v>52827.164471494463</v>
      </c>
      <c r="O41" s="244">
        <f t="shared" si="4"/>
        <v>52827.164471494463</v>
      </c>
      <c r="P41" s="245">
        <f t="shared" si="7"/>
        <v>0</v>
      </c>
      <c r="Q41" s="245">
        <f t="shared" si="7"/>
        <v>95617.167693404976</v>
      </c>
      <c r="R41" s="246">
        <f t="shared" si="7"/>
        <v>95617.167693404976</v>
      </c>
      <c r="T41" s="4891"/>
    </row>
    <row r="42" spans="2:20" ht="13.5" thickBot="1">
      <c r="B42" s="254"/>
      <c r="C42" s="255" t="s">
        <v>142</v>
      </c>
      <c r="D42" s="256"/>
      <c r="E42" s="256"/>
      <c r="F42" s="249">
        <f t="shared" si="8"/>
        <v>0</v>
      </c>
      <c r="H42" s="132"/>
      <c r="I42" s="4475" t="str">
        <f t="shared" si="1"/>
        <v>Air Sealing CFM50 - FAF</v>
      </c>
      <c r="J42" s="4476"/>
      <c r="K42" s="4487"/>
      <c r="L42" s="4474">
        <f t="shared" si="2"/>
        <v>2.04</v>
      </c>
      <c r="M42" s="257">
        <v>0</v>
      </c>
      <c r="N42" s="4488">
        <v>26413.582235747232</v>
      </c>
      <c r="O42" s="244">
        <f t="shared" si="4"/>
        <v>26413.582235747232</v>
      </c>
      <c r="P42" s="245">
        <f t="shared" si="7"/>
        <v>0</v>
      </c>
      <c r="Q42" s="245">
        <f t="shared" si="7"/>
        <v>53883.707760924357</v>
      </c>
      <c r="R42" s="246">
        <f t="shared" si="7"/>
        <v>53883.707760924357</v>
      </c>
      <c r="T42" s="4891"/>
    </row>
    <row r="43" spans="2:20" ht="13.5" thickBot="1">
      <c r="B43" s="235">
        <v>2880</v>
      </c>
      <c r="C43" s="236" t="s">
        <v>148</v>
      </c>
      <c r="D43" s="237">
        <f>SUM(D44:D47)</f>
        <v>0</v>
      </c>
      <c r="E43" s="237">
        <f>SUM(E44:E47)</f>
        <v>3000</v>
      </c>
      <c r="F43" s="238">
        <f>D43+E43</f>
        <v>3000</v>
      </c>
      <c r="H43" s="132"/>
      <c r="I43" s="4475" t="str">
        <f t="shared" si="1"/>
        <v>Air Sealing CFM50 - HP</v>
      </c>
      <c r="J43" s="4476"/>
      <c r="K43" s="4487"/>
      <c r="L43" s="4474">
        <f t="shared" si="2"/>
        <v>0.96</v>
      </c>
      <c r="M43" s="257">
        <v>0</v>
      </c>
      <c r="N43" s="4488">
        <v>12751.384527602115</v>
      </c>
      <c r="O43" s="244">
        <f t="shared" si="4"/>
        <v>12751.384527602115</v>
      </c>
      <c r="P43" s="245">
        <f t="shared" si="7"/>
        <v>0</v>
      </c>
      <c r="Q43" s="245">
        <f t="shared" si="7"/>
        <v>12241.32914649803</v>
      </c>
      <c r="R43" s="246">
        <f t="shared" si="7"/>
        <v>12241.32914649803</v>
      </c>
      <c r="T43" s="4891"/>
    </row>
    <row r="44" spans="2:20">
      <c r="B44" s="254"/>
      <c r="C44" s="255" t="s">
        <v>139</v>
      </c>
      <c r="D44" s="256"/>
      <c r="E44" s="256">
        <v>3000</v>
      </c>
      <c r="F44" s="249">
        <f t="shared" si="8"/>
        <v>3000</v>
      </c>
      <c r="H44" s="132"/>
      <c r="I44" s="4475" t="str">
        <f t="shared" si="1"/>
        <v>PTCS Duct Sealing - FAF</v>
      </c>
      <c r="J44" s="4476"/>
      <c r="K44" s="4487"/>
      <c r="L44" s="4474">
        <f t="shared" si="2"/>
        <v>1362</v>
      </c>
      <c r="M44" s="257">
        <v>0</v>
      </c>
      <c r="N44" s="4484">
        <v>125</v>
      </c>
      <c r="O44" s="244">
        <f t="shared" si="4"/>
        <v>125</v>
      </c>
      <c r="P44" s="245">
        <f t="shared" si="7"/>
        <v>0</v>
      </c>
      <c r="Q44" s="245">
        <f t="shared" si="7"/>
        <v>170250</v>
      </c>
      <c r="R44" s="246">
        <f t="shared" si="7"/>
        <v>170250</v>
      </c>
      <c r="T44" s="4891"/>
    </row>
    <row r="45" spans="2:20">
      <c r="B45" s="254"/>
      <c r="C45" s="255" t="s">
        <v>140</v>
      </c>
      <c r="D45" s="256"/>
      <c r="E45" s="256"/>
      <c r="F45" s="249">
        <f t="shared" si="8"/>
        <v>0</v>
      </c>
      <c r="H45" s="132"/>
      <c r="I45" s="4475" t="str">
        <f t="shared" si="1"/>
        <v>PTCS Duct Sealing - HP</v>
      </c>
      <c r="J45" s="4476"/>
      <c r="K45" s="4487"/>
      <c r="L45" s="4474">
        <f t="shared" si="2"/>
        <v>1049</v>
      </c>
      <c r="M45" s="257">
        <v>0</v>
      </c>
      <c r="N45" s="4484">
        <v>100</v>
      </c>
      <c r="O45" s="244">
        <f t="shared" si="4"/>
        <v>100</v>
      </c>
      <c r="P45" s="245">
        <f t="shared" ref="P45:R54" si="9">M45*$D95</f>
        <v>0</v>
      </c>
      <c r="Q45" s="245">
        <f t="shared" si="9"/>
        <v>104900</v>
      </c>
      <c r="R45" s="246">
        <f t="shared" si="9"/>
        <v>104900</v>
      </c>
      <c r="T45" s="4891"/>
    </row>
    <row r="46" spans="2:20">
      <c r="B46" s="254"/>
      <c r="C46" s="255" t="s">
        <v>141</v>
      </c>
      <c r="D46" s="256"/>
      <c r="E46" s="256"/>
      <c r="F46" s="249">
        <f t="shared" si="8"/>
        <v>0</v>
      </c>
      <c r="H46" s="132"/>
      <c r="I46" s="250" t="str">
        <f t="shared" si="1"/>
        <v>Measure 34</v>
      </c>
      <c r="J46" s="251"/>
      <c r="K46" s="260"/>
      <c r="L46" s="242">
        <f t="shared" si="2"/>
        <v>0</v>
      </c>
      <c r="M46" s="257">
        <v>0</v>
      </c>
      <c r="N46" s="257">
        <v>0</v>
      </c>
      <c r="O46" s="244">
        <f t="shared" si="4"/>
        <v>0</v>
      </c>
      <c r="P46" s="245">
        <f t="shared" si="9"/>
        <v>0</v>
      </c>
      <c r="Q46" s="245">
        <f t="shared" si="9"/>
        <v>0</v>
      </c>
      <c r="R46" s="246">
        <f t="shared" si="9"/>
        <v>0</v>
      </c>
      <c r="T46" s="4891"/>
    </row>
    <row r="47" spans="2:20" ht="13.5" thickBot="1">
      <c r="B47" s="254"/>
      <c r="C47" s="255" t="s">
        <v>142</v>
      </c>
      <c r="D47" s="256"/>
      <c r="E47" s="256"/>
      <c r="F47" s="249">
        <f t="shared" si="8"/>
        <v>0</v>
      </c>
      <c r="H47" s="132"/>
      <c r="I47" s="250" t="str">
        <f t="shared" si="1"/>
        <v>Measure 35</v>
      </c>
      <c r="J47" s="251"/>
      <c r="K47" s="260"/>
      <c r="L47" s="242">
        <f t="shared" si="2"/>
        <v>0</v>
      </c>
      <c r="M47" s="257">
        <v>0</v>
      </c>
      <c r="N47" s="257">
        <v>0</v>
      </c>
      <c r="O47" s="244">
        <f t="shared" si="4"/>
        <v>0</v>
      </c>
      <c r="P47" s="245">
        <f t="shared" si="9"/>
        <v>0</v>
      </c>
      <c r="Q47" s="245">
        <f t="shared" si="9"/>
        <v>0</v>
      </c>
      <c r="R47" s="246">
        <f t="shared" si="9"/>
        <v>0</v>
      </c>
      <c r="T47" s="4891"/>
    </row>
    <row r="48" spans="2:20" ht="13.5" thickBot="1">
      <c r="B48" s="235">
        <v>127800</v>
      </c>
      <c r="C48" s="236" t="s">
        <v>149</v>
      </c>
      <c r="D48" s="237">
        <f>SUM(D49:D52)</f>
        <v>0</v>
      </c>
      <c r="E48" s="4468">
        <f>SUM(E49:E52)</f>
        <v>20019</v>
      </c>
      <c r="F48" s="238">
        <f>D48+E48</f>
        <v>20019</v>
      </c>
      <c r="H48" s="132"/>
      <c r="I48" s="250" t="str">
        <f t="shared" si="1"/>
        <v>Measure 36</v>
      </c>
      <c r="J48" s="251"/>
      <c r="K48" s="260"/>
      <c r="L48" s="242">
        <f t="shared" si="2"/>
        <v>0</v>
      </c>
      <c r="M48" s="257">
        <v>0</v>
      </c>
      <c r="N48" s="257">
        <v>0</v>
      </c>
      <c r="O48" s="244">
        <f t="shared" si="4"/>
        <v>0</v>
      </c>
      <c r="P48" s="245">
        <f t="shared" si="9"/>
        <v>0</v>
      </c>
      <c r="Q48" s="245">
        <f t="shared" si="9"/>
        <v>0</v>
      </c>
      <c r="R48" s="246">
        <f t="shared" si="9"/>
        <v>0</v>
      </c>
      <c r="T48" s="4891"/>
    </row>
    <row r="49" spans="2:25">
      <c r="B49" s="254"/>
      <c r="C49" s="255" t="s">
        <v>139</v>
      </c>
      <c r="D49" s="256"/>
      <c r="E49" s="4449">
        <v>20019</v>
      </c>
      <c r="F49" s="249">
        <f t="shared" si="8"/>
        <v>20019</v>
      </c>
      <c r="H49" s="132"/>
      <c r="I49" s="250" t="str">
        <f t="shared" si="1"/>
        <v>Measure 37</v>
      </c>
      <c r="J49" s="251"/>
      <c r="K49" s="260"/>
      <c r="L49" s="242">
        <f t="shared" si="2"/>
        <v>0</v>
      </c>
      <c r="M49" s="257">
        <v>0</v>
      </c>
      <c r="N49" s="257">
        <v>0</v>
      </c>
      <c r="O49" s="244">
        <f t="shared" si="4"/>
        <v>0</v>
      </c>
      <c r="P49" s="245">
        <f t="shared" si="9"/>
        <v>0</v>
      </c>
      <c r="Q49" s="245">
        <f t="shared" si="9"/>
        <v>0</v>
      </c>
      <c r="R49" s="246">
        <f t="shared" si="9"/>
        <v>0</v>
      </c>
      <c r="T49" s="4891"/>
    </row>
    <row r="50" spans="2:25">
      <c r="B50" s="254"/>
      <c r="C50" s="255" t="s">
        <v>140</v>
      </c>
      <c r="D50" s="256"/>
      <c r="E50" s="256"/>
      <c r="F50" s="249">
        <f t="shared" si="8"/>
        <v>0</v>
      </c>
      <c r="I50" s="250" t="str">
        <f t="shared" si="1"/>
        <v>Measure 38</v>
      </c>
      <c r="J50" s="251"/>
      <c r="K50" s="252"/>
      <c r="L50" s="242">
        <f t="shared" si="2"/>
        <v>0</v>
      </c>
      <c r="M50" s="257">
        <v>0</v>
      </c>
      <c r="N50" s="257">
        <v>0</v>
      </c>
      <c r="O50" s="244">
        <f t="shared" si="4"/>
        <v>0</v>
      </c>
      <c r="P50" s="245">
        <f t="shared" si="9"/>
        <v>0</v>
      </c>
      <c r="Q50" s="245">
        <f t="shared" si="9"/>
        <v>0</v>
      </c>
      <c r="R50" s="246">
        <f t="shared" si="9"/>
        <v>0</v>
      </c>
      <c r="T50" s="4891"/>
    </row>
    <row r="51" spans="2:25">
      <c r="B51" s="254"/>
      <c r="C51" s="255" t="s">
        <v>141</v>
      </c>
      <c r="D51" s="256"/>
      <c r="E51" s="256"/>
      <c r="F51" s="249">
        <f t="shared" si="8"/>
        <v>0</v>
      </c>
      <c r="I51" s="250" t="str">
        <f t="shared" si="1"/>
        <v>Measure 39</v>
      </c>
      <c r="J51" s="251"/>
      <c r="K51" s="252"/>
      <c r="L51" s="242">
        <f t="shared" si="2"/>
        <v>0</v>
      </c>
      <c r="M51" s="257">
        <v>0</v>
      </c>
      <c r="N51" s="257">
        <v>0</v>
      </c>
      <c r="O51" s="244">
        <f t="shared" si="4"/>
        <v>0</v>
      </c>
      <c r="P51" s="245">
        <f t="shared" si="9"/>
        <v>0</v>
      </c>
      <c r="Q51" s="245">
        <f t="shared" si="9"/>
        <v>0</v>
      </c>
      <c r="R51" s="246">
        <f t="shared" si="9"/>
        <v>0</v>
      </c>
      <c r="T51" s="4891"/>
    </row>
    <row r="52" spans="2:25" ht="13.5" thickBot="1">
      <c r="B52" s="254"/>
      <c r="C52" s="255" t="s">
        <v>142</v>
      </c>
      <c r="D52" s="256"/>
      <c r="E52" s="256"/>
      <c r="F52" s="249">
        <f t="shared" si="8"/>
        <v>0</v>
      </c>
      <c r="I52" s="250" t="str">
        <f t="shared" si="1"/>
        <v>Measure 40</v>
      </c>
      <c r="J52" s="251"/>
      <c r="K52" s="252"/>
      <c r="L52" s="242">
        <f t="shared" si="2"/>
        <v>0</v>
      </c>
      <c r="M52" s="257">
        <v>0</v>
      </c>
      <c r="N52" s="257">
        <v>0</v>
      </c>
      <c r="O52" s="244">
        <f t="shared" si="4"/>
        <v>0</v>
      </c>
      <c r="P52" s="245">
        <f t="shared" si="9"/>
        <v>0</v>
      </c>
      <c r="Q52" s="245">
        <f t="shared" si="9"/>
        <v>0</v>
      </c>
      <c r="R52" s="246">
        <f t="shared" si="9"/>
        <v>0</v>
      </c>
      <c r="T52" s="4891"/>
    </row>
    <row r="53" spans="2:25" ht="13.5" thickBot="1">
      <c r="B53" s="235">
        <v>451494</v>
      </c>
      <c r="C53" s="236" t="s">
        <v>150</v>
      </c>
      <c r="D53" s="237">
        <f>T105</f>
        <v>0</v>
      </c>
      <c r="E53" s="237">
        <f>U105</f>
        <v>1403261.2787409062</v>
      </c>
      <c r="F53" s="238">
        <f>V105</f>
        <v>5157223.3987409081</v>
      </c>
      <c r="G53" s="261" t="s">
        <v>151</v>
      </c>
      <c r="I53" s="250" t="str">
        <f t="shared" si="1"/>
        <v>Measure 41</v>
      </c>
      <c r="J53" s="251"/>
      <c r="K53" s="252"/>
      <c r="L53" s="242">
        <f t="shared" si="2"/>
        <v>0</v>
      </c>
      <c r="M53" s="257">
        <v>0</v>
      </c>
      <c r="N53" s="257">
        <v>0</v>
      </c>
      <c r="O53" s="244">
        <f t="shared" si="4"/>
        <v>0</v>
      </c>
      <c r="P53" s="245">
        <f t="shared" si="9"/>
        <v>0</v>
      </c>
      <c r="Q53" s="245">
        <f t="shared" si="9"/>
        <v>0</v>
      </c>
      <c r="R53" s="246">
        <f t="shared" si="9"/>
        <v>0</v>
      </c>
      <c r="T53" s="4891"/>
    </row>
    <row r="54" spans="2:25" ht="13.5" thickBot="1">
      <c r="B54" s="262">
        <v>0</v>
      </c>
      <c r="C54" s="236" t="s">
        <v>152</v>
      </c>
      <c r="D54" s="237">
        <v>0</v>
      </c>
      <c r="E54" s="237">
        <v>0</v>
      </c>
      <c r="F54" s="238">
        <v>0</v>
      </c>
      <c r="I54" s="250" t="str">
        <f t="shared" si="1"/>
        <v>Measure 42</v>
      </c>
      <c r="J54" s="251"/>
      <c r="K54" s="252"/>
      <c r="L54" s="242">
        <f t="shared" si="2"/>
        <v>0</v>
      </c>
      <c r="M54" s="257">
        <v>0</v>
      </c>
      <c r="N54" s="257">
        <v>0</v>
      </c>
      <c r="O54" s="244">
        <f t="shared" si="4"/>
        <v>0</v>
      </c>
      <c r="P54" s="245">
        <f t="shared" si="9"/>
        <v>0</v>
      </c>
      <c r="Q54" s="245">
        <f t="shared" si="9"/>
        <v>0</v>
      </c>
      <c r="R54" s="246">
        <f t="shared" si="9"/>
        <v>0</v>
      </c>
      <c r="T54" s="4891"/>
    </row>
    <row r="55" spans="2:25">
      <c r="B55" s="263">
        <f>B13+B18+B23+B28+B33+B38+B43+B48+B53+B54</f>
        <v>1168504</v>
      </c>
      <c r="C55" s="264" t="s">
        <v>153</v>
      </c>
      <c r="D55" s="263">
        <f>D13+D18+D23+D28+D33+D38+D43+D48+D53+D54</f>
        <v>0</v>
      </c>
      <c r="E55" s="263">
        <f>E13+E18+E23+E28+E33+E38+E43+E48+E53+E54</f>
        <v>2134192.2787409062</v>
      </c>
      <c r="F55" s="263">
        <f>F13+F18+F23+F28+F33+F38+F43+F48+F53+F54</f>
        <v>5888154.3987409081</v>
      </c>
      <c r="P55" s="265">
        <f>SUM(P13:P54)</f>
        <v>0</v>
      </c>
      <c r="Q55" s="265">
        <f>SUM(Q13:Q54)</f>
        <v>6351898.6054794313</v>
      </c>
      <c r="R55" s="265">
        <f>SUM(R13:R54)</f>
        <v>6351898.6054794313</v>
      </c>
      <c r="T55" s="4892"/>
    </row>
    <row r="56" spans="2:25">
      <c r="C56" s="264"/>
      <c r="D56" s="263"/>
      <c r="E56" s="263"/>
      <c r="F56" s="263"/>
      <c r="T56" s="3535"/>
    </row>
    <row r="57" spans="2:25">
      <c r="C57" s="264" t="s">
        <v>154</v>
      </c>
      <c r="D57" s="263">
        <f>D55-D53</f>
        <v>0</v>
      </c>
      <c r="E57" s="263">
        <f>E55-E53</f>
        <v>730931</v>
      </c>
      <c r="F57" s="263">
        <f>F55-F53</f>
        <v>730931</v>
      </c>
    </row>
    <row r="58" spans="2:25">
      <c r="C58" s="264" t="s">
        <v>155</v>
      </c>
      <c r="D58" s="266">
        <f>D53</f>
        <v>0</v>
      </c>
      <c r="E58" s="266">
        <f>E53</f>
        <v>1403261.2787409062</v>
      </c>
      <c r="F58" s="266">
        <f>F53</f>
        <v>5157223.3987409081</v>
      </c>
      <c r="G58" s="319">
        <f>F58/(F57+F58)</f>
        <v>0.87586415869864109</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43"/>
      <c r="C63" s="3177" t="s">
        <v>343</v>
      </c>
      <c r="D63" s="3177">
        <v>2.2400000000000002</v>
      </c>
      <c r="E63" s="3177" t="s">
        <v>181</v>
      </c>
      <c r="F63" s="3177" t="s">
        <v>257</v>
      </c>
      <c r="G63" s="3179">
        <v>1.08</v>
      </c>
      <c r="H63" s="3179">
        <v>0.22</v>
      </c>
      <c r="I63" s="3176">
        <v>0</v>
      </c>
      <c r="J63" s="3177">
        <v>30</v>
      </c>
      <c r="K63" s="3177" t="s">
        <v>260</v>
      </c>
      <c r="L63" s="3193"/>
      <c r="M63" s="3174">
        <v>9.3645038985522699</v>
      </c>
      <c r="N63" s="3174">
        <v>4.2569700695288626</v>
      </c>
      <c r="O63" s="3548">
        <f t="shared" ref="O63:O95" si="10">(($I63*$F$57)+$V63)/$S63</f>
        <v>103792.78445883442</v>
      </c>
      <c r="P63" s="3548">
        <f t="shared" ref="P63:P95" si="11">(($I63*$F$57)+($G63*$O13))/$S63</f>
        <v>0</v>
      </c>
      <c r="Q63" s="3175">
        <v>2676116.2992074187</v>
      </c>
      <c r="R63" s="3175">
        <v>2943727.9291281602</v>
      </c>
      <c r="S63" s="3173">
        <v>1.081</v>
      </c>
      <c r="T63" s="3172">
        <v>0</v>
      </c>
      <c r="U63" s="4150">
        <f t="shared" ref="U63:U95" si="12">N13*$H63</f>
        <v>0</v>
      </c>
      <c r="V63" s="3172">
        <v>112200</v>
      </c>
      <c r="W63" s="322">
        <f t="shared" ref="W63:W81" si="13">V63/(V63+(I63*F$57))</f>
        <v>1</v>
      </c>
      <c r="X63" s="322">
        <f t="shared" ref="X63:X81" si="14">(I63*((F$18*1.63)+F$28))/(V63+(I63*F$57))</f>
        <v>0</v>
      </c>
      <c r="Y63" s="322">
        <f t="shared" ref="Y63:Y81" si="15">(I63*F$38)/(V63+(I63*F$57))</f>
        <v>0</v>
      </c>
    </row>
    <row r="64" spans="2:25">
      <c r="B64" s="323"/>
      <c r="C64" s="3178" t="s">
        <v>344</v>
      </c>
      <c r="D64" s="3178">
        <v>1.29</v>
      </c>
      <c r="E64" s="3178" t="s">
        <v>181</v>
      </c>
      <c r="F64" s="3178" t="s">
        <v>257</v>
      </c>
      <c r="G64" s="3179">
        <v>1.37</v>
      </c>
      <c r="H64" s="3179">
        <v>0.22</v>
      </c>
      <c r="I64" s="3176">
        <v>0</v>
      </c>
      <c r="J64" s="3177">
        <v>30</v>
      </c>
      <c r="K64" s="3177" t="s">
        <v>260</v>
      </c>
      <c r="L64" s="3193"/>
      <c r="M64" s="3174">
        <v>7.3883229068962004</v>
      </c>
      <c r="N64" s="3174">
        <v>2.2569118230472403</v>
      </c>
      <c r="O64" s="3548">
        <f t="shared" si="10"/>
        <v>137169.28769657726</v>
      </c>
      <c r="P64" s="3548">
        <f t="shared" si="11"/>
        <v>0</v>
      </c>
      <c r="Q64" s="3175">
        <v>2036743.7653264024</v>
      </c>
      <c r="R64" s="3175">
        <v>2240418.1418590425</v>
      </c>
      <c r="S64" s="3173">
        <v>1.081</v>
      </c>
      <c r="T64" s="3172">
        <v>0</v>
      </c>
      <c r="U64" s="4150">
        <f t="shared" si="12"/>
        <v>0</v>
      </c>
      <c r="V64" s="3172">
        <v>148280</v>
      </c>
      <c r="W64" s="322">
        <f t="shared" si="13"/>
        <v>1</v>
      </c>
      <c r="X64" s="322">
        <f t="shared" si="14"/>
        <v>0</v>
      </c>
      <c r="Y64" s="322">
        <f t="shared" si="15"/>
        <v>0</v>
      </c>
    </row>
    <row r="65" spans="2:25">
      <c r="B65" s="323"/>
      <c r="C65" s="3178" t="s">
        <v>345</v>
      </c>
      <c r="D65" s="3178">
        <v>1.52</v>
      </c>
      <c r="E65" s="3178" t="s">
        <v>181</v>
      </c>
      <c r="F65" s="3178" t="s">
        <v>257</v>
      </c>
      <c r="G65" s="3179">
        <v>0.97</v>
      </c>
      <c r="H65" s="3179">
        <v>0.22</v>
      </c>
      <c r="I65" s="3176">
        <v>0</v>
      </c>
      <c r="J65" s="3177">
        <v>30</v>
      </c>
      <c r="K65" s="3177" t="s">
        <v>260</v>
      </c>
      <c r="L65" s="3193"/>
      <c r="M65" s="3174">
        <v>7.9899009840925457</v>
      </c>
      <c r="N65" s="3174">
        <v>3.4373910523573685</v>
      </c>
      <c r="O65" s="3548">
        <f t="shared" si="10"/>
        <v>19659.574468085106</v>
      </c>
      <c r="P65" s="3548">
        <f t="shared" si="11"/>
        <v>0</v>
      </c>
      <c r="Q65" s="3175">
        <v>343959.65375107114</v>
      </c>
      <c r="R65" s="3175">
        <v>378355.61912617827</v>
      </c>
      <c r="S65" s="3173">
        <v>1.081</v>
      </c>
      <c r="T65" s="3172">
        <v>0</v>
      </c>
      <c r="U65" s="4150">
        <f t="shared" si="12"/>
        <v>0</v>
      </c>
      <c r="V65" s="3172">
        <v>21252</v>
      </c>
      <c r="W65" s="322">
        <f t="shared" si="13"/>
        <v>1</v>
      </c>
      <c r="X65" s="322">
        <f t="shared" si="14"/>
        <v>0</v>
      </c>
      <c r="Y65" s="322">
        <f t="shared" si="15"/>
        <v>0</v>
      </c>
    </row>
    <row r="66" spans="2:25">
      <c r="B66" s="323">
        <v>535</v>
      </c>
      <c r="C66" s="3178" t="s">
        <v>346</v>
      </c>
      <c r="D66" s="3178">
        <v>790</v>
      </c>
      <c r="E66" s="3178" t="s">
        <v>181</v>
      </c>
      <c r="F66" s="3178" t="s">
        <v>232</v>
      </c>
      <c r="G66" s="3179">
        <v>734.7</v>
      </c>
      <c r="H66" s="3179">
        <v>200</v>
      </c>
      <c r="I66" s="3176">
        <v>0</v>
      </c>
      <c r="J66" s="3177">
        <v>30</v>
      </c>
      <c r="K66" s="3177" t="s">
        <v>260</v>
      </c>
      <c r="L66" s="3193"/>
      <c r="M66" s="3174" t="e">
        <v>#DIV/0!</v>
      </c>
      <c r="N66" s="3174" t="e">
        <v>#DIV/0!</v>
      </c>
      <c r="O66" s="3548">
        <f t="shared" si="10"/>
        <v>0</v>
      </c>
      <c r="P66" s="3548">
        <f t="shared" si="11"/>
        <v>0</v>
      </c>
      <c r="Q66" s="3175">
        <v>0</v>
      </c>
      <c r="R66" s="3175">
        <v>0</v>
      </c>
      <c r="S66" s="3173">
        <v>1.081</v>
      </c>
      <c r="T66" s="3172">
        <v>0</v>
      </c>
      <c r="U66" s="4150">
        <f t="shared" si="12"/>
        <v>0</v>
      </c>
      <c r="V66" s="3172">
        <v>0</v>
      </c>
      <c r="W66" s="322" t="e">
        <f t="shared" si="13"/>
        <v>#DIV/0!</v>
      </c>
      <c r="X66" s="322" t="e">
        <f t="shared" si="14"/>
        <v>#DIV/0!</v>
      </c>
      <c r="Y66" s="322" t="e">
        <f t="shared" si="15"/>
        <v>#DIV/0!</v>
      </c>
    </row>
    <row r="67" spans="2:25">
      <c r="B67" s="323"/>
      <c r="C67" s="3178" t="s">
        <v>347</v>
      </c>
      <c r="D67" s="3178">
        <v>1244</v>
      </c>
      <c r="E67" s="3178" t="s">
        <v>181</v>
      </c>
      <c r="F67" s="3178" t="s">
        <v>232</v>
      </c>
      <c r="G67" s="3179">
        <v>538</v>
      </c>
      <c r="H67" s="3179">
        <v>300</v>
      </c>
      <c r="I67" s="3176">
        <v>0</v>
      </c>
      <c r="J67" s="3177">
        <v>30</v>
      </c>
      <c r="K67" s="3177" t="s">
        <v>260</v>
      </c>
      <c r="L67" s="3193"/>
      <c r="M67" s="3174" t="e">
        <v>#DIV/0!</v>
      </c>
      <c r="N67" s="3174" t="e">
        <v>#DIV/0!</v>
      </c>
      <c r="O67" s="3548">
        <f t="shared" si="10"/>
        <v>0</v>
      </c>
      <c r="P67" s="3548">
        <f t="shared" si="11"/>
        <v>0</v>
      </c>
      <c r="Q67" s="3175">
        <v>0</v>
      </c>
      <c r="R67" s="3175">
        <v>0</v>
      </c>
      <c r="S67" s="3173">
        <v>1.081</v>
      </c>
      <c r="T67" s="3172">
        <v>0</v>
      </c>
      <c r="U67" s="4150">
        <f t="shared" si="12"/>
        <v>0</v>
      </c>
      <c r="V67" s="3172">
        <v>0</v>
      </c>
      <c r="W67" s="322" t="e">
        <f t="shared" si="13"/>
        <v>#DIV/0!</v>
      </c>
      <c r="X67" s="322" t="e">
        <f t="shared" si="14"/>
        <v>#DIV/0!</v>
      </c>
      <c r="Y67" s="322" t="e">
        <f t="shared" si="15"/>
        <v>#DIV/0!</v>
      </c>
    </row>
    <row r="68" spans="2:25">
      <c r="B68" s="323"/>
      <c r="C68" s="3178" t="s">
        <v>348</v>
      </c>
      <c r="D68" s="3180">
        <v>0.46</v>
      </c>
      <c r="E68" s="3178" t="s">
        <v>181</v>
      </c>
      <c r="F68" s="3178" t="s">
        <v>257</v>
      </c>
      <c r="G68" s="3179">
        <v>0.18</v>
      </c>
      <c r="H68" s="3179">
        <v>0.11</v>
      </c>
      <c r="I68" s="3176">
        <v>0</v>
      </c>
      <c r="J68" s="3177">
        <v>30</v>
      </c>
      <c r="K68" s="3177" t="s">
        <v>260</v>
      </c>
      <c r="L68" s="3193"/>
      <c r="M68" s="3174">
        <v>6.1563443322253635</v>
      </c>
      <c r="N68" s="3174">
        <v>4.9432072540709493</v>
      </c>
      <c r="O68" s="3548">
        <f t="shared" si="10"/>
        <v>54144.421831637381</v>
      </c>
      <c r="P68" s="3548">
        <f t="shared" si="11"/>
        <v>0</v>
      </c>
      <c r="Q68" s="3175">
        <v>573365.22582617472</v>
      </c>
      <c r="R68" s="3175">
        <v>630701.74840879207</v>
      </c>
      <c r="S68" s="3173">
        <v>1.081</v>
      </c>
      <c r="T68" s="3172">
        <v>0</v>
      </c>
      <c r="U68" s="4150">
        <f t="shared" si="12"/>
        <v>0</v>
      </c>
      <c r="V68" s="3172">
        <v>58530.12</v>
      </c>
      <c r="W68" s="322">
        <f t="shared" si="13"/>
        <v>1</v>
      </c>
      <c r="X68" s="322">
        <f t="shared" si="14"/>
        <v>0</v>
      </c>
      <c r="Y68" s="322">
        <f t="shared" si="15"/>
        <v>0</v>
      </c>
    </row>
    <row r="69" spans="2:25">
      <c r="B69" s="323"/>
      <c r="C69" s="3178" t="s">
        <v>349</v>
      </c>
      <c r="D69" s="3180">
        <v>20.84</v>
      </c>
      <c r="E69" s="3178" t="s">
        <v>181</v>
      </c>
      <c r="F69" s="3178" t="s">
        <v>257</v>
      </c>
      <c r="G69" s="3179">
        <v>20.61</v>
      </c>
      <c r="H69" s="4480">
        <v>4.16</v>
      </c>
      <c r="I69" s="4481">
        <v>0.55300000000000005</v>
      </c>
      <c r="J69" s="3177">
        <v>30</v>
      </c>
      <c r="K69" s="3177" t="s">
        <v>260</v>
      </c>
      <c r="L69" s="3193"/>
      <c r="M69" s="3174">
        <v>9.3096342581293552</v>
      </c>
      <c r="N69" s="3174">
        <v>2.398900462296945</v>
      </c>
      <c r="O69" s="3548">
        <f t="shared" si="10"/>
        <v>1022277.1905642925</v>
      </c>
      <c r="P69" s="3548">
        <f t="shared" si="11"/>
        <v>3586103.277520814</v>
      </c>
      <c r="Q69" s="3175">
        <v>16449884.495877642</v>
      </c>
      <c r="R69" s="3175">
        <v>18094872.945465408</v>
      </c>
      <c r="S69" s="3173">
        <v>1.081</v>
      </c>
      <c r="T69" s="3172">
        <v>0</v>
      </c>
      <c r="U69" s="4150">
        <f t="shared" si="12"/>
        <v>700876.80000000005</v>
      </c>
      <c r="V69" s="3172">
        <v>700876.80000000005</v>
      </c>
      <c r="W69" s="322">
        <f t="shared" si="13"/>
        <v>0.63423078687408796</v>
      </c>
      <c r="X69" s="322">
        <f t="shared" si="14"/>
        <v>0.16618799268209361</v>
      </c>
      <c r="Y69" s="322">
        <f t="shared" si="15"/>
        <v>4.7539473968078574E-2</v>
      </c>
    </row>
    <row r="70" spans="2:25">
      <c r="B70" s="323"/>
      <c r="C70" s="3178" t="s">
        <v>350</v>
      </c>
      <c r="D70" s="3178">
        <v>11.53</v>
      </c>
      <c r="E70" s="3178" t="s">
        <v>181</v>
      </c>
      <c r="F70" s="3178" t="s">
        <v>257</v>
      </c>
      <c r="G70" s="3179">
        <v>20.61</v>
      </c>
      <c r="H70" s="4480">
        <v>4.16</v>
      </c>
      <c r="I70" s="4481">
        <v>0.10299999999999999</v>
      </c>
      <c r="J70" s="3177">
        <v>30</v>
      </c>
      <c r="K70" s="3177" t="s">
        <v>260</v>
      </c>
      <c r="L70" s="3193"/>
      <c r="M70" s="3174">
        <v>7.1817937987110092</v>
      </c>
      <c r="N70" s="3174">
        <v>1.4213905968281126</v>
      </c>
      <c r="O70" s="3548">
        <f t="shared" si="10"/>
        <v>287149.94727104536</v>
      </c>
      <c r="P70" s="3548">
        <f t="shared" si="11"/>
        <v>1147236.9037927843</v>
      </c>
      <c r="Q70" s="3175">
        <v>3053150.7264631898</v>
      </c>
      <c r="R70" s="3175">
        <v>3358465.7991095087</v>
      </c>
      <c r="S70" s="3173">
        <v>1.081</v>
      </c>
      <c r="T70" s="3172">
        <v>0</v>
      </c>
      <c r="U70" s="4150">
        <f t="shared" si="12"/>
        <v>235123.20000000001</v>
      </c>
      <c r="V70" s="3172">
        <v>235123.20000000001</v>
      </c>
      <c r="W70" s="322">
        <f t="shared" si="13"/>
        <v>0.75746234663299639</v>
      </c>
      <c r="X70" s="322">
        <f t="shared" si="14"/>
        <v>0.11019748058733575</v>
      </c>
      <c r="Y70" s="322">
        <f t="shared" si="15"/>
        <v>3.1522916759400471E-2</v>
      </c>
    </row>
    <row r="71" spans="2:25">
      <c r="B71" s="323"/>
      <c r="C71" s="3178" t="s">
        <v>351</v>
      </c>
      <c r="D71" s="3181">
        <v>600</v>
      </c>
      <c r="E71" s="3178" t="s">
        <v>181</v>
      </c>
      <c r="F71" s="3178" t="s">
        <v>232</v>
      </c>
      <c r="G71" s="3179">
        <v>375</v>
      </c>
      <c r="H71" s="3179">
        <v>375</v>
      </c>
      <c r="I71" s="3176">
        <v>0</v>
      </c>
      <c r="J71" s="3177">
        <v>30</v>
      </c>
      <c r="K71" s="3177" t="s">
        <v>260</v>
      </c>
      <c r="L71" s="3193"/>
      <c r="M71" s="3174">
        <v>3.176477950689383</v>
      </c>
      <c r="N71" s="3174">
        <v>3.4941257457583212</v>
      </c>
      <c r="O71" s="3548">
        <f t="shared" si="10"/>
        <v>832562.44218316372</v>
      </c>
      <c r="P71" s="3548">
        <f t="shared" si="11"/>
        <v>0</v>
      </c>
      <c r="Q71" s="3175">
        <v>3373255.8393370821</v>
      </c>
      <c r="R71" s="3175">
        <v>3710581.4232707904</v>
      </c>
      <c r="S71" s="3173">
        <v>1.081</v>
      </c>
      <c r="T71" s="3172">
        <v>0</v>
      </c>
      <c r="U71" s="4150">
        <f t="shared" si="12"/>
        <v>0</v>
      </c>
      <c r="V71" s="3172">
        <v>900000</v>
      </c>
      <c r="W71" s="322">
        <f t="shared" si="13"/>
        <v>1</v>
      </c>
      <c r="X71" s="322">
        <f t="shared" si="14"/>
        <v>0</v>
      </c>
      <c r="Y71" s="322">
        <f t="shared" si="15"/>
        <v>0</v>
      </c>
    </row>
    <row r="72" spans="2:25">
      <c r="B72" s="323"/>
      <c r="C72" s="3178" t="s">
        <v>352</v>
      </c>
      <c r="D72" s="3178">
        <v>800</v>
      </c>
      <c r="E72" s="3178" t="s">
        <v>181</v>
      </c>
      <c r="F72" s="3178" t="s">
        <v>232</v>
      </c>
      <c r="G72" s="3179">
        <v>375</v>
      </c>
      <c r="H72" s="3179">
        <v>375</v>
      </c>
      <c r="I72" s="3176">
        <v>0</v>
      </c>
      <c r="J72" s="3177">
        <v>30</v>
      </c>
      <c r="K72" s="3177" t="s">
        <v>260</v>
      </c>
      <c r="L72" s="3193"/>
      <c r="M72" s="3174">
        <v>3.9508372722178597</v>
      </c>
      <c r="N72" s="3174">
        <v>4.3459209994396462</v>
      </c>
      <c r="O72" s="3548">
        <f t="shared" si="10"/>
        <v>1387604.0703052729</v>
      </c>
      <c r="P72" s="3548">
        <f t="shared" si="11"/>
        <v>0</v>
      </c>
      <c r="Q72" s="3175">
        <v>7496124.087415738</v>
      </c>
      <c r="R72" s="3175">
        <v>8245736.4961573118</v>
      </c>
      <c r="S72" s="3173">
        <v>1.081</v>
      </c>
      <c r="T72" s="3172">
        <v>0</v>
      </c>
      <c r="U72" s="4150">
        <f t="shared" si="12"/>
        <v>0</v>
      </c>
      <c r="V72" s="3172">
        <v>1500000</v>
      </c>
      <c r="W72" s="322">
        <f t="shared" si="13"/>
        <v>1</v>
      </c>
      <c r="X72" s="322">
        <f t="shared" si="14"/>
        <v>0</v>
      </c>
      <c r="Y72" s="322">
        <f t="shared" si="15"/>
        <v>0</v>
      </c>
    </row>
    <row r="73" spans="2:25">
      <c r="B73" s="323"/>
      <c r="C73" s="3178" t="s">
        <v>353</v>
      </c>
      <c r="D73" s="3178">
        <v>1000</v>
      </c>
      <c r="E73" s="3178" t="s">
        <v>181</v>
      </c>
      <c r="F73" s="3178" t="s">
        <v>232</v>
      </c>
      <c r="G73" s="3179">
        <v>375</v>
      </c>
      <c r="H73" s="3179">
        <v>375</v>
      </c>
      <c r="I73" s="3176">
        <v>0</v>
      </c>
      <c r="J73" s="3177">
        <v>30</v>
      </c>
      <c r="K73" s="3177" t="s">
        <v>260</v>
      </c>
      <c r="L73" s="3193"/>
      <c r="M73" s="3174">
        <v>4.62772288054878</v>
      </c>
      <c r="N73" s="3174">
        <v>5.0904951686036579</v>
      </c>
      <c r="O73" s="3548">
        <f t="shared" si="10"/>
        <v>416281.22109158186</v>
      </c>
      <c r="P73" s="3548">
        <f t="shared" si="11"/>
        <v>0</v>
      </c>
      <c r="Q73" s="3175">
        <v>2811046.532780902</v>
      </c>
      <c r="R73" s="3175">
        <v>3092151.1860589921</v>
      </c>
      <c r="S73" s="3173">
        <v>1.081</v>
      </c>
      <c r="T73" s="3172">
        <v>0</v>
      </c>
      <c r="U73" s="4150">
        <f t="shared" si="12"/>
        <v>0</v>
      </c>
      <c r="V73" s="3172">
        <v>450000</v>
      </c>
      <c r="W73" s="322">
        <f t="shared" si="13"/>
        <v>1</v>
      </c>
      <c r="X73" s="322">
        <f t="shared" si="14"/>
        <v>0</v>
      </c>
      <c r="Y73" s="322">
        <f t="shared" si="15"/>
        <v>0</v>
      </c>
    </row>
    <row r="74" spans="2:25">
      <c r="B74" s="323" t="s">
        <v>7</v>
      </c>
      <c r="C74" s="3178" t="s">
        <v>354</v>
      </c>
      <c r="D74" s="3178">
        <v>23</v>
      </c>
      <c r="E74" s="3178" t="s">
        <v>181</v>
      </c>
      <c r="F74" s="3178" t="s">
        <v>186</v>
      </c>
      <c r="G74" s="3179">
        <v>3</v>
      </c>
      <c r="H74" s="3179">
        <v>3</v>
      </c>
      <c r="I74" s="3176">
        <v>0</v>
      </c>
      <c r="J74" s="3177">
        <v>5</v>
      </c>
      <c r="K74" s="3178" t="s">
        <v>183</v>
      </c>
      <c r="L74" s="3193"/>
      <c r="M74" s="3174">
        <v>1.4474602894701174</v>
      </c>
      <c r="N74" s="3174">
        <v>1.5922063184171291</v>
      </c>
      <c r="O74" s="3548">
        <f t="shared" si="10"/>
        <v>126549.4912118409</v>
      </c>
      <c r="P74" s="3548">
        <f t="shared" si="11"/>
        <v>0</v>
      </c>
      <c r="Q74" s="3175">
        <v>425001.79587360495</v>
      </c>
      <c r="R74" s="3175">
        <v>467501.97546096542</v>
      </c>
      <c r="S74" s="3173">
        <v>1.081</v>
      </c>
      <c r="T74" s="3172">
        <v>0</v>
      </c>
      <c r="U74" s="4150">
        <f t="shared" si="12"/>
        <v>0</v>
      </c>
      <c r="V74" s="3172">
        <v>136800</v>
      </c>
      <c r="W74" s="322">
        <f t="shared" si="13"/>
        <v>1</v>
      </c>
      <c r="X74" s="322">
        <f t="shared" si="14"/>
        <v>0</v>
      </c>
      <c r="Y74" s="322">
        <f t="shared" si="15"/>
        <v>0</v>
      </c>
    </row>
    <row r="75" spans="2:25">
      <c r="B75" s="323"/>
      <c r="C75" s="3178" t="s">
        <v>355</v>
      </c>
      <c r="D75" s="3178">
        <v>123</v>
      </c>
      <c r="E75" s="3178" t="s">
        <v>181</v>
      </c>
      <c r="F75" s="3178" t="s">
        <v>186</v>
      </c>
      <c r="G75" s="3182">
        <v>10</v>
      </c>
      <c r="H75" s="3182">
        <v>10</v>
      </c>
      <c r="I75" s="3176">
        <v>0</v>
      </c>
      <c r="J75" s="3177">
        <v>10</v>
      </c>
      <c r="K75" s="3178" t="s">
        <v>233</v>
      </c>
      <c r="L75" s="3193"/>
      <c r="M75" s="3174">
        <v>2.9946280532004277</v>
      </c>
      <c r="N75" s="3174">
        <v>3.2940908585204705</v>
      </c>
      <c r="O75" s="3548">
        <f t="shared" si="10"/>
        <v>70305.272895467162</v>
      </c>
      <c r="P75" s="3548">
        <f t="shared" si="11"/>
        <v>0</v>
      </c>
      <c r="Q75" s="3175">
        <v>656467.45939234586</v>
      </c>
      <c r="R75" s="3175">
        <v>722114.20533158048</v>
      </c>
      <c r="S75" s="3173">
        <v>1.081</v>
      </c>
      <c r="T75" s="3172">
        <v>0</v>
      </c>
      <c r="U75" s="4150">
        <f t="shared" si="12"/>
        <v>0</v>
      </c>
      <c r="V75" s="3172">
        <v>76000</v>
      </c>
      <c r="W75" s="322">
        <f t="shared" si="13"/>
        <v>1</v>
      </c>
      <c r="X75" s="322">
        <f t="shared" si="14"/>
        <v>0</v>
      </c>
      <c r="Y75" s="322">
        <f t="shared" si="15"/>
        <v>0</v>
      </c>
    </row>
    <row r="76" spans="2:25">
      <c r="B76" s="323"/>
      <c r="C76" s="3178" t="s">
        <v>356</v>
      </c>
      <c r="D76" s="3178">
        <v>0</v>
      </c>
      <c r="E76" s="3178" t="s">
        <v>181</v>
      </c>
      <c r="F76" s="3178" t="s">
        <v>232</v>
      </c>
      <c r="G76" s="3182">
        <v>600</v>
      </c>
      <c r="H76" s="3182">
        <v>400</v>
      </c>
      <c r="I76" s="3176">
        <v>0</v>
      </c>
      <c r="J76" s="3177"/>
      <c r="K76" s="3177"/>
      <c r="L76" s="3193"/>
      <c r="M76" s="3174">
        <v>0</v>
      </c>
      <c r="N76" s="3174">
        <v>0</v>
      </c>
      <c r="O76" s="3548">
        <f t="shared" si="10"/>
        <v>25901.942645698429</v>
      </c>
      <c r="P76" s="3548">
        <f t="shared" si="11"/>
        <v>22201.665124884366</v>
      </c>
      <c r="Q76" s="3175">
        <v>0</v>
      </c>
      <c r="R76" s="3175">
        <v>0</v>
      </c>
      <c r="S76" s="3173">
        <v>1.081</v>
      </c>
      <c r="T76" s="3172">
        <v>0</v>
      </c>
      <c r="U76" s="4150">
        <f t="shared" si="12"/>
        <v>16000</v>
      </c>
      <c r="V76" s="3172">
        <v>28000</v>
      </c>
      <c r="W76" s="322">
        <f t="shared" si="13"/>
        <v>1</v>
      </c>
      <c r="X76" s="322">
        <f t="shared" si="14"/>
        <v>0</v>
      </c>
      <c r="Y76" s="322">
        <f t="shared" si="15"/>
        <v>0</v>
      </c>
    </row>
    <row r="77" spans="2:25">
      <c r="B77" s="323"/>
      <c r="C77" s="3171" t="s">
        <v>982</v>
      </c>
      <c r="D77" s="3178">
        <v>0.77</v>
      </c>
      <c r="E77" s="3178" t="s">
        <v>181</v>
      </c>
      <c r="F77" s="3178" t="s">
        <v>257</v>
      </c>
      <c r="G77" s="3179">
        <v>0.66</v>
      </c>
      <c r="H77" s="3179">
        <v>0.11</v>
      </c>
      <c r="I77" s="3176">
        <v>0</v>
      </c>
      <c r="J77" s="3177">
        <v>30</v>
      </c>
      <c r="K77" s="3177" t="s">
        <v>260</v>
      </c>
      <c r="L77" s="3193"/>
      <c r="M77" s="3174">
        <v>8.0375706475168869</v>
      </c>
      <c r="N77" s="3174">
        <v>2.7061110702791202</v>
      </c>
      <c r="O77" s="3548">
        <f t="shared" si="10"/>
        <v>14246.068455134136</v>
      </c>
      <c r="P77" s="3548">
        <f t="shared" si="11"/>
        <v>0</v>
      </c>
      <c r="Q77" s="3175">
        <v>252525.68019481769</v>
      </c>
      <c r="R77" s="3175">
        <v>277778.24821429944</v>
      </c>
      <c r="S77" s="3173">
        <v>1.081</v>
      </c>
      <c r="T77" s="3172">
        <v>0</v>
      </c>
      <c r="U77" s="4150">
        <f t="shared" si="12"/>
        <v>0</v>
      </c>
      <c r="V77" s="3172">
        <v>15400</v>
      </c>
      <c r="W77" s="322">
        <f t="shared" si="13"/>
        <v>1</v>
      </c>
      <c r="X77" s="322">
        <f t="shared" si="14"/>
        <v>0</v>
      </c>
      <c r="Y77" s="322">
        <f t="shared" si="15"/>
        <v>0</v>
      </c>
    </row>
    <row r="78" spans="2:25">
      <c r="B78" s="323"/>
      <c r="C78" s="3171" t="s">
        <v>983</v>
      </c>
      <c r="D78" s="3178">
        <v>1859</v>
      </c>
      <c r="E78" s="3178" t="s">
        <v>181</v>
      </c>
      <c r="F78" s="3178" t="s">
        <v>257</v>
      </c>
      <c r="G78" s="3179">
        <v>1000</v>
      </c>
      <c r="H78" s="3179">
        <v>500</v>
      </c>
      <c r="I78" s="4481">
        <v>0.105</v>
      </c>
      <c r="J78" s="3177">
        <v>20</v>
      </c>
      <c r="K78" s="3177" t="s">
        <v>260</v>
      </c>
      <c r="L78" s="3193"/>
      <c r="M78" s="3174">
        <v>5.7249658667029051</v>
      </c>
      <c r="N78" s="3174">
        <v>3.9097808281075159</v>
      </c>
      <c r="O78" s="3548">
        <f t="shared" si="10"/>
        <v>536769.43108233123</v>
      </c>
      <c r="P78" s="3548">
        <f t="shared" si="11"/>
        <v>404021.97502312675</v>
      </c>
      <c r="Q78" s="3175">
        <v>4366391.5517522432</v>
      </c>
      <c r="R78" s="3175">
        <v>4803030.7069274671</v>
      </c>
      <c r="S78" s="3173">
        <v>1.081</v>
      </c>
      <c r="T78" s="3172">
        <v>0</v>
      </c>
      <c r="U78" s="4150">
        <f t="shared" si="12"/>
        <v>180000</v>
      </c>
      <c r="V78" s="3172">
        <v>503500</v>
      </c>
      <c r="W78" s="322">
        <f t="shared" si="13"/>
        <v>0.86773278424834233</v>
      </c>
      <c r="X78" s="322">
        <f t="shared" si="14"/>
        <v>6.009588093968584E-2</v>
      </c>
      <c r="Y78" s="322">
        <f t="shared" si="15"/>
        <v>1.7190932518127536E-2</v>
      </c>
    </row>
    <row r="79" spans="2:25">
      <c r="B79" s="323"/>
      <c r="C79" s="4469" t="s">
        <v>1215</v>
      </c>
      <c r="D79" s="4469">
        <v>2.14</v>
      </c>
      <c r="E79" s="323" t="s">
        <v>181</v>
      </c>
      <c r="F79" s="4469" t="s">
        <v>257</v>
      </c>
      <c r="G79" s="4482">
        <v>1.08</v>
      </c>
      <c r="H79" s="4483">
        <v>0.22</v>
      </c>
      <c r="I79" s="4481">
        <v>4.8000000000000001E-2</v>
      </c>
      <c r="J79" s="243">
        <v>30</v>
      </c>
      <c r="K79" s="3193" t="s">
        <v>260</v>
      </c>
      <c r="L79" s="243"/>
      <c r="M79" s="278">
        <f t="shared" ref="M79:N104" si="16">Q79/O79</f>
        <v>11.611310740966932</v>
      </c>
      <c r="N79" s="278">
        <f t="shared" si="16"/>
        <v>4.4930750891058855</v>
      </c>
      <c r="O79" s="3548">
        <f t="shared" si="10"/>
        <v>61397.989326122537</v>
      </c>
      <c r="P79" s="3548">
        <f t="shared" si="11"/>
        <v>174535.75350458978</v>
      </c>
      <c r="Q79" s="214">
        <f>IF(K79=0, 0, (HLOOKUP(K79,'[1]E-CESTDWO'!$A$5:$O$35,J79+1,FALSE)*R29))</f>
        <v>712911.13293617964</v>
      </c>
      <c r="R79" s="214">
        <f>IF(K79=0, 0, (HLOOKUP(K79,'[1]E-CESTD'!$A$5:$O$35,J79+1,FALSE)*R29))</f>
        <v>784202.2462297976</v>
      </c>
      <c r="S79" s="279">
        <v>1.081</v>
      </c>
      <c r="T79" s="280">
        <f t="shared" ref="T79:T104" si="17">M29*$H79</f>
        <v>0</v>
      </c>
      <c r="U79" s="4150">
        <f t="shared" si="12"/>
        <v>31286.538461538465</v>
      </c>
      <c r="V79" s="280">
        <f t="shared" ref="V79:V104" si="18">O29*$H79</f>
        <v>31286.538461538465</v>
      </c>
      <c r="W79" s="322">
        <f t="shared" si="13"/>
        <v>0.47138707734546287</v>
      </c>
      <c r="X79" s="322">
        <f t="shared" si="14"/>
        <v>0.24017636632400569</v>
      </c>
      <c r="Y79" s="322">
        <f t="shared" si="15"/>
        <v>6.8704470944837517E-2</v>
      </c>
    </row>
    <row r="80" spans="2:25">
      <c r="B80" s="323"/>
      <c r="C80" s="4469" t="s">
        <v>1216</v>
      </c>
      <c r="D80" s="4469">
        <v>2.38</v>
      </c>
      <c r="E80" s="323" t="s">
        <v>181</v>
      </c>
      <c r="F80" s="4469" t="s">
        <v>257</v>
      </c>
      <c r="G80" s="4482">
        <v>1.08</v>
      </c>
      <c r="H80" s="4483">
        <v>0.22</v>
      </c>
      <c r="I80" s="4481">
        <v>3.3000000000000002E-2</v>
      </c>
      <c r="J80" s="243">
        <v>30</v>
      </c>
      <c r="K80" s="3193" t="s">
        <v>260</v>
      </c>
      <c r="L80" s="243"/>
      <c r="M80" s="278">
        <f t="shared" si="16"/>
        <v>12.218300950042078</v>
      </c>
      <c r="N80" s="278">
        <f t="shared" si="16"/>
        <v>4.8989148098978932</v>
      </c>
      <c r="O80" s="3548">
        <f t="shared" si="10"/>
        <v>40277.478047392018</v>
      </c>
      <c r="P80" s="3548">
        <f t="shared" si="11"/>
        <v>110500.91788230272</v>
      </c>
      <c r="Q80" s="214">
        <f>IF(K80=0, 0, (HLOOKUP(K80,'[1]E-CESTDWO'!$A$5:$O$35,J80+1,FALSE)*R30))</f>
        <v>492122.34829174884</v>
      </c>
      <c r="R80" s="214">
        <f>IF(K80=0, 0, (HLOOKUP(K80,'[1]E-CESTD'!$A$5:$O$35,J80+1,FALSE)*R30))</f>
        <v>541334.58312092372</v>
      </c>
      <c r="S80" s="279">
        <v>1.081</v>
      </c>
      <c r="T80" s="280">
        <f t="shared" si="17"/>
        <v>0</v>
      </c>
      <c r="U80" s="4150">
        <f t="shared" si="12"/>
        <v>19419.23076923077</v>
      </c>
      <c r="V80" s="280">
        <f t="shared" si="18"/>
        <v>19419.23076923077</v>
      </c>
      <c r="W80" s="322">
        <f t="shared" si="13"/>
        <v>0.44600944852068575</v>
      </c>
      <c r="X80" s="322">
        <f t="shared" si="14"/>
        <v>0.25170674406514471</v>
      </c>
      <c r="Y80" s="322">
        <f t="shared" si="15"/>
        <v>7.2002832538960379E-2</v>
      </c>
    </row>
    <row r="81" spans="2:25">
      <c r="B81" s="323"/>
      <c r="C81" s="4469" t="s">
        <v>1217</v>
      </c>
      <c r="D81" s="4469">
        <v>1.04</v>
      </c>
      <c r="E81" s="323" t="s">
        <v>181</v>
      </c>
      <c r="F81" s="4469" t="s">
        <v>257</v>
      </c>
      <c r="G81" s="4482">
        <v>1.08</v>
      </c>
      <c r="H81" s="4483">
        <v>0.22</v>
      </c>
      <c r="I81" s="4481">
        <v>4.0000000000000001E-3</v>
      </c>
      <c r="J81" s="243">
        <v>30</v>
      </c>
      <c r="K81" s="3193" t="s">
        <v>260</v>
      </c>
      <c r="L81" s="243"/>
      <c r="M81" s="278">
        <f t="shared" si="16"/>
        <v>7.763116590271494</v>
      </c>
      <c r="N81" s="278">
        <f t="shared" si="16"/>
        <v>2.415636867988268</v>
      </c>
      <c r="O81" s="3548">
        <f t="shared" si="10"/>
        <v>7694.6852629331825</v>
      </c>
      <c r="P81" s="3548">
        <f t="shared" si="11"/>
        <v>27201.196328186157</v>
      </c>
      <c r="Q81" s="214">
        <f>IF(K81=0, 0, (HLOOKUP(K81,'[1]E-CESTDWO'!$A$5:$O$35,J81+1,FALSE)*R31))</f>
        <v>59734.738821594161</v>
      </c>
      <c r="R81" s="214">
        <f>IF(K81=0, 0, (HLOOKUP(K81,'[1]E-CESTD'!$A$5:$O$35,J81+1,FALSE)*R31))</f>
        <v>65708.212703753583</v>
      </c>
      <c r="S81" s="279">
        <v>1.081</v>
      </c>
      <c r="T81" s="280">
        <f t="shared" si="17"/>
        <v>0</v>
      </c>
      <c r="U81" s="4150">
        <f t="shared" si="12"/>
        <v>5394.2307692307695</v>
      </c>
      <c r="V81" s="280">
        <f t="shared" si="18"/>
        <v>5394.2307692307695</v>
      </c>
      <c r="W81" s="322">
        <f t="shared" si="13"/>
        <v>0.64850446039749488</v>
      </c>
      <c r="X81" s="322">
        <f t="shared" si="14"/>
        <v>0.15970271982169582</v>
      </c>
      <c r="Y81" s="322">
        <f t="shared" si="15"/>
        <v>4.5684307085399285E-2</v>
      </c>
    </row>
    <row r="82" spans="2:25">
      <c r="B82" s="323"/>
      <c r="C82" s="4469" t="s">
        <v>1218</v>
      </c>
      <c r="D82" s="4469">
        <v>0.67</v>
      </c>
      <c r="E82" s="323" t="s">
        <v>181</v>
      </c>
      <c r="F82" s="4469" t="s">
        <v>257</v>
      </c>
      <c r="G82" s="4482">
        <v>0.66</v>
      </c>
      <c r="H82" s="4483">
        <v>0.11</v>
      </c>
      <c r="I82" s="4481">
        <v>4.0000000000000001E-3</v>
      </c>
      <c r="J82" s="243">
        <v>30</v>
      </c>
      <c r="K82" s="3193" t="s">
        <v>260</v>
      </c>
      <c r="L82" s="243"/>
      <c r="M82" s="278">
        <f t="shared" si="16"/>
        <v>9.1762623885583618</v>
      </c>
      <c r="N82" s="278">
        <f t="shared" si="16"/>
        <v>2.5395432299788725</v>
      </c>
      <c r="O82" s="3548">
        <f t="shared" si="10"/>
        <v>6677.1089447093154</v>
      </c>
      <c r="P82" s="3548">
        <f t="shared" si="11"/>
        <v>26539.415925425179</v>
      </c>
      <c r="Q82" s="214">
        <f>IF(K82=0, 0, (HLOOKUP(K82,'[1]E-CESTDWO'!$A$5:$O$35,J82+1,FALSE)*R32))</f>
        <v>61270.903673642708</v>
      </c>
      <c r="R82" s="214">
        <f>IF(K82=0, 0, (HLOOKUP(K82,'[1]E-CESTD'!$A$5:$O$35,J82+1,FALSE)*R32))</f>
        <v>67397.994041006983</v>
      </c>
      <c r="S82" s="279">
        <v>1.081</v>
      </c>
      <c r="T82" s="280">
        <f t="shared" si="17"/>
        <v>0</v>
      </c>
      <c r="U82" s="4150">
        <f t="shared" si="12"/>
        <v>4294.2307692307695</v>
      </c>
      <c r="V82" s="280">
        <f t="shared" si="18"/>
        <v>4294.2307692307695</v>
      </c>
    </row>
    <row r="83" spans="2:25">
      <c r="B83" s="323"/>
      <c r="C83" s="4469" t="s">
        <v>1219</v>
      </c>
      <c r="D83" s="4469">
        <v>0.75</v>
      </c>
      <c r="E83" s="323" t="s">
        <v>181</v>
      </c>
      <c r="F83" s="4469" t="s">
        <v>257</v>
      </c>
      <c r="G83" s="4482">
        <v>0.66</v>
      </c>
      <c r="H83" s="4483">
        <v>0.11</v>
      </c>
      <c r="I83" s="4481">
        <v>3.0000000000000001E-3</v>
      </c>
      <c r="J83" s="243">
        <v>30</v>
      </c>
      <c r="K83" s="3193" t="s">
        <v>260</v>
      </c>
      <c r="L83" s="243"/>
      <c r="M83" s="278">
        <f t="shared" si="16"/>
        <v>9.4725642345356267</v>
      </c>
      <c r="N83" s="278">
        <f t="shared" si="16"/>
        <v>2.7836711126036344</v>
      </c>
      <c r="O83" s="3548">
        <f t="shared" si="10"/>
        <v>4494.1513555824376</v>
      </c>
      <c r="P83" s="3548">
        <f t="shared" si="11"/>
        <v>16822.479826371593</v>
      </c>
      <c r="Q83" s="214">
        <f>IF(K83=0, 0, (HLOOKUP(K83,'[1]E-CESTDWO'!$A$5:$O$35,J83+1,FALSE)*R33))</f>
        <v>42571.13739548</v>
      </c>
      <c r="R83" s="214">
        <f>IF(K83=0, 0, (HLOOKUP(K83,'[1]E-CESTD'!$A$5:$O$35,J83+1,FALSE)*R33))</f>
        <v>46828.251135028004</v>
      </c>
      <c r="S83" s="279">
        <v>1.081</v>
      </c>
      <c r="T83" s="280">
        <f t="shared" si="17"/>
        <v>0</v>
      </c>
      <c r="U83" s="4150">
        <f t="shared" si="12"/>
        <v>2665.3846153846152</v>
      </c>
      <c r="V83" s="280">
        <f t="shared" si="18"/>
        <v>2665.3846153846152</v>
      </c>
    </row>
    <row r="84" spans="2:25">
      <c r="B84" s="323"/>
      <c r="C84" s="4469" t="s">
        <v>1220</v>
      </c>
      <c r="D84" s="4469">
        <v>0.32</v>
      </c>
      <c r="E84" s="323" t="s">
        <v>181</v>
      </c>
      <c r="F84" s="4469" t="s">
        <v>257</v>
      </c>
      <c r="G84" s="4482">
        <v>0.66</v>
      </c>
      <c r="H84" s="4483">
        <v>0.11</v>
      </c>
      <c r="I84" s="4481">
        <v>0</v>
      </c>
      <c r="J84" s="243">
        <v>30</v>
      </c>
      <c r="K84" s="3193" t="s">
        <v>260</v>
      </c>
      <c r="L84" s="243"/>
      <c r="M84" s="278">
        <f t="shared" si="16"/>
        <v>7.3666455804512854</v>
      </c>
      <c r="N84" s="278">
        <f t="shared" si="16"/>
        <v>1.3505516897494021</v>
      </c>
      <c r="O84" s="3548">
        <f t="shared" si="10"/>
        <v>684.9071372660643</v>
      </c>
      <c r="P84" s="3548">
        <f t="shared" si="11"/>
        <v>4109.442823596386</v>
      </c>
      <c r="Q84" s="214">
        <f>IF(K84=0, 0, (HLOOKUP(K84,'[1]E-CESTDWO'!$A$5:$O$35,J84+1,FALSE)*R34))</f>
        <v>5045.4681357605941</v>
      </c>
      <c r="R84" s="214">
        <f>IF(K84=0, 0, (HLOOKUP(K84,'[1]E-CESTD'!$A$5:$O$35,J84+1,FALSE)*R34))</f>
        <v>5550.0149493366534</v>
      </c>
      <c r="S84" s="279">
        <v>1.081</v>
      </c>
      <c r="T84" s="280">
        <f t="shared" si="17"/>
        <v>0</v>
      </c>
      <c r="U84" s="4150">
        <f t="shared" si="12"/>
        <v>740.38461538461547</v>
      </c>
      <c r="V84" s="280">
        <f t="shared" si="18"/>
        <v>740.38461538461547</v>
      </c>
    </row>
    <row r="85" spans="2:25">
      <c r="B85" s="323"/>
      <c r="C85" s="4469" t="s">
        <v>1221</v>
      </c>
      <c r="D85" s="4469">
        <v>1.48</v>
      </c>
      <c r="E85" s="323" t="s">
        <v>181</v>
      </c>
      <c r="F85" s="4469" t="s">
        <v>257</v>
      </c>
      <c r="G85" s="4482">
        <v>0.97</v>
      </c>
      <c r="H85" s="4483">
        <v>0.22</v>
      </c>
      <c r="I85" s="4481">
        <v>7.0000000000000001E-3</v>
      </c>
      <c r="J85" s="243">
        <v>30</v>
      </c>
      <c r="K85" s="3193" t="s">
        <v>260</v>
      </c>
      <c r="L85" s="243"/>
      <c r="M85" s="278">
        <f t="shared" si="16"/>
        <v>9.4406347419333851</v>
      </c>
      <c r="N85" s="278">
        <f t="shared" si="16"/>
        <v>3.5942602810767674</v>
      </c>
      <c r="O85" s="3548">
        <f t="shared" si="10"/>
        <v>10616.655496060017</v>
      </c>
      <c r="P85" s="3548">
        <f t="shared" si="11"/>
        <v>30674.117834932516</v>
      </c>
      <c r="Q85" s="214">
        <f>IF(K85=0, 0, (HLOOKUP(K85,'[1]E-CESTDWO'!$A$5:$O$35,J85+1,FALSE)*R35))</f>
        <v>100227.96671924222</v>
      </c>
      <c r="R85" s="214">
        <f>IF(K85=0, 0, (HLOOKUP(K85,'[1]E-CESTD'!$A$5:$O$35,J85+1,FALSE)*R35))</f>
        <v>110250.76339116643</v>
      </c>
      <c r="S85" s="279">
        <v>1.081</v>
      </c>
      <c r="T85" s="280">
        <f t="shared" si="17"/>
        <v>0</v>
      </c>
      <c r="U85" s="4150">
        <f t="shared" si="12"/>
        <v>6360.0875912408765</v>
      </c>
      <c r="V85" s="280">
        <f t="shared" si="18"/>
        <v>6360.0875912408765</v>
      </c>
    </row>
    <row r="86" spans="2:25">
      <c r="B86" s="323"/>
      <c r="C86" s="4469" t="s">
        <v>1222</v>
      </c>
      <c r="D86" s="4469">
        <v>1.67</v>
      </c>
      <c r="E86" s="323" t="s">
        <v>181</v>
      </c>
      <c r="F86" s="4469" t="s">
        <v>257</v>
      </c>
      <c r="G86" s="4482">
        <v>0.97</v>
      </c>
      <c r="H86" s="4483">
        <v>0.22</v>
      </c>
      <c r="I86" s="4481">
        <v>3.0000000000000001E-3</v>
      </c>
      <c r="J86" s="243">
        <v>30</v>
      </c>
      <c r="K86" s="3193" t="s">
        <v>260</v>
      </c>
      <c r="L86" s="243"/>
      <c r="M86" s="278">
        <f t="shared" si="16"/>
        <v>10.053615414266053</v>
      </c>
      <c r="N86" s="278">
        <f t="shared" si="16"/>
        <v>3.9737420733172701</v>
      </c>
      <c r="O86" s="3548">
        <f t="shared" si="10"/>
        <v>4252.7440866459156</v>
      </c>
      <c r="P86" s="3548">
        <f t="shared" si="11"/>
        <v>11835.443263536738</v>
      </c>
      <c r="Q86" s="214">
        <f>IF(K86=0, 0, (HLOOKUP(K86,'[1]E-CESTDWO'!$A$5:$O$35,J86+1,FALSE)*R36))</f>
        <v>42755.453502432181</v>
      </c>
      <c r="R86" s="214">
        <f>IF(K86=0, 0, (HLOOKUP(K86,'[1]E-CESTD'!$A$5:$O$35,J86+1,FALSE)*R36))</f>
        <v>47030.998852675395</v>
      </c>
      <c r="S86" s="279">
        <v>1.081</v>
      </c>
      <c r="T86" s="280">
        <f t="shared" si="17"/>
        <v>0</v>
      </c>
      <c r="U86" s="4150">
        <f t="shared" si="12"/>
        <v>2404.4233576642337</v>
      </c>
      <c r="V86" s="280">
        <f t="shared" si="18"/>
        <v>2404.4233576642337</v>
      </c>
    </row>
    <row r="87" spans="2:25">
      <c r="B87" s="323"/>
      <c r="C87" s="4469" t="s">
        <v>1223</v>
      </c>
      <c r="D87" s="4469">
        <v>0.72</v>
      </c>
      <c r="E87" s="323" t="s">
        <v>181</v>
      </c>
      <c r="F87" s="4469" t="s">
        <v>257</v>
      </c>
      <c r="G87" s="4482">
        <v>0.97</v>
      </c>
      <c r="H87" s="4483">
        <v>0.22</v>
      </c>
      <c r="I87" s="4481">
        <v>1E-3</v>
      </c>
      <c r="J87" s="243">
        <v>30</v>
      </c>
      <c r="K87" s="3193" t="s">
        <v>260</v>
      </c>
      <c r="L87" s="243"/>
      <c r="M87" s="278">
        <f t="shared" si="16"/>
        <v>5.9508282024760817</v>
      </c>
      <c r="N87" s="278">
        <f t="shared" si="16"/>
        <v>1.8985210592725703</v>
      </c>
      <c r="O87" s="3548">
        <f t="shared" si="10"/>
        <v>2398.1684098935157</v>
      </c>
      <c r="P87" s="3548">
        <f t="shared" si="11"/>
        <v>8268.6451920025393</v>
      </c>
      <c r="Q87" s="214">
        <f>IF(K87=0, 0, (HLOOKUP(K87,'[1]E-CESTDWO'!$A$5:$O$35,J87+1,FALSE)*R37))</f>
        <v>14271.088207881552</v>
      </c>
      <c r="R87" s="214">
        <f>IF(K87=0, 0, (HLOOKUP(K87,'[1]E-CESTD'!$A$5:$O$35,J87+1,FALSE)*R37))</f>
        <v>15698.197028669707</v>
      </c>
      <c r="S87" s="279">
        <v>1.081</v>
      </c>
      <c r="T87" s="280">
        <f t="shared" si="17"/>
        <v>0</v>
      </c>
      <c r="U87" s="4150">
        <f t="shared" si="12"/>
        <v>1861.4890510948906</v>
      </c>
      <c r="V87" s="280">
        <f t="shared" si="18"/>
        <v>1861.4890510948906</v>
      </c>
    </row>
    <row r="88" spans="2:25">
      <c r="B88" s="323"/>
      <c r="C88" s="4469" t="s">
        <v>1224</v>
      </c>
      <c r="D88" s="4469">
        <v>1.38</v>
      </c>
      <c r="E88" s="323" t="s">
        <v>181</v>
      </c>
      <c r="F88" s="4469" t="s">
        <v>257</v>
      </c>
      <c r="G88" s="4482">
        <v>1.37</v>
      </c>
      <c r="H88" s="4483">
        <v>0.22</v>
      </c>
      <c r="I88" s="4481">
        <v>4.2000000000000003E-2</v>
      </c>
      <c r="J88" s="243">
        <v>30</v>
      </c>
      <c r="K88" s="3193" t="s">
        <v>260</v>
      </c>
      <c r="L88" s="243"/>
      <c r="M88" s="278">
        <f t="shared" si="16"/>
        <v>9.2085163807496393</v>
      </c>
      <c r="N88" s="278">
        <f t="shared" si="16"/>
        <v>2.5132588664994451</v>
      </c>
      <c r="O88" s="3548">
        <f t="shared" si="10"/>
        <v>67571.676364304105</v>
      </c>
      <c r="P88" s="3548">
        <f t="shared" si="11"/>
        <v>272338.98850072932</v>
      </c>
      <c r="Q88" s="214">
        <f>IF(K88=0, 0, (HLOOKUP(K88,'[1]E-CESTDWO'!$A$5:$O$35,J88+1,FALSE)*R38))</f>
        <v>622234.88867540762</v>
      </c>
      <c r="R88" s="214">
        <f>IF(K88=0, 0, (HLOOKUP(K88,'[1]E-CESTD'!$A$5:$O$35,J88+1,FALSE)*R38))</f>
        <v>684458.37754294835</v>
      </c>
      <c r="S88" s="279">
        <v>1.081</v>
      </c>
      <c r="T88" s="280">
        <f t="shared" si="17"/>
        <v>0</v>
      </c>
      <c r="U88" s="4150">
        <f t="shared" si="12"/>
        <v>42345.880149812729</v>
      </c>
      <c r="V88" s="280">
        <f t="shared" si="18"/>
        <v>42345.880149812729</v>
      </c>
    </row>
    <row r="89" spans="2:25">
      <c r="B89" s="323"/>
      <c r="C89" s="4469" t="s">
        <v>1225</v>
      </c>
      <c r="D89" s="4469">
        <v>1.46</v>
      </c>
      <c r="E89" s="323" t="s">
        <v>181</v>
      </c>
      <c r="F89" s="4469" t="s">
        <v>257</v>
      </c>
      <c r="G89" s="4482">
        <v>1.37</v>
      </c>
      <c r="H89" s="4483">
        <v>0.22</v>
      </c>
      <c r="I89" s="4481">
        <v>2.1000000000000001E-2</v>
      </c>
      <c r="J89" s="243">
        <v>30</v>
      </c>
      <c r="K89" s="3193" t="s">
        <v>260</v>
      </c>
      <c r="L89" s="243"/>
      <c r="M89" s="278">
        <f t="shared" si="16"/>
        <v>9.5350658783103999</v>
      </c>
      <c r="N89" s="278">
        <f t="shared" si="16"/>
        <v>2.6446904762821024</v>
      </c>
      <c r="O89" s="3548">
        <f t="shared" si="10"/>
        <v>32822.570712372719</v>
      </c>
      <c r="P89" s="3548">
        <f t="shared" si="11"/>
        <v>130170.96500673881</v>
      </c>
      <c r="Q89" s="214">
        <f>IF(K89=0, 0, (HLOOKUP(K89,'[1]E-CESTDWO'!$A$5:$O$35,J89+1,FALSE)*R39))</f>
        <v>312965.37403797539</v>
      </c>
      <c r="R89" s="214">
        <f>IF(K89=0, 0, (HLOOKUP(K89,'[1]E-CESTD'!$A$5:$O$35,J89+1,FALSE)*R39))</f>
        <v>344261.91144177294</v>
      </c>
      <c r="S89" s="279">
        <v>1.081</v>
      </c>
      <c r="T89" s="280">
        <f t="shared" si="17"/>
        <v>0</v>
      </c>
      <c r="U89" s="4150">
        <f t="shared" si="12"/>
        <v>20131.647940074909</v>
      </c>
      <c r="V89" s="280">
        <f t="shared" si="18"/>
        <v>20131.647940074909</v>
      </c>
    </row>
    <row r="90" spans="2:25">
      <c r="B90" s="323"/>
      <c r="C90" s="4469" t="s">
        <v>1226</v>
      </c>
      <c r="D90" s="4469">
        <v>0.56999999999999995</v>
      </c>
      <c r="E90" s="323" t="s">
        <v>181</v>
      </c>
      <c r="F90" s="4469" t="s">
        <v>257</v>
      </c>
      <c r="G90" s="4482">
        <v>1.37</v>
      </c>
      <c r="H90" s="4483">
        <v>0.22</v>
      </c>
      <c r="I90" s="4481">
        <v>5.0000000000000001E-3</v>
      </c>
      <c r="J90" s="243">
        <v>30</v>
      </c>
      <c r="K90" s="3193" t="s">
        <v>260</v>
      </c>
      <c r="L90" s="243"/>
      <c r="M90" s="278">
        <f t="shared" si="16"/>
        <v>4.9954884311271899</v>
      </c>
      <c r="N90" s="278">
        <f t="shared" si="16"/>
        <v>1.1034102000064239</v>
      </c>
      <c r="O90" s="3548">
        <f t="shared" si="10"/>
        <v>14169.405097236226</v>
      </c>
      <c r="P90" s="3548">
        <f t="shared" si="11"/>
        <v>70564.336964317277</v>
      </c>
      <c r="Q90" s="214">
        <f>IF(K90=0, 0, (HLOOKUP(K90,'[1]E-CESTDWO'!$A$5:$O$35,J90+1,FALSE)*R40))</f>
        <v>70783.0992391982</v>
      </c>
      <c r="R90" s="214">
        <f>IF(K90=0, 0, (HLOOKUP(K90,'[1]E-CESTD'!$A$5:$O$35,J90+1,FALSE)*R40))</f>
        <v>77861.40916311802</v>
      </c>
      <c r="S90" s="279">
        <v>1.081</v>
      </c>
      <c r="T90" s="280">
        <f t="shared" si="17"/>
        <v>0</v>
      </c>
      <c r="U90" s="4150">
        <f t="shared" si="12"/>
        <v>11662.471910112359</v>
      </c>
      <c r="V90" s="280">
        <f t="shared" si="18"/>
        <v>11662.471910112359</v>
      </c>
    </row>
    <row r="91" spans="2:25">
      <c r="B91" s="323" t="s">
        <v>7</v>
      </c>
      <c r="C91" s="4469" t="s">
        <v>1227</v>
      </c>
      <c r="D91" s="4469">
        <v>1.81</v>
      </c>
      <c r="E91" s="243" t="s">
        <v>181</v>
      </c>
      <c r="F91" s="4484" t="s">
        <v>1228</v>
      </c>
      <c r="G91" s="4482">
        <v>0.67</v>
      </c>
      <c r="H91" s="4485">
        <v>0.6</v>
      </c>
      <c r="I91" s="4481">
        <v>1.4999999999999999E-2</v>
      </c>
      <c r="J91" s="243">
        <v>30</v>
      </c>
      <c r="K91" s="3193" t="s">
        <v>260</v>
      </c>
      <c r="L91" s="243"/>
      <c r="M91" s="278">
        <f t="shared" si="16"/>
        <v>5.6757704469408159</v>
      </c>
      <c r="N91" s="278">
        <f t="shared" si="16"/>
        <v>5.7453276921461232</v>
      </c>
      <c r="O91" s="3548">
        <f t="shared" si="10"/>
        <v>39463.703684455766</v>
      </c>
      <c r="P91" s="3548">
        <f t="shared" si="11"/>
        <v>42884.519145144586</v>
      </c>
      <c r="Q91" s="214">
        <f>IF(K91=0, 0, (HLOOKUP(K91,'[1]E-CESTDWO'!$A$5:$O$35,J91+1,FALSE)*R41))</f>
        <v>223986.92309906342</v>
      </c>
      <c r="R91" s="214">
        <f>IF(K91=0, 0, (HLOOKUP(K91,'[1]E-CESTD'!$A$5:$O$35,J91+1,FALSE)*R41))</f>
        <v>246385.61540896978</v>
      </c>
      <c r="S91" s="279">
        <v>1.081</v>
      </c>
      <c r="T91" s="280">
        <f t="shared" si="17"/>
        <v>0</v>
      </c>
      <c r="U91" s="4150">
        <f t="shared" si="12"/>
        <v>31696.298682896675</v>
      </c>
      <c r="V91" s="280">
        <f t="shared" si="18"/>
        <v>31696.298682896675</v>
      </c>
    </row>
    <row r="92" spans="2:25">
      <c r="B92" s="323" t="s">
        <v>7</v>
      </c>
      <c r="C92" s="4469" t="s">
        <v>1229</v>
      </c>
      <c r="D92" s="4469">
        <v>2.04</v>
      </c>
      <c r="E92" s="323" t="s">
        <v>181</v>
      </c>
      <c r="F92" s="4469" t="s">
        <v>1228</v>
      </c>
      <c r="G92" s="4482">
        <v>0.67</v>
      </c>
      <c r="H92" s="4485">
        <v>0.6</v>
      </c>
      <c r="I92" s="4481">
        <v>8.0000000000000002E-3</v>
      </c>
      <c r="J92" s="323">
        <v>30</v>
      </c>
      <c r="K92" s="3193" t="s">
        <v>260</v>
      </c>
      <c r="L92" s="243"/>
      <c r="M92" s="278">
        <f t="shared" si="16"/>
        <v>6.289242532238104</v>
      </c>
      <c r="N92" s="278">
        <f t="shared" si="16"/>
        <v>6.3748839134197723</v>
      </c>
      <c r="O92" s="3548">
        <f t="shared" si="10"/>
        <v>20069.932785798646</v>
      </c>
      <c r="P92" s="3548">
        <f t="shared" si="11"/>
        <v>21780.34051614306</v>
      </c>
      <c r="Q92" s="214">
        <f>IF(K92=0, 0, (HLOOKUP(K92,'[1]E-CESTDWO'!$A$5:$O$35,J92+1,FALSE)*R42))</f>
        <v>126224.67489560482</v>
      </c>
      <c r="R92" s="214">
        <f>IF(K92=0, 0, (HLOOKUP(K92,'[1]E-CESTD'!$A$5:$O$35,J92+1,FALSE)*R42))</f>
        <v>138847.14238516529</v>
      </c>
      <c r="S92" s="279">
        <v>1.081</v>
      </c>
      <c r="T92" s="280">
        <f t="shared" si="17"/>
        <v>0</v>
      </c>
      <c r="U92" s="4150">
        <f t="shared" si="12"/>
        <v>15848.149341448338</v>
      </c>
      <c r="V92" s="280">
        <f t="shared" si="18"/>
        <v>15848.149341448338</v>
      </c>
    </row>
    <row r="93" spans="2:25">
      <c r="B93" s="323" t="s">
        <v>7</v>
      </c>
      <c r="C93" s="4469" t="s">
        <v>1230</v>
      </c>
      <c r="D93" s="4469">
        <v>0.96</v>
      </c>
      <c r="E93" s="323" t="s">
        <v>181</v>
      </c>
      <c r="F93" s="4469" t="s">
        <v>1228</v>
      </c>
      <c r="G93" s="4482">
        <v>0.67</v>
      </c>
      <c r="H93" s="4485">
        <v>0.6</v>
      </c>
      <c r="I93" s="4481">
        <v>2E-3</v>
      </c>
      <c r="J93" s="323">
        <v>30</v>
      </c>
      <c r="K93" s="3193" t="s">
        <v>260</v>
      </c>
      <c r="L93" s="243"/>
      <c r="M93" s="278">
        <f t="shared" si="16"/>
        <v>3.40168685819715</v>
      </c>
      <c r="N93" s="278">
        <f t="shared" si="16"/>
        <v>3.4080352504979117</v>
      </c>
      <c r="O93" s="3548">
        <f t="shared" si="10"/>
        <v>8429.8730032944204</v>
      </c>
      <c r="P93" s="3548">
        <f t="shared" si="11"/>
        <v>9255.5870800124103</v>
      </c>
      <c r="Q93" s="214">
        <f>IF(K93=0, 0, (HLOOKUP(K93,'[1]E-CESTDWO'!$A$5:$O$35,J93+1,FALSE)*R43))</f>
        <v>28675.788211577572</v>
      </c>
      <c r="R93" s="214">
        <f>IF(K93=0, 0, (HLOOKUP(K93,'[1]E-CESTD'!$A$5:$O$35,J93+1,FALSE)*R43))</f>
        <v>31543.367032735328</v>
      </c>
      <c r="S93" s="279">
        <v>1.081</v>
      </c>
      <c r="T93" s="280">
        <f t="shared" si="17"/>
        <v>0</v>
      </c>
      <c r="U93" s="4150">
        <f t="shared" si="12"/>
        <v>7650.8307165612687</v>
      </c>
      <c r="V93" s="280">
        <f t="shared" si="18"/>
        <v>7650.8307165612687</v>
      </c>
    </row>
    <row r="94" spans="2:25">
      <c r="B94" s="323" t="s">
        <v>7</v>
      </c>
      <c r="C94" s="4469" t="s">
        <v>1231</v>
      </c>
      <c r="D94" s="4469">
        <v>1362</v>
      </c>
      <c r="E94" s="4469" t="s">
        <v>181</v>
      </c>
      <c r="F94" s="4469" t="s">
        <v>186</v>
      </c>
      <c r="G94" s="4486">
        <v>538</v>
      </c>
      <c r="H94" s="4486">
        <v>300</v>
      </c>
      <c r="I94" s="4481">
        <v>2.7E-2</v>
      </c>
      <c r="J94" s="4489">
        <v>20</v>
      </c>
      <c r="K94" s="3193" t="s">
        <v>260</v>
      </c>
      <c r="L94" s="243"/>
      <c r="M94" s="278">
        <f t="shared" si="16"/>
        <v>5.9994571246418698</v>
      </c>
      <c r="N94" s="278">
        <f t="shared" si="16"/>
        <v>4.3423248905149601</v>
      </c>
      <c r="O94" s="3548">
        <f t="shared" si="10"/>
        <v>52946.472710453287</v>
      </c>
      <c r="P94" s="3548">
        <f t="shared" si="11"/>
        <v>80467.286771507876</v>
      </c>
      <c r="Q94" s="214">
        <f>IF(K94=0, 0, (HLOOKUP(K94,'[1]E-CESTDWO'!$A$5:$O$35,J94+1,FALSE)*R44))</f>
        <v>317650.0929273853</v>
      </c>
      <c r="R94" s="214">
        <f>IF(K94=0, 0, (HLOOKUP(K94,'[1]E-CESTD'!$A$5:$O$35,J94+1,FALSE)*R44))</f>
        <v>349415.10222012381</v>
      </c>
      <c r="S94" s="279">
        <v>1.081</v>
      </c>
      <c r="T94" s="280">
        <f t="shared" si="17"/>
        <v>0</v>
      </c>
      <c r="U94" s="4150">
        <f t="shared" si="12"/>
        <v>37500</v>
      </c>
      <c r="V94" s="280">
        <f t="shared" si="18"/>
        <v>37500</v>
      </c>
    </row>
    <row r="95" spans="2:25">
      <c r="B95" s="323" t="s">
        <v>7</v>
      </c>
      <c r="C95" s="4469" t="s">
        <v>1232</v>
      </c>
      <c r="D95" s="4469">
        <v>1049</v>
      </c>
      <c r="E95" s="4469" t="s">
        <v>181</v>
      </c>
      <c r="F95" s="4469" t="s">
        <v>182</v>
      </c>
      <c r="G95" s="4486">
        <v>538</v>
      </c>
      <c r="H95" s="4486">
        <v>300</v>
      </c>
      <c r="I95" s="4481">
        <v>1.7000000000000001E-2</v>
      </c>
      <c r="J95" s="4489">
        <v>20</v>
      </c>
      <c r="K95" s="3193" t="s">
        <v>260</v>
      </c>
      <c r="L95" s="243"/>
      <c r="M95" s="278">
        <f t="shared" si="16"/>
        <v>4.9869237920960963</v>
      </c>
      <c r="N95" s="278">
        <f t="shared" si="16"/>
        <v>3.5142151214241264</v>
      </c>
      <c r="O95" s="3548">
        <f t="shared" si="10"/>
        <v>39246.833487511569</v>
      </c>
      <c r="P95" s="3548">
        <f t="shared" si="11"/>
        <v>61263.484736355233</v>
      </c>
      <c r="Q95" s="214">
        <f>IF(K95=0, 0, (HLOOKUP(K95,'[1]E-CESTDWO'!$A$5:$O$35,J95+1,FALSE)*R45))</f>
        <v>195720.96768330524</v>
      </c>
      <c r="R95" s="214">
        <f>IF(K95=0, 0, (HLOOKUP(K95,'[1]E-CESTD'!$A$5:$O$35,J95+1,FALSE)*R45))</f>
        <v>215293.06445163573</v>
      </c>
      <c r="S95" s="279">
        <v>1.081</v>
      </c>
      <c r="T95" s="280">
        <f t="shared" si="17"/>
        <v>0</v>
      </c>
      <c r="U95" s="4150">
        <f t="shared" si="12"/>
        <v>30000</v>
      </c>
      <c r="V95" s="280">
        <f t="shared" si="18"/>
        <v>30000</v>
      </c>
    </row>
    <row r="96" spans="2:25">
      <c r="B96" s="323" t="s">
        <v>7</v>
      </c>
      <c r="C96" s="282" t="s">
        <v>218</v>
      </c>
      <c r="D96" s="323">
        <v>0</v>
      </c>
      <c r="E96" s="323" t="s">
        <v>181</v>
      </c>
      <c r="F96" s="323" t="s">
        <v>257</v>
      </c>
      <c r="G96" s="320">
        <v>0</v>
      </c>
      <c r="H96" s="320">
        <v>0</v>
      </c>
      <c r="I96" s="321">
        <f t="shared" ref="I96:I98" si="19">R46/R$8</f>
        <v>0</v>
      </c>
      <c r="J96" s="323"/>
      <c r="K96" s="323"/>
      <c r="L96" s="243"/>
      <c r="M96" s="278" t="e">
        <f t="shared" si="16"/>
        <v>#DIV/0!</v>
      </c>
      <c r="N96" s="278" t="e">
        <f t="shared" si="16"/>
        <v>#DIV/0!</v>
      </c>
      <c r="O96" s="214">
        <f t="shared" ref="O96:O104" si="20">(($I96*$F$57)+$V96)/$S96</f>
        <v>0</v>
      </c>
      <c r="P96" s="214">
        <f t="shared" ref="P96:P104" si="21">(($I96*$F$57)+($G96*$O46))/$S96</f>
        <v>0</v>
      </c>
      <c r="Q96" s="214">
        <f>IF(K96=0, 0, (HLOOKUP(K96,'[1]E-CESTDWO'!$A$5:$O$35,J96+1,FALSE)*R46))</f>
        <v>0</v>
      </c>
      <c r="R96" s="214">
        <f>IF(K96=0, 0, (HLOOKUP(K96,'[1]E-CESTD'!$A$5:$O$35,J96+1,FALSE)*R46))</f>
        <v>0</v>
      </c>
      <c r="S96" s="279">
        <v>1.081</v>
      </c>
      <c r="T96" s="280">
        <f t="shared" si="17"/>
        <v>0</v>
      </c>
      <c r="U96" s="280">
        <f t="shared" ref="U96:U104" si="22">N46*$H96</f>
        <v>0</v>
      </c>
      <c r="V96" s="280">
        <f t="shared" si="18"/>
        <v>0</v>
      </c>
    </row>
    <row r="97" spans="2:22">
      <c r="B97" s="323" t="s">
        <v>7</v>
      </c>
      <c r="C97" s="282" t="s">
        <v>219</v>
      </c>
      <c r="D97" s="323">
        <v>0</v>
      </c>
      <c r="E97" s="323" t="s">
        <v>181</v>
      </c>
      <c r="F97" s="323" t="s">
        <v>257</v>
      </c>
      <c r="G97" s="320">
        <v>0</v>
      </c>
      <c r="H97" s="320">
        <v>0</v>
      </c>
      <c r="I97" s="321">
        <f t="shared" si="19"/>
        <v>0</v>
      </c>
      <c r="J97" s="323"/>
      <c r="K97" s="323"/>
      <c r="L97" s="243"/>
      <c r="M97" s="278" t="e">
        <f t="shared" si="16"/>
        <v>#DIV/0!</v>
      </c>
      <c r="N97" s="278" t="e">
        <f t="shared" si="16"/>
        <v>#DIV/0!</v>
      </c>
      <c r="O97" s="214">
        <f t="shared" si="20"/>
        <v>0</v>
      </c>
      <c r="P97" s="214">
        <f t="shared" si="21"/>
        <v>0</v>
      </c>
      <c r="Q97" s="214">
        <f>IF(K97=0, 0, (HLOOKUP(K97,'[1]E-CESTDWO'!$A$5:$O$35,J97+1,FALSE)*R47))</f>
        <v>0</v>
      </c>
      <c r="R97" s="214">
        <f>IF(K97=0, 0, (HLOOKUP(K97,'[1]E-CESTD'!$A$5:$O$35,J97+1,FALSE)*R47))</f>
        <v>0</v>
      </c>
      <c r="S97" s="279">
        <v>1.081</v>
      </c>
      <c r="T97" s="280">
        <f t="shared" si="17"/>
        <v>0</v>
      </c>
      <c r="U97" s="280">
        <f t="shared" si="22"/>
        <v>0</v>
      </c>
      <c r="V97" s="280">
        <f t="shared" si="18"/>
        <v>0</v>
      </c>
    </row>
    <row r="98" spans="2:22">
      <c r="B98" s="282" t="s">
        <v>7</v>
      </c>
      <c r="C98" s="282" t="s">
        <v>220</v>
      </c>
      <c r="D98" s="323">
        <v>0</v>
      </c>
      <c r="E98" s="323" t="s">
        <v>181</v>
      </c>
      <c r="F98" s="323" t="s">
        <v>257</v>
      </c>
      <c r="G98" s="320">
        <v>0</v>
      </c>
      <c r="H98" s="320">
        <v>0</v>
      </c>
      <c r="I98" s="321">
        <f t="shared" si="19"/>
        <v>0</v>
      </c>
      <c r="J98" s="282"/>
      <c r="K98" s="323"/>
      <c r="L98" s="243"/>
      <c r="M98" s="278" t="e">
        <f t="shared" si="16"/>
        <v>#DIV/0!</v>
      </c>
      <c r="N98" s="278" t="e">
        <f t="shared" si="16"/>
        <v>#DIV/0!</v>
      </c>
      <c r="O98" s="214">
        <f t="shared" si="20"/>
        <v>0</v>
      </c>
      <c r="P98" s="214">
        <f t="shared" si="21"/>
        <v>0</v>
      </c>
      <c r="Q98" s="214">
        <f>IF(K98=0, 0, (HLOOKUP(K98,'[1]E-CESTDWO'!$A$5:$O$35,J98+1,FALSE)*R48))</f>
        <v>0</v>
      </c>
      <c r="R98" s="214">
        <f>IF(K98=0, 0, (HLOOKUP(K98,'[1]E-CESTD'!$A$5:$O$35,J98+1,FALSE)*R48))</f>
        <v>0</v>
      </c>
      <c r="S98" s="279">
        <v>1.081</v>
      </c>
      <c r="T98" s="280">
        <f t="shared" si="17"/>
        <v>0</v>
      </c>
      <c r="U98" s="280">
        <f t="shared" si="22"/>
        <v>0</v>
      </c>
      <c r="V98" s="280">
        <f t="shared" si="18"/>
        <v>0</v>
      </c>
    </row>
    <row r="99" spans="2:22">
      <c r="B99" s="282"/>
      <c r="C99" s="282" t="s">
        <v>221</v>
      </c>
      <c r="D99" s="285">
        <v>0</v>
      </c>
      <c r="E99" s="282" t="s">
        <v>181</v>
      </c>
      <c r="F99" s="282" t="s">
        <v>186</v>
      </c>
      <c r="G99" s="283"/>
      <c r="H99" s="283"/>
      <c r="I99" s="311">
        <v>0</v>
      </c>
      <c r="J99" s="257"/>
      <c r="K99" s="257"/>
      <c r="L99" s="3574"/>
      <c r="M99" s="278" t="e">
        <f t="shared" si="16"/>
        <v>#DIV/0!</v>
      </c>
      <c r="N99" s="278" t="e">
        <f t="shared" si="16"/>
        <v>#DIV/0!</v>
      </c>
      <c r="O99" s="214">
        <f t="shared" si="20"/>
        <v>0</v>
      </c>
      <c r="P99" s="214">
        <f t="shared" si="21"/>
        <v>0</v>
      </c>
      <c r="Q99" s="214">
        <f>IF(K99=0, 0, (HLOOKUP(K99,'[1]E-CESTDWO'!$A$5:$O$35,J99+1,FALSE)*R49))</f>
        <v>0</v>
      </c>
      <c r="R99" s="214">
        <f>IF(K99=0, 0, (HLOOKUP(K99,'[1]E-CESTD'!$A$5:$O$35,J99+1,FALSE)*R49))</f>
        <v>0</v>
      </c>
      <c r="S99" s="279">
        <v>1.081</v>
      </c>
      <c r="T99" s="280">
        <f t="shared" si="17"/>
        <v>0</v>
      </c>
      <c r="U99" s="280">
        <f t="shared" si="22"/>
        <v>0</v>
      </c>
      <c r="V99" s="280">
        <f t="shared" si="18"/>
        <v>0</v>
      </c>
    </row>
    <row r="100" spans="2:22">
      <c r="B100" s="282"/>
      <c r="C100" s="282" t="s">
        <v>222</v>
      </c>
      <c r="D100" s="285">
        <v>0</v>
      </c>
      <c r="E100" s="282" t="s">
        <v>181</v>
      </c>
      <c r="F100" s="282" t="s">
        <v>186</v>
      </c>
      <c r="G100" s="283"/>
      <c r="H100" s="283"/>
      <c r="I100" s="311">
        <v>0</v>
      </c>
      <c r="J100" s="257"/>
      <c r="K100" s="257"/>
      <c r="L100" s="3574"/>
      <c r="M100" s="278" t="e">
        <f t="shared" si="16"/>
        <v>#DIV/0!</v>
      </c>
      <c r="N100" s="278" t="e">
        <f t="shared" si="16"/>
        <v>#DIV/0!</v>
      </c>
      <c r="O100" s="214">
        <f t="shared" si="20"/>
        <v>0</v>
      </c>
      <c r="P100" s="214">
        <f t="shared" si="21"/>
        <v>0</v>
      </c>
      <c r="Q100" s="214">
        <f>IF(K100=0, 0, (HLOOKUP(K100,'[1]E-CESTDWO'!$A$5:$O$35,J100+1,FALSE)*R50))</f>
        <v>0</v>
      </c>
      <c r="R100" s="214">
        <f>IF(K100=0, 0, (HLOOKUP(K100,'[1]E-CESTD'!$A$5:$O$35,J100+1,FALSE)*R50))</f>
        <v>0</v>
      </c>
      <c r="S100" s="279">
        <v>1.081</v>
      </c>
      <c r="T100" s="280">
        <f t="shared" si="17"/>
        <v>0</v>
      </c>
      <c r="U100" s="280">
        <f t="shared" si="22"/>
        <v>0</v>
      </c>
      <c r="V100" s="280">
        <f t="shared" si="18"/>
        <v>0</v>
      </c>
    </row>
    <row r="101" spans="2:22">
      <c r="B101" s="282"/>
      <c r="C101" s="282" t="s">
        <v>223</v>
      </c>
      <c r="D101" s="285">
        <v>0</v>
      </c>
      <c r="E101" s="282" t="s">
        <v>181</v>
      </c>
      <c r="F101" s="282" t="s">
        <v>186</v>
      </c>
      <c r="G101" s="283"/>
      <c r="H101" s="283"/>
      <c r="I101" s="311">
        <v>0</v>
      </c>
      <c r="J101" s="257"/>
      <c r="K101" s="257"/>
      <c r="L101" s="3574"/>
      <c r="M101" s="278" t="e">
        <f t="shared" si="16"/>
        <v>#DIV/0!</v>
      </c>
      <c r="N101" s="278" t="e">
        <f t="shared" si="16"/>
        <v>#DIV/0!</v>
      </c>
      <c r="O101" s="214">
        <f t="shared" si="20"/>
        <v>0</v>
      </c>
      <c r="P101" s="214">
        <f t="shared" si="21"/>
        <v>0</v>
      </c>
      <c r="Q101" s="214">
        <f>IF(K101=0, 0, (HLOOKUP(K101,'[1]E-CESTDWO'!$A$5:$O$35,J101+1,FALSE)*R51))</f>
        <v>0</v>
      </c>
      <c r="R101" s="214">
        <f>IF(K101=0, 0, (HLOOKUP(K101,'[1]E-CESTD'!$A$5:$O$35,J101+1,FALSE)*R51))</f>
        <v>0</v>
      </c>
      <c r="S101" s="279">
        <v>1.081</v>
      </c>
      <c r="T101" s="280">
        <f t="shared" si="17"/>
        <v>0</v>
      </c>
      <c r="U101" s="280">
        <f t="shared" si="22"/>
        <v>0</v>
      </c>
      <c r="V101" s="280">
        <f t="shared" si="18"/>
        <v>0</v>
      </c>
    </row>
    <row r="102" spans="2:22">
      <c r="B102" s="282"/>
      <c r="C102" s="282" t="s">
        <v>224</v>
      </c>
      <c r="D102" s="285">
        <v>0</v>
      </c>
      <c r="E102" s="282" t="s">
        <v>181</v>
      </c>
      <c r="F102" s="282" t="s">
        <v>186</v>
      </c>
      <c r="G102" s="283"/>
      <c r="H102" s="283"/>
      <c r="I102" s="311">
        <v>0</v>
      </c>
      <c r="J102" s="257"/>
      <c r="K102" s="257"/>
      <c r="L102" s="3574"/>
      <c r="M102" s="278" t="e">
        <f t="shared" si="16"/>
        <v>#DIV/0!</v>
      </c>
      <c r="N102" s="278" t="e">
        <f t="shared" si="16"/>
        <v>#DIV/0!</v>
      </c>
      <c r="O102" s="214">
        <f t="shared" si="20"/>
        <v>0</v>
      </c>
      <c r="P102" s="214">
        <f t="shared" si="21"/>
        <v>0</v>
      </c>
      <c r="Q102" s="214">
        <f>IF(K102=0, 0, (HLOOKUP(K102,'[1]E-CESTDWO'!$A$5:$O$35,J102+1,FALSE)*R52))</f>
        <v>0</v>
      </c>
      <c r="R102" s="214">
        <f>IF(K102=0, 0, (HLOOKUP(K102,'[1]E-CESTD'!$A$5:$O$35,J102+1,FALSE)*R52))</f>
        <v>0</v>
      </c>
      <c r="S102" s="279">
        <v>1.081</v>
      </c>
      <c r="T102" s="280">
        <f t="shared" si="17"/>
        <v>0</v>
      </c>
      <c r="U102" s="280">
        <f t="shared" si="22"/>
        <v>0</v>
      </c>
      <c r="V102" s="280">
        <f t="shared" si="18"/>
        <v>0</v>
      </c>
    </row>
    <row r="103" spans="2:22">
      <c r="B103" s="282"/>
      <c r="C103" s="282" t="s">
        <v>225</v>
      </c>
      <c r="D103" s="285">
        <v>0</v>
      </c>
      <c r="E103" s="282" t="s">
        <v>181</v>
      </c>
      <c r="F103" s="282" t="s">
        <v>186</v>
      </c>
      <c r="G103" s="283"/>
      <c r="H103" s="283"/>
      <c r="I103" s="311">
        <v>0</v>
      </c>
      <c r="J103" s="257"/>
      <c r="K103" s="257"/>
      <c r="L103" s="3574"/>
      <c r="M103" s="278" t="e">
        <f t="shared" si="16"/>
        <v>#DIV/0!</v>
      </c>
      <c r="N103" s="278" t="e">
        <f t="shared" si="16"/>
        <v>#DIV/0!</v>
      </c>
      <c r="O103" s="214">
        <f t="shared" si="20"/>
        <v>0</v>
      </c>
      <c r="P103" s="214">
        <f t="shared" si="21"/>
        <v>0</v>
      </c>
      <c r="Q103" s="214">
        <f>IF(K103=0, 0, (HLOOKUP(K103,'[1]E-CESTDWO'!$A$5:$O$35,J103+1,FALSE)*R53))</f>
        <v>0</v>
      </c>
      <c r="R103" s="214">
        <f>IF(K103=0, 0, (HLOOKUP(K103,'[1]E-CESTD'!$A$5:$O$35,J103+1,FALSE)*R53))</f>
        <v>0</v>
      </c>
      <c r="S103" s="279">
        <v>1.081</v>
      </c>
      <c r="T103" s="280">
        <f t="shared" si="17"/>
        <v>0</v>
      </c>
      <c r="U103" s="280">
        <f t="shared" si="22"/>
        <v>0</v>
      </c>
      <c r="V103" s="280">
        <f t="shared" si="18"/>
        <v>0</v>
      </c>
    </row>
    <row r="104" spans="2:22" ht="13.5" thickBot="1">
      <c r="B104" s="282"/>
      <c r="C104" s="282" t="s">
        <v>226</v>
      </c>
      <c r="D104" s="285">
        <v>0</v>
      </c>
      <c r="E104" s="282" t="s">
        <v>181</v>
      </c>
      <c r="F104" s="282" t="s">
        <v>186</v>
      </c>
      <c r="G104" s="283"/>
      <c r="H104" s="283"/>
      <c r="I104" s="311">
        <v>0</v>
      </c>
      <c r="J104" s="257"/>
      <c r="K104" s="257"/>
      <c r="L104" s="3574"/>
      <c r="M104" s="278" t="e">
        <f t="shared" si="16"/>
        <v>#DIV/0!</v>
      </c>
      <c r="N104" s="278" t="e">
        <f t="shared" si="16"/>
        <v>#DIV/0!</v>
      </c>
      <c r="O104" s="214">
        <f t="shared" si="20"/>
        <v>0</v>
      </c>
      <c r="P104" s="214">
        <f t="shared" si="21"/>
        <v>0</v>
      </c>
      <c r="Q104" s="214">
        <f>IF(K104=0, 0, (HLOOKUP(K104,'[1]E-CESTDWO'!$A$5:$O$35,J104+1,FALSE)*R54))</f>
        <v>0</v>
      </c>
      <c r="R104" s="214">
        <f>IF(K104=0, 0, (HLOOKUP(K104,'[1]E-CESTD'!$A$5:$O$35,J104+1,FALSE)*R54))</f>
        <v>0</v>
      </c>
      <c r="S104" s="279">
        <v>1.081</v>
      </c>
      <c r="T104" s="280">
        <f t="shared" si="17"/>
        <v>0</v>
      </c>
      <c r="U104" s="280">
        <f t="shared" si="22"/>
        <v>0</v>
      </c>
      <c r="V104" s="280">
        <f t="shared" si="18"/>
        <v>0</v>
      </c>
    </row>
    <row r="105" spans="2:22" ht="13.5" thickBot="1">
      <c r="G105" s="286">
        <f>SUMPRODUCT(G63:G104,O13:O54)</f>
        <v>6034075.7279273467</v>
      </c>
      <c r="H105" s="287">
        <f>V105</f>
        <v>5157223.3987409081</v>
      </c>
      <c r="I105" s="288">
        <f>SUM(I63:I104)</f>
        <v>1.0010000000000001</v>
      </c>
      <c r="J105" s="289">
        <f>ROUND(SUMPRODUCT(J63:J104,R13:R54)/R55,0)</f>
        <v>29</v>
      </c>
      <c r="K105" s="264"/>
      <c r="L105" s="3580"/>
      <c r="M105" s="290">
        <f>Q105/O105</f>
        <v>8.8007458552201339</v>
      </c>
      <c r="N105" s="291">
        <f>R105/P105</f>
        <v>8.4261678987979991</v>
      </c>
      <c r="O105" s="297">
        <f>SUM(O63:O104)</f>
        <v>5447627.5020729946</v>
      </c>
      <c r="P105" s="297">
        <f>SUM(P63:P104)</f>
        <v>6258776.7427635025</v>
      </c>
      <c r="Q105" s="297">
        <f>SUM(Q63:Q104)</f>
        <v>47943185.159652114</v>
      </c>
      <c r="R105" s="297">
        <f>SUM(R63:R104)</f>
        <v>52737503.67561733</v>
      </c>
      <c r="S105" s="293"/>
      <c r="T105" s="294">
        <f>SUM(T63:T104)</f>
        <v>0</v>
      </c>
      <c r="U105" s="294">
        <f>SUM(U63:U104)</f>
        <v>1403261.2787409062</v>
      </c>
      <c r="V105" s="294">
        <f>SUM(V63:V104)</f>
        <v>5157223.3987409081</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8" right="0.28999999999999998" top="0.4" bottom="0.37" header="0.3" footer="0.3"/>
      <pageSetup paperSize="17" scale="52" orientation="landscape" r:id="rId1"/>
    </customSheetView>
    <customSheetView guid="{AF9F1D33-B8C2-423F-86A1-47612B8F532C}" fitToPage="1">
      <pane xSplit="1" ySplit="1" topLeftCell="L2" activePane="bottomRight" state="frozenSplit"/>
      <selection pane="bottomRight" activeCell="U63" sqref="U63:U95"/>
      <pageMargins left="0.7" right="0.7" top="0.75" bottom="0.75" header="0.3" footer="0.3"/>
      <pageSetup paperSize="17" scale="34"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8" right="0.28999999999999998" top="0.4" bottom="0.37" header="0.3" footer="0.3"/>
  <pageSetup paperSize="17" scale="52" orientation="landscape" r:id="rId2"/>
  <drawing r:id="rId3"/>
  <legacyDrawing r:id="rId4"/>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enableFormatConditionsCalculation="0">
    <tabColor theme="3" tint="0.59999389629810485"/>
    <pageSetUpPr fitToPage="1"/>
  </sheetPr>
  <dimension ref="A1:AA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E25" sqref="E25"/>
    </sheetView>
  </sheetViews>
  <sheetFormatPr defaultColWidth="8.85546875" defaultRowHeight="12.75"/>
  <cols>
    <col min="1" max="1" width="16" style="3064" customWidth="1"/>
    <col min="2" max="2" width="20.42578125" customWidth="1"/>
    <col min="3" max="3" width="39" customWidth="1"/>
    <col min="4" max="4" width="17.28515625" style="19" customWidth="1"/>
    <col min="5" max="5" width="17.28515625" customWidth="1"/>
    <col min="6" max="6" width="16.710937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20.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7.1406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20.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7.1406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20.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7.1406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20.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7.1406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20.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7.1406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20.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7.1406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20.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7.1406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20.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7.1406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20.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7.1406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20.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7.1406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20.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7.1406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20.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7.1406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20.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7.1406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20.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7.1406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20.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7.1406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20.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7.1406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20.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7.1406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20.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7.1406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20.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7.1406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20.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7.1406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20.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7.1406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20.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7.1406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20.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7.1406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20.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7.1406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20.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7.1406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20.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7.1406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20.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7.1406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20.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7.1406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20.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7.1406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20.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7.1406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20.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7.1406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20.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7.1406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20.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7.1406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20.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7.1406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20.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7.1406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20.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7.1406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20.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7.1406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20.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7.1406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20.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7.1406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20.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7.1406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20.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7.1406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20.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7.1406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20.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7.1406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20.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7.1406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20.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7.1406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20.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7.1406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20.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7.1406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20.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7.1406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20.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7.1406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20.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7.1406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20.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7.1406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20.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7.1406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20.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7.1406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20.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7.1406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20.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7.1406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20.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7.1406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20.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7.1406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20.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7.1406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20.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7.1406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20.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7.1406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20.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7.1406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20.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7.1406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20.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7.1406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20.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461"/>
      <c r="F1" s="198"/>
      <c r="G1" s="198">
        <f>C3</f>
        <v>18230628</v>
      </c>
      <c r="H1" s="198" t="str">
        <f>C4</f>
        <v>SF Existing Space Heat - Electric</v>
      </c>
      <c r="I1" s="198"/>
    </row>
    <row r="2" spans="2:22" ht="16.5" thickBot="1">
      <c r="B2" s="198" t="s">
        <v>109</v>
      </c>
      <c r="C2" s="199" t="s">
        <v>227</v>
      </c>
      <c r="G2" s="200" t="s">
        <v>8</v>
      </c>
      <c r="Q2" s="5133"/>
      <c r="R2" s="5133"/>
      <c r="S2" s="5124" t="s">
        <v>110</v>
      </c>
      <c r="T2" s="5125"/>
      <c r="U2" s="5126"/>
      <c r="V2" s="5118" t="s">
        <v>111</v>
      </c>
    </row>
    <row r="3" spans="2:22" ht="16.5" thickBot="1">
      <c r="B3" s="199" t="s">
        <v>6</v>
      </c>
      <c r="C3" s="199">
        <v>18230628</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367</v>
      </c>
      <c r="F4" s="198">
        <v>2011</v>
      </c>
      <c r="G4" s="206">
        <f>B13</f>
        <v>156817</v>
      </c>
      <c r="H4" s="207">
        <f>B18</f>
        <v>20754</v>
      </c>
      <c r="I4" s="207">
        <f>B23</f>
        <v>111870</v>
      </c>
      <c r="J4" s="207">
        <f>B28</f>
        <v>78000</v>
      </c>
      <c r="K4" s="207">
        <f>B33</f>
        <v>6000</v>
      </c>
      <c r="L4" s="207">
        <f>B38</f>
        <v>66000</v>
      </c>
      <c r="M4" s="207">
        <f>B43</f>
        <v>6000</v>
      </c>
      <c r="N4" s="207">
        <f>B48</f>
        <v>24000</v>
      </c>
      <c r="O4" s="207">
        <f>B53</f>
        <v>1592000</v>
      </c>
      <c r="P4" s="207">
        <f>B54</f>
        <v>0</v>
      </c>
      <c r="Q4" s="209">
        <f>B55</f>
        <v>2061441</v>
      </c>
      <c r="R4" s="210">
        <f>T55</f>
        <v>0</v>
      </c>
      <c r="S4" s="316">
        <f>O4/Q4</f>
        <v>0.7722753161502075</v>
      </c>
      <c r="T4" s="316">
        <f>(J4+(H4*1.63))/Q4</f>
        <v>5.424798478345972E-2</v>
      </c>
      <c r="U4" s="316">
        <f>L4/Q4</f>
        <v>3.2016438986126695E-2</v>
      </c>
      <c r="V4" s="212" t="e">
        <f>Q4/R4</f>
        <v>#DIV/0!</v>
      </c>
    </row>
    <row r="5" spans="2:22" ht="16.5" thickBot="1">
      <c r="B5" s="198" t="s">
        <v>33</v>
      </c>
      <c r="C5" s="4361" t="s">
        <v>1191</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317" t="e">
        <f>O5/Q5</f>
        <v>#DIV/0!</v>
      </c>
      <c r="T5" s="317" t="e">
        <f>(J5+(H5*1.63))/Q5</f>
        <v>#DIV/0!</v>
      </c>
      <c r="U5" s="317" t="e">
        <f>L5/Q5</f>
        <v>#DIV/0!</v>
      </c>
      <c r="V5" s="218" t="e">
        <f>Q5/R5</f>
        <v>#DIV/0!</v>
      </c>
    </row>
    <row r="6" spans="2:22" s="3532" customFormat="1" ht="16.5" thickBot="1">
      <c r="B6" s="3536"/>
      <c r="D6" s="3533"/>
      <c r="F6" s="4249" t="s">
        <v>1168</v>
      </c>
      <c r="G6" s="4241">
        <v>177479.65</v>
      </c>
      <c r="H6" s="4242">
        <v>39975</v>
      </c>
      <c r="I6" s="4242">
        <v>136996.4295</v>
      </c>
      <c r="J6" s="4242">
        <v>120000</v>
      </c>
      <c r="K6" s="4242">
        <v>7200</v>
      </c>
      <c r="L6" s="4242">
        <v>28000</v>
      </c>
      <c r="M6" s="4242">
        <v>17200</v>
      </c>
      <c r="N6" s="4242">
        <v>28200</v>
      </c>
      <c r="O6" s="4242">
        <v>2158150</v>
      </c>
      <c r="P6" s="4242">
        <v>0</v>
      </c>
      <c r="Q6" s="4243">
        <v>2713201.0795</v>
      </c>
      <c r="R6" s="219">
        <v>6138116</v>
      </c>
      <c r="S6" s="3637">
        <v>0.79542574868712379</v>
      </c>
      <c r="T6" s="3637">
        <v>6.8243836182654741E-2</v>
      </c>
      <c r="U6" s="3637">
        <v>1.0319913334679919E-2</v>
      </c>
      <c r="V6" s="3498">
        <v>0.44202505777016921</v>
      </c>
    </row>
    <row r="7" spans="2:22" ht="16.5" thickBot="1">
      <c r="C7" s="3537" t="s">
        <v>229</v>
      </c>
      <c r="F7" s="4191" t="s">
        <v>1169</v>
      </c>
      <c r="G7" s="4192">
        <f>E13</f>
        <v>210000</v>
      </c>
      <c r="H7" s="4193">
        <f>E18</f>
        <v>65000</v>
      </c>
      <c r="I7" s="4193">
        <f>E23</f>
        <v>194425</v>
      </c>
      <c r="J7" s="4193">
        <f>E28</f>
        <v>296000</v>
      </c>
      <c r="K7" s="4193">
        <f>E33</f>
        <v>7200</v>
      </c>
      <c r="L7" s="4193">
        <f>E38</f>
        <v>28000</v>
      </c>
      <c r="M7" s="4193">
        <f>E43</f>
        <v>17200</v>
      </c>
      <c r="N7" s="4193">
        <f>E48</f>
        <v>28200</v>
      </c>
      <c r="O7" s="4193">
        <f>E53</f>
        <v>2158150</v>
      </c>
      <c r="P7" s="4193">
        <f>E54</f>
        <v>0</v>
      </c>
      <c r="Q7" s="4244">
        <f>SUM(G7:P7)</f>
        <v>3004175</v>
      </c>
      <c r="R7" s="4245">
        <f>Q55</f>
        <v>6138116</v>
      </c>
      <c r="S7" s="317">
        <f>O7/Q7</f>
        <v>0.71838358284720427</v>
      </c>
      <c r="T7" s="317">
        <f>(J7+(H7*1.63))/Q7</f>
        <v>0.13379713232418217</v>
      </c>
      <c r="U7" s="317">
        <f>L7/Q7</f>
        <v>9.3203624955270573E-3</v>
      </c>
      <c r="V7" s="218">
        <f>Q7/R7</f>
        <v>0.48942949269775937</v>
      </c>
    </row>
    <row r="8" spans="2:22" ht="16.5" thickBot="1">
      <c r="C8" s="220" t="s">
        <v>230</v>
      </c>
      <c r="F8" s="221" t="s">
        <v>1170</v>
      </c>
      <c r="G8" s="222">
        <f>SUM(G5+G7)</f>
        <v>210000</v>
      </c>
      <c r="H8" s="222">
        <f t="shared" ref="H8:R8" si="0">SUM(H5+H7)</f>
        <v>65000</v>
      </c>
      <c r="I8" s="222">
        <f t="shared" si="0"/>
        <v>194425</v>
      </c>
      <c r="J8" s="222">
        <f t="shared" si="0"/>
        <v>296000</v>
      </c>
      <c r="K8" s="222">
        <f t="shared" si="0"/>
        <v>7200</v>
      </c>
      <c r="L8" s="222">
        <f t="shared" si="0"/>
        <v>28000</v>
      </c>
      <c r="M8" s="222">
        <f t="shared" si="0"/>
        <v>17200</v>
      </c>
      <c r="N8" s="222">
        <f t="shared" si="0"/>
        <v>28200</v>
      </c>
      <c r="O8" s="222">
        <f t="shared" si="0"/>
        <v>2158150</v>
      </c>
      <c r="P8" s="222">
        <f t="shared" si="0"/>
        <v>0</v>
      </c>
      <c r="Q8" s="4248">
        <f t="shared" si="0"/>
        <v>3004175</v>
      </c>
      <c r="R8" s="223">
        <f t="shared" si="0"/>
        <v>6138116</v>
      </c>
      <c r="S8" s="317">
        <f>O8/Q8</f>
        <v>0.71838358284720427</v>
      </c>
      <c r="T8" s="317">
        <f>(J8+(H8*1.63))/Q8</f>
        <v>0.13379713232418217</v>
      </c>
      <c r="U8" s="317">
        <f>L8/Q8</f>
        <v>9.3203624955270573E-3</v>
      </c>
      <c r="V8" s="218">
        <f>Q8/R8</f>
        <v>0.48942949269775937</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156817</v>
      </c>
      <c r="C13" s="236" t="s">
        <v>138</v>
      </c>
      <c r="D13" s="237">
        <f>SUM(D14:D17)</f>
        <v>0</v>
      </c>
      <c r="E13" s="4468">
        <f>SUM(E14:E17)</f>
        <v>210000</v>
      </c>
      <c r="F13" s="238">
        <f>D13+E13</f>
        <v>210000</v>
      </c>
      <c r="H13" s="132"/>
      <c r="I13" s="239" t="str">
        <f t="shared" ref="I13:I54" si="1">C63</f>
        <v>Energy Star Geothermal Heat Pump</v>
      </c>
      <c r="J13" s="240"/>
      <c r="K13" s="241"/>
      <c r="L13" s="242">
        <f t="shared" ref="L13:L54" si="2">D63</f>
        <v>4037</v>
      </c>
      <c r="M13" s="257">
        <v>0</v>
      </c>
      <c r="N13" s="257">
        <v>34</v>
      </c>
      <c r="O13" s="244">
        <f>M13+N13</f>
        <v>34</v>
      </c>
      <c r="P13" s="245">
        <f t="shared" ref="P13:R28" si="3">M13*$D63</f>
        <v>0</v>
      </c>
      <c r="Q13" s="245">
        <f t="shared" si="3"/>
        <v>137258</v>
      </c>
      <c r="R13" s="246">
        <f t="shared" si="3"/>
        <v>137258</v>
      </c>
      <c r="T13" s="4891"/>
    </row>
    <row r="14" spans="2:22">
      <c r="B14" s="247"/>
      <c r="C14" s="248" t="s">
        <v>139</v>
      </c>
      <c r="D14" s="249">
        <v>0</v>
      </c>
      <c r="E14" s="4447">
        <v>210000</v>
      </c>
      <c r="F14" s="249">
        <f>SUM(D14:E14)</f>
        <v>210000</v>
      </c>
      <c r="H14" s="132"/>
      <c r="I14" s="250" t="str">
        <f t="shared" si="1"/>
        <v>Ductless Heat Pump</v>
      </c>
      <c r="J14" s="251"/>
      <c r="K14" s="252"/>
      <c r="L14" s="242">
        <f t="shared" si="2"/>
        <v>3500</v>
      </c>
      <c r="M14" s="257">
        <v>0</v>
      </c>
      <c r="N14" s="257">
        <v>405</v>
      </c>
      <c r="O14" s="244">
        <f t="shared" ref="O14:O54" si="4">M14+N14</f>
        <v>405</v>
      </c>
      <c r="P14" s="245">
        <f t="shared" si="3"/>
        <v>0</v>
      </c>
      <c r="Q14" s="245">
        <f t="shared" si="3"/>
        <v>1417500</v>
      </c>
      <c r="R14" s="246">
        <f t="shared" si="3"/>
        <v>1417500</v>
      </c>
      <c r="T14" s="4891"/>
    </row>
    <row r="15" spans="2:22">
      <c r="B15" s="254"/>
      <c r="C15" s="255" t="s">
        <v>140</v>
      </c>
      <c r="D15" s="256">
        <v>0</v>
      </c>
      <c r="E15" s="256"/>
      <c r="F15" s="249">
        <f t="shared" ref="F15:F25" si="5">SUM(D15:E15)</f>
        <v>0</v>
      </c>
      <c r="H15" s="132"/>
      <c r="I15" s="250" t="str">
        <f t="shared" si="1"/>
        <v>Energy Star Heat Pump - Tier 1 = 8.5 HSPF, 14 SEER</v>
      </c>
      <c r="J15" s="251"/>
      <c r="K15" s="252"/>
      <c r="L15" s="242">
        <f t="shared" si="2"/>
        <v>408</v>
      </c>
      <c r="M15" s="257">
        <v>0</v>
      </c>
      <c r="N15" s="257">
        <v>446</v>
      </c>
      <c r="O15" s="244">
        <f t="shared" si="4"/>
        <v>446</v>
      </c>
      <c r="P15" s="245">
        <f t="shared" si="3"/>
        <v>0</v>
      </c>
      <c r="Q15" s="245">
        <f t="shared" si="3"/>
        <v>181968</v>
      </c>
      <c r="R15" s="246">
        <f t="shared" si="3"/>
        <v>181968</v>
      </c>
      <c r="T15" s="4891"/>
    </row>
    <row r="16" spans="2:22">
      <c r="B16" s="254"/>
      <c r="C16" s="255" t="s">
        <v>141</v>
      </c>
      <c r="D16" s="258">
        <v>0</v>
      </c>
      <c r="E16" s="258"/>
      <c r="F16" s="249">
        <f t="shared" si="5"/>
        <v>0</v>
      </c>
      <c r="H16" s="132"/>
      <c r="I16" s="250" t="str">
        <f t="shared" si="1"/>
        <v>Energy Star Heat Pump - Tier 2 = 9.0 HSPF, 14 SEER</v>
      </c>
      <c r="J16" s="251"/>
      <c r="K16" s="252"/>
      <c r="L16" s="242">
        <f t="shared" si="2"/>
        <v>554</v>
      </c>
      <c r="M16" s="257">
        <v>0</v>
      </c>
      <c r="N16" s="257">
        <v>1081</v>
      </c>
      <c r="O16" s="244">
        <f t="shared" si="4"/>
        <v>1081</v>
      </c>
      <c r="P16" s="245">
        <f t="shared" si="3"/>
        <v>0</v>
      </c>
      <c r="Q16" s="245">
        <f t="shared" si="3"/>
        <v>598874</v>
      </c>
      <c r="R16" s="246">
        <f t="shared" si="3"/>
        <v>598874</v>
      </c>
      <c r="T16" s="4891"/>
    </row>
    <row r="17" spans="2:20" ht="13.5" thickBot="1">
      <c r="B17" s="254"/>
      <c r="C17" s="255" t="s">
        <v>142</v>
      </c>
      <c r="D17" s="258">
        <v>0</v>
      </c>
      <c r="E17" s="258"/>
      <c r="F17" s="249">
        <f t="shared" si="5"/>
        <v>0</v>
      </c>
      <c r="H17" s="132"/>
      <c r="I17" s="250" t="str">
        <f t="shared" si="1"/>
        <v>Forced-air-furnace to Heat Pump Conversion (greater than or equal to 8.5 HSPF, 14 SEER)</v>
      </c>
      <c r="J17" s="251"/>
      <c r="K17" s="252"/>
      <c r="L17" s="242">
        <f t="shared" si="2"/>
        <v>5176</v>
      </c>
      <c r="M17" s="257">
        <v>0</v>
      </c>
      <c r="N17" s="257">
        <v>572</v>
      </c>
      <c r="O17" s="244">
        <f t="shared" si="4"/>
        <v>572</v>
      </c>
      <c r="P17" s="245">
        <f t="shared" si="3"/>
        <v>0</v>
      </c>
      <c r="Q17" s="245">
        <f t="shared" si="3"/>
        <v>2960672</v>
      </c>
      <c r="R17" s="246">
        <f t="shared" si="3"/>
        <v>2960672</v>
      </c>
      <c r="T17" s="4891"/>
    </row>
    <row r="18" spans="2:20" ht="13.5" thickBot="1">
      <c r="B18" s="262">
        <v>20754</v>
      </c>
      <c r="C18" s="236" t="s">
        <v>143</v>
      </c>
      <c r="D18" s="237">
        <f>SUM(D19:D22)</f>
        <v>0</v>
      </c>
      <c r="E18" s="4468">
        <f>SUM(E19:E22)</f>
        <v>65000</v>
      </c>
      <c r="F18" s="238">
        <f>D18+E18</f>
        <v>65000</v>
      </c>
      <c r="H18" s="132"/>
      <c r="I18" s="250" t="str">
        <f t="shared" si="1"/>
        <v>Heat Pump Sizing &amp; Lock out Controls</v>
      </c>
      <c r="J18" s="251"/>
      <c r="K18" s="252"/>
      <c r="L18" s="242">
        <f t="shared" si="2"/>
        <v>1447</v>
      </c>
      <c r="M18" s="257">
        <v>0</v>
      </c>
      <c r="N18" s="257">
        <v>452</v>
      </c>
      <c r="O18" s="244">
        <f t="shared" si="4"/>
        <v>452</v>
      </c>
      <c r="P18" s="245">
        <f t="shared" si="3"/>
        <v>0</v>
      </c>
      <c r="Q18" s="245">
        <f t="shared" si="3"/>
        <v>654044</v>
      </c>
      <c r="R18" s="246">
        <f t="shared" si="3"/>
        <v>654044</v>
      </c>
      <c r="T18" s="4891"/>
    </row>
    <row r="19" spans="2:20">
      <c r="B19" s="247"/>
      <c r="C19" s="248" t="s">
        <v>139</v>
      </c>
      <c r="D19" s="249">
        <v>0</v>
      </c>
      <c r="E19" s="4447">
        <v>65000</v>
      </c>
      <c r="F19" s="249">
        <f t="shared" si="5"/>
        <v>65000</v>
      </c>
      <c r="H19" s="132"/>
      <c r="I19" s="250" t="str">
        <f t="shared" si="1"/>
        <v>NEW Energy Star Heat Pump - Tier 3 = 10.0 HSPF, 16 SEER</v>
      </c>
      <c r="J19" s="251"/>
      <c r="K19" s="252"/>
      <c r="L19" s="242">
        <f t="shared" si="2"/>
        <v>939</v>
      </c>
      <c r="M19" s="257">
        <v>0</v>
      </c>
      <c r="N19" s="257">
        <v>200</v>
      </c>
      <c r="O19" s="244">
        <f t="shared" si="4"/>
        <v>200</v>
      </c>
      <c r="P19" s="245">
        <f t="shared" si="3"/>
        <v>0</v>
      </c>
      <c r="Q19" s="245">
        <f t="shared" si="3"/>
        <v>187800</v>
      </c>
      <c r="R19" s="246">
        <f t="shared" si="3"/>
        <v>187800</v>
      </c>
      <c r="T19" s="4891"/>
    </row>
    <row r="20" spans="2:20">
      <c r="B20" s="254"/>
      <c r="C20" s="255" t="s">
        <v>140</v>
      </c>
      <c r="D20" s="256">
        <v>0</v>
      </c>
      <c r="E20" s="256"/>
      <c r="F20" s="249">
        <f t="shared" si="5"/>
        <v>0</v>
      </c>
      <c r="H20" s="132"/>
      <c r="I20" s="250" t="str">
        <f t="shared" si="1"/>
        <v>NEW Web Enabled T-Stats (Programmable)</v>
      </c>
      <c r="J20" s="251"/>
      <c r="K20" s="252"/>
      <c r="L20" s="242">
        <f t="shared" si="2"/>
        <v>408</v>
      </c>
      <c r="M20" s="257">
        <v>0</v>
      </c>
      <c r="N20" s="257">
        <v>0</v>
      </c>
      <c r="O20" s="244">
        <f t="shared" si="4"/>
        <v>0</v>
      </c>
      <c r="P20" s="245">
        <f t="shared" si="3"/>
        <v>0</v>
      </c>
      <c r="Q20" s="245">
        <f t="shared" si="3"/>
        <v>0</v>
      </c>
      <c r="R20" s="246">
        <f t="shared" si="3"/>
        <v>0</v>
      </c>
      <c r="T20" s="4891"/>
    </row>
    <row r="21" spans="2:20">
      <c r="B21" s="254"/>
      <c r="C21" s="255" t="s">
        <v>141</v>
      </c>
      <c r="D21" s="258">
        <v>0</v>
      </c>
      <c r="E21" s="258"/>
      <c r="F21" s="249">
        <f t="shared" si="5"/>
        <v>0</v>
      </c>
      <c r="H21" s="132"/>
      <c r="I21" s="250" t="str">
        <f t="shared" si="1"/>
        <v>Measure 9</v>
      </c>
      <c r="J21" s="251"/>
      <c r="K21" s="252"/>
      <c r="L21" s="242">
        <f t="shared" si="2"/>
        <v>0</v>
      </c>
      <c r="M21" s="257">
        <v>0</v>
      </c>
      <c r="N21" s="257">
        <v>0</v>
      </c>
      <c r="O21" s="244">
        <f t="shared" si="4"/>
        <v>0</v>
      </c>
      <c r="P21" s="245">
        <f t="shared" si="3"/>
        <v>0</v>
      </c>
      <c r="Q21" s="245">
        <f t="shared" si="3"/>
        <v>0</v>
      </c>
      <c r="R21" s="246">
        <f t="shared" si="3"/>
        <v>0</v>
      </c>
      <c r="T21" s="4891"/>
    </row>
    <row r="22" spans="2:20" ht="13.5" thickBot="1">
      <c r="B22" s="254"/>
      <c r="C22" s="255" t="s">
        <v>142</v>
      </c>
      <c r="D22" s="258">
        <v>0</v>
      </c>
      <c r="E22" s="258"/>
      <c r="F22" s="249">
        <f t="shared" si="5"/>
        <v>0</v>
      </c>
      <c r="H22" s="132"/>
      <c r="I22" s="250" t="str">
        <f t="shared" si="1"/>
        <v>Measure 10</v>
      </c>
      <c r="J22" s="251"/>
      <c r="K22" s="252"/>
      <c r="L22" s="242">
        <f t="shared" si="2"/>
        <v>0</v>
      </c>
      <c r="M22" s="257">
        <v>0</v>
      </c>
      <c r="N22" s="257">
        <v>0</v>
      </c>
      <c r="O22" s="244">
        <f t="shared" si="4"/>
        <v>0</v>
      </c>
      <c r="P22" s="245">
        <f t="shared" si="3"/>
        <v>0</v>
      </c>
      <c r="Q22" s="245">
        <f t="shared" si="3"/>
        <v>0</v>
      </c>
      <c r="R22" s="246">
        <f t="shared" si="3"/>
        <v>0</v>
      </c>
      <c r="T22" s="4891"/>
    </row>
    <row r="23" spans="2:20" ht="13.5" thickBot="1">
      <c r="B23" s="262">
        <v>111870</v>
      </c>
      <c r="C23" s="236" t="s">
        <v>144</v>
      </c>
      <c r="D23" s="237">
        <f>SUM(D24:D27)</f>
        <v>0</v>
      </c>
      <c r="E23" s="237">
        <f>SUM(E24:E27)</f>
        <v>194425</v>
      </c>
      <c r="F23" s="238">
        <f>D23+E23</f>
        <v>194425</v>
      </c>
      <c r="G23" s="53"/>
      <c r="H23" s="132"/>
      <c r="I23" s="250" t="str">
        <f t="shared" si="1"/>
        <v>Measure 11</v>
      </c>
      <c r="J23" s="251"/>
      <c r="K23" s="252"/>
      <c r="L23" s="242">
        <f t="shared" si="2"/>
        <v>0</v>
      </c>
      <c r="M23" s="257">
        <v>0</v>
      </c>
      <c r="N23" s="257">
        <v>0</v>
      </c>
      <c r="O23" s="244">
        <f t="shared" si="4"/>
        <v>0</v>
      </c>
      <c r="P23" s="245">
        <f t="shared" si="3"/>
        <v>0</v>
      </c>
      <c r="Q23" s="245">
        <f t="shared" si="3"/>
        <v>0</v>
      </c>
      <c r="R23" s="246">
        <f t="shared" si="3"/>
        <v>0</v>
      </c>
      <c r="T23" s="4891"/>
    </row>
    <row r="24" spans="2:20">
      <c r="B24" s="247"/>
      <c r="C24" s="3566" t="s">
        <v>1434</v>
      </c>
      <c r="D24" s="249">
        <f>0.63*D13</f>
        <v>0</v>
      </c>
      <c r="E24" s="249">
        <f>0.707*E13</f>
        <v>148470</v>
      </c>
      <c r="F24" s="249">
        <f t="shared" si="5"/>
        <v>148470</v>
      </c>
      <c r="H24" s="132"/>
      <c r="I24" s="250" t="str">
        <f t="shared" si="1"/>
        <v>Measure 12</v>
      </c>
      <c r="J24" s="251"/>
      <c r="K24" s="252"/>
      <c r="L24" s="242">
        <f t="shared" si="2"/>
        <v>0</v>
      </c>
      <c r="M24" s="257">
        <v>0</v>
      </c>
      <c r="N24" s="257">
        <v>0</v>
      </c>
      <c r="O24" s="244">
        <f t="shared" si="4"/>
        <v>0</v>
      </c>
      <c r="P24" s="245">
        <f t="shared" si="3"/>
        <v>0</v>
      </c>
      <c r="Q24" s="245">
        <f t="shared" si="3"/>
        <v>0</v>
      </c>
      <c r="R24" s="246">
        <f t="shared" si="3"/>
        <v>0</v>
      </c>
      <c r="T24" s="4891"/>
    </row>
    <row r="25" spans="2:20">
      <c r="B25" s="247"/>
      <c r="C25" s="3566" t="s">
        <v>1435</v>
      </c>
      <c r="D25" s="256">
        <f>0.63*D18</f>
        <v>0</v>
      </c>
      <c r="E25" s="256">
        <f>0.707*E18</f>
        <v>45955</v>
      </c>
      <c r="F25" s="249">
        <f t="shared" si="5"/>
        <v>45955</v>
      </c>
      <c r="H25" s="132"/>
      <c r="I25" s="250" t="str">
        <f t="shared" si="1"/>
        <v>Measure 13</v>
      </c>
      <c r="J25" s="251"/>
      <c r="K25" s="252"/>
      <c r="L25" s="242">
        <f t="shared" si="2"/>
        <v>0</v>
      </c>
      <c r="M25" s="257">
        <v>0</v>
      </c>
      <c r="N25" s="257">
        <v>0</v>
      </c>
      <c r="O25" s="244">
        <f t="shared" si="4"/>
        <v>0</v>
      </c>
      <c r="P25" s="245">
        <f t="shared" si="3"/>
        <v>0</v>
      </c>
      <c r="Q25" s="245">
        <f t="shared" si="3"/>
        <v>0</v>
      </c>
      <c r="R25" s="246">
        <f t="shared" si="3"/>
        <v>0</v>
      </c>
      <c r="T25" s="4891"/>
    </row>
    <row r="26" spans="2:20">
      <c r="B26" s="254"/>
      <c r="C26" s="255"/>
      <c r="D26" s="258"/>
      <c r="E26" s="258"/>
      <c r="F26" s="258"/>
      <c r="H26" s="132"/>
      <c r="I26" s="250" t="str">
        <f t="shared" si="1"/>
        <v>Measure 14</v>
      </c>
      <c r="J26" s="251"/>
      <c r="K26" s="252"/>
      <c r="L26" s="242">
        <f t="shared" si="2"/>
        <v>0</v>
      </c>
      <c r="M26" s="257">
        <v>0</v>
      </c>
      <c r="N26" s="257">
        <v>0</v>
      </c>
      <c r="O26" s="244">
        <f t="shared" si="4"/>
        <v>0</v>
      </c>
      <c r="P26" s="245">
        <f t="shared" si="3"/>
        <v>0</v>
      </c>
      <c r="Q26" s="245">
        <f t="shared" si="3"/>
        <v>0</v>
      </c>
      <c r="R26" s="246">
        <f t="shared" si="3"/>
        <v>0</v>
      </c>
      <c r="T26" s="4891"/>
    </row>
    <row r="27" spans="2:20" ht="13.5" thickBot="1">
      <c r="B27" s="254"/>
      <c r="C27" s="255"/>
      <c r="D27" s="258"/>
      <c r="E27" s="258"/>
      <c r="F27" s="258"/>
      <c r="H27" s="132"/>
      <c r="I27" s="250" t="str">
        <f t="shared" si="1"/>
        <v>Measure 15</v>
      </c>
      <c r="J27" s="251"/>
      <c r="K27" s="252"/>
      <c r="L27" s="242">
        <f t="shared" si="2"/>
        <v>0</v>
      </c>
      <c r="M27" s="257">
        <v>0</v>
      </c>
      <c r="N27" s="257">
        <v>0</v>
      </c>
      <c r="O27" s="244">
        <f t="shared" si="4"/>
        <v>0</v>
      </c>
      <c r="P27" s="245">
        <f t="shared" si="3"/>
        <v>0</v>
      </c>
      <c r="Q27" s="245">
        <f t="shared" si="3"/>
        <v>0</v>
      </c>
      <c r="R27" s="246">
        <f t="shared" si="3"/>
        <v>0</v>
      </c>
      <c r="T27" s="4891"/>
    </row>
    <row r="28" spans="2:20" ht="13.5" thickBot="1">
      <c r="B28" s="262">
        <v>78000</v>
      </c>
      <c r="C28" s="236" t="s">
        <v>145</v>
      </c>
      <c r="D28" s="237">
        <f>SUM(D29:D32)</f>
        <v>0</v>
      </c>
      <c r="E28" s="4468">
        <f>SUM(E29:E32)</f>
        <v>296000</v>
      </c>
      <c r="F28" s="238">
        <f>D28+E28</f>
        <v>296000</v>
      </c>
      <c r="H28" s="132"/>
      <c r="I28" s="250" t="str">
        <f t="shared" si="1"/>
        <v>Measure 16</v>
      </c>
      <c r="J28" s="251"/>
      <c r="K28" s="252"/>
      <c r="L28" s="242">
        <f t="shared" si="2"/>
        <v>0</v>
      </c>
      <c r="M28" s="257">
        <v>0</v>
      </c>
      <c r="N28" s="257">
        <v>0</v>
      </c>
      <c r="O28" s="244">
        <f t="shared" si="4"/>
        <v>0</v>
      </c>
      <c r="P28" s="245">
        <f t="shared" si="3"/>
        <v>0</v>
      </c>
      <c r="Q28" s="245">
        <f t="shared" si="3"/>
        <v>0</v>
      </c>
      <c r="R28" s="246">
        <f t="shared" si="3"/>
        <v>0</v>
      </c>
      <c r="T28" s="4891"/>
    </row>
    <row r="29" spans="2:20">
      <c r="B29" s="247"/>
      <c r="C29" s="248" t="s">
        <v>139</v>
      </c>
      <c r="D29" s="249">
        <v>0</v>
      </c>
      <c r="E29" s="4447">
        <v>260000</v>
      </c>
      <c r="F29" s="249">
        <f t="shared" ref="F29:F37" si="6">SUM(D29:E29)</f>
        <v>260000</v>
      </c>
      <c r="H29" s="132"/>
      <c r="I29" s="250" t="str">
        <f t="shared" si="1"/>
        <v>Measure 17</v>
      </c>
      <c r="J29" s="251"/>
      <c r="K29" s="252"/>
      <c r="L29" s="242">
        <f t="shared" si="2"/>
        <v>0</v>
      </c>
      <c r="M29" s="257">
        <v>0</v>
      </c>
      <c r="N29" s="257">
        <v>0</v>
      </c>
      <c r="O29" s="244">
        <f t="shared" si="4"/>
        <v>0</v>
      </c>
      <c r="P29" s="245">
        <f t="shared" ref="P29:R44" si="7">M29*$D79</f>
        <v>0</v>
      </c>
      <c r="Q29" s="245">
        <f t="shared" si="7"/>
        <v>0</v>
      </c>
      <c r="R29" s="246">
        <f t="shared" si="7"/>
        <v>0</v>
      </c>
      <c r="T29" s="4891"/>
    </row>
    <row r="30" spans="2:20">
      <c r="B30" s="254"/>
      <c r="C30" s="3572" t="s">
        <v>1212</v>
      </c>
      <c r="D30" s="256">
        <v>0</v>
      </c>
      <c r="E30" s="4449">
        <v>36000</v>
      </c>
      <c r="F30" s="249">
        <f t="shared" si="6"/>
        <v>36000</v>
      </c>
      <c r="H30" s="132"/>
      <c r="I30" s="250" t="str">
        <f t="shared" si="1"/>
        <v>Measure 18</v>
      </c>
      <c r="J30" s="251"/>
      <c r="K30" s="252"/>
      <c r="L30" s="242">
        <f t="shared" si="2"/>
        <v>0</v>
      </c>
      <c r="M30" s="257">
        <v>0</v>
      </c>
      <c r="N30" s="257">
        <v>0</v>
      </c>
      <c r="O30" s="244">
        <f t="shared" si="4"/>
        <v>0</v>
      </c>
      <c r="P30" s="245">
        <f t="shared" si="7"/>
        <v>0</v>
      </c>
      <c r="Q30" s="245">
        <f t="shared" si="7"/>
        <v>0</v>
      </c>
      <c r="R30" s="246">
        <f t="shared" si="7"/>
        <v>0</v>
      </c>
      <c r="T30" s="4891"/>
    </row>
    <row r="31" spans="2:20">
      <c r="B31" s="254"/>
      <c r="C31" s="255" t="s">
        <v>141</v>
      </c>
      <c r="D31" s="256">
        <v>0</v>
      </c>
      <c r="E31" s="256"/>
      <c r="F31" s="249">
        <f t="shared" si="6"/>
        <v>0</v>
      </c>
      <c r="H31" s="132"/>
      <c r="I31" s="250" t="str">
        <f t="shared" si="1"/>
        <v>Measure 19</v>
      </c>
      <c r="J31" s="251"/>
      <c r="K31" s="252"/>
      <c r="L31" s="242">
        <f t="shared" si="2"/>
        <v>0</v>
      </c>
      <c r="M31" s="257">
        <v>0</v>
      </c>
      <c r="N31" s="257">
        <v>0</v>
      </c>
      <c r="O31" s="244">
        <f t="shared" si="4"/>
        <v>0</v>
      </c>
      <c r="P31" s="245">
        <f t="shared" si="7"/>
        <v>0</v>
      </c>
      <c r="Q31" s="245">
        <f t="shared" si="7"/>
        <v>0</v>
      </c>
      <c r="R31" s="246">
        <f t="shared" si="7"/>
        <v>0</v>
      </c>
      <c r="T31" s="4891"/>
    </row>
    <row r="32" spans="2:20" ht="13.5" thickBot="1">
      <c r="B32" s="254"/>
      <c r="C32" s="255" t="s">
        <v>142</v>
      </c>
      <c r="D32" s="256">
        <v>0</v>
      </c>
      <c r="E32" s="256"/>
      <c r="F32" s="249">
        <f t="shared" si="6"/>
        <v>0</v>
      </c>
      <c r="H32" s="132"/>
      <c r="I32" s="250" t="str">
        <f t="shared" si="1"/>
        <v>Measure 20</v>
      </c>
      <c r="J32" s="251"/>
      <c r="K32" s="252"/>
      <c r="L32" s="242">
        <f t="shared" si="2"/>
        <v>0</v>
      </c>
      <c r="M32" s="257">
        <v>0</v>
      </c>
      <c r="N32" s="257">
        <v>0</v>
      </c>
      <c r="O32" s="244">
        <f t="shared" si="4"/>
        <v>0</v>
      </c>
      <c r="P32" s="245">
        <f t="shared" si="7"/>
        <v>0</v>
      </c>
      <c r="Q32" s="245">
        <f t="shared" si="7"/>
        <v>0</v>
      </c>
      <c r="R32" s="246">
        <f t="shared" si="7"/>
        <v>0</v>
      </c>
      <c r="T32" s="4891"/>
    </row>
    <row r="33" spans="2:20" ht="13.5" thickBot="1">
      <c r="B33" s="262">
        <v>6000</v>
      </c>
      <c r="C33" s="236" t="s">
        <v>146</v>
      </c>
      <c r="D33" s="237">
        <f>SUM(D34:D37)</f>
        <v>0</v>
      </c>
      <c r="E33" s="237">
        <f>SUM(E34:E37)</f>
        <v>7200</v>
      </c>
      <c r="F33" s="238">
        <f>D33+E33</f>
        <v>7200</v>
      </c>
      <c r="H33" s="132"/>
      <c r="I33" s="250" t="str">
        <f t="shared" si="1"/>
        <v>Measure 21</v>
      </c>
      <c r="J33" s="251"/>
      <c r="K33" s="252"/>
      <c r="L33" s="242">
        <f t="shared" si="2"/>
        <v>0</v>
      </c>
      <c r="M33" s="257">
        <v>0</v>
      </c>
      <c r="N33" s="257">
        <v>0</v>
      </c>
      <c r="O33" s="244">
        <f t="shared" si="4"/>
        <v>0</v>
      </c>
      <c r="P33" s="245">
        <f t="shared" si="7"/>
        <v>0</v>
      </c>
      <c r="Q33" s="245">
        <f t="shared" si="7"/>
        <v>0</v>
      </c>
      <c r="R33" s="246">
        <f t="shared" si="7"/>
        <v>0</v>
      </c>
      <c r="T33" s="4891"/>
    </row>
    <row r="34" spans="2:20">
      <c r="B34" s="254"/>
      <c r="C34" s="255" t="s">
        <v>139</v>
      </c>
      <c r="D34" s="256">
        <v>0</v>
      </c>
      <c r="E34" s="256">
        <v>7200</v>
      </c>
      <c r="F34" s="249">
        <f t="shared" si="6"/>
        <v>7200</v>
      </c>
      <c r="H34" s="132"/>
      <c r="I34" s="250" t="str">
        <f t="shared" si="1"/>
        <v>Measure 22</v>
      </c>
      <c r="J34" s="251"/>
      <c r="K34" s="252"/>
      <c r="L34" s="242">
        <f t="shared" si="2"/>
        <v>0</v>
      </c>
      <c r="M34" s="257">
        <v>0</v>
      </c>
      <c r="N34" s="257">
        <v>0</v>
      </c>
      <c r="O34" s="244">
        <f t="shared" si="4"/>
        <v>0</v>
      </c>
      <c r="P34" s="245">
        <f t="shared" si="7"/>
        <v>0</v>
      </c>
      <c r="Q34" s="245">
        <f t="shared" si="7"/>
        <v>0</v>
      </c>
      <c r="R34" s="246">
        <f t="shared" si="7"/>
        <v>0</v>
      </c>
      <c r="T34" s="4891"/>
    </row>
    <row r="35" spans="2:20">
      <c r="B35" s="254"/>
      <c r="C35" s="255" t="s">
        <v>140</v>
      </c>
      <c r="D35" s="256">
        <v>0</v>
      </c>
      <c r="E35" s="256"/>
      <c r="F35" s="249">
        <f t="shared" si="6"/>
        <v>0</v>
      </c>
      <c r="H35" s="132"/>
      <c r="I35" s="250" t="str">
        <f t="shared" si="1"/>
        <v>Measure 23</v>
      </c>
      <c r="J35" s="251"/>
      <c r="K35" s="252"/>
      <c r="L35" s="242">
        <f t="shared" si="2"/>
        <v>0</v>
      </c>
      <c r="M35" s="257">
        <v>0</v>
      </c>
      <c r="N35" s="257">
        <v>0</v>
      </c>
      <c r="O35" s="244">
        <f t="shared" si="4"/>
        <v>0</v>
      </c>
      <c r="P35" s="245">
        <f t="shared" si="7"/>
        <v>0</v>
      </c>
      <c r="Q35" s="245">
        <f t="shared" si="7"/>
        <v>0</v>
      </c>
      <c r="R35" s="246">
        <f t="shared" si="7"/>
        <v>0</v>
      </c>
      <c r="T35" s="4891"/>
    </row>
    <row r="36" spans="2:20">
      <c r="B36" s="254"/>
      <c r="C36" s="255" t="s">
        <v>141</v>
      </c>
      <c r="D36" s="256">
        <v>0</v>
      </c>
      <c r="E36" s="256"/>
      <c r="F36" s="249">
        <f t="shared" si="6"/>
        <v>0</v>
      </c>
      <c r="H36" s="132"/>
      <c r="I36" s="250" t="str">
        <f t="shared" si="1"/>
        <v>Measure 24</v>
      </c>
      <c r="J36" s="251"/>
      <c r="K36" s="252"/>
      <c r="L36" s="242">
        <f t="shared" si="2"/>
        <v>0</v>
      </c>
      <c r="M36" s="257">
        <v>0</v>
      </c>
      <c r="N36" s="257">
        <v>0</v>
      </c>
      <c r="O36" s="244">
        <f t="shared" si="4"/>
        <v>0</v>
      </c>
      <c r="P36" s="245">
        <f t="shared" si="7"/>
        <v>0</v>
      </c>
      <c r="Q36" s="245">
        <f t="shared" si="7"/>
        <v>0</v>
      </c>
      <c r="R36" s="246">
        <f t="shared" si="7"/>
        <v>0</v>
      </c>
      <c r="T36" s="4891"/>
    </row>
    <row r="37" spans="2:20" ht="13.5" thickBot="1">
      <c r="B37" s="254"/>
      <c r="C37" s="255" t="s">
        <v>142</v>
      </c>
      <c r="D37" s="256">
        <v>0</v>
      </c>
      <c r="E37" s="256"/>
      <c r="F37" s="249">
        <f t="shared" si="6"/>
        <v>0</v>
      </c>
      <c r="H37" s="132"/>
      <c r="I37" s="250" t="str">
        <f t="shared" si="1"/>
        <v>Measure 25</v>
      </c>
      <c r="J37" s="251"/>
      <c r="K37" s="252"/>
      <c r="L37" s="242">
        <f t="shared" si="2"/>
        <v>0</v>
      </c>
      <c r="M37" s="257">
        <v>0</v>
      </c>
      <c r="N37" s="257">
        <v>0</v>
      </c>
      <c r="O37" s="244">
        <f t="shared" si="4"/>
        <v>0</v>
      </c>
      <c r="P37" s="245">
        <f t="shared" si="7"/>
        <v>0</v>
      </c>
      <c r="Q37" s="245">
        <f t="shared" si="7"/>
        <v>0</v>
      </c>
      <c r="R37" s="246">
        <f t="shared" si="7"/>
        <v>0</v>
      </c>
      <c r="T37" s="4891"/>
    </row>
    <row r="38" spans="2:20" ht="13.5" thickBot="1">
      <c r="B38" s="262">
        <v>66000</v>
      </c>
      <c r="C38" s="236" t="s">
        <v>147</v>
      </c>
      <c r="D38" s="237">
        <f>SUM(D39:D42)</f>
        <v>0</v>
      </c>
      <c r="E38" s="237">
        <f>SUM(E39:E42)</f>
        <v>28000</v>
      </c>
      <c r="F38" s="238">
        <f>D38+E38</f>
        <v>28000</v>
      </c>
      <c r="H38" s="132"/>
      <c r="I38" s="250" t="str">
        <f t="shared" si="1"/>
        <v>Measure 26</v>
      </c>
      <c r="J38" s="251"/>
      <c r="K38" s="260"/>
      <c r="L38" s="242">
        <f t="shared" si="2"/>
        <v>0</v>
      </c>
      <c r="M38" s="257">
        <v>0</v>
      </c>
      <c r="N38" s="257">
        <v>0</v>
      </c>
      <c r="O38" s="244">
        <f t="shared" si="4"/>
        <v>0</v>
      </c>
      <c r="P38" s="245">
        <f t="shared" si="7"/>
        <v>0</v>
      </c>
      <c r="Q38" s="245">
        <f t="shared" si="7"/>
        <v>0</v>
      </c>
      <c r="R38" s="246">
        <f t="shared" si="7"/>
        <v>0</v>
      </c>
      <c r="T38" s="4891"/>
    </row>
    <row r="39" spans="2:20">
      <c r="B39" s="254"/>
      <c r="C39" s="255" t="s">
        <v>139</v>
      </c>
      <c r="D39" s="256">
        <v>0</v>
      </c>
      <c r="E39" s="256">
        <v>28000</v>
      </c>
      <c r="F39" s="249">
        <f t="shared" ref="F39:F52" si="8">SUM(D39:E39)</f>
        <v>28000</v>
      </c>
      <c r="H39" s="132"/>
      <c r="I39" s="250" t="str">
        <f t="shared" si="1"/>
        <v>Measure 27</v>
      </c>
      <c r="J39" s="251"/>
      <c r="K39" s="260"/>
      <c r="L39" s="242">
        <f t="shared" si="2"/>
        <v>0</v>
      </c>
      <c r="M39" s="257">
        <v>0</v>
      </c>
      <c r="N39" s="257">
        <v>0</v>
      </c>
      <c r="O39" s="244">
        <f t="shared" si="4"/>
        <v>0</v>
      </c>
      <c r="P39" s="245">
        <f t="shared" si="7"/>
        <v>0</v>
      </c>
      <c r="Q39" s="245">
        <f t="shared" si="7"/>
        <v>0</v>
      </c>
      <c r="R39" s="246">
        <f t="shared" si="7"/>
        <v>0</v>
      </c>
      <c r="T39" s="4891"/>
    </row>
    <row r="40" spans="2:20">
      <c r="B40" s="254"/>
      <c r="C40" s="255" t="s">
        <v>140</v>
      </c>
      <c r="D40" s="256">
        <v>0</v>
      </c>
      <c r="E40" s="256"/>
      <c r="F40" s="249">
        <f t="shared" si="8"/>
        <v>0</v>
      </c>
      <c r="H40" s="132"/>
      <c r="I40" s="250" t="str">
        <f t="shared" si="1"/>
        <v>Measure 28</v>
      </c>
      <c r="J40" s="251"/>
      <c r="K40" s="260"/>
      <c r="L40" s="242">
        <f t="shared" si="2"/>
        <v>0</v>
      </c>
      <c r="M40" s="257">
        <v>0</v>
      </c>
      <c r="N40" s="257">
        <v>0</v>
      </c>
      <c r="O40" s="244">
        <f t="shared" si="4"/>
        <v>0</v>
      </c>
      <c r="P40" s="245">
        <f t="shared" si="7"/>
        <v>0</v>
      </c>
      <c r="Q40" s="245">
        <f t="shared" si="7"/>
        <v>0</v>
      </c>
      <c r="R40" s="246">
        <f t="shared" si="7"/>
        <v>0</v>
      </c>
      <c r="T40" s="4891"/>
    </row>
    <row r="41" spans="2:20">
      <c r="B41" s="254"/>
      <c r="C41" s="255" t="s">
        <v>141</v>
      </c>
      <c r="D41" s="256">
        <v>0</v>
      </c>
      <c r="E41" s="256"/>
      <c r="F41" s="249">
        <f t="shared" si="8"/>
        <v>0</v>
      </c>
      <c r="H41" s="132"/>
      <c r="I41" s="250" t="str">
        <f t="shared" si="1"/>
        <v>Measure 29</v>
      </c>
      <c r="J41" s="251"/>
      <c r="K41" s="260"/>
      <c r="L41" s="242">
        <f t="shared" si="2"/>
        <v>0</v>
      </c>
      <c r="M41" s="257">
        <v>0</v>
      </c>
      <c r="N41" s="257">
        <v>0</v>
      </c>
      <c r="O41" s="244">
        <f t="shared" si="4"/>
        <v>0</v>
      </c>
      <c r="P41" s="245">
        <f t="shared" si="7"/>
        <v>0</v>
      </c>
      <c r="Q41" s="245">
        <f t="shared" si="7"/>
        <v>0</v>
      </c>
      <c r="R41" s="246">
        <f t="shared" si="7"/>
        <v>0</v>
      </c>
      <c r="T41" s="4891"/>
    </row>
    <row r="42" spans="2:20" ht="13.5" thickBot="1">
      <c r="B42" s="254"/>
      <c r="C42" s="255" t="s">
        <v>142</v>
      </c>
      <c r="D42" s="256">
        <v>0</v>
      </c>
      <c r="E42" s="256"/>
      <c r="F42" s="249">
        <f t="shared" si="8"/>
        <v>0</v>
      </c>
      <c r="H42" s="132"/>
      <c r="I42" s="250" t="str">
        <f t="shared" si="1"/>
        <v>Measure 30</v>
      </c>
      <c r="J42" s="251"/>
      <c r="K42" s="260"/>
      <c r="L42" s="242">
        <f t="shared" si="2"/>
        <v>0</v>
      </c>
      <c r="M42" s="257">
        <v>0</v>
      </c>
      <c r="N42" s="257">
        <v>0</v>
      </c>
      <c r="O42" s="244">
        <f t="shared" si="4"/>
        <v>0</v>
      </c>
      <c r="P42" s="245">
        <f t="shared" si="7"/>
        <v>0</v>
      </c>
      <c r="Q42" s="245">
        <f t="shared" si="7"/>
        <v>0</v>
      </c>
      <c r="R42" s="246">
        <f t="shared" si="7"/>
        <v>0</v>
      </c>
      <c r="T42" s="4891"/>
    </row>
    <row r="43" spans="2:20" ht="13.5" thickBot="1">
      <c r="B43" s="262">
        <v>6000</v>
      </c>
      <c r="C43" s="236" t="s">
        <v>148</v>
      </c>
      <c r="D43" s="237">
        <f>SUM(D44:D47)</f>
        <v>0</v>
      </c>
      <c r="E43" s="237">
        <f>SUM(E44:E47)</f>
        <v>17200</v>
      </c>
      <c r="F43" s="238">
        <f>D43+E43</f>
        <v>17200</v>
      </c>
      <c r="H43" s="132"/>
      <c r="I43" s="250" t="str">
        <f t="shared" si="1"/>
        <v>Measure 31</v>
      </c>
      <c r="J43" s="251"/>
      <c r="K43" s="260"/>
      <c r="L43" s="242">
        <f t="shared" si="2"/>
        <v>0</v>
      </c>
      <c r="M43" s="257">
        <v>0</v>
      </c>
      <c r="N43" s="257">
        <v>0</v>
      </c>
      <c r="O43" s="244">
        <f t="shared" si="4"/>
        <v>0</v>
      </c>
      <c r="P43" s="245">
        <f t="shared" si="7"/>
        <v>0</v>
      </c>
      <c r="Q43" s="245">
        <f t="shared" si="7"/>
        <v>0</v>
      </c>
      <c r="R43" s="246">
        <f t="shared" si="7"/>
        <v>0</v>
      </c>
      <c r="T43" s="4891"/>
    </row>
    <row r="44" spans="2:20">
      <c r="B44" s="254"/>
      <c r="C44" s="255" t="s">
        <v>139</v>
      </c>
      <c r="D44" s="256">
        <v>0</v>
      </c>
      <c r="E44" s="256">
        <v>17200</v>
      </c>
      <c r="F44" s="249">
        <f t="shared" si="8"/>
        <v>17200</v>
      </c>
      <c r="H44" s="132"/>
      <c r="I44" s="250" t="str">
        <f t="shared" si="1"/>
        <v>Measure 32</v>
      </c>
      <c r="J44" s="251"/>
      <c r="K44" s="260"/>
      <c r="L44" s="242">
        <f t="shared" si="2"/>
        <v>0</v>
      </c>
      <c r="M44" s="257">
        <v>0</v>
      </c>
      <c r="N44" s="257">
        <v>0</v>
      </c>
      <c r="O44" s="244">
        <f t="shared" si="4"/>
        <v>0</v>
      </c>
      <c r="P44" s="245">
        <f t="shared" si="7"/>
        <v>0</v>
      </c>
      <c r="Q44" s="245">
        <f t="shared" si="7"/>
        <v>0</v>
      </c>
      <c r="R44" s="246">
        <f t="shared" si="7"/>
        <v>0</v>
      </c>
      <c r="T44" s="4891"/>
    </row>
    <row r="45" spans="2:20">
      <c r="B45" s="254"/>
      <c r="C45" s="255" t="s">
        <v>140</v>
      </c>
      <c r="D45" s="256">
        <v>0</v>
      </c>
      <c r="E45" s="256"/>
      <c r="F45" s="249">
        <f t="shared" si="8"/>
        <v>0</v>
      </c>
      <c r="H45" s="132"/>
      <c r="I45" s="250" t="str">
        <f t="shared" si="1"/>
        <v>Measure 33</v>
      </c>
      <c r="J45" s="251"/>
      <c r="K45" s="260"/>
      <c r="L45" s="242">
        <f t="shared" si="2"/>
        <v>0</v>
      </c>
      <c r="M45" s="257">
        <v>0</v>
      </c>
      <c r="N45" s="257">
        <v>0</v>
      </c>
      <c r="O45" s="244">
        <f t="shared" si="4"/>
        <v>0</v>
      </c>
      <c r="P45" s="245">
        <f t="shared" ref="P45:R54" si="9">M45*$D95</f>
        <v>0</v>
      </c>
      <c r="Q45" s="245">
        <f t="shared" si="9"/>
        <v>0</v>
      </c>
      <c r="R45" s="246">
        <f t="shared" si="9"/>
        <v>0</v>
      </c>
      <c r="T45" s="4891"/>
    </row>
    <row r="46" spans="2:20">
      <c r="B46" s="254"/>
      <c r="C46" s="255" t="s">
        <v>141</v>
      </c>
      <c r="D46" s="256">
        <v>0</v>
      </c>
      <c r="E46" s="256"/>
      <c r="F46" s="249">
        <f t="shared" si="8"/>
        <v>0</v>
      </c>
      <c r="H46" s="132"/>
      <c r="I46" s="250" t="str">
        <f t="shared" si="1"/>
        <v>Measure 34</v>
      </c>
      <c r="J46" s="251"/>
      <c r="K46" s="260"/>
      <c r="L46" s="242">
        <f t="shared" si="2"/>
        <v>0</v>
      </c>
      <c r="M46" s="257">
        <v>0</v>
      </c>
      <c r="N46" s="257">
        <v>0</v>
      </c>
      <c r="O46" s="244">
        <f t="shared" si="4"/>
        <v>0</v>
      </c>
      <c r="P46" s="245">
        <f t="shared" si="9"/>
        <v>0</v>
      </c>
      <c r="Q46" s="245">
        <f t="shared" si="9"/>
        <v>0</v>
      </c>
      <c r="R46" s="246">
        <f t="shared" si="9"/>
        <v>0</v>
      </c>
      <c r="T46" s="4891"/>
    </row>
    <row r="47" spans="2:20" ht="13.5" thickBot="1">
      <c r="B47" s="254"/>
      <c r="C47" s="255" t="s">
        <v>142</v>
      </c>
      <c r="D47" s="256">
        <v>0</v>
      </c>
      <c r="E47" s="256"/>
      <c r="F47" s="249">
        <f t="shared" si="8"/>
        <v>0</v>
      </c>
      <c r="H47" s="132"/>
      <c r="I47" s="250" t="str">
        <f t="shared" si="1"/>
        <v>Measure 35</v>
      </c>
      <c r="J47" s="251"/>
      <c r="K47" s="260"/>
      <c r="L47" s="242">
        <f t="shared" si="2"/>
        <v>0</v>
      </c>
      <c r="M47" s="257">
        <v>0</v>
      </c>
      <c r="N47" s="257">
        <v>0</v>
      </c>
      <c r="O47" s="244">
        <f t="shared" si="4"/>
        <v>0</v>
      </c>
      <c r="P47" s="245">
        <f t="shared" si="9"/>
        <v>0</v>
      </c>
      <c r="Q47" s="245">
        <f t="shared" si="9"/>
        <v>0</v>
      </c>
      <c r="R47" s="246">
        <f t="shared" si="9"/>
        <v>0</v>
      </c>
      <c r="T47" s="4891"/>
    </row>
    <row r="48" spans="2:20" ht="13.5" thickBot="1">
      <c r="B48" s="262">
        <v>24000</v>
      </c>
      <c r="C48" s="236" t="s">
        <v>149</v>
      </c>
      <c r="D48" s="237">
        <f>SUM(D49:D52)</f>
        <v>0</v>
      </c>
      <c r="E48" s="237">
        <f>SUM(E49:E52)</f>
        <v>28200</v>
      </c>
      <c r="F48" s="238">
        <f>D48+E48</f>
        <v>28200</v>
      </c>
      <c r="H48" s="132"/>
      <c r="I48" s="250" t="str">
        <f t="shared" si="1"/>
        <v>Measure 36</v>
      </c>
      <c r="J48" s="251"/>
      <c r="K48" s="260"/>
      <c r="L48" s="242">
        <f t="shared" si="2"/>
        <v>0</v>
      </c>
      <c r="M48" s="257">
        <v>0</v>
      </c>
      <c r="N48" s="257">
        <v>0</v>
      </c>
      <c r="O48" s="244">
        <f t="shared" si="4"/>
        <v>0</v>
      </c>
      <c r="P48" s="245">
        <f t="shared" si="9"/>
        <v>0</v>
      </c>
      <c r="Q48" s="245">
        <f t="shared" si="9"/>
        <v>0</v>
      </c>
      <c r="R48" s="246">
        <f t="shared" si="9"/>
        <v>0</v>
      </c>
      <c r="T48" s="4891"/>
    </row>
    <row r="49" spans="2:27">
      <c r="B49" s="254"/>
      <c r="C49" s="255" t="s">
        <v>139</v>
      </c>
      <c r="D49" s="256">
        <v>0</v>
      </c>
      <c r="E49" s="256">
        <v>28200</v>
      </c>
      <c r="F49" s="249">
        <f t="shared" si="8"/>
        <v>28200</v>
      </c>
      <c r="H49" s="132"/>
      <c r="I49" s="250" t="str">
        <f t="shared" si="1"/>
        <v>Measure 37</v>
      </c>
      <c r="J49" s="251"/>
      <c r="K49" s="260"/>
      <c r="L49" s="242">
        <f t="shared" si="2"/>
        <v>0</v>
      </c>
      <c r="M49" s="257">
        <v>0</v>
      </c>
      <c r="N49" s="257">
        <v>0</v>
      </c>
      <c r="O49" s="244">
        <f t="shared" si="4"/>
        <v>0</v>
      </c>
      <c r="P49" s="245">
        <f t="shared" si="9"/>
        <v>0</v>
      </c>
      <c r="Q49" s="245">
        <f t="shared" si="9"/>
        <v>0</v>
      </c>
      <c r="R49" s="246">
        <f t="shared" si="9"/>
        <v>0</v>
      </c>
      <c r="T49" s="4891"/>
    </row>
    <row r="50" spans="2:27">
      <c r="B50" s="254"/>
      <c r="C50" s="255" t="s">
        <v>140</v>
      </c>
      <c r="D50" s="256">
        <v>0</v>
      </c>
      <c r="E50" s="256"/>
      <c r="F50" s="249">
        <f t="shared" si="8"/>
        <v>0</v>
      </c>
      <c r="I50" s="250" t="str">
        <f t="shared" si="1"/>
        <v>Measure 38</v>
      </c>
      <c r="J50" s="251"/>
      <c r="K50" s="252"/>
      <c r="L50" s="242">
        <f t="shared" si="2"/>
        <v>0</v>
      </c>
      <c r="M50" s="257">
        <v>0</v>
      </c>
      <c r="N50" s="257">
        <v>0</v>
      </c>
      <c r="O50" s="244">
        <f t="shared" si="4"/>
        <v>0</v>
      </c>
      <c r="P50" s="245">
        <f t="shared" si="9"/>
        <v>0</v>
      </c>
      <c r="Q50" s="245">
        <f t="shared" si="9"/>
        <v>0</v>
      </c>
      <c r="R50" s="246">
        <f t="shared" si="9"/>
        <v>0</v>
      </c>
      <c r="T50" s="4891"/>
    </row>
    <row r="51" spans="2:27">
      <c r="B51" s="254"/>
      <c r="C51" s="255" t="s">
        <v>141</v>
      </c>
      <c r="D51" s="256">
        <v>0</v>
      </c>
      <c r="E51" s="256"/>
      <c r="F51" s="249">
        <f t="shared" si="8"/>
        <v>0</v>
      </c>
      <c r="I51" s="250" t="str">
        <f t="shared" si="1"/>
        <v>Measure 39</v>
      </c>
      <c r="J51" s="251"/>
      <c r="K51" s="252"/>
      <c r="L51" s="242">
        <f t="shared" si="2"/>
        <v>0</v>
      </c>
      <c r="M51" s="257">
        <v>0</v>
      </c>
      <c r="N51" s="257">
        <v>0</v>
      </c>
      <c r="O51" s="244">
        <f t="shared" si="4"/>
        <v>0</v>
      </c>
      <c r="P51" s="245">
        <f t="shared" si="9"/>
        <v>0</v>
      </c>
      <c r="Q51" s="245">
        <f t="shared" si="9"/>
        <v>0</v>
      </c>
      <c r="R51" s="246">
        <f t="shared" si="9"/>
        <v>0</v>
      </c>
      <c r="T51" s="4891"/>
    </row>
    <row r="52" spans="2:27" ht="13.5" thickBot="1">
      <c r="B52" s="254"/>
      <c r="C52" s="255" t="s">
        <v>142</v>
      </c>
      <c r="D52" s="256">
        <v>0</v>
      </c>
      <c r="E52" s="256"/>
      <c r="F52" s="249">
        <f t="shared" si="8"/>
        <v>0</v>
      </c>
      <c r="I52" s="250" t="str">
        <f t="shared" si="1"/>
        <v>Measure 40</v>
      </c>
      <c r="J52" s="251"/>
      <c r="K52" s="252"/>
      <c r="L52" s="242">
        <f t="shared" si="2"/>
        <v>0</v>
      </c>
      <c r="M52" s="257">
        <v>0</v>
      </c>
      <c r="N52" s="257">
        <v>0</v>
      </c>
      <c r="O52" s="244">
        <f t="shared" si="4"/>
        <v>0</v>
      </c>
      <c r="P52" s="245">
        <f t="shared" si="9"/>
        <v>0</v>
      </c>
      <c r="Q52" s="245">
        <f t="shared" si="9"/>
        <v>0</v>
      </c>
      <c r="R52" s="246">
        <f t="shared" si="9"/>
        <v>0</v>
      </c>
      <c r="T52" s="4891"/>
    </row>
    <row r="53" spans="2:27" ht="13.5" thickBot="1">
      <c r="B53" s="262">
        <v>1592000</v>
      </c>
      <c r="C53" s="236" t="s">
        <v>150</v>
      </c>
      <c r="D53" s="237">
        <f>T105</f>
        <v>0</v>
      </c>
      <c r="E53" s="237">
        <f>U105</f>
        <v>2158150</v>
      </c>
      <c r="F53" s="238">
        <f>V105</f>
        <v>2158150</v>
      </c>
      <c r="G53" s="261" t="s">
        <v>151</v>
      </c>
      <c r="I53" s="250" t="str">
        <f t="shared" si="1"/>
        <v>Measure 41</v>
      </c>
      <c r="J53" s="251"/>
      <c r="K53" s="252"/>
      <c r="L53" s="242">
        <f t="shared" si="2"/>
        <v>0</v>
      </c>
      <c r="M53" s="257">
        <v>0</v>
      </c>
      <c r="N53" s="257">
        <v>0</v>
      </c>
      <c r="O53" s="244">
        <f t="shared" si="4"/>
        <v>0</v>
      </c>
      <c r="P53" s="245">
        <f t="shared" si="9"/>
        <v>0</v>
      </c>
      <c r="Q53" s="245">
        <f t="shared" si="9"/>
        <v>0</v>
      </c>
      <c r="R53" s="246">
        <f t="shared" si="9"/>
        <v>0</v>
      </c>
      <c r="T53" s="4891"/>
    </row>
    <row r="54" spans="2:27" ht="13.5" thickBot="1">
      <c r="B54" s="262">
        <v>0</v>
      </c>
      <c r="C54" s="236" t="s">
        <v>152</v>
      </c>
      <c r="D54" s="237">
        <v>0</v>
      </c>
      <c r="E54" s="237">
        <v>0</v>
      </c>
      <c r="F54" s="238">
        <v>0</v>
      </c>
      <c r="I54" s="250" t="str">
        <f t="shared" si="1"/>
        <v>Measure 42</v>
      </c>
      <c r="J54" s="251"/>
      <c r="K54" s="252"/>
      <c r="L54" s="242">
        <f t="shared" si="2"/>
        <v>0</v>
      </c>
      <c r="M54" s="257">
        <v>0</v>
      </c>
      <c r="N54" s="257">
        <v>0</v>
      </c>
      <c r="O54" s="244">
        <f t="shared" si="4"/>
        <v>0</v>
      </c>
      <c r="P54" s="245">
        <f t="shared" si="9"/>
        <v>0</v>
      </c>
      <c r="Q54" s="245">
        <f t="shared" si="9"/>
        <v>0</v>
      </c>
      <c r="R54" s="246">
        <f t="shared" si="9"/>
        <v>0</v>
      </c>
      <c r="T54" s="4891"/>
    </row>
    <row r="55" spans="2:27">
      <c r="B55" s="263">
        <f>B13+B18+B23+B28+B33+B38+B43+B48+B53+B54</f>
        <v>2061441</v>
      </c>
      <c r="C55" s="264" t="s">
        <v>153</v>
      </c>
      <c r="D55" s="263">
        <f>D13+D18+D23+D28+D33+D38+D43+D48+D53+D54</f>
        <v>0</v>
      </c>
      <c r="E55" s="263">
        <f>E13+E18+E23+E28+E33+E38+E43+E48+E53+E54</f>
        <v>3004175</v>
      </c>
      <c r="F55" s="263">
        <f>F13+F18+F23+F28+F33+F38+F43+F48+F53+F54</f>
        <v>3004175</v>
      </c>
      <c r="P55" s="265">
        <f>SUM(P13:P54)</f>
        <v>0</v>
      </c>
      <c r="Q55" s="265">
        <f>SUM(Q13:Q54)</f>
        <v>6138116</v>
      </c>
      <c r="R55" s="265">
        <f>SUM(R13:R54)</f>
        <v>6138116</v>
      </c>
      <c r="T55" s="4892"/>
    </row>
    <row r="56" spans="2:27">
      <c r="C56" s="264"/>
      <c r="D56" s="263"/>
      <c r="E56" s="263"/>
      <c r="F56" s="263"/>
      <c r="T56" s="3535"/>
    </row>
    <row r="57" spans="2:27">
      <c r="C57" s="264" t="s">
        <v>154</v>
      </c>
      <c r="D57" s="263">
        <f>D55-D53</f>
        <v>0</v>
      </c>
      <c r="E57" s="263">
        <f>E55-E53</f>
        <v>846025</v>
      </c>
      <c r="F57" s="263">
        <f>F55-F53</f>
        <v>846025</v>
      </c>
    </row>
    <row r="58" spans="2:27">
      <c r="C58" s="264" t="s">
        <v>155</v>
      </c>
      <c r="D58" s="266">
        <f>D53</f>
        <v>0</v>
      </c>
      <c r="E58" s="266">
        <f>E53</f>
        <v>2158150</v>
      </c>
      <c r="F58" s="266">
        <f>F53</f>
        <v>2158150</v>
      </c>
      <c r="G58" s="319">
        <f>F58/(F57+F58)</f>
        <v>0.71838358284720427</v>
      </c>
      <c r="H58" s="268" t="s">
        <v>156</v>
      </c>
    </row>
    <row r="59" spans="2:27" ht="13.5" thickBot="1"/>
    <row r="60" spans="2:27" ht="16.5" thickBot="1">
      <c r="B60" s="269" t="s">
        <v>157</v>
      </c>
      <c r="C60" s="270"/>
      <c r="D60" s="5130" t="s">
        <v>158</v>
      </c>
      <c r="E60" s="5131"/>
      <c r="F60" s="5131"/>
      <c r="G60" s="5131"/>
      <c r="H60" s="5131"/>
      <c r="K60" s="271"/>
    </row>
    <row r="61" spans="2:27"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7"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7">
      <c r="B63" s="282">
        <v>68</v>
      </c>
      <c r="C63" s="2757" t="s">
        <v>358</v>
      </c>
      <c r="D63" s="2757">
        <v>4037</v>
      </c>
      <c r="E63" s="2757" t="s">
        <v>181</v>
      </c>
      <c r="F63" s="2757" t="s">
        <v>232</v>
      </c>
      <c r="G63" s="2759">
        <v>3889</v>
      </c>
      <c r="H63" s="2759">
        <v>1500</v>
      </c>
      <c r="I63" s="2760">
        <v>0.05</v>
      </c>
      <c r="J63" s="2758">
        <v>30</v>
      </c>
      <c r="K63" s="2758" t="s">
        <v>359</v>
      </c>
      <c r="L63" s="4157"/>
      <c r="M63" s="278">
        <f>Q63/O63</f>
        <v>3.3596171308463423</v>
      </c>
      <c r="N63" s="278">
        <f>((L63/S63)+R63)/P63</f>
        <v>1.9756348971998068</v>
      </c>
      <c r="O63" s="3548">
        <f>(($I63*$F$57)+$V63)/$S63</f>
        <v>86310.129509713239</v>
      </c>
      <c r="P63" s="3548">
        <f t="shared" ref="P63:P69" si="10">(($I63*$F$57)+($G63*$O13))/$S63</f>
        <v>161449.81498612397</v>
      </c>
      <c r="Q63" s="3548">
        <f>IF(K63=0, 0, (HLOOKUP(K63,'[3]E-CESTDWO'!$A$5:$O$35,J63+1,FALSE)*R13))</f>
        <v>289968.98966639902</v>
      </c>
      <c r="R63" s="3548">
        <f>IF(K63=0, 0, (HLOOKUP(K63,'[3]E-CESTD'!$A$5:$O$35,J63+1,FALSE)*R13))</f>
        <v>318965.88863303885</v>
      </c>
      <c r="S63" s="2762">
        <v>1.081</v>
      </c>
      <c r="T63" s="2761">
        <v>0</v>
      </c>
      <c r="U63" s="2761">
        <v>51000</v>
      </c>
      <c r="V63" s="4150">
        <f t="shared" ref="V63:V69" si="11">O13*$H63</f>
        <v>51000</v>
      </c>
      <c r="W63" s="322">
        <f t="shared" ref="W63:W81" si="12">V63/(V63+(I63*F$57))</f>
        <v>0.54661647084042286</v>
      </c>
      <c r="X63" s="322">
        <f t="shared" ref="X63:X81" si="13">(I63*((F$18*1.63)+F$28))/(V63+(I63*F$57))</f>
        <v>0.21540440240618428</v>
      </c>
      <c r="Y63" s="322">
        <f t="shared" ref="Y63:Y81" si="14">(I63*F$38)/(V63+(I63*F$57))</f>
        <v>1.500515802307043E-2</v>
      </c>
      <c r="AA63" s="287">
        <f>I63*F$57</f>
        <v>42301.25</v>
      </c>
    </row>
    <row r="64" spans="2:27">
      <c r="B64" s="282">
        <v>499</v>
      </c>
      <c r="C64" s="2757" t="s">
        <v>360</v>
      </c>
      <c r="D64" s="2757">
        <v>3500</v>
      </c>
      <c r="E64" s="2757" t="s">
        <v>181</v>
      </c>
      <c r="F64" s="2757" t="s">
        <v>186</v>
      </c>
      <c r="G64" s="2759">
        <v>3407</v>
      </c>
      <c r="H64" s="2759">
        <v>1200</v>
      </c>
      <c r="I64" s="2760">
        <v>0.15</v>
      </c>
      <c r="J64" s="2758">
        <v>20</v>
      </c>
      <c r="K64" s="2758" t="s">
        <v>359</v>
      </c>
      <c r="L64" s="4157"/>
      <c r="M64" s="278">
        <f t="shared" ref="M64:M69" si="15">Q64/O64</f>
        <v>4.3961175633242133</v>
      </c>
      <c r="N64" s="278">
        <f t="shared" ref="N64:N69" si="16">((L64/S64)+R64)/P64</f>
        <v>1.9670540987961582</v>
      </c>
      <c r="O64" s="3548">
        <f t="shared" ref="O64:O69" si="17">(($I64*$F$57)+$V64)/$S64</f>
        <v>566978.49213691032</v>
      </c>
      <c r="P64" s="3548">
        <f t="shared" si="10"/>
        <v>1393837.8815911193</v>
      </c>
      <c r="Q64" s="3548">
        <f>IF(K64=0, 0, (HLOOKUP(K64,'[3]E-CESTDWO'!$A$5:$O$35,J64+1,FALSE)*R14))</f>
        <v>2492504.1073101507</v>
      </c>
      <c r="R64" s="3548">
        <f>IF(K64=0, 0, (HLOOKUP(K64,'[3]E-CESTD'!$A$5:$O$35,J64+1,FALSE)*R14))</f>
        <v>2741754.5180411655</v>
      </c>
      <c r="S64" s="2762">
        <v>1.081</v>
      </c>
      <c r="T64" s="2761">
        <v>0</v>
      </c>
      <c r="U64" s="2761">
        <v>486000</v>
      </c>
      <c r="V64" s="4150">
        <f t="shared" si="11"/>
        <v>486000</v>
      </c>
      <c r="W64" s="322">
        <f t="shared" si="12"/>
        <v>0.79294669024296227</v>
      </c>
      <c r="X64" s="322">
        <f t="shared" si="13"/>
        <v>9.8371889550357625E-2</v>
      </c>
      <c r="Y64" s="322">
        <f t="shared" si="14"/>
        <v>6.8526257181490569E-3</v>
      </c>
      <c r="AA64" s="287">
        <f t="shared" ref="AA64:AA70" si="18">I64*F$57</f>
        <v>126903.75</v>
      </c>
    </row>
    <row r="65" spans="2:27">
      <c r="B65" s="282">
        <v>558</v>
      </c>
      <c r="C65" s="2757" t="s">
        <v>361</v>
      </c>
      <c r="D65" s="2757">
        <v>408</v>
      </c>
      <c r="E65" s="2757" t="s">
        <v>181</v>
      </c>
      <c r="F65" s="2757" t="s">
        <v>186</v>
      </c>
      <c r="G65" s="2759">
        <v>742</v>
      </c>
      <c r="H65" s="2759">
        <v>200</v>
      </c>
      <c r="I65" s="2760">
        <v>0.11</v>
      </c>
      <c r="J65" s="2758">
        <v>20</v>
      </c>
      <c r="K65" s="2758" t="s">
        <v>359</v>
      </c>
      <c r="L65" s="4157"/>
      <c r="M65" s="278">
        <f t="shared" si="15"/>
        <v>1.8977351957010995</v>
      </c>
      <c r="N65" s="278">
        <f t="shared" si="16"/>
        <v>0.89735799581079168</v>
      </c>
      <c r="O65" s="3548">
        <f t="shared" si="17"/>
        <v>168605.68917668826</v>
      </c>
      <c r="P65" s="3548">
        <f t="shared" si="10"/>
        <v>392224.56059204444</v>
      </c>
      <c r="Q65" s="3548">
        <f>IF(K65=0, 0, (HLOOKUP(K65,'[3]E-CESTDWO'!$A$5:$O$35,J65+1,FALSE)*R15))</f>
        <v>319968.95054604125</v>
      </c>
      <c r="R65" s="3548">
        <f>IF(K65=0, 0, (HLOOKUP(K65,'[3]E-CESTD'!$A$5:$O$35,J65+1,FALSE)*R15))</f>
        <v>351965.84560064541</v>
      </c>
      <c r="S65" s="2762">
        <v>1.081</v>
      </c>
      <c r="T65" s="2761">
        <v>0</v>
      </c>
      <c r="U65" s="2761">
        <v>89200</v>
      </c>
      <c r="V65" s="4150">
        <f t="shared" si="11"/>
        <v>89200</v>
      </c>
      <c r="W65" s="322">
        <f t="shared" si="12"/>
        <v>0.48940334763960269</v>
      </c>
      <c r="X65" s="322">
        <f t="shared" si="13"/>
        <v>0.24258659545079836</v>
      </c>
      <c r="Y65" s="322">
        <f t="shared" si="14"/>
        <v>1.6898680613564757E-2</v>
      </c>
      <c r="AA65" s="287">
        <f t="shared" si="18"/>
        <v>93062.75</v>
      </c>
    </row>
    <row r="66" spans="2:27">
      <c r="B66" s="282">
        <v>559</v>
      </c>
      <c r="C66" s="2757" t="s">
        <v>362</v>
      </c>
      <c r="D66" s="2757">
        <v>554</v>
      </c>
      <c r="E66" s="2757" t="s">
        <v>181</v>
      </c>
      <c r="F66" s="2757" t="s">
        <v>186</v>
      </c>
      <c r="G66" s="2759">
        <v>844</v>
      </c>
      <c r="H66" s="2759">
        <v>350</v>
      </c>
      <c r="I66" s="2760">
        <v>0.34</v>
      </c>
      <c r="J66" s="2758">
        <v>20</v>
      </c>
      <c r="K66" s="2758" t="s">
        <v>359</v>
      </c>
      <c r="L66" s="4157"/>
      <c r="M66" s="278">
        <f t="shared" si="15"/>
        <v>1.7092308258512103</v>
      </c>
      <c r="N66" s="278">
        <f t="shared" si="16"/>
        <v>1.0434721994877005</v>
      </c>
      <c r="O66" s="3548">
        <f t="shared" si="17"/>
        <v>616094.81961147091</v>
      </c>
      <c r="P66" s="3548">
        <f t="shared" si="10"/>
        <v>1110094.8196114709</v>
      </c>
      <c r="Q66" s="3548">
        <f>IF(K66=0, 0, (HLOOKUP(K66,'[3]E-CESTDWO'!$A$5:$O$35,J66+1,FALSE)*R16))</f>
        <v>1053048.2573271669</v>
      </c>
      <c r="R66" s="3548">
        <f>IF(K66=0, 0, (HLOOKUP(K66,'[3]E-CESTD'!$A$5:$O$35,J66+1,FALSE)*R16))</f>
        <v>1158353.0830598837</v>
      </c>
      <c r="S66" s="2762">
        <v>1.081</v>
      </c>
      <c r="T66" s="2761">
        <v>0</v>
      </c>
      <c r="U66" s="2761">
        <v>378350</v>
      </c>
      <c r="V66" s="4150">
        <f t="shared" si="11"/>
        <v>378350</v>
      </c>
      <c r="W66" s="322">
        <f t="shared" si="12"/>
        <v>0.56809437258492324</v>
      </c>
      <c r="X66" s="322">
        <f t="shared" si="13"/>
        <v>0.20520016186222642</v>
      </c>
      <c r="Y66" s="322">
        <f t="shared" si="14"/>
        <v>1.4294326488723324E-2</v>
      </c>
      <c r="AA66" s="287">
        <f t="shared" si="18"/>
        <v>287648.5</v>
      </c>
    </row>
    <row r="67" spans="2:27">
      <c r="B67" s="282">
        <v>560</v>
      </c>
      <c r="C67" s="2757" t="s">
        <v>363</v>
      </c>
      <c r="D67" s="2757">
        <v>5176</v>
      </c>
      <c r="E67" s="2757" t="s">
        <v>181</v>
      </c>
      <c r="F67" s="2757" t="s">
        <v>232</v>
      </c>
      <c r="G67" s="2759">
        <v>5663</v>
      </c>
      <c r="H67" s="2759">
        <v>1500</v>
      </c>
      <c r="I67" s="2760">
        <v>0.15</v>
      </c>
      <c r="J67" s="2758">
        <v>20</v>
      </c>
      <c r="K67" s="2758" t="s">
        <v>359</v>
      </c>
      <c r="L67" s="4157"/>
      <c r="M67" s="278">
        <f t="shared" si="15"/>
        <v>5.7139313002237424</v>
      </c>
      <c r="N67" s="278">
        <f t="shared" si="16"/>
        <v>1.8390322627918265</v>
      </c>
      <c r="O67" s="3548">
        <f t="shared" si="17"/>
        <v>911104.30157261796</v>
      </c>
      <c r="P67" s="3548">
        <f t="shared" si="10"/>
        <v>3113912.8122109161</v>
      </c>
      <c r="Q67" s="3548">
        <f>IF(K67=0, 0, (HLOOKUP(K67,'[3]E-CESTDWO'!$A$5:$O$35,J67+1,FALSE)*R17))</f>
        <v>5205987.386524274</v>
      </c>
      <c r="R67" s="3548">
        <f>IF(K67=0, 0, (HLOOKUP(K67,'[3]E-CESTD'!$A$5:$O$35,J67+1,FALSE)*R17))</f>
        <v>5726586.1251767008</v>
      </c>
      <c r="S67" s="2762">
        <v>1.081</v>
      </c>
      <c r="T67" s="2761">
        <v>0</v>
      </c>
      <c r="U67" s="2761">
        <v>858000</v>
      </c>
      <c r="V67" s="4150">
        <f t="shared" si="11"/>
        <v>858000</v>
      </c>
      <c r="W67" s="322">
        <f t="shared" si="12"/>
        <v>0.87115111502012255</v>
      </c>
      <c r="X67" s="322">
        <f t="shared" si="13"/>
        <v>6.1216641727681514E-2</v>
      </c>
      <c r="Y67" s="322">
        <f t="shared" si="14"/>
        <v>4.2643760875110889E-3</v>
      </c>
      <c r="AA67" s="287">
        <f t="shared" si="18"/>
        <v>126903.75</v>
      </c>
    </row>
    <row r="68" spans="2:27">
      <c r="B68" s="282">
        <v>501</v>
      </c>
      <c r="C68" s="2757" t="s">
        <v>364</v>
      </c>
      <c r="D68" s="2757">
        <v>1447</v>
      </c>
      <c r="E68" s="2757" t="s">
        <v>181</v>
      </c>
      <c r="F68" s="2757" t="s">
        <v>232</v>
      </c>
      <c r="G68" s="2765">
        <v>350</v>
      </c>
      <c r="H68" s="2759">
        <v>300</v>
      </c>
      <c r="I68" s="2760">
        <v>0.17</v>
      </c>
      <c r="J68" s="2758">
        <v>20</v>
      </c>
      <c r="K68" s="2758" t="s">
        <v>359</v>
      </c>
      <c r="L68" s="4157"/>
      <c r="M68" s="278">
        <f t="shared" si="15"/>
        <v>4.4491943909799234</v>
      </c>
      <c r="N68" s="278">
        <f t="shared" si="16"/>
        <v>4.5278949832145896</v>
      </c>
      <c r="O68" s="3548">
        <f t="shared" si="17"/>
        <v>258486.81776133212</v>
      </c>
      <c r="P68" s="3548">
        <f t="shared" si="10"/>
        <v>279393.38575393154</v>
      </c>
      <c r="Q68" s="3548">
        <f>IF(K68=0, 0, (HLOOKUP(K68,'[3]E-CESTDWO'!$A$5:$O$35,J68+1,FALSE)*R18))</f>
        <v>1150058.0997259684</v>
      </c>
      <c r="R68" s="3548">
        <f>IF(K68=0, 0, (HLOOKUP(K68,'[3]E-CESTD'!$A$5:$O$35,J68+1,FALSE)*R18))</f>
        <v>1265063.9096985653</v>
      </c>
      <c r="S68" s="2762">
        <v>1.081</v>
      </c>
      <c r="T68" s="2761">
        <v>0</v>
      </c>
      <c r="U68" s="2761">
        <v>135600</v>
      </c>
      <c r="V68" s="4150">
        <f t="shared" si="11"/>
        <v>135600</v>
      </c>
      <c r="W68" s="322">
        <f t="shared" si="12"/>
        <v>0.48528357864430161</v>
      </c>
      <c r="X68" s="322">
        <f t="shared" si="13"/>
        <v>0.24454391485348892</v>
      </c>
      <c r="Y68" s="322">
        <f t="shared" si="14"/>
        <v>1.7035028276894366E-2</v>
      </c>
      <c r="AA68" s="287">
        <f t="shared" si="18"/>
        <v>143824.25</v>
      </c>
    </row>
    <row r="69" spans="2:27">
      <c r="B69" s="282"/>
      <c r="C69" s="2757" t="s">
        <v>365</v>
      </c>
      <c r="D69" s="2757">
        <v>939</v>
      </c>
      <c r="E69" s="2757" t="s">
        <v>181</v>
      </c>
      <c r="F69" s="2757" t="s">
        <v>186</v>
      </c>
      <c r="G69" s="2759">
        <v>1688</v>
      </c>
      <c r="H69" s="2759">
        <v>800</v>
      </c>
      <c r="I69" s="2760">
        <v>0.03</v>
      </c>
      <c r="J69" s="2758">
        <v>20</v>
      </c>
      <c r="K69" s="2758" t="s">
        <v>359</v>
      </c>
      <c r="L69" s="4157"/>
      <c r="M69" s="278">
        <f t="shared" si="15"/>
        <v>1.9256150079182281</v>
      </c>
      <c r="N69" s="278">
        <f t="shared" si="16"/>
        <v>1.0817905627696531</v>
      </c>
      <c r="O69" s="3548">
        <f t="shared" si="17"/>
        <v>171490.05550416282</v>
      </c>
      <c r="P69" s="3548">
        <f t="shared" si="10"/>
        <v>335782.37742830714</v>
      </c>
      <c r="Q69" s="3548">
        <f>IF(K69=0, 0, (HLOOKUP(K69,'[3]E-CESTDWO'!$A$5:$O$35,J69+1,FALSE)*R19))</f>
        <v>330223.82458754588</v>
      </c>
      <c r="R69" s="3548">
        <f>IF(K69=0, 0, (HLOOKUP(K69,'[3]E-CESTD'!$A$5:$O$35,J69+1,FALSE)*R19))</f>
        <v>363246.20704630046</v>
      </c>
      <c r="S69" s="2762">
        <v>1.081</v>
      </c>
      <c r="T69" s="2761">
        <v>0</v>
      </c>
      <c r="U69" s="2761">
        <v>160000</v>
      </c>
      <c r="V69" s="4150">
        <f t="shared" si="11"/>
        <v>160000</v>
      </c>
      <c r="W69" s="322">
        <f t="shared" si="12"/>
        <v>0.86308853535224128</v>
      </c>
      <c r="X69" s="322">
        <f t="shared" si="13"/>
        <v>6.5047206897156262E-2</v>
      </c>
      <c r="Y69" s="322">
        <f t="shared" si="14"/>
        <v>4.531214810599267E-3</v>
      </c>
      <c r="AA69" s="287">
        <f t="shared" si="18"/>
        <v>25380.75</v>
      </c>
    </row>
    <row r="70" spans="2:27">
      <c r="B70" s="282"/>
      <c r="C70" s="2757" t="s">
        <v>366</v>
      </c>
      <c r="D70" s="2757">
        <v>408</v>
      </c>
      <c r="E70" s="2757" t="s">
        <v>181</v>
      </c>
      <c r="F70" s="2757" t="s">
        <v>232</v>
      </c>
      <c r="G70" s="2759">
        <v>745</v>
      </c>
      <c r="H70" s="2759">
        <v>300</v>
      </c>
      <c r="I70" s="2760">
        <v>0</v>
      </c>
      <c r="J70" s="2758">
        <v>20</v>
      </c>
      <c r="K70" s="2758" t="s">
        <v>260</v>
      </c>
      <c r="L70" s="4157"/>
      <c r="M70" s="2763" t="e">
        <v>#DIV/0!</v>
      </c>
      <c r="N70" s="2763" t="e">
        <v>#DIV/0!</v>
      </c>
      <c r="O70" s="2764">
        <v>0</v>
      </c>
      <c r="P70" s="2764">
        <v>0</v>
      </c>
      <c r="Q70" s="2764">
        <v>0</v>
      </c>
      <c r="R70" s="2764">
        <v>0</v>
      </c>
      <c r="S70" s="2762">
        <v>1.081</v>
      </c>
      <c r="T70" s="2761">
        <v>0</v>
      </c>
      <c r="U70" s="2761">
        <v>0</v>
      </c>
      <c r="V70" s="2761">
        <v>0</v>
      </c>
      <c r="W70" s="322" t="e">
        <f t="shared" si="12"/>
        <v>#DIV/0!</v>
      </c>
      <c r="X70" s="322" t="e">
        <f t="shared" si="13"/>
        <v>#DIV/0!</v>
      </c>
      <c r="Y70" s="322" t="e">
        <f t="shared" si="14"/>
        <v>#DIV/0!</v>
      </c>
      <c r="AA70" s="287">
        <f t="shared" si="18"/>
        <v>0</v>
      </c>
    </row>
    <row r="71" spans="2:27">
      <c r="B71" s="282"/>
      <c r="C71" s="282" t="s">
        <v>193</v>
      </c>
      <c r="D71" s="282">
        <v>0</v>
      </c>
      <c r="E71" s="282" t="s">
        <v>181</v>
      </c>
      <c r="F71" s="282" t="s">
        <v>186</v>
      </c>
      <c r="G71" s="283"/>
      <c r="H71" s="283"/>
      <c r="I71" s="311">
        <v>0</v>
      </c>
      <c r="J71" s="257"/>
      <c r="K71" s="257"/>
      <c r="L71" s="3574"/>
      <c r="M71" s="278" t="e">
        <f t="shared" ref="M71:N104" si="19">Q71/O71</f>
        <v>#DIV/0!</v>
      </c>
      <c r="N71" s="278" t="e">
        <f t="shared" si="19"/>
        <v>#DIV/0!</v>
      </c>
      <c r="O71" s="214">
        <f t="shared" ref="O71:O104" si="20">(($I71*$F$57)+$V71)/$S71</f>
        <v>0</v>
      </c>
      <c r="P71" s="214">
        <f t="shared" ref="P71:P104" si="21">(($I71*$F$57)+($G71*$O21))/$S71</f>
        <v>0</v>
      </c>
      <c r="Q71" s="214">
        <f>IF(K71=0, 0, (HLOOKUP(K71,'[1]E-CESTDWO'!$A$5:$O$35,J71+1,FALSE)*R21))</f>
        <v>0</v>
      </c>
      <c r="R71" s="214">
        <f>IF(K71=0, 0, (HLOOKUP(K71,'[1]E-CESTD'!$A$5:$O$35,J71+1,FALSE)*R21))</f>
        <v>0</v>
      </c>
      <c r="S71" s="279">
        <v>1.081</v>
      </c>
      <c r="T71" s="280">
        <f t="shared" ref="T71:T104" si="22">M21*$H71</f>
        <v>0</v>
      </c>
      <c r="U71" s="280">
        <f t="shared" ref="U71:U104" si="23">N21*$H71</f>
        <v>0</v>
      </c>
      <c r="V71" s="280">
        <f t="shared" ref="V71:V104" si="24">O21*$H71</f>
        <v>0</v>
      </c>
      <c r="W71" s="322" t="e">
        <f t="shared" si="12"/>
        <v>#DIV/0!</v>
      </c>
      <c r="X71" s="322" t="e">
        <f t="shared" si="13"/>
        <v>#DIV/0!</v>
      </c>
      <c r="Y71" s="322" t="e">
        <f t="shared" si="14"/>
        <v>#DIV/0!</v>
      </c>
    </row>
    <row r="72" spans="2:27">
      <c r="B72" s="282"/>
      <c r="C72" s="282" t="s">
        <v>194</v>
      </c>
      <c r="D72" s="282">
        <v>0</v>
      </c>
      <c r="E72" s="282" t="s">
        <v>181</v>
      </c>
      <c r="F72" s="282" t="s">
        <v>186</v>
      </c>
      <c r="G72" s="283"/>
      <c r="H72" s="283"/>
      <c r="I72" s="311">
        <v>0</v>
      </c>
      <c r="J72" s="257"/>
      <c r="K72" s="257"/>
      <c r="L72" s="3574"/>
      <c r="M72" s="278" t="e">
        <f t="shared" si="19"/>
        <v>#DIV/0!</v>
      </c>
      <c r="N72" s="278" t="e">
        <f t="shared" si="19"/>
        <v>#DIV/0!</v>
      </c>
      <c r="O72" s="214">
        <f t="shared" si="20"/>
        <v>0</v>
      </c>
      <c r="P72" s="214">
        <f t="shared" si="21"/>
        <v>0</v>
      </c>
      <c r="Q72" s="214">
        <f>IF(K72=0, 0, (HLOOKUP(K72,'[1]E-CESTDWO'!$A$5:$O$35,J72+1,FALSE)*R22))</f>
        <v>0</v>
      </c>
      <c r="R72" s="214">
        <f>IF(K72=0, 0, (HLOOKUP(K72,'[1]E-CESTD'!$A$5:$O$35,J72+1,FALSE)*R22))</f>
        <v>0</v>
      </c>
      <c r="S72" s="279">
        <v>1.081</v>
      </c>
      <c r="T72" s="280">
        <f t="shared" si="22"/>
        <v>0</v>
      </c>
      <c r="U72" s="280">
        <f t="shared" si="23"/>
        <v>0</v>
      </c>
      <c r="V72" s="280">
        <f t="shared" si="24"/>
        <v>0</v>
      </c>
      <c r="W72" s="322" t="e">
        <f t="shared" si="12"/>
        <v>#DIV/0!</v>
      </c>
      <c r="X72" s="322" t="e">
        <f t="shared" si="13"/>
        <v>#DIV/0!</v>
      </c>
      <c r="Y72" s="322" t="e">
        <f t="shared" si="14"/>
        <v>#DIV/0!</v>
      </c>
    </row>
    <row r="73" spans="2:27">
      <c r="B73" s="282"/>
      <c r="C73" s="282" t="s">
        <v>195</v>
      </c>
      <c r="D73" s="282">
        <v>0</v>
      </c>
      <c r="E73" s="282" t="s">
        <v>181</v>
      </c>
      <c r="F73" s="282" t="s">
        <v>186</v>
      </c>
      <c r="G73" s="283"/>
      <c r="H73" s="283"/>
      <c r="I73" s="311">
        <v>0</v>
      </c>
      <c r="J73" s="257"/>
      <c r="K73" s="257"/>
      <c r="L73" s="3574"/>
      <c r="M73" s="278" t="e">
        <f t="shared" si="19"/>
        <v>#DIV/0!</v>
      </c>
      <c r="N73" s="278" t="e">
        <f t="shared" si="19"/>
        <v>#DIV/0!</v>
      </c>
      <c r="O73" s="214">
        <f t="shared" si="20"/>
        <v>0</v>
      </c>
      <c r="P73" s="214">
        <f t="shared" si="21"/>
        <v>0</v>
      </c>
      <c r="Q73" s="214">
        <f>IF(K73=0, 0, (HLOOKUP(K73,'[1]E-CESTDWO'!$A$5:$O$35,J73+1,FALSE)*R23))</f>
        <v>0</v>
      </c>
      <c r="R73" s="214">
        <f>IF(K73=0, 0, (HLOOKUP(K73,'[1]E-CESTD'!$A$5:$O$35,J73+1,FALSE)*R23))</f>
        <v>0</v>
      </c>
      <c r="S73" s="279">
        <v>1.081</v>
      </c>
      <c r="T73" s="280">
        <f t="shared" si="22"/>
        <v>0</v>
      </c>
      <c r="U73" s="280">
        <f t="shared" si="23"/>
        <v>0</v>
      </c>
      <c r="V73" s="280">
        <f t="shared" si="24"/>
        <v>0</v>
      </c>
      <c r="W73" s="322" t="e">
        <f t="shared" si="12"/>
        <v>#DIV/0!</v>
      </c>
      <c r="X73" s="322" t="e">
        <f t="shared" si="13"/>
        <v>#DIV/0!</v>
      </c>
      <c r="Y73" s="322" t="e">
        <f t="shared" si="14"/>
        <v>#DIV/0!</v>
      </c>
    </row>
    <row r="74" spans="2:27">
      <c r="B74" s="282"/>
      <c r="C74" s="282" t="s">
        <v>196</v>
      </c>
      <c r="D74" s="282">
        <v>0</v>
      </c>
      <c r="E74" s="282" t="s">
        <v>181</v>
      </c>
      <c r="F74" s="282" t="s">
        <v>186</v>
      </c>
      <c r="G74" s="283"/>
      <c r="H74" s="283"/>
      <c r="I74" s="311">
        <v>0</v>
      </c>
      <c r="J74" s="257"/>
      <c r="K74" s="257"/>
      <c r="L74" s="3574"/>
      <c r="M74" s="278" t="e">
        <f t="shared" si="19"/>
        <v>#DIV/0!</v>
      </c>
      <c r="N74" s="278" t="e">
        <f t="shared" si="19"/>
        <v>#DIV/0!</v>
      </c>
      <c r="O74" s="214">
        <f t="shared" si="20"/>
        <v>0</v>
      </c>
      <c r="P74" s="214">
        <f t="shared" si="21"/>
        <v>0</v>
      </c>
      <c r="Q74" s="214">
        <f>IF(K74=0, 0, (HLOOKUP(K74,'[1]E-CESTDWO'!$A$5:$O$35,J74+1,FALSE)*R24))</f>
        <v>0</v>
      </c>
      <c r="R74" s="214">
        <f>IF(K74=0, 0, (HLOOKUP(K74,'[1]E-CESTD'!$A$5:$O$35,J74+1,FALSE)*R24))</f>
        <v>0</v>
      </c>
      <c r="S74" s="279">
        <v>1.081</v>
      </c>
      <c r="T74" s="280">
        <f t="shared" si="22"/>
        <v>0</v>
      </c>
      <c r="U74" s="280">
        <f t="shared" si="23"/>
        <v>0</v>
      </c>
      <c r="V74" s="280">
        <f t="shared" si="24"/>
        <v>0</v>
      </c>
      <c r="W74" s="322" t="e">
        <f t="shared" si="12"/>
        <v>#DIV/0!</v>
      </c>
      <c r="X74" s="322" t="e">
        <f t="shared" si="13"/>
        <v>#DIV/0!</v>
      </c>
      <c r="Y74" s="322" t="e">
        <f t="shared" si="14"/>
        <v>#DIV/0!</v>
      </c>
    </row>
    <row r="75" spans="2:27">
      <c r="B75" s="282"/>
      <c r="C75" s="282" t="s">
        <v>197</v>
      </c>
      <c r="D75" s="282">
        <v>0</v>
      </c>
      <c r="E75" s="282" t="s">
        <v>181</v>
      </c>
      <c r="F75" s="282" t="s">
        <v>186</v>
      </c>
      <c r="G75" s="283"/>
      <c r="H75" s="283"/>
      <c r="I75" s="311">
        <v>0</v>
      </c>
      <c r="J75" s="257"/>
      <c r="K75" s="257"/>
      <c r="L75" s="3574"/>
      <c r="M75" s="278" t="e">
        <f t="shared" si="19"/>
        <v>#DIV/0!</v>
      </c>
      <c r="N75" s="278" t="e">
        <f t="shared" si="19"/>
        <v>#DIV/0!</v>
      </c>
      <c r="O75" s="214">
        <f t="shared" si="20"/>
        <v>0</v>
      </c>
      <c r="P75" s="214">
        <f t="shared" si="21"/>
        <v>0</v>
      </c>
      <c r="Q75" s="214">
        <f>IF(K75=0, 0, (HLOOKUP(K75,'[1]E-CESTDWO'!$A$5:$O$35,J75+1,FALSE)*R25))</f>
        <v>0</v>
      </c>
      <c r="R75" s="214">
        <f>IF(K75=0, 0, (HLOOKUP(K75,'[1]E-CESTD'!$A$5:$O$35,J75+1,FALSE)*R25))</f>
        <v>0</v>
      </c>
      <c r="S75" s="279">
        <v>1.081</v>
      </c>
      <c r="T75" s="280">
        <f t="shared" si="22"/>
        <v>0</v>
      </c>
      <c r="U75" s="280">
        <f t="shared" si="23"/>
        <v>0</v>
      </c>
      <c r="V75" s="280">
        <f t="shared" si="24"/>
        <v>0</v>
      </c>
      <c r="W75" s="322" t="e">
        <f t="shared" si="12"/>
        <v>#DIV/0!</v>
      </c>
      <c r="X75" s="322" t="e">
        <f t="shared" si="13"/>
        <v>#DIV/0!</v>
      </c>
      <c r="Y75" s="322" t="e">
        <f t="shared" si="14"/>
        <v>#DIV/0!</v>
      </c>
    </row>
    <row r="76" spans="2:27">
      <c r="B76" s="282"/>
      <c r="C76" s="282" t="s">
        <v>198</v>
      </c>
      <c r="D76" s="282">
        <v>0</v>
      </c>
      <c r="E76" s="282" t="s">
        <v>181</v>
      </c>
      <c r="F76" s="282" t="s">
        <v>186</v>
      </c>
      <c r="G76" s="283"/>
      <c r="H76" s="283"/>
      <c r="I76" s="311">
        <v>0</v>
      </c>
      <c r="J76" s="257"/>
      <c r="K76" s="257"/>
      <c r="L76" s="3574"/>
      <c r="M76" s="278" t="e">
        <f t="shared" si="19"/>
        <v>#DIV/0!</v>
      </c>
      <c r="N76" s="278" t="e">
        <f t="shared" si="19"/>
        <v>#DIV/0!</v>
      </c>
      <c r="O76" s="214">
        <f t="shared" si="20"/>
        <v>0</v>
      </c>
      <c r="P76" s="214">
        <f t="shared" si="21"/>
        <v>0</v>
      </c>
      <c r="Q76" s="214">
        <f>IF(K76=0, 0, (HLOOKUP(K76,'[1]E-CESTDWO'!$A$5:$O$35,J76+1,FALSE)*R26))</f>
        <v>0</v>
      </c>
      <c r="R76" s="214">
        <f>IF(K76=0, 0, (HLOOKUP(K76,'[1]E-CESTD'!$A$5:$O$35,J76+1,FALSE)*R26))</f>
        <v>0</v>
      </c>
      <c r="S76" s="279">
        <v>1.081</v>
      </c>
      <c r="T76" s="280">
        <f t="shared" si="22"/>
        <v>0</v>
      </c>
      <c r="U76" s="280">
        <f t="shared" si="23"/>
        <v>0</v>
      </c>
      <c r="V76" s="280">
        <f t="shared" si="24"/>
        <v>0</v>
      </c>
      <c r="W76" s="322" t="e">
        <f t="shared" si="12"/>
        <v>#DIV/0!</v>
      </c>
      <c r="X76" s="322" t="e">
        <f t="shared" si="13"/>
        <v>#DIV/0!</v>
      </c>
      <c r="Y76" s="322" t="e">
        <f t="shared" si="14"/>
        <v>#DIV/0!</v>
      </c>
    </row>
    <row r="77" spans="2:27">
      <c r="B77" s="282"/>
      <c r="C77" s="282" t="s">
        <v>199</v>
      </c>
      <c r="D77" s="282">
        <v>0</v>
      </c>
      <c r="E77" s="282" t="s">
        <v>181</v>
      </c>
      <c r="F77" s="282" t="s">
        <v>186</v>
      </c>
      <c r="G77" s="283"/>
      <c r="H77" s="283"/>
      <c r="I77" s="311">
        <v>0</v>
      </c>
      <c r="J77" s="257"/>
      <c r="K77" s="257"/>
      <c r="L77" s="3574"/>
      <c r="M77" s="278" t="e">
        <f t="shared" si="19"/>
        <v>#DIV/0!</v>
      </c>
      <c r="N77" s="278" t="e">
        <f t="shared" si="19"/>
        <v>#DIV/0!</v>
      </c>
      <c r="O77" s="214">
        <f t="shared" si="20"/>
        <v>0</v>
      </c>
      <c r="P77" s="214">
        <f t="shared" si="21"/>
        <v>0</v>
      </c>
      <c r="Q77" s="214">
        <f>IF(K77=0, 0, (HLOOKUP(K77,'[1]E-CESTDWO'!$A$5:$O$35,J77+1,FALSE)*R27))</f>
        <v>0</v>
      </c>
      <c r="R77" s="214">
        <f>IF(K77=0, 0, (HLOOKUP(K77,'[1]E-CESTD'!$A$5:$O$35,J77+1,FALSE)*R27))</f>
        <v>0</v>
      </c>
      <c r="S77" s="279">
        <v>1.081</v>
      </c>
      <c r="T77" s="280">
        <f t="shared" si="22"/>
        <v>0</v>
      </c>
      <c r="U77" s="280">
        <f t="shared" si="23"/>
        <v>0</v>
      </c>
      <c r="V77" s="280">
        <f t="shared" si="24"/>
        <v>0</v>
      </c>
      <c r="W77" s="322" t="e">
        <f t="shared" si="12"/>
        <v>#DIV/0!</v>
      </c>
      <c r="X77" s="322" t="e">
        <f t="shared" si="13"/>
        <v>#DIV/0!</v>
      </c>
      <c r="Y77" s="322" t="e">
        <f t="shared" si="14"/>
        <v>#DIV/0!</v>
      </c>
    </row>
    <row r="78" spans="2:27">
      <c r="B78" s="282"/>
      <c r="C78" s="282" t="s">
        <v>200</v>
      </c>
      <c r="D78" s="282">
        <v>0</v>
      </c>
      <c r="E78" s="282" t="s">
        <v>181</v>
      </c>
      <c r="F78" s="282" t="s">
        <v>186</v>
      </c>
      <c r="G78" s="283"/>
      <c r="H78" s="283"/>
      <c r="I78" s="311">
        <v>0</v>
      </c>
      <c r="J78" s="257"/>
      <c r="K78" s="257"/>
      <c r="L78" s="3574"/>
      <c r="M78" s="278" t="e">
        <f t="shared" si="19"/>
        <v>#DIV/0!</v>
      </c>
      <c r="N78" s="278" t="e">
        <f t="shared" si="19"/>
        <v>#DIV/0!</v>
      </c>
      <c r="O78" s="214">
        <f t="shared" si="20"/>
        <v>0</v>
      </c>
      <c r="P78" s="214">
        <f t="shared" si="21"/>
        <v>0</v>
      </c>
      <c r="Q78" s="214">
        <f>IF(K78=0, 0, (HLOOKUP(K78,'[1]E-CESTDWO'!$A$5:$O$35,J78+1,FALSE)*R28))</f>
        <v>0</v>
      </c>
      <c r="R78" s="214">
        <f>IF(K78=0, 0, (HLOOKUP(K78,'[1]E-CESTD'!$A$5:$O$35,J78+1,FALSE)*R28))</f>
        <v>0</v>
      </c>
      <c r="S78" s="279">
        <v>1.081</v>
      </c>
      <c r="T78" s="280">
        <f t="shared" si="22"/>
        <v>0</v>
      </c>
      <c r="U78" s="280">
        <f t="shared" si="23"/>
        <v>0</v>
      </c>
      <c r="V78" s="280">
        <f t="shared" si="24"/>
        <v>0</v>
      </c>
      <c r="W78" s="322" t="e">
        <f t="shared" si="12"/>
        <v>#DIV/0!</v>
      </c>
      <c r="X78" s="322" t="e">
        <f t="shared" si="13"/>
        <v>#DIV/0!</v>
      </c>
      <c r="Y78" s="322" t="e">
        <f t="shared" si="14"/>
        <v>#DIV/0!</v>
      </c>
    </row>
    <row r="79" spans="2:27">
      <c r="B79" s="282"/>
      <c r="C79" s="282" t="s">
        <v>201</v>
      </c>
      <c r="D79" s="282">
        <v>0</v>
      </c>
      <c r="E79" s="282" t="s">
        <v>181</v>
      </c>
      <c r="F79" s="282" t="s">
        <v>186</v>
      </c>
      <c r="G79" s="283"/>
      <c r="H79" s="283"/>
      <c r="I79" s="311">
        <v>0</v>
      </c>
      <c r="J79" s="257"/>
      <c r="K79" s="257"/>
      <c r="L79" s="3574"/>
      <c r="M79" s="278" t="e">
        <f t="shared" si="19"/>
        <v>#DIV/0!</v>
      </c>
      <c r="N79" s="278" t="e">
        <f t="shared" si="19"/>
        <v>#DIV/0!</v>
      </c>
      <c r="O79" s="214">
        <f t="shared" si="20"/>
        <v>0</v>
      </c>
      <c r="P79" s="214">
        <f t="shared" si="21"/>
        <v>0</v>
      </c>
      <c r="Q79" s="214">
        <f>IF(K79=0, 0, (HLOOKUP(K79,'[1]E-CESTDWO'!$A$5:$O$35,J79+1,FALSE)*R29))</f>
        <v>0</v>
      </c>
      <c r="R79" s="214">
        <f>IF(K79=0, 0, (HLOOKUP(K79,'[1]E-CESTD'!$A$5:$O$35,J79+1,FALSE)*R29))</f>
        <v>0</v>
      </c>
      <c r="S79" s="279">
        <v>1.081</v>
      </c>
      <c r="T79" s="280">
        <f t="shared" si="22"/>
        <v>0</v>
      </c>
      <c r="U79" s="280">
        <f t="shared" si="23"/>
        <v>0</v>
      </c>
      <c r="V79" s="280">
        <f t="shared" si="24"/>
        <v>0</v>
      </c>
      <c r="W79" s="322" t="e">
        <f t="shared" si="12"/>
        <v>#DIV/0!</v>
      </c>
      <c r="X79" s="322" t="e">
        <f t="shared" si="13"/>
        <v>#DIV/0!</v>
      </c>
      <c r="Y79" s="322" t="e">
        <f t="shared" si="14"/>
        <v>#DIV/0!</v>
      </c>
    </row>
    <row r="80" spans="2:27">
      <c r="B80" s="282"/>
      <c r="C80" s="282" t="s">
        <v>202</v>
      </c>
      <c r="D80" s="282">
        <v>0</v>
      </c>
      <c r="E80" s="282" t="s">
        <v>181</v>
      </c>
      <c r="F80" s="282" t="s">
        <v>186</v>
      </c>
      <c r="G80" s="283"/>
      <c r="H80" s="283"/>
      <c r="I80" s="311">
        <v>0</v>
      </c>
      <c r="J80" s="257"/>
      <c r="K80" s="257"/>
      <c r="L80" s="3574"/>
      <c r="M80" s="278" t="e">
        <f t="shared" si="19"/>
        <v>#DIV/0!</v>
      </c>
      <c r="N80" s="278" t="e">
        <f t="shared" si="19"/>
        <v>#DIV/0!</v>
      </c>
      <c r="O80" s="214">
        <f t="shared" si="20"/>
        <v>0</v>
      </c>
      <c r="P80" s="214">
        <f t="shared" si="21"/>
        <v>0</v>
      </c>
      <c r="Q80" s="214">
        <f>IF(K80=0, 0, (HLOOKUP(K80,'[1]E-CESTDWO'!$A$5:$O$35,J80+1,FALSE)*R30))</f>
        <v>0</v>
      </c>
      <c r="R80" s="214">
        <f>IF(K80=0, 0, (HLOOKUP(K80,'[1]E-CESTD'!$A$5:$O$35,J80+1,FALSE)*R30))</f>
        <v>0</v>
      </c>
      <c r="S80" s="279">
        <v>1.081</v>
      </c>
      <c r="T80" s="280">
        <f t="shared" si="22"/>
        <v>0</v>
      </c>
      <c r="U80" s="280">
        <f t="shared" si="23"/>
        <v>0</v>
      </c>
      <c r="V80" s="280">
        <f t="shared" si="24"/>
        <v>0</v>
      </c>
      <c r="W80" s="322" t="e">
        <f t="shared" si="12"/>
        <v>#DIV/0!</v>
      </c>
      <c r="X80" s="322" t="e">
        <f t="shared" si="13"/>
        <v>#DIV/0!</v>
      </c>
      <c r="Y80" s="322" t="e">
        <f t="shared" si="14"/>
        <v>#DIV/0!</v>
      </c>
    </row>
    <row r="81" spans="2:25">
      <c r="B81" s="282"/>
      <c r="C81" s="282" t="s">
        <v>203</v>
      </c>
      <c r="D81" s="282">
        <v>0</v>
      </c>
      <c r="E81" s="282" t="s">
        <v>181</v>
      </c>
      <c r="F81" s="282" t="s">
        <v>186</v>
      </c>
      <c r="G81" s="283"/>
      <c r="H81" s="283"/>
      <c r="I81" s="311">
        <v>0</v>
      </c>
      <c r="J81" s="257"/>
      <c r="K81" s="257"/>
      <c r="L81" s="3574"/>
      <c r="M81" s="278" t="e">
        <f t="shared" si="19"/>
        <v>#DIV/0!</v>
      </c>
      <c r="N81" s="278" t="e">
        <f t="shared" si="19"/>
        <v>#DIV/0!</v>
      </c>
      <c r="O81" s="214">
        <f t="shared" si="20"/>
        <v>0</v>
      </c>
      <c r="P81" s="214">
        <f t="shared" si="21"/>
        <v>0</v>
      </c>
      <c r="Q81" s="214">
        <f>IF(K81=0, 0, (HLOOKUP(K81,'[1]E-CESTDWO'!$A$5:$O$35,J81+1,FALSE)*R31))</f>
        <v>0</v>
      </c>
      <c r="R81" s="214">
        <f>IF(K81=0, 0, (HLOOKUP(K81,'[1]E-CESTD'!$A$5:$O$35,J81+1,FALSE)*R31))</f>
        <v>0</v>
      </c>
      <c r="S81" s="279">
        <v>1.081</v>
      </c>
      <c r="T81" s="280">
        <f t="shared" si="22"/>
        <v>0</v>
      </c>
      <c r="U81" s="280">
        <f t="shared" si="23"/>
        <v>0</v>
      </c>
      <c r="V81" s="280">
        <f t="shared" si="24"/>
        <v>0</v>
      </c>
      <c r="W81" s="322" t="e">
        <f t="shared" si="12"/>
        <v>#DIV/0!</v>
      </c>
      <c r="X81" s="322" t="e">
        <f t="shared" si="13"/>
        <v>#DIV/0!</v>
      </c>
      <c r="Y81" s="322" t="e">
        <f t="shared" si="14"/>
        <v>#DIV/0!</v>
      </c>
    </row>
    <row r="82" spans="2:25">
      <c r="B82" s="282"/>
      <c r="C82" s="282" t="s">
        <v>204</v>
      </c>
      <c r="D82" s="282">
        <v>0</v>
      </c>
      <c r="E82" s="282" t="s">
        <v>181</v>
      </c>
      <c r="F82" s="282" t="s">
        <v>186</v>
      </c>
      <c r="G82" s="283"/>
      <c r="H82" s="283"/>
      <c r="I82" s="311">
        <v>0</v>
      </c>
      <c r="J82" s="257"/>
      <c r="K82" s="257"/>
      <c r="L82" s="3574"/>
      <c r="M82" s="278" t="e">
        <f t="shared" si="19"/>
        <v>#DIV/0!</v>
      </c>
      <c r="N82" s="278" t="e">
        <f t="shared" si="19"/>
        <v>#DIV/0!</v>
      </c>
      <c r="O82" s="214">
        <f t="shared" si="20"/>
        <v>0</v>
      </c>
      <c r="P82" s="214">
        <f t="shared" si="21"/>
        <v>0</v>
      </c>
      <c r="Q82" s="214">
        <f>IF(K82=0, 0, (HLOOKUP(K82,'[1]E-CESTDWO'!$A$5:$O$35,J82+1,FALSE)*R32))</f>
        <v>0</v>
      </c>
      <c r="R82" s="214">
        <f>IF(K82=0, 0, (HLOOKUP(K82,'[1]E-CESTD'!$A$5:$O$35,J82+1,FALSE)*R32))</f>
        <v>0</v>
      </c>
      <c r="S82" s="279">
        <v>1.081</v>
      </c>
      <c r="T82" s="280">
        <f t="shared" si="22"/>
        <v>0</v>
      </c>
      <c r="U82" s="280">
        <f t="shared" si="23"/>
        <v>0</v>
      </c>
      <c r="V82" s="280">
        <f t="shared" si="24"/>
        <v>0</v>
      </c>
    </row>
    <row r="83" spans="2:25">
      <c r="B83" s="282"/>
      <c r="C83" s="282" t="s">
        <v>205</v>
      </c>
      <c r="D83" s="285">
        <v>0</v>
      </c>
      <c r="E83" s="282" t="s">
        <v>181</v>
      </c>
      <c r="F83" s="282" t="s">
        <v>186</v>
      </c>
      <c r="G83" s="283"/>
      <c r="H83" s="283"/>
      <c r="I83" s="311">
        <v>0</v>
      </c>
      <c r="J83" s="257"/>
      <c r="K83" s="257"/>
      <c r="L83" s="3574"/>
      <c r="M83" s="278" t="e">
        <f t="shared" si="19"/>
        <v>#DIV/0!</v>
      </c>
      <c r="N83" s="278" t="e">
        <f t="shared" si="19"/>
        <v>#DIV/0!</v>
      </c>
      <c r="O83" s="214">
        <f t="shared" si="20"/>
        <v>0</v>
      </c>
      <c r="P83" s="214">
        <f t="shared" si="21"/>
        <v>0</v>
      </c>
      <c r="Q83" s="214">
        <f>IF(K83=0, 0, (HLOOKUP(K83,'[1]E-CESTDWO'!$A$5:$O$35,J83+1,FALSE)*R33))</f>
        <v>0</v>
      </c>
      <c r="R83" s="214">
        <f>IF(K83=0, 0, (HLOOKUP(K83,'[1]E-CESTD'!$A$5:$O$35,J83+1,FALSE)*R33))</f>
        <v>0</v>
      </c>
      <c r="S83" s="279">
        <v>1.081</v>
      </c>
      <c r="T83" s="280">
        <f t="shared" si="22"/>
        <v>0</v>
      </c>
      <c r="U83" s="280">
        <f t="shared" si="23"/>
        <v>0</v>
      </c>
      <c r="V83" s="280">
        <f t="shared" si="24"/>
        <v>0</v>
      </c>
    </row>
    <row r="84" spans="2:25">
      <c r="B84" s="282"/>
      <c r="C84" s="282" t="s">
        <v>206</v>
      </c>
      <c r="D84" s="285">
        <v>0</v>
      </c>
      <c r="E84" s="282" t="s">
        <v>181</v>
      </c>
      <c r="F84" s="282" t="s">
        <v>186</v>
      </c>
      <c r="G84" s="283"/>
      <c r="H84" s="283"/>
      <c r="I84" s="311">
        <v>0</v>
      </c>
      <c r="J84" s="257"/>
      <c r="K84" s="257"/>
      <c r="L84" s="3574"/>
      <c r="M84" s="278" t="e">
        <f t="shared" si="19"/>
        <v>#DIV/0!</v>
      </c>
      <c r="N84" s="278" t="e">
        <f t="shared" si="19"/>
        <v>#DIV/0!</v>
      </c>
      <c r="O84" s="214">
        <f t="shared" si="20"/>
        <v>0</v>
      </c>
      <c r="P84" s="214">
        <f t="shared" si="21"/>
        <v>0</v>
      </c>
      <c r="Q84" s="214">
        <f>IF(K84=0, 0, (HLOOKUP(K84,'[1]E-CESTDWO'!$A$5:$O$35,J84+1,FALSE)*R34))</f>
        <v>0</v>
      </c>
      <c r="R84" s="214">
        <f>IF(K84=0, 0, (HLOOKUP(K84,'[1]E-CESTD'!$A$5:$O$35,J84+1,FALSE)*R34))</f>
        <v>0</v>
      </c>
      <c r="S84" s="279">
        <v>1.081</v>
      </c>
      <c r="T84" s="280">
        <f t="shared" si="22"/>
        <v>0</v>
      </c>
      <c r="U84" s="280">
        <f t="shared" si="23"/>
        <v>0</v>
      </c>
      <c r="V84" s="280">
        <f t="shared" si="24"/>
        <v>0</v>
      </c>
    </row>
    <row r="85" spans="2:25">
      <c r="B85" s="282"/>
      <c r="C85" s="282" t="s">
        <v>207</v>
      </c>
      <c r="D85" s="285">
        <v>0</v>
      </c>
      <c r="E85" s="282" t="s">
        <v>181</v>
      </c>
      <c r="F85" s="282" t="s">
        <v>186</v>
      </c>
      <c r="G85" s="283"/>
      <c r="H85" s="283"/>
      <c r="I85" s="311">
        <v>0</v>
      </c>
      <c r="J85" s="257"/>
      <c r="K85" s="257"/>
      <c r="L85" s="3574"/>
      <c r="M85" s="278" t="e">
        <f t="shared" si="19"/>
        <v>#DIV/0!</v>
      </c>
      <c r="N85" s="278" t="e">
        <f t="shared" si="19"/>
        <v>#DIV/0!</v>
      </c>
      <c r="O85" s="214">
        <f t="shared" si="20"/>
        <v>0</v>
      </c>
      <c r="P85" s="214">
        <f t="shared" si="21"/>
        <v>0</v>
      </c>
      <c r="Q85" s="214">
        <f>IF(K85=0, 0, (HLOOKUP(K85,'[1]E-CESTDWO'!$A$5:$O$35,J85+1,FALSE)*R35))</f>
        <v>0</v>
      </c>
      <c r="R85" s="214">
        <f>IF(K85=0, 0, (HLOOKUP(K85,'[1]E-CESTD'!$A$5:$O$35,J85+1,FALSE)*R35))</f>
        <v>0</v>
      </c>
      <c r="S85" s="279">
        <v>1.081</v>
      </c>
      <c r="T85" s="280">
        <f t="shared" si="22"/>
        <v>0</v>
      </c>
      <c r="U85" s="280">
        <f t="shared" si="23"/>
        <v>0</v>
      </c>
      <c r="V85" s="280">
        <f t="shared" si="24"/>
        <v>0</v>
      </c>
    </row>
    <row r="86" spans="2:25">
      <c r="B86" s="282"/>
      <c r="C86" s="282" t="s">
        <v>208</v>
      </c>
      <c r="D86" s="285">
        <v>0</v>
      </c>
      <c r="E86" s="282" t="s">
        <v>181</v>
      </c>
      <c r="F86" s="282" t="s">
        <v>186</v>
      </c>
      <c r="G86" s="283"/>
      <c r="H86" s="283"/>
      <c r="I86" s="311">
        <v>0</v>
      </c>
      <c r="J86" s="257"/>
      <c r="K86" s="257"/>
      <c r="L86" s="3574"/>
      <c r="M86" s="278" t="e">
        <f t="shared" si="19"/>
        <v>#DIV/0!</v>
      </c>
      <c r="N86" s="278" t="e">
        <f t="shared" si="19"/>
        <v>#DIV/0!</v>
      </c>
      <c r="O86" s="214">
        <f t="shared" si="20"/>
        <v>0</v>
      </c>
      <c r="P86" s="214">
        <f t="shared" si="21"/>
        <v>0</v>
      </c>
      <c r="Q86" s="214">
        <f>IF(K86=0, 0, (HLOOKUP(K86,'[1]E-CESTDWO'!$A$5:$O$35,J86+1,FALSE)*R36))</f>
        <v>0</v>
      </c>
      <c r="R86" s="214">
        <f>IF(K86=0, 0, (HLOOKUP(K86,'[1]E-CESTD'!$A$5:$O$35,J86+1,FALSE)*R36))</f>
        <v>0</v>
      </c>
      <c r="S86" s="279">
        <v>1.081</v>
      </c>
      <c r="T86" s="280">
        <f t="shared" si="22"/>
        <v>0</v>
      </c>
      <c r="U86" s="280">
        <f t="shared" si="23"/>
        <v>0</v>
      </c>
      <c r="V86" s="280">
        <f t="shared" si="24"/>
        <v>0</v>
      </c>
    </row>
    <row r="87" spans="2:25">
      <c r="B87" s="282"/>
      <c r="C87" s="282" t="s">
        <v>209</v>
      </c>
      <c r="D87" s="285">
        <v>0</v>
      </c>
      <c r="E87" s="282" t="s">
        <v>181</v>
      </c>
      <c r="F87" s="282" t="s">
        <v>186</v>
      </c>
      <c r="G87" s="283"/>
      <c r="H87" s="283"/>
      <c r="I87" s="311">
        <v>0</v>
      </c>
      <c r="J87" s="257"/>
      <c r="K87" s="257"/>
      <c r="L87" s="3574"/>
      <c r="M87" s="278" t="e">
        <f t="shared" si="19"/>
        <v>#DIV/0!</v>
      </c>
      <c r="N87" s="278" t="e">
        <f t="shared" si="19"/>
        <v>#DIV/0!</v>
      </c>
      <c r="O87" s="214">
        <f t="shared" si="20"/>
        <v>0</v>
      </c>
      <c r="P87" s="214">
        <f t="shared" si="21"/>
        <v>0</v>
      </c>
      <c r="Q87" s="214">
        <f>IF(K87=0, 0, (HLOOKUP(K87,'[1]E-CESTDWO'!$A$5:$O$35,J87+1,FALSE)*R37))</f>
        <v>0</v>
      </c>
      <c r="R87" s="214">
        <f>IF(K87=0, 0, (HLOOKUP(K87,'[1]E-CESTD'!$A$5:$O$35,J87+1,FALSE)*R37))</f>
        <v>0</v>
      </c>
      <c r="S87" s="279">
        <v>1.081</v>
      </c>
      <c r="T87" s="280">
        <f t="shared" si="22"/>
        <v>0</v>
      </c>
      <c r="U87" s="280">
        <f t="shared" si="23"/>
        <v>0</v>
      </c>
      <c r="V87" s="280">
        <f t="shared" si="24"/>
        <v>0</v>
      </c>
    </row>
    <row r="88" spans="2:25">
      <c r="B88" s="282"/>
      <c r="C88" s="282" t="s">
        <v>210</v>
      </c>
      <c r="D88" s="285">
        <v>0</v>
      </c>
      <c r="E88" s="282" t="s">
        <v>181</v>
      </c>
      <c r="F88" s="282" t="s">
        <v>186</v>
      </c>
      <c r="G88" s="283"/>
      <c r="H88" s="283"/>
      <c r="I88" s="311">
        <v>0</v>
      </c>
      <c r="J88" s="257"/>
      <c r="K88" s="257"/>
      <c r="L88" s="3574"/>
      <c r="M88" s="278" t="e">
        <f t="shared" si="19"/>
        <v>#DIV/0!</v>
      </c>
      <c r="N88" s="278" t="e">
        <f t="shared" si="19"/>
        <v>#DIV/0!</v>
      </c>
      <c r="O88" s="214">
        <f t="shared" si="20"/>
        <v>0</v>
      </c>
      <c r="P88" s="214">
        <f t="shared" si="21"/>
        <v>0</v>
      </c>
      <c r="Q88" s="214">
        <f>IF(K88=0, 0, (HLOOKUP(K88,'[1]E-CESTDWO'!$A$5:$O$35,J88+1,FALSE)*R38))</f>
        <v>0</v>
      </c>
      <c r="R88" s="214">
        <f>IF(K88=0, 0, (HLOOKUP(K88,'[1]E-CESTD'!$A$5:$O$35,J88+1,FALSE)*R38))</f>
        <v>0</v>
      </c>
      <c r="S88" s="279">
        <v>1.081</v>
      </c>
      <c r="T88" s="280">
        <f t="shared" si="22"/>
        <v>0</v>
      </c>
      <c r="U88" s="280">
        <f t="shared" si="23"/>
        <v>0</v>
      </c>
      <c r="V88" s="280">
        <f t="shared" si="24"/>
        <v>0</v>
      </c>
    </row>
    <row r="89" spans="2:25">
      <c r="B89" s="282"/>
      <c r="C89" s="282" t="s">
        <v>211</v>
      </c>
      <c r="D89" s="285">
        <v>0</v>
      </c>
      <c r="E89" s="282" t="s">
        <v>181</v>
      </c>
      <c r="F89" s="282" t="s">
        <v>186</v>
      </c>
      <c r="G89" s="283"/>
      <c r="H89" s="283"/>
      <c r="I89" s="311">
        <v>0</v>
      </c>
      <c r="J89" s="257"/>
      <c r="K89" s="257"/>
      <c r="L89" s="3574"/>
      <c r="M89" s="278" t="e">
        <f t="shared" si="19"/>
        <v>#DIV/0!</v>
      </c>
      <c r="N89" s="278" t="e">
        <f t="shared" si="19"/>
        <v>#DIV/0!</v>
      </c>
      <c r="O89" s="214">
        <f t="shared" si="20"/>
        <v>0</v>
      </c>
      <c r="P89" s="214">
        <f t="shared" si="21"/>
        <v>0</v>
      </c>
      <c r="Q89" s="214">
        <f>IF(K89=0, 0, (HLOOKUP(K89,'[1]E-CESTDWO'!$A$5:$O$35,J89+1,FALSE)*R39))</f>
        <v>0</v>
      </c>
      <c r="R89" s="214">
        <f>IF(K89=0, 0, (HLOOKUP(K89,'[1]E-CESTD'!$A$5:$O$35,J89+1,FALSE)*R39))</f>
        <v>0</v>
      </c>
      <c r="S89" s="279">
        <v>1.081</v>
      </c>
      <c r="T89" s="280">
        <f t="shared" si="22"/>
        <v>0</v>
      </c>
      <c r="U89" s="280">
        <f t="shared" si="23"/>
        <v>0</v>
      </c>
      <c r="V89" s="280">
        <f t="shared" si="24"/>
        <v>0</v>
      </c>
    </row>
    <row r="90" spans="2:25">
      <c r="B90" s="282"/>
      <c r="C90" s="282" t="s">
        <v>212</v>
      </c>
      <c r="D90" s="285">
        <v>0</v>
      </c>
      <c r="E90" s="282" t="s">
        <v>181</v>
      </c>
      <c r="F90" s="282" t="s">
        <v>186</v>
      </c>
      <c r="G90" s="283"/>
      <c r="H90" s="283"/>
      <c r="I90" s="311">
        <v>0</v>
      </c>
      <c r="J90" s="257"/>
      <c r="K90" s="257"/>
      <c r="L90" s="3574"/>
      <c r="M90" s="278" t="e">
        <f t="shared" si="19"/>
        <v>#DIV/0!</v>
      </c>
      <c r="N90" s="278" t="e">
        <f t="shared" si="19"/>
        <v>#DIV/0!</v>
      </c>
      <c r="O90" s="214">
        <f t="shared" si="20"/>
        <v>0</v>
      </c>
      <c r="P90" s="214">
        <f t="shared" si="21"/>
        <v>0</v>
      </c>
      <c r="Q90" s="214">
        <f>IF(K90=0, 0, (HLOOKUP(K90,'[1]E-CESTDWO'!$A$5:$O$35,J90+1,FALSE)*R40))</f>
        <v>0</v>
      </c>
      <c r="R90" s="214">
        <f>IF(K90=0, 0, (HLOOKUP(K90,'[1]E-CESTD'!$A$5:$O$35,J90+1,FALSE)*R40))</f>
        <v>0</v>
      </c>
      <c r="S90" s="279">
        <v>1.081</v>
      </c>
      <c r="T90" s="280">
        <f t="shared" si="22"/>
        <v>0</v>
      </c>
      <c r="U90" s="280">
        <f t="shared" si="23"/>
        <v>0</v>
      </c>
      <c r="V90" s="280">
        <f t="shared" si="24"/>
        <v>0</v>
      </c>
    </row>
    <row r="91" spans="2:25">
      <c r="B91" s="282"/>
      <c r="C91" s="282" t="s">
        <v>213</v>
      </c>
      <c r="D91" s="285">
        <v>0</v>
      </c>
      <c r="E91" s="282" t="s">
        <v>181</v>
      </c>
      <c r="F91" s="282" t="s">
        <v>186</v>
      </c>
      <c r="G91" s="283"/>
      <c r="H91" s="283"/>
      <c r="I91" s="311">
        <v>0</v>
      </c>
      <c r="J91" s="257"/>
      <c r="K91" s="257"/>
      <c r="L91" s="3574"/>
      <c r="M91" s="278" t="e">
        <f t="shared" si="19"/>
        <v>#DIV/0!</v>
      </c>
      <c r="N91" s="278" t="e">
        <f t="shared" si="19"/>
        <v>#DIV/0!</v>
      </c>
      <c r="O91" s="214">
        <f t="shared" si="20"/>
        <v>0</v>
      </c>
      <c r="P91" s="214">
        <f t="shared" si="21"/>
        <v>0</v>
      </c>
      <c r="Q91" s="214">
        <f>IF(K91=0, 0, (HLOOKUP(K91,'[1]E-CESTDWO'!$A$5:$O$35,J91+1,FALSE)*R41))</f>
        <v>0</v>
      </c>
      <c r="R91" s="214">
        <f>IF(K91=0, 0, (HLOOKUP(K91,'[1]E-CESTD'!$A$5:$O$35,J91+1,FALSE)*R41))</f>
        <v>0</v>
      </c>
      <c r="S91" s="279">
        <v>1.081</v>
      </c>
      <c r="T91" s="280">
        <f t="shared" si="22"/>
        <v>0</v>
      </c>
      <c r="U91" s="280">
        <f t="shared" si="23"/>
        <v>0</v>
      </c>
      <c r="V91" s="280">
        <f t="shared" si="24"/>
        <v>0</v>
      </c>
    </row>
    <row r="92" spans="2:25">
      <c r="B92" s="282"/>
      <c r="C92" s="282" t="s">
        <v>214</v>
      </c>
      <c r="D92" s="285">
        <v>0</v>
      </c>
      <c r="E92" s="282" t="s">
        <v>181</v>
      </c>
      <c r="F92" s="282" t="s">
        <v>186</v>
      </c>
      <c r="G92" s="283"/>
      <c r="H92" s="283"/>
      <c r="I92" s="311">
        <v>0</v>
      </c>
      <c r="J92" s="257"/>
      <c r="K92" s="257"/>
      <c r="L92" s="3574"/>
      <c r="M92" s="278" t="e">
        <f t="shared" si="19"/>
        <v>#DIV/0!</v>
      </c>
      <c r="N92" s="278" t="e">
        <f t="shared" si="19"/>
        <v>#DIV/0!</v>
      </c>
      <c r="O92" s="214">
        <f t="shared" si="20"/>
        <v>0</v>
      </c>
      <c r="P92" s="214">
        <f t="shared" si="21"/>
        <v>0</v>
      </c>
      <c r="Q92" s="214">
        <f>IF(K92=0, 0, (HLOOKUP(K92,'[1]E-CESTDWO'!$A$5:$O$35,J92+1,FALSE)*R42))</f>
        <v>0</v>
      </c>
      <c r="R92" s="214">
        <f>IF(K92=0, 0, (HLOOKUP(K92,'[1]E-CESTD'!$A$5:$O$35,J92+1,FALSE)*R42))</f>
        <v>0</v>
      </c>
      <c r="S92" s="279">
        <v>1.081</v>
      </c>
      <c r="T92" s="280">
        <f t="shared" si="22"/>
        <v>0</v>
      </c>
      <c r="U92" s="280">
        <f t="shared" si="23"/>
        <v>0</v>
      </c>
      <c r="V92" s="280">
        <f t="shared" si="24"/>
        <v>0</v>
      </c>
    </row>
    <row r="93" spans="2:25">
      <c r="B93" s="282"/>
      <c r="C93" s="282" t="s">
        <v>215</v>
      </c>
      <c r="D93" s="285">
        <v>0</v>
      </c>
      <c r="E93" s="282" t="s">
        <v>181</v>
      </c>
      <c r="F93" s="282" t="s">
        <v>186</v>
      </c>
      <c r="G93" s="283"/>
      <c r="H93" s="283"/>
      <c r="I93" s="311">
        <v>0</v>
      </c>
      <c r="J93" s="257"/>
      <c r="K93" s="257"/>
      <c r="L93" s="3574"/>
      <c r="M93" s="278" t="e">
        <f t="shared" si="19"/>
        <v>#DIV/0!</v>
      </c>
      <c r="N93" s="278" t="e">
        <f t="shared" si="19"/>
        <v>#DIV/0!</v>
      </c>
      <c r="O93" s="214">
        <f t="shared" si="20"/>
        <v>0</v>
      </c>
      <c r="P93" s="214">
        <f t="shared" si="21"/>
        <v>0</v>
      </c>
      <c r="Q93" s="214">
        <f>IF(K93=0, 0, (HLOOKUP(K93,'[1]E-CESTDWO'!$A$5:$O$35,J93+1,FALSE)*R43))</f>
        <v>0</v>
      </c>
      <c r="R93" s="214">
        <f>IF(K93=0, 0, (HLOOKUP(K93,'[1]E-CESTD'!$A$5:$O$35,J93+1,FALSE)*R43))</f>
        <v>0</v>
      </c>
      <c r="S93" s="279">
        <v>1.081</v>
      </c>
      <c r="T93" s="280">
        <f t="shared" si="22"/>
        <v>0</v>
      </c>
      <c r="U93" s="280">
        <f t="shared" si="23"/>
        <v>0</v>
      </c>
      <c r="V93" s="280">
        <f t="shared" si="24"/>
        <v>0</v>
      </c>
    </row>
    <row r="94" spans="2:25">
      <c r="B94" s="282"/>
      <c r="C94" s="282" t="s">
        <v>216</v>
      </c>
      <c r="D94" s="285">
        <v>0</v>
      </c>
      <c r="E94" s="282" t="s">
        <v>181</v>
      </c>
      <c r="F94" s="282" t="s">
        <v>186</v>
      </c>
      <c r="G94" s="283"/>
      <c r="H94" s="283"/>
      <c r="I94" s="311">
        <v>0</v>
      </c>
      <c r="J94" s="257"/>
      <c r="K94" s="257"/>
      <c r="L94" s="3574"/>
      <c r="M94" s="278" t="e">
        <f t="shared" si="19"/>
        <v>#DIV/0!</v>
      </c>
      <c r="N94" s="278" t="e">
        <f t="shared" si="19"/>
        <v>#DIV/0!</v>
      </c>
      <c r="O94" s="214">
        <f t="shared" si="20"/>
        <v>0</v>
      </c>
      <c r="P94" s="214">
        <f t="shared" si="21"/>
        <v>0</v>
      </c>
      <c r="Q94" s="214">
        <f>IF(K94=0, 0, (HLOOKUP(K94,'[1]E-CESTDWO'!$A$5:$O$35,J94+1,FALSE)*R44))</f>
        <v>0</v>
      </c>
      <c r="R94" s="214">
        <f>IF(K94=0, 0, (HLOOKUP(K94,'[1]E-CESTD'!$A$5:$O$35,J94+1,FALSE)*R44))</f>
        <v>0</v>
      </c>
      <c r="S94" s="279">
        <v>1.081</v>
      </c>
      <c r="T94" s="280">
        <f t="shared" si="22"/>
        <v>0</v>
      </c>
      <c r="U94" s="280">
        <f t="shared" si="23"/>
        <v>0</v>
      </c>
      <c r="V94" s="280">
        <f t="shared" si="24"/>
        <v>0</v>
      </c>
    </row>
    <row r="95" spans="2:25">
      <c r="B95" s="282"/>
      <c r="C95" s="282" t="s">
        <v>217</v>
      </c>
      <c r="D95" s="285">
        <v>0</v>
      </c>
      <c r="E95" s="282" t="s">
        <v>181</v>
      </c>
      <c r="F95" s="282" t="s">
        <v>186</v>
      </c>
      <c r="G95" s="283"/>
      <c r="H95" s="283"/>
      <c r="I95" s="311">
        <v>0</v>
      </c>
      <c r="J95" s="257"/>
      <c r="K95" s="257"/>
      <c r="L95" s="3574"/>
      <c r="M95" s="278" t="e">
        <f t="shared" si="19"/>
        <v>#DIV/0!</v>
      </c>
      <c r="N95" s="278" t="e">
        <f t="shared" si="19"/>
        <v>#DIV/0!</v>
      </c>
      <c r="O95" s="214">
        <f t="shared" si="20"/>
        <v>0</v>
      </c>
      <c r="P95" s="214">
        <f t="shared" si="21"/>
        <v>0</v>
      </c>
      <c r="Q95" s="214">
        <f>IF(K95=0, 0, (HLOOKUP(K95,'[1]E-CESTDWO'!$A$5:$O$35,J95+1,FALSE)*R45))</f>
        <v>0</v>
      </c>
      <c r="R95" s="214">
        <f>IF(K95=0, 0, (HLOOKUP(K95,'[1]E-CESTD'!$A$5:$O$35,J95+1,FALSE)*R45))</f>
        <v>0</v>
      </c>
      <c r="S95" s="279">
        <v>1.081</v>
      </c>
      <c r="T95" s="280">
        <f t="shared" si="22"/>
        <v>0</v>
      </c>
      <c r="U95" s="280">
        <f t="shared" si="23"/>
        <v>0</v>
      </c>
      <c r="V95" s="280">
        <f t="shared" si="24"/>
        <v>0</v>
      </c>
    </row>
    <row r="96" spans="2:25">
      <c r="B96" s="282"/>
      <c r="C96" s="282" t="s">
        <v>218</v>
      </c>
      <c r="D96" s="285">
        <v>0</v>
      </c>
      <c r="E96" s="282" t="s">
        <v>181</v>
      </c>
      <c r="F96" s="282" t="s">
        <v>186</v>
      </c>
      <c r="G96" s="283"/>
      <c r="H96" s="283"/>
      <c r="I96" s="311">
        <v>0</v>
      </c>
      <c r="J96" s="257"/>
      <c r="K96" s="257"/>
      <c r="L96" s="3574"/>
      <c r="M96" s="278" t="e">
        <f t="shared" si="19"/>
        <v>#DIV/0!</v>
      </c>
      <c r="N96" s="278" t="e">
        <f t="shared" si="19"/>
        <v>#DIV/0!</v>
      </c>
      <c r="O96" s="214">
        <f t="shared" si="20"/>
        <v>0</v>
      </c>
      <c r="P96" s="214">
        <f t="shared" si="21"/>
        <v>0</v>
      </c>
      <c r="Q96" s="214">
        <f>IF(K96=0, 0, (HLOOKUP(K96,'[1]E-CESTDWO'!$A$5:$O$35,J96+1,FALSE)*R46))</f>
        <v>0</v>
      </c>
      <c r="R96" s="214">
        <f>IF(K96=0, 0, (HLOOKUP(K96,'[1]E-CESTD'!$A$5:$O$35,J96+1,FALSE)*R46))</f>
        <v>0</v>
      </c>
      <c r="S96" s="279">
        <v>1.081</v>
      </c>
      <c r="T96" s="280">
        <f t="shared" si="22"/>
        <v>0</v>
      </c>
      <c r="U96" s="280">
        <f t="shared" si="23"/>
        <v>0</v>
      </c>
      <c r="V96" s="280">
        <f t="shared" si="24"/>
        <v>0</v>
      </c>
    </row>
    <row r="97" spans="2:22">
      <c r="B97" s="282"/>
      <c r="C97" s="282" t="s">
        <v>219</v>
      </c>
      <c r="D97" s="285">
        <v>0</v>
      </c>
      <c r="E97" s="282" t="s">
        <v>181</v>
      </c>
      <c r="F97" s="282" t="s">
        <v>186</v>
      </c>
      <c r="G97" s="283"/>
      <c r="H97" s="283"/>
      <c r="I97" s="311">
        <v>0</v>
      </c>
      <c r="J97" s="257"/>
      <c r="K97" s="257"/>
      <c r="L97" s="3574"/>
      <c r="M97" s="278" t="e">
        <f t="shared" si="19"/>
        <v>#DIV/0!</v>
      </c>
      <c r="N97" s="278" t="e">
        <f t="shared" si="19"/>
        <v>#DIV/0!</v>
      </c>
      <c r="O97" s="214">
        <f t="shared" si="20"/>
        <v>0</v>
      </c>
      <c r="P97" s="214">
        <f t="shared" si="21"/>
        <v>0</v>
      </c>
      <c r="Q97" s="214">
        <f>IF(K97=0, 0, (HLOOKUP(K97,'[1]E-CESTDWO'!$A$5:$O$35,J97+1,FALSE)*R47))</f>
        <v>0</v>
      </c>
      <c r="R97" s="214">
        <f>IF(K97=0, 0, (HLOOKUP(K97,'[1]E-CESTD'!$A$5:$O$35,J97+1,FALSE)*R47))</f>
        <v>0</v>
      </c>
      <c r="S97" s="279">
        <v>1.081</v>
      </c>
      <c r="T97" s="280">
        <f t="shared" si="22"/>
        <v>0</v>
      </c>
      <c r="U97" s="280">
        <f t="shared" si="23"/>
        <v>0</v>
      </c>
      <c r="V97" s="280">
        <f t="shared" si="24"/>
        <v>0</v>
      </c>
    </row>
    <row r="98" spans="2:22">
      <c r="B98" s="282"/>
      <c r="C98" s="282" t="s">
        <v>220</v>
      </c>
      <c r="D98" s="285">
        <v>0</v>
      </c>
      <c r="E98" s="282" t="s">
        <v>181</v>
      </c>
      <c r="F98" s="282" t="s">
        <v>186</v>
      </c>
      <c r="G98" s="283"/>
      <c r="H98" s="283"/>
      <c r="I98" s="311">
        <v>0</v>
      </c>
      <c r="J98" s="257"/>
      <c r="K98" s="257"/>
      <c r="L98" s="3574"/>
      <c r="M98" s="278" t="e">
        <f t="shared" si="19"/>
        <v>#DIV/0!</v>
      </c>
      <c r="N98" s="278" t="e">
        <f t="shared" si="19"/>
        <v>#DIV/0!</v>
      </c>
      <c r="O98" s="214">
        <f t="shared" si="20"/>
        <v>0</v>
      </c>
      <c r="P98" s="214">
        <f t="shared" si="21"/>
        <v>0</v>
      </c>
      <c r="Q98" s="214">
        <f>IF(K98=0, 0, (HLOOKUP(K98,'[1]E-CESTDWO'!$A$5:$O$35,J98+1,FALSE)*R48))</f>
        <v>0</v>
      </c>
      <c r="R98" s="214">
        <f>IF(K98=0, 0, (HLOOKUP(K98,'[1]E-CESTD'!$A$5:$O$35,J98+1,FALSE)*R48))</f>
        <v>0</v>
      </c>
      <c r="S98" s="279">
        <v>1.081</v>
      </c>
      <c r="T98" s="280">
        <f t="shared" si="22"/>
        <v>0</v>
      </c>
      <c r="U98" s="280">
        <f t="shared" si="23"/>
        <v>0</v>
      </c>
      <c r="V98" s="280">
        <f t="shared" si="24"/>
        <v>0</v>
      </c>
    </row>
    <row r="99" spans="2:22">
      <c r="B99" s="282"/>
      <c r="C99" s="282" t="s">
        <v>221</v>
      </c>
      <c r="D99" s="285">
        <v>0</v>
      </c>
      <c r="E99" s="282" t="s">
        <v>181</v>
      </c>
      <c r="F99" s="282" t="s">
        <v>186</v>
      </c>
      <c r="G99" s="283"/>
      <c r="H99" s="283"/>
      <c r="I99" s="311">
        <v>0</v>
      </c>
      <c r="J99" s="257"/>
      <c r="K99" s="257"/>
      <c r="L99" s="3574"/>
      <c r="M99" s="278" t="e">
        <f t="shared" si="19"/>
        <v>#DIV/0!</v>
      </c>
      <c r="N99" s="278" t="e">
        <f t="shared" si="19"/>
        <v>#DIV/0!</v>
      </c>
      <c r="O99" s="214">
        <f t="shared" si="20"/>
        <v>0</v>
      </c>
      <c r="P99" s="214">
        <f t="shared" si="21"/>
        <v>0</v>
      </c>
      <c r="Q99" s="214">
        <f>IF(K99=0, 0, (HLOOKUP(K99,'[1]E-CESTDWO'!$A$5:$O$35,J99+1,FALSE)*R49))</f>
        <v>0</v>
      </c>
      <c r="R99" s="214">
        <f>IF(K99=0, 0, (HLOOKUP(K99,'[1]E-CESTD'!$A$5:$O$35,J99+1,FALSE)*R49))</f>
        <v>0</v>
      </c>
      <c r="S99" s="279">
        <v>1.081</v>
      </c>
      <c r="T99" s="280">
        <f t="shared" si="22"/>
        <v>0</v>
      </c>
      <c r="U99" s="280">
        <f t="shared" si="23"/>
        <v>0</v>
      </c>
      <c r="V99" s="280">
        <f t="shared" si="24"/>
        <v>0</v>
      </c>
    </row>
    <row r="100" spans="2:22">
      <c r="B100" s="282"/>
      <c r="C100" s="282" t="s">
        <v>222</v>
      </c>
      <c r="D100" s="285">
        <v>0</v>
      </c>
      <c r="E100" s="282" t="s">
        <v>181</v>
      </c>
      <c r="F100" s="282" t="s">
        <v>186</v>
      </c>
      <c r="G100" s="283"/>
      <c r="H100" s="283"/>
      <c r="I100" s="311">
        <v>0</v>
      </c>
      <c r="J100" s="257"/>
      <c r="K100" s="257"/>
      <c r="L100" s="3574"/>
      <c r="M100" s="278" t="e">
        <f t="shared" si="19"/>
        <v>#DIV/0!</v>
      </c>
      <c r="N100" s="278" t="e">
        <f t="shared" si="19"/>
        <v>#DIV/0!</v>
      </c>
      <c r="O100" s="214">
        <f t="shared" si="20"/>
        <v>0</v>
      </c>
      <c r="P100" s="214">
        <f t="shared" si="21"/>
        <v>0</v>
      </c>
      <c r="Q100" s="214">
        <f>IF(K100=0, 0, (HLOOKUP(K100,'[1]E-CESTDWO'!$A$5:$O$35,J100+1,FALSE)*R50))</f>
        <v>0</v>
      </c>
      <c r="R100" s="214">
        <f>IF(K100=0, 0, (HLOOKUP(K100,'[1]E-CESTD'!$A$5:$O$35,J100+1,FALSE)*R50))</f>
        <v>0</v>
      </c>
      <c r="S100" s="279">
        <v>1.081</v>
      </c>
      <c r="T100" s="280">
        <f t="shared" si="22"/>
        <v>0</v>
      </c>
      <c r="U100" s="280">
        <f t="shared" si="23"/>
        <v>0</v>
      </c>
      <c r="V100" s="280">
        <f t="shared" si="24"/>
        <v>0</v>
      </c>
    </row>
    <row r="101" spans="2:22">
      <c r="B101" s="282"/>
      <c r="C101" s="282" t="s">
        <v>223</v>
      </c>
      <c r="D101" s="285">
        <v>0</v>
      </c>
      <c r="E101" s="282" t="s">
        <v>181</v>
      </c>
      <c r="F101" s="282" t="s">
        <v>186</v>
      </c>
      <c r="G101" s="283"/>
      <c r="H101" s="283"/>
      <c r="I101" s="311">
        <v>0</v>
      </c>
      <c r="J101" s="257"/>
      <c r="K101" s="257"/>
      <c r="L101" s="3574"/>
      <c r="M101" s="278" t="e">
        <f t="shared" si="19"/>
        <v>#DIV/0!</v>
      </c>
      <c r="N101" s="278" t="e">
        <f t="shared" si="19"/>
        <v>#DIV/0!</v>
      </c>
      <c r="O101" s="214">
        <f t="shared" si="20"/>
        <v>0</v>
      </c>
      <c r="P101" s="214">
        <f t="shared" si="21"/>
        <v>0</v>
      </c>
      <c r="Q101" s="214">
        <f>IF(K101=0, 0, (HLOOKUP(K101,'[1]E-CESTDWO'!$A$5:$O$35,J101+1,FALSE)*R51))</f>
        <v>0</v>
      </c>
      <c r="R101" s="214">
        <f>IF(K101=0, 0, (HLOOKUP(K101,'[1]E-CESTD'!$A$5:$O$35,J101+1,FALSE)*R51))</f>
        <v>0</v>
      </c>
      <c r="S101" s="279">
        <v>1.081</v>
      </c>
      <c r="T101" s="280">
        <f t="shared" si="22"/>
        <v>0</v>
      </c>
      <c r="U101" s="280">
        <f t="shared" si="23"/>
        <v>0</v>
      </c>
      <c r="V101" s="280">
        <f t="shared" si="24"/>
        <v>0</v>
      </c>
    </row>
    <row r="102" spans="2:22">
      <c r="B102" s="282"/>
      <c r="C102" s="282" t="s">
        <v>224</v>
      </c>
      <c r="D102" s="285">
        <v>0</v>
      </c>
      <c r="E102" s="282" t="s">
        <v>181</v>
      </c>
      <c r="F102" s="282" t="s">
        <v>186</v>
      </c>
      <c r="G102" s="283"/>
      <c r="H102" s="283"/>
      <c r="I102" s="311">
        <v>0</v>
      </c>
      <c r="J102" s="257"/>
      <c r="K102" s="257"/>
      <c r="L102" s="3574"/>
      <c r="M102" s="278" t="e">
        <f t="shared" si="19"/>
        <v>#DIV/0!</v>
      </c>
      <c r="N102" s="278" t="e">
        <f t="shared" si="19"/>
        <v>#DIV/0!</v>
      </c>
      <c r="O102" s="214">
        <f t="shared" si="20"/>
        <v>0</v>
      </c>
      <c r="P102" s="214">
        <f t="shared" si="21"/>
        <v>0</v>
      </c>
      <c r="Q102" s="214">
        <f>IF(K102=0, 0, (HLOOKUP(K102,'[1]E-CESTDWO'!$A$5:$O$35,J102+1,FALSE)*R52))</f>
        <v>0</v>
      </c>
      <c r="R102" s="214">
        <f>IF(K102=0, 0, (HLOOKUP(K102,'[1]E-CESTD'!$A$5:$O$35,J102+1,FALSE)*R52))</f>
        <v>0</v>
      </c>
      <c r="S102" s="279">
        <v>1.081</v>
      </c>
      <c r="T102" s="280">
        <f t="shared" si="22"/>
        <v>0</v>
      </c>
      <c r="U102" s="280">
        <f t="shared" si="23"/>
        <v>0</v>
      </c>
      <c r="V102" s="280">
        <f t="shared" si="24"/>
        <v>0</v>
      </c>
    </row>
    <row r="103" spans="2:22">
      <c r="B103" s="282"/>
      <c r="C103" s="282" t="s">
        <v>225</v>
      </c>
      <c r="D103" s="285">
        <v>0</v>
      </c>
      <c r="E103" s="282" t="s">
        <v>181</v>
      </c>
      <c r="F103" s="282" t="s">
        <v>186</v>
      </c>
      <c r="G103" s="283"/>
      <c r="H103" s="283"/>
      <c r="I103" s="311">
        <v>0</v>
      </c>
      <c r="J103" s="257"/>
      <c r="K103" s="257"/>
      <c r="L103" s="3574"/>
      <c r="M103" s="278" t="e">
        <f t="shared" si="19"/>
        <v>#DIV/0!</v>
      </c>
      <c r="N103" s="278" t="e">
        <f t="shared" si="19"/>
        <v>#DIV/0!</v>
      </c>
      <c r="O103" s="214">
        <f t="shared" si="20"/>
        <v>0</v>
      </c>
      <c r="P103" s="214">
        <f t="shared" si="21"/>
        <v>0</v>
      </c>
      <c r="Q103" s="214">
        <f>IF(K103=0, 0, (HLOOKUP(K103,'[1]E-CESTDWO'!$A$5:$O$35,J103+1,FALSE)*R53))</f>
        <v>0</v>
      </c>
      <c r="R103" s="214">
        <f>IF(K103=0, 0, (HLOOKUP(K103,'[1]E-CESTD'!$A$5:$O$35,J103+1,FALSE)*R53))</f>
        <v>0</v>
      </c>
      <c r="S103" s="279">
        <v>1.081</v>
      </c>
      <c r="T103" s="280">
        <f t="shared" si="22"/>
        <v>0</v>
      </c>
      <c r="U103" s="280">
        <f t="shared" si="23"/>
        <v>0</v>
      </c>
      <c r="V103" s="280">
        <f t="shared" si="24"/>
        <v>0</v>
      </c>
    </row>
    <row r="104" spans="2:22" ht="13.5" thickBot="1">
      <c r="B104" s="282"/>
      <c r="C104" s="282" t="s">
        <v>226</v>
      </c>
      <c r="D104" s="285">
        <v>0</v>
      </c>
      <c r="E104" s="282" t="s">
        <v>181</v>
      </c>
      <c r="F104" s="282" t="s">
        <v>186</v>
      </c>
      <c r="G104" s="283"/>
      <c r="H104" s="283"/>
      <c r="I104" s="311">
        <v>0</v>
      </c>
      <c r="J104" s="257"/>
      <c r="K104" s="257"/>
      <c r="L104" s="3574"/>
      <c r="M104" s="278" t="e">
        <f t="shared" si="19"/>
        <v>#DIV/0!</v>
      </c>
      <c r="N104" s="278" t="e">
        <f t="shared" si="19"/>
        <v>#DIV/0!</v>
      </c>
      <c r="O104" s="214">
        <f t="shared" si="20"/>
        <v>0</v>
      </c>
      <c r="P104" s="214">
        <f t="shared" si="21"/>
        <v>0</v>
      </c>
      <c r="Q104" s="214">
        <f>IF(K104=0, 0, (HLOOKUP(K104,'[1]E-CESTDWO'!$A$5:$O$35,J104+1,FALSE)*R54))</f>
        <v>0</v>
      </c>
      <c r="R104" s="214">
        <f>IF(K104=0, 0, (HLOOKUP(K104,'[1]E-CESTD'!$A$5:$O$35,J104+1,FALSE)*R54))</f>
        <v>0</v>
      </c>
      <c r="S104" s="279">
        <v>1.081</v>
      </c>
      <c r="T104" s="280">
        <f t="shared" si="22"/>
        <v>0</v>
      </c>
      <c r="U104" s="280">
        <f t="shared" si="23"/>
        <v>0</v>
      </c>
      <c r="V104" s="280">
        <f t="shared" si="24"/>
        <v>0</v>
      </c>
    </row>
    <row r="105" spans="2:22" ht="13.5" thickBot="1">
      <c r="G105" s="286">
        <f>SUMPRODUCT(G63:G104,O13:O54)</f>
        <v>6490393</v>
      </c>
      <c r="H105" s="287">
        <f>V105</f>
        <v>2158150</v>
      </c>
      <c r="I105" s="288">
        <f>SUM(I63:I104)</f>
        <v>1</v>
      </c>
      <c r="J105" s="289">
        <f>ROUND(SUMPRODUCT(J63:J104,R13:R54)/R55,0)</f>
        <v>20</v>
      </c>
      <c r="K105" s="264"/>
      <c r="L105" s="3580"/>
      <c r="M105" s="290">
        <f>Q105/O105</f>
        <v>3.9012181862102695</v>
      </c>
      <c r="N105" s="291">
        <f>R105/P105</f>
        <v>1.7572521575262015</v>
      </c>
      <c r="O105" s="292">
        <f>SUM(O63:O104)</f>
        <v>2779070.3052728958</v>
      </c>
      <c r="P105" s="292">
        <f>SUM(P63:P104)</f>
        <v>6786695.6521739131</v>
      </c>
      <c r="Q105" s="292">
        <f>SUM(Q63:Q104)</f>
        <v>10841759.615687547</v>
      </c>
      <c r="R105" s="292">
        <f>SUM(R63:R104)</f>
        <v>11925935.5772563</v>
      </c>
      <c r="S105" s="293"/>
      <c r="T105" s="294">
        <f>SUM(T63:T104)</f>
        <v>0</v>
      </c>
      <c r="U105" s="294">
        <f>SUM(U63:U104)</f>
        <v>2158150</v>
      </c>
      <c r="V105" s="294">
        <f>SUM(V63:V104)</f>
        <v>2158150</v>
      </c>
    </row>
  </sheetData>
  <sheetProtection password="9E1F" sheet="1" objects="1" scenarios="1"/>
  <customSheetViews>
    <customSheetView guid="{074EB09C-6289-46D7-9513-012B68BCA7BF}" fitToPage="1">
      <pane xSplit="1" ySplit="1" topLeftCell="B2" activePane="bottomRight" state="frozen"/>
      <selection pane="bottomRight" activeCell="I35" sqref="I35"/>
      <pageMargins left="0.18" right="0.2" top="0.35" bottom="0.33" header="0.3" footer="0.3"/>
      <pageSetup paperSize="17" scale="49" orientation="landscape" r:id="rId1"/>
    </customSheetView>
    <customSheetView guid="{AF9F1D33-B8C2-423F-86A1-47612B8F532C}" scale="80" fitToPage="1">
      <pane xSplit="1" ySplit="1" topLeftCell="B2" activePane="bottomRight" state="frozenSplit"/>
      <selection pane="bottomRight" activeCell="Q72" sqref="Q72"/>
      <pageMargins left="0.7" right="0.7" top="0.75" bottom="0.75" header="0.3" footer="0.3"/>
      <pageSetup paperSize="17" scale="31"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8" right="0.2" top="0.35" bottom="0.33" header="0.3" footer="0.3"/>
  <pageSetup paperSize="17" scale="48" orientation="landscape" r:id="rId2"/>
  <drawing r:id="rId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enableFormatConditionsCalculation="0">
    <tabColor theme="3" tint="0.59999389629810485"/>
    <pageSetUpPr fitToPage="1"/>
  </sheetPr>
  <dimension ref="A1:X105"/>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8.85546875" defaultRowHeight="12.75"/>
  <cols>
    <col min="1" max="1" width="16.42578125" style="3064" customWidth="1"/>
    <col min="2" max="2" width="19.85546875" customWidth="1"/>
    <col min="3" max="3" width="32.42578125" customWidth="1"/>
    <col min="4" max="4" width="16.42578125" style="19" customWidth="1"/>
    <col min="5" max="5" width="16.42578125" customWidth="1"/>
    <col min="6" max="6" width="17.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1.425781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1.425781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1.425781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1.425781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1.425781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1.425781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1.425781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1.425781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1.425781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1.425781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1.425781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1.425781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1.425781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1.425781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1.425781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1.425781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1.425781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1.425781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1.425781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1.425781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1.425781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1.425781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1.425781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1.425781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1.425781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1.425781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1.425781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1.425781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1.425781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1.425781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1.425781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1.425781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1.425781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1.425781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1.425781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1.425781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1.425781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1.425781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1.425781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1.425781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1.425781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1.425781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1.425781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1.425781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1.425781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1.425781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1.425781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1.425781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1.425781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1.425781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1.425781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1.425781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1.425781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1.425781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1.425781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1.425781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1.425781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1.425781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1.425781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1.425781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1.425781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1.425781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1.425781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461"/>
      <c r="C1" s="4966" t="s">
        <v>1368</v>
      </c>
      <c r="F1" s="198"/>
      <c r="G1" s="198">
        <f>C3</f>
        <v>18230409</v>
      </c>
      <c r="H1" s="198" t="str">
        <f>C4</f>
        <v>Refrigerator Replacement Program</v>
      </c>
      <c r="I1" s="198"/>
    </row>
    <row r="2" spans="2:22" ht="16.5" thickBot="1">
      <c r="B2" s="198" t="s">
        <v>109</v>
      </c>
      <c r="C2" s="199" t="s">
        <v>227</v>
      </c>
      <c r="G2" s="200" t="s">
        <v>8</v>
      </c>
      <c r="Q2" s="5133"/>
      <c r="R2" s="5133"/>
      <c r="S2" s="5124" t="s">
        <v>110</v>
      </c>
      <c r="T2" s="5125"/>
      <c r="U2" s="5126"/>
      <c r="V2" s="5118" t="s">
        <v>111</v>
      </c>
    </row>
    <row r="3" spans="2:22" ht="16.5" thickBot="1">
      <c r="B3" s="199" t="s">
        <v>6</v>
      </c>
      <c r="C3" s="199">
        <v>18230409</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4967" t="s">
        <v>372</v>
      </c>
      <c r="F4" s="198">
        <v>2011</v>
      </c>
      <c r="G4" s="206">
        <f>B13</f>
        <v>0</v>
      </c>
      <c r="H4" s="207">
        <f>B18</f>
        <v>0</v>
      </c>
      <c r="I4" s="207">
        <f>B23</f>
        <v>0</v>
      </c>
      <c r="J4" s="207">
        <f>B28</f>
        <v>0</v>
      </c>
      <c r="K4" s="207">
        <f>B33</f>
        <v>0</v>
      </c>
      <c r="L4" s="207">
        <f>B38</f>
        <v>0</v>
      </c>
      <c r="M4" s="207">
        <f>B43</f>
        <v>0</v>
      </c>
      <c r="N4" s="207">
        <f>B48</f>
        <v>0</v>
      </c>
      <c r="O4" s="207">
        <f>B53</f>
        <v>0</v>
      </c>
      <c r="P4" s="207">
        <f>B54</f>
        <v>0</v>
      </c>
      <c r="Q4" s="209">
        <f>B55</f>
        <v>0</v>
      </c>
      <c r="R4" s="210">
        <f>T55</f>
        <v>0</v>
      </c>
      <c r="S4" s="316" t="e">
        <f>O4/Q4</f>
        <v>#DIV/0!</v>
      </c>
      <c r="T4" s="316" t="e">
        <f>(J4+(H4*1.63))/Q4</f>
        <v>#DIV/0!</v>
      </c>
      <c r="U4" s="316" t="e">
        <f>L4/Q4</f>
        <v>#DIV/0!</v>
      </c>
      <c r="V4" s="212" t="e">
        <f>Q4/R4</f>
        <v>#DIV/0!</v>
      </c>
    </row>
    <row r="5" spans="2:22" ht="16.5" thickBot="1">
      <c r="B5" s="198" t="s">
        <v>33</v>
      </c>
      <c r="C5" s="4590"/>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317" t="e">
        <f>O5/Q5</f>
        <v>#DIV/0!</v>
      </c>
      <c r="T5" s="317" t="e">
        <f>(J5+(H5*1.63))/Q5</f>
        <v>#DIV/0!</v>
      </c>
      <c r="U5" s="317" t="e">
        <f>L5/Q5</f>
        <v>#DIV/0!</v>
      </c>
      <c r="V5" s="218" t="e">
        <f>Q5/R5</f>
        <v>#DIV/0!</v>
      </c>
    </row>
    <row r="6" spans="2:22" s="3532" customFormat="1" ht="16.5" thickBot="1">
      <c r="B6" s="3536"/>
      <c r="C6" s="4590"/>
      <c r="D6" s="3533"/>
      <c r="F6" s="4249" t="s">
        <v>1168</v>
      </c>
      <c r="G6" s="4241">
        <v>0</v>
      </c>
      <c r="H6" s="4242">
        <v>0</v>
      </c>
      <c r="I6" s="4242">
        <v>0</v>
      </c>
      <c r="J6" s="4242">
        <v>0</v>
      </c>
      <c r="K6" s="4242">
        <v>0</v>
      </c>
      <c r="L6" s="4242">
        <v>0</v>
      </c>
      <c r="M6" s="4242">
        <v>0</v>
      </c>
      <c r="N6" s="4242">
        <v>0</v>
      </c>
      <c r="O6" s="4242">
        <v>0</v>
      </c>
      <c r="P6" s="4242">
        <v>0</v>
      </c>
      <c r="Q6" s="4243">
        <v>0</v>
      </c>
      <c r="R6" s="219">
        <v>0</v>
      </c>
      <c r="S6" s="3637"/>
      <c r="T6" s="3637"/>
      <c r="U6" s="3637"/>
      <c r="V6" s="3498"/>
    </row>
    <row r="7" spans="2:22" ht="16.5" thickBot="1">
      <c r="C7" s="4968" t="s">
        <v>373</v>
      </c>
      <c r="F7" s="4191" t="s">
        <v>1169</v>
      </c>
      <c r="G7" s="4192">
        <f>E13</f>
        <v>0</v>
      </c>
      <c r="H7" s="4193">
        <f>E18</f>
        <v>0</v>
      </c>
      <c r="I7" s="4193">
        <f>E23</f>
        <v>0</v>
      </c>
      <c r="J7" s="4193">
        <f>E28</f>
        <v>0</v>
      </c>
      <c r="K7" s="4193">
        <f>E33</f>
        <v>0</v>
      </c>
      <c r="L7" s="4193">
        <f>E38</f>
        <v>0</v>
      </c>
      <c r="M7" s="4193">
        <f>E43</f>
        <v>0</v>
      </c>
      <c r="N7" s="4193">
        <f>E48</f>
        <v>0</v>
      </c>
      <c r="O7" s="4193">
        <f>E53</f>
        <v>0</v>
      </c>
      <c r="P7" s="4193">
        <f>E54</f>
        <v>0</v>
      </c>
      <c r="Q7" s="4244">
        <f>SUM(G7:P7)</f>
        <v>0</v>
      </c>
      <c r="R7" s="4245">
        <f>Q55</f>
        <v>0</v>
      </c>
      <c r="S7" s="317" t="e">
        <f>O7/Q7</f>
        <v>#DIV/0!</v>
      </c>
      <c r="T7" s="317" t="e">
        <f>(J7+(H7*1.63))/Q7</f>
        <v>#DIV/0!</v>
      </c>
      <c r="U7" s="317" t="e">
        <f>L7/Q7</f>
        <v>#DIV/0!</v>
      </c>
      <c r="V7" s="218" t="e">
        <f>Q7/R7</f>
        <v>#DIV/0!</v>
      </c>
    </row>
    <row r="8" spans="2:22" ht="16.5" thickBot="1">
      <c r="C8" s="4969" t="s">
        <v>374</v>
      </c>
      <c r="F8" s="221" t="s">
        <v>1170</v>
      </c>
      <c r="G8" s="222">
        <f>SUM(G5+G7)</f>
        <v>0</v>
      </c>
      <c r="H8" s="222">
        <f t="shared" ref="H8:R8" si="0">SUM(H5+H7)</f>
        <v>0</v>
      </c>
      <c r="I8" s="222">
        <f t="shared" si="0"/>
        <v>0</v>
      </c>
      <c r="J8" s="222">
        <f t="shared" si="0"/>
        <v>0</v>
      </c>
      <c r="K8" s="222">
        <f t="shared" si="0"/>
        <v>0</v>
      </c>
      <c r="L8" s="222">
        <f t="shared" si="0"/>
        <v>0</v>
      </c>
      <c r="M8" s="222">
        <f t="shared" si="0"/>
        <v>0</v>
      </c>
      <c r="N8" s="222">
        <f t="shared" si="0"/>
        <v>0</v>
      </c>
      <c r="O8" s="222">
        <f t="shared" si="0"/>
        <v>0</v>
      </c>
      <c r="P8" s="222">
        <f t="shared" si="0"/>
        <v>0</v>
      </c>
      <c r="Q8" s="4248">
        <f t="shared" si="0"/>
        <v>0</v>
      </c>
      <c r="R8" s="223">
        <f t="shared" si="0"/>
        <v>0</v>
      </c>
      <c r="S8" s="317" t="e">
        <f>O8/Q8</f>
        <v>#DIV/0!</v>
      </c>
      <c r="T8" s="317" t="e">
        <f>(J8+(H8*1.63))/Q8</f>
        <v>#DIV/0!</v>
      </c>
      <c r="U8" s="317" t="e">
        <f>L8/Q8</f>
        <v>#DIV/0!</v>
      </c>
      <c r="V8" s="218" t="e">
        <f>Q8/R8</f>
        <v>#DIV/0!</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0</v>
      </c>
      <c r="C13" s="236" t="s">
        <v>138</v>
      </c>
      <c r="D13" s="237">
        <f>SUM(D14:D17)</f>
        <v>0</v>
      </c>
      <c r="E13" s="237">
        <f>SUM(E14:E17)</f>
        <v>0</v>
      </c>
      <c r="F13" s="238">
        <f>D13+E13</f>
        <v>0</v>
      </c>
      <c r="H13" s="132"/>
      <c r="I13" s="239" t="str">
        <f t="shared" ref="I13:I54" si="1">C63</f>
        <v>Measure 1</v>
      </c>
      <c r="J13" s="240"/>
      <c r="K13" s="241"/>
      <c r="L13" s="242">
        <f t="shared" ref="L13:L54" si="2">D63</f>
        <v>0</v>
      </c>
      <c r="M13" s="257">
        <v>0</v>
      </c>
      <c r="N13" s="257">
        <v>0</v>
      </c>
      <c r="O13" s="244">
        <f>M13+N13</f>
        <v>0</v>
      </c>
      <c r="P13" s="245">
        <f t="shared" ref="P13:R28" si="3">M13*$D63</f>
        <v>0</v>
      </c>
      <c r="Q13" s="245">
        <f t="shared" si="3"/>
        <v>0</v>
      </c>
      <c r="R13" s="246">
        <f t="shared" si="3"/>
        <v>0</v>
      </c>
      <c r="T13" s="4891"/>
    </row>
    <row r="14" spans="2:22">
      <c r="B14" s="247"/>
      <c r="C14" s="248" t="s">
        <v>139</v>
      </c>
      <c r="D14" s="249">
        <v>0</v>
      </c>
      <c r="E14" s="249"/>
      <c r="F14" s="249">
        <f>SUM(D14:E14)</f>
        <v>0</v>
      </c>
      <c r="H14" s="132"/>
      <c r="I14" s="250" t="str">
        <f t="shared" si="1"/>
        <v>Measure 2</v>
      </c>
      <c r="J14" s="251"/>
      <c r="K14" s="252"/>
      <c r="L14" s="242">
        <f t="shared" si="2"/>
        <v>0</v>
      </c>
      <c r="M14" s="257">
        <v>0</v>
      </c>
      <c r="N14" s="257">
        <v>0</v>
      </c>
      <c r="O14" s="244">
        <f t="shared" ref="O14:O54" si="4">M14+N14</f>
        <v>0</v>
      </c>
      <c r="P14" s="245">
        <f t="shared" si="3"/>
        <v>0</v>
      </c>
      <c r="Q14" s="245">
        <f t="shared" si="3"/>
        <v>0</v>
      </c>
      <c r="R14" s="246">
        <f t="shared" si="3"/>
        <v>0</v>
      </c>
      <c r="T14" s="4891"/>
    </row>
    <row r="15" spans="2:22">
      <c r="B15" s="254"/>
      <c r="C15" s="255" t="s">
        <v>140</v>
      </c>
      <c r="D15" s="256">
        <v>0</v>
      </c>
      <c r="E15" s="256"/>
      <c r="F15" s="249">
        <f t="shared" ref="F15:F25" si="5">SUM(D15:E15)</f>
        <v>0</v>
      </c>
      <c r="H15" s="132"/>
      <c r="I15" s="250" t="str">
        <f t="shared" si="1"/>
        <v>Measure 3</v>
      </c>
      <c r="J15" s="251"/>
      <c r="K15" s="252"/>
      <c r="L15" s="242">
        <f t="shared" si="2"/>
        <v>0</v>
      </c>
      <c r="M15" s="257">
        <v>0</v>
      </c>
      <c r="N15" s="257">
        <v>0</v>
      </c>
      <c r="O15" s="244">
        <f t="shared" si="4"/>
        <v>0</v>
      </c>
      <c r="P15" s="245">
        <f t="shared" si="3"/>
        <v>0</v>
      </c>
      <c r="Q15" s="245">
        <f t="shared" si="3"/>
        <v>0</v>
      </c>
      <c r="R15" s="246">
        <f t="shared" si="3"/>
        <v>0</v>
      </c>
      <c r="T15" s="4891"/>
    </row>
    <row r="16" spans="2:22">
      <c r="B16" s="254"/>
      <c r="C16" s="255" t="s">
        <v>141</v>
      </c>
      <c r="D16" s="258">
        <v>0</v>
      </c>
      <c r="E16" s="258"/>
      <c r="F16" s="249">
        <f t="shared" si="5"/>
        <v>0</v>
      </c>
      <c r="H16" s="132"/>
      <c r="I16" s="250" t="str">
        <f t="shared" si="1"/>
        <v>Measure 4</v>
      </c>
      <c r="J16" s="251"/>
      <c r="K16" s="252"/>
      <c r="L16" s="242">
        <f t="shared" si="2"/>
        <v>0</v>
      </c>
      <c r="M16" s="257">
        <v>0</v>
      </c>
      <c r="N16" s="257">
        <v>0</v>
      </c>
      <c r="O16" s="244">
        <f t="shared" si="4"/>
        <v>0</v>
      </c>
      <c r="P16" s="245">
        <f t="shared" si="3"/>
        <v>0</v>
      </c>
      <c r="Q16" s="245">
        <f t="shared" si="3"/>
        <v>0</v>
      </c>
      <c r="R16" s="246">
        <f t="shared" si="3"/>
        <v>0</v>
      </c>
      <c r="T16" s="4891"/>
    </row>
    <row r="17" spans="2:20" ht="13.5" thickBot="1">
      <c r="B17" s="254"/>
      <c r="C17" s="255" t="s">
        <v>142</v>
      </c>
      <c r="D17" s="258">
        <v>0</v>
      </c>
      <c r="E17" s="258"/>
      <c r="F17" s="249">
        <f t="shared" si="5"/>
        <v>0</v>
      </c>
      <c r="H17" s="132"/>
      <c r="I17" s="250" t="str">
        <f t="shared" si="1"/>
        <v>Measure 5</v>
      </c>
      <c r="J17" s="251"/>
      <c r="K17" s="252"/>
      <c r="L17" s="242">
        <f t="shared" si="2"/>
        <v>0</v>
      </c>
      <c r="M17" s="257">
        <v>0</v>
      </c>
      <c r="N17" s="257">
        <v>0</v>
      </c>
      <c r="O17" s="244">
        <f t="shared" si="4"/>
        <v>0</v>
      </c>
      <c r="P17" s="245">
        <f t="shared" si="3"/>
        <v>0</v>
      </c>
      <c r="Q17" s="245">
        <f t="shared" si="3"/>
        <v>0</v>
      </c>
      <c r="R17" s="246">
        <f t="shared" si="3"/>
        <v>0</v>
      </c>
      <c r="T17" s="4891"/>
    </row>
    <row r="18" spans="2:20" ht="13.5" thickBot="1">
      <c r="B18" s="262">
        <v>0</v>
      </c>
      <c r="C18" s="236" t="s">
        <v>143</v>
      </c>
      <c r="D18" s="237">
        <f>SUM(D19:D22)</f>
        <v>0</v>
      </c>
      <c r="E18" s="237">
        <f>SUM(E19:E22)</f>
        <v>0</v>
      </c>
      <c r="F18" s="238">
        <f>D18+E18</f>
        <v>0</v>
      </c>
      <c r="H18" s="132"/>
      <c r="I18" s="250" t="str">
        <f t="shared" si="1"/>
        <v>Measure 6</v>
      </c>
      <c r="J18" s="251"/>
      <c r="K18" s="252"/>
      <c r="L18" s="242">
        <f t="shared" si="2"/>
        <v>0</v>
      </c>
      <c r="M18" s="257">
        <v>0</v>
      </c>
      <c r="N18" s="257">
        <v>0</v>
      </c>
      <c r="O18" s="244">
        <f t="shared" si="4"/>
        <v>0</v>
      </c>
      <c r="P18" s="245">
        <f t="shared" si="3"/>
        <v>0</v>
      </c>
      <c r="Q18" s="245">
        <f t="shared" si="3"/>
        <v>0</v>
      </c>
      <c r="R18" s="246">
        <f t="shared" si="3"/>
        <v>0</v>
      </c>
      <c r="T18" s="4891"/>
    </row>
    <row r="19" spans="2:20">
      <c r="B19" s="247"/>
      <c r="C19" s="248" t="s">
        <v>139</v>
      </c>
      <c r="D19" s="249">
        <v>0</v>
      </c>
      <c r="E19" s="249"/>
      <c r="F19" s="249">
        <f t="shared" si="5"/>
        <v>0</v>
      </c>
      <c r="H19" s="132"/>
      <c r="I19" s="250" t="str">
        <f t="shared" si="1"/>
        <v>Measure 7</v>
      </c>
      <c r="J19" s="251"/>
      <c r="K19" s="252"/>
      <c r="L19" s="242">
        <f t="shared" si="2"/>
        <v>0</v>
      </c>
      <c r="M19" s="257">
        <v>0</v>
      </c>
      <c r="N19" s="257">
        <v>0</v>
      </c>
      <c r="O19" s="244">
        <f t="shared" si="4"/>
        <v>0</v>
      </c>
      <c r="P19" s="245">
        <f t="shared" si="3"/>
        <v>0</v>
      </c>
      <c r="Q19" s="245">
        <f t="shared" si="3"/>
        <v>0</v>
      </c>
      <c r="R19" s="246">
        <f t="shared" si="3"/>
        <v>0</v>
      </c>
      <c r="T19" s="4891"/>
    </row>
    <row r="20" spans="2:20">
      <c r="B20" s="254"/>
      <c r="C20" s="255" t="s">
        <v>140</v>
      </c>
      <c r="D20" s="256">
        <v>0</v>
      </c>
      <c r="E20" s="256"/>
      <c r="F20" s="249">
        <f t="shared" si="5"/>
        <v>0</v>
      </c>
      <c r="H20" s="132"/>
      <c r="I20" s="250" t="str">
        <f t="shared" si="1"/>
        <v>Measure 8</v>
      </c>
      <c r="J20" s="251"/>
      <c r="K20" s="252"/>
      <c r="L20" s="242">
        <f t="shared" si="2"/>
        <v>0</v>
      </c>
      <c r="M20" s="257">
        <v>0</v>
      </c>
      <c r="N20" s="257">
        <v>0</v>
      </c>
      <c r="O20" s="244">
        <f t="shared" si="4"/>
        <v>0</v>
      </c>
      <c r="P20" s="245">
        <f t="shared" si="3"/>
        <v>0</v>
      </c>
      <c r="Q20" s="245">
        <f t="shared" si="3"/>
        <v>0</v>
      </c>
      <c r="R20" s="246">
        <f t="shared" si="3"/>
        <v>0</v>
      </c>
      <c r="T20" s="4891"/>
    </row>
    <row r="21" spans="2:20">
      <c r="B21" s="254"/>
      <c r="C21" s="255" t="s">
        <v>141</v>
      </c>
      <c r="D21" s="258">
        <v>0</v>
      </c>
      <c r="E21" s="258"/>
      <c r="F21" s="249">
        <f t="shared" si="5"/>
        <v>0</v>
      </c>
      <c r="H21" s="132"/>
      <c r="I21" s="250" t="str">
        <f t="shared" si="1"/>
        <v>Measure 9</v>
      </c>
      <c r="J21" s="251"/>
      <c r="K21" s="252"/>
      <c r="L21" s="242">
        <f t="shared" si="2"/>
        <v>0</v>
      </c>
      <c r="M21" s="257">
        <v>0</v>
      </c>
      <c r="N21" s="257">
        <v>0</v>
      </c>
      <c r="O21" s="244">
        <f t="shared" si="4"/>
        <v>0</v>
      </c>
      <c r="P21" s="245">
        <f t="shared" si="3"/>
        <v>0</v>
      </c>
      <c r="Q21" s="245">
        <f t="shared" si="3"/>
        <v>0</v>
      </c>
      <c r="R21" s="246">
        <f t="shared" si="3"/>
        <v>0</v>
      </c>
      <c r="T21" s="4891"/>
    </row>
    <row r="22" spans="2:20" ht="13.5" thickBot="1">
      <c r="B22" s="254"/>
      <c r="C22" s="255" t="s">
        <v>142</v>
      </c>
      <c r="D22" s="258">
        <v>0</v>
      </c>
      <c r="E22" s="258"/>
      <c r="F22" s="249">
        <f t="shared" si="5"/>
        <v>0</v>
      </c>
      <c r="H22" s="132"/>
      <c r="I22" s="250" t="str">
        <f t="shared" si="1"/>
        <v>Measure 10</v>
      </c>
      <c r="J22" s="251"/>
      <c r="K22" s="252"/>
      <c r="L22" s="242">
        <f t="shared" si="2"/>
        <v>0</v>
      </c>
      <c r="M22" s="257">
        <v>0</v>
      </c>
      <c r="N22" s="257">
        <v>0</v>
      </c>
      <c r="O22" s="244">
        <f t="shared" si="4"/>
        <v>0</v>
      </c>
      <c r="P22" s="245">
        <f t="shared" si="3"/>
        <v>0</v>
      </c>
      <c r="Q22" s="245">
        <f t="shared" si="3"/>
        <v>0</v>
      </c>
      <c r="R22" s="246">
        <f t="shared" si="3"/>
        <v>0</v>
      </c>
      <c r="T22" s="4891"/>
    </row>
    <row r="23" spans="2:20" ht="13.5" thickBot="1">
      <c r="B23" s="262">
        <v>0</v>
      </c>
      <c r="C23" s="236" t="s">
        <v>144</v>
      </c>
      <c r="D23" s="237">
        <f>SUM(D24:D27)</f>
        <v>0</v>
      </c>
      <c r="E23" s="237">
        <f>SUM(E24:E27)</f>
        <v>0</v>
      </c>
      <c r="F23" s="238">
        <f>D23+E23</f>
        <v>0</v>
      </c>
      <c r="G23" s="53"/>
      <c r="H23" s="132"/>
      <c r="I23" s="250" t="str">
        <f t="shared" si="1"/>
        <v>Measure 11</v>
      </c>
      <c r="J23" s="251"/>
      <c r="K23" s="252"/>
      <c r="L23" s="242">
        <f t="shared" si="2"/>
        <v>0</v>
      </c>
      <c r="M23" s="257">
        <v>0</v>
      </c>
      <c r="N23" s="257">
        <v>0</v>
      </c>
      <c r="O23" s="244">
        <f t="shared" si="4"/>
        <v>0</v>
      </c>
      <c r="P23" s="245">
        <f t="shared" si="3"/>
        <v>0</v>
      </c>
      <c r="Q23" s="245">
        <f t="shared" si="3"/>
        <v>0</v>
      </c>
      <c r="R23" s="246">
        <f t="shared" si="3"/>
        <v>0</v>
      </c>
      <c r="T23" s="4891"/>
    </row>
    <row r="24" spans="2:20">
      <c r="B24" s="247"/>
      <c r="C24" s="3566" t="s">
        <v>1434</v>
      </c>
      <c r="D24" s="249">
        <f>0.63*D13</f>
        <v>0</v>
      </c>
      <c r="E24" s="249">
        <f>0.63*E13</f>
        <v>0</v>
      </c>
      <c r="F24" s="249">
        <f t="shared" si="5"/>
        <v>0</v>
      </c>
      <c r="H24" s="132"/>
      <c r="I24" s="250" t="str">
        <f t="shared" si="1"/>
        <v>Measure 12</v>
      </c>
      <c r="J24" s="251"/>
      <c r="K24" s="252"/>
      <c r="L24" s="242">
        <f t="shared" si="2"/>
        <v>0</v>
      </c>
      <c r="M24" s="257">
        <v>0</v>
      </c>
      <c r="N24" s="257">
        <v>0</v>
      </c>
      <c r="O24" s="244">
        <f t="shared" si="4"/>
        <v>0</v>
      </c>
      <c r="P24" s="245">
        <f t="shared" si="3"/>
        <v>0</v>
      </c>
      <c r="Q24" s="245">
        <f t="shared" si="3"/>
        <v>0</v>
      </c>
      <c r="R24" s="246">
        <f t="shared" si="3"/>
        <v>0</v>
      </c>
      <c r="T24" s="4891"/>
    </row>
    <row r="25" spans="2:20">
      <c r="B25" s="247"/>
      <c r="C25" s="3566" t="s">
        <v>1435</v>
      </c>
      <c r="D25" s="256">
        <f>0.63*D18</f>
        <v>0</v>
      </c>
      <c r="E25" s="256">
        <f>0.63*E18</f>
        <v>0</v>
      </c>
      <c r="F25" s="249">
        <f t="shared" si="5"/>
        <v>0</v>
      </c>
      <c r="H25" s="132"/>
      <c r="I25" s="250" t="str">
        <f t="shared" si="1"/>
        <v>Measure 13</v>
      </c>
      <c r="J25" s="251"/>
      <c r="K25" s="252"/>
      <c r="L25" s="242">
        <f t="shared" si="2"/>
        <v>0</v>
      </c>
      <c r="M25" s="257">
        <v>0</v>
      </c>
      <c r="N25" s="257">
        <v>0</v>
      </c>
      <c r="O25" s="244">
        <f t="shared" si="4"/>
        <v>0</v>
      </c>
      <c r="P25" s="245">
        <f t="shared" si="3"/>
        <v>0</v>
      </c>
      <c r="Q25" s="245">
        <f t="shared" si="3"/>
        <v>0</v>
      </c>
      <c r="R25" s="246">
        <f t="shared" si="3"/>
        <v>0</v>
      </c>
      <c r="T25" s="4891"/>
    </row>
    <row r="26" spans="2:20">
      <c r="B26" s="254"/>
      <c r="C26" s="255"/>
      <c r="D26" s="258"/>
      <c r="E26" s="258"/>
      <c r="F26" s="258"/>
      <c r="H26" s="132"/>
      <c r="I26" s="250" t="str">
        <f t="shared" si="1"/>
        <v>Measure 14</v>
      </c>
      <c r="J26" s="251"/>
      <c r="K26" s="252"/>
      <c r="L26" s="242">
        <f t="shared" si="2"/>
        <v>0</v>
      </c>
      <c r="M26" s="257">
        <v>0</v>
      </c>
      <c r="N26" s="257">
        <v>0</v>
      </c>
      <c r="O26" s="244">
        <f t="shared" si="4"/>
        <v>0</v>
      </c>
      <c r="P26" s="245">
        <f t="shared" si="3"/>
        <v>0</v>
      </c>
      <c r="Q26" s="245">
        <f t="shared" si="3"/>
        <v>0</v>
      </c>
      <c r="R26" s="246">
        <f t="shared" si="3"/>
        <v>0</v>
      </c>
      <c r="T26" s="4891"/>
    </row>
    <row r="27" spans="2:20" ht="13.5" thickBot="1">
      <c r="B27" s="254"/>
      <c r="C27" s="255"/>
      <c r="D27" s="258"/>
      <c r="E27" s="258"/>
      <c r="F27" s="258"/>
      <c r="H27" s="132"/>
      <c r="I27" s="250" t="str">
        <f t="shared" si="1"/>
        <v>Measure 15</v>
      </c>
      <c r="J27" s="251"/>
      <c r="K27" s="252"/>
      <c r="L27" s="242">
        <f t="shared" si="2"/>
        <v>0</v>
      </c>
      <c r="M27" s="257">
        <v>0</v>
      </c>
      <c r="N27" s="257">
        <v>0</v>
      </c>
      <c r="O27" s="244">
        <f t="shared" si="4"/>
        <v>0</v>
      </c>
      <c r="P27" s="245">
        <f t="shared" si="3"/>
        <v>0</v>
      </c>
      <c r="Q27" s="245">
        <f t="shared" si="3"/>
        <v>0</v>
      </c>
      <c r="R27" s="246">
        <f t="shared" si="3"/>
        <v>0</v>
      </c>
      <c r="T27" s="4891"/>
    </row>
    <row r="28" spans="2:20" ht="13.5" thickBot="1">
      <c r="B28" s="262">
        <v>0</v>
      </c>
      <c r="C28" s="236" t="s">
        <v>145</v>
      </c>
      <c r="D28" s="237">
        <f>SUM(D29:D32)</f>
        <v>0</v>
      </c>
      <c r="E28" s="237">
        <f>SUM(E29:E32)</f>
        <v>0</v>
      </c>
      <c r="F28" s="238">
        <f>D28+E28</f>
        <v>0</v>
      </c>
      <c r="H28" s="132"/>
      <c r="I28" s="250" t="str">
        <f t="shared" si="1"/>
        <v>Measure 16</v>
      </c>
      <c r="J28" s="251"/>
      <c r="K28" s="252"/>
      <c r="L28" s="242">
        <f t="shared" si="2"/>
        <v>0</v>
      </c>
      <c r="M28" s="257">
        <v>0</v>
      </c>
      <c r="N28" s="257">
        <v>0</v>
      </c>
      <c r="O28" s="244">
        <f t="shared" si="4"/>
        <v>0</v>
      </c>
      <c r="P28" s="245">
        <f t="shared" si="3"/>
        <v>0</v>
      </c>
      <c r="Q28" s="245">
        <f t="shared" si="3"/>
        <v>0</v>
      </c>
      <c r="R28" s="246">
        <f t="shared" si="3"/>
        <v>0</v>
      </c>
      <c r="T28" s="4891"/>
    </row>
    <row r="29" spans="2:20">
      <c r="B29" s="247"/>
      <c r="C29" s="248" t="s">
        <v>139</v>
      </c>
      <c r="D29" s="249">
        <v>0</v>
      </c>
      <c r="E29" s="249"/>
      <c r="F29" s="249">
        <f t="shared" ref="F29:F37" si="6">SUM(D29:E29)</f>
        <v>0</v>
      </c>
      <c r="H29" s="132"/>
      <c r="I29" s="250" t="str">
        <f t="shared" si="1"/>
        <v>Measure 17</v>
      </c>
      <c r="J29" s="251"/>
      <c r="K29" s="252"/>
      <c r="L29" s="242">
        <f t="shared" si="2"/>
        <v>0</v>
      </c>
      <c r="M29" s="257">
        <v>0</v>
      </c>
      <c r="N29" s="257">
        <v>0</v>
      </c>
      <c r="O29" s="244">
        <f t="shared" si="4"/>
        <v>0</v>
      </c>
      <c r="P29" s="245">
        <f t="shared" ref="P29:R44" si="7">M29*$D79</f>
        <v>0</v>
      </c>
      <c r="Q29" s="245">
        <f t="shared" si="7"/>
        <v>0</v>
      </c>
      <c r="R29" s="246">
        <f t="shared" si="7"/>
        <v>0</v>
      </c>
      <c r="T29" s="4891"/>
    </row>
    <row r="30" spans="2:20">
      <c r="B30" s="254"/>
      <c r="C30" s="255" t="s">
        <v>140</v>
      </c>
      <c r="D30" s="256">
        <v>0</v>
      </c>
      <c r="E30" s="256"/>
      <c r="F30" s="249">
        <f t="shared" si="6"/>
        <v>0</v>
      </c>
      <c r="H30" s="132"/>
      <c r="I30" s="250" t="str">
        <f t="shared" si="1"/>
        <v>Measure 18</v>
      </c>
      <c r="J30" s="251"/>
      <c r="K30" s="252"/>
      <c r="L30" s="242">
        <f t="shared" si="2"/>
        <v>0</v>
      </c>
      <c r="M30" s="257">
        <v>0</v>
      </c>
      <c r="N30" s="257">
        <v>0</v>
      </c>
      <c r="O30" s="244">
        <f t="shared" si="4"/>
        <v>0</v>
      </c>
      <c r="P30" s="245">
        <f t="shared" si="7"/>
        <v>0</v>
      </c>
      <c r="Q30" s="245">
        <f t="shared" si="7"/>
        <v>0</v>
      </c>
      <c r="R30" s="246">
        <f t="shared" si="7"/>
        <v>0</v>
      </c>
      <c r="T30" s="4891"/>
    </row>
    <row r="31" spans="2:20">
      <c r="B31" s="254"/>
      <c r="C31" s="255" t="s">
        <v>141</v>
      </c>
      <c r="D31" s="256">
        <v>0</v>
      </c>
      <c r="E31" s="256"/>
      <c r="F31" s="249">
        <f t="shared" si="6"/>
        <v>0</v>
      </c>
      <c r="H31" s="132"/>
      <c r="I31" s="250" t="str">
        <f t="shared" si="1"/>
        <v>Measure 19</v>
      </c>
      <c r="J31" s="251"/>
      <c r="K31" s="252"/>
      <c r="L31" s="242">
        <f t="shared" si="2"/>
        <v>0</v>
      </c>
      <c r="M31" s="257">
        <v>0</v>
      </c>
      <c r="N31" s="257">
        <v>0</v>
      </c>
      <c r="O31" s="244">
        <f t="shared" si="4"/>
        <v>0</v>
      </c>
      <c r="P31" s="245">
        <f t="shared" si="7"/>
        <v>0</v>
      </c>
      <c r="Q31" s="245">
        <f t="shared" si="7"/>
        <v>0</v>
      </c>
      <c r="R31" s="246">
        <f t="shared" si="7"/>
        <v>0</v>
      </c>
      <c r="T31" s="4891"/>
    </row>
    <row r="32" spans="2:20" ht="13.5" thickBot="1">
      <c r="B32" s="254"/>
      <c r="C32" s="255" t="s">
        <v>142</v>
      </c>
      <c r="D32" s="256">
        <v>0</v>
      </c>
      <c r="E32" s="256"/>
      <c r="F32" s="249">
        <f t="shared" si="6"/>
        <v>0</v>
      </c>
      <c r="H32" s="132"/>
      <c r="I32" s="250" t="str">
        <f t="shared" si="1"/>
        <v>Measure 20</v>
      </c>
      <c r="J32" s="251"/>
      <c r="K32" s="252"/>
      <c r="L32" s="242">
        <f t="shared" si="2"/>
        <v>0</v>
      </c>
      <c r="M32" s="257">
        <v>0</v>
      </c>
      <c r="N32" s="257">
        <v>0</v>
      </c>
      <c r="O32" s="244">
        <f t="shared" si="4"/>
        <v>0</v>
      </c>
      <c r="P32" s="245">
        <f t="shared" si="7"/>
        <v>0</v>
      </c>
      <c r="Q32" s="245">
        <f t="shared" si="7"/>
        <v>0</v>
      </c>
      <c r="R32" s="246">
        <f t="shared" si="7"/>
        <v>0</v>
      </c>
      <c r="T32" s="4891"/>
    </row>
    <row r="33" spans="2:20" ht="13.5" thickBot="1">
      <c r="B33" s="262">
        <v>0</v>
      </c>
      <c r="C33" s="236" t="s">
        <v>146</v>
      </c>
      <c r="D33" s="237">
        <f>SUM(D34:D37)</f>
        <v>0</v>
      </c>
      <c r="E33" s="237">
        <f>SUM(E34:E37)</f>
        <v>0</v>
      </c>
      <c r="F33" s="238">
        <f>D33+E33</f>
        <v>0</v>
      </c>
      <c r="H33" s="132"/>
      <c r="I33" s="250" t="str">
        <f t="shared" si="1"/>
        <v>Measure 21</v>
      </c>
      <c r="J33" s="251"/>
      <c r="K33" s="252"/>
      <c r="L33" s="242">
        <f t="shared" si="2"/>
        <v>0</v>
      </c>
      <c r="M33" s="257">
        <v>0</v>
      </c>
      <c r="N33" s="257">
        <v>0</v>
      </c>
      <c r="O33" s="244">
        <f t="shared" si="4"/>
        <v>0</v>
      </c>
      <c r="P33" s="245">
        <f t="shared" si="7"/>
        <v>0</v>
      </c>
      <c r="Q33" s="245">
        <f t="shared" si="7"/>
        <v>0</v>
      </c>
      <c r="R33" s="246">
        <f t="shared" si="7"/>
        <v>0</v>
      </c>
      <c r="T33" s="4891"/>
    </row>
    <row r="34" spans="2:20">
      <c r="B34" s="254"/>
      <c r="C34" s="255" t="s">
        <v>139</v>
      </c>
      <c r="D34" s="256">
        <v>0</v>
      </c>
      <c r="E34" s="256"/>
      <c r="F34" s="249">
        <f t="shared" si="6"/>
        <v>0</v>
      </c>
      <c r="H34" s="132"/>
      <c r="I34" s="250" t="str">
        <f t="shared" si="1"/>
        <v>Measure 22</v>
      </c>
      <c r="J34" s="251"/>
      <c r="K34" s="252"/>
      <c r="L34" s="242">
        <f t="shared" si="2"/>
        <v>0</v>
      </c>
      <c r="M34" s="257">
        <v>0</v>
      </c>
      <c r="N34" s="257">
        <v>0</v>
      </c>
      <c r="O34" s="244">
        <f t="shared" si="4"/>
        <v>0</v>
      </c>
      <c r="P34" s="245">
        <f t="shared" si="7"/>
        <v>0</v>
      </c>
      <c r="Q34" s="245">
        <f t="shared" si="7"/>
        <v>0</v>
      </c>
      <c r="R34" s="246">
        <f t="shared" si="7"/>
        <v>0</v>
      </c>
      <c r="T34" s="4891"/>
    </row>
    <row r="35" spans="2:20">
      <c r="B35" s="254"/>
      <c r="C35" s="255" t="s">
        <v>140</v>
      </c>
      <c r="D35" s="256">
        <v>0</v>
      </c>
      <c r="E35" s="256"/>
      <c r="F35" s="249">
        <f t="shared" si="6"/>
        <v>0</v>
      </c>
      <c r="H35" s="132"/>
      <c r="I35" s="250" t="str">
        <f t="shared" si="1"/>
        <v>Measure 23</v>
      </c>
      <c r="J35" s="251"/>
      <c r="K35" s="252"/>
      <c r="L35" s="242">
        <f t="shared" si="2"/>
        <v>0</v>
      </c>
      <c r="M35" s="257">
        <v>0</v>
      </c>
      <c r="N35" s="257">
        <v>0</v>
      </c>
      <c r="O35" s="244">
        <f t="shared" si="4"/>
        <v>0</v>
      </c>
      <c r="P35" s="245">
        <f t="shared" si="7"/>
        <v>0</v>
      </c>
      <c r="Q35" s="245">
        <f t="shared" si="7"/>
        <v>0</v>
      </c>
      <c r="R35" s="246">
        <f t="shared" si="7"/>
        <v>0</v>
      </c>
      <c r="T35" s="4891"/>
    </row>
    <row r="36" spans="2:20">
      <c r="B36" s="254"/>
      <c r="C36" s="255" t="s">
        <v>141</v>
      </c>
      <c r="D36" s="256">
        <v>0</v>
      </c>
      <c r="E36" s="256"/>
      <c r="F36" s="249">
        <f t="shared" si="6"/>
        <v>0</v>
      </c>
      <c r="H36" s="132"/>
      <c r="I36" s="250" t="str">
        <f t="shared" si="1"/>
        <v>Measure 24</v>
      </c>
      <c r="J36" s="251"/>
      <c r="K36" s="252"/>
      <c r="L36" s="242">
        <f t="shared" si="2"/>
        <v>0</v>
      </c>
      <c r="M36" s="257">
        <v>0</v>
      </c>
      <c r="N36" s="257">
        <v>0</v>
      </c>
      <c r="O36" s="244">
        <f t="shared" si="4"/>
        <v>0</v>
      </c>
      <c r="P36" s="245">
        <f t="shared" si="7"/>
        <v>0</v>
      </c>
      <c r="Q36" s="245">
        <f t="shared" si="7"/>
        <v>0</v>
      </c>
      <c r="R36" s="246">
        <f t="shared" si="7"/>
        <v>0</v>
      </c>
      <c r="T36" s="4891"/>
    </row>
    <row r="37" spans="2:20" ht="13.5" thickBot="1">
      <c r="B37" s="254"/>
      <c r="C37" s="255" t="s">
        <v>142</v>
      </c>
      <c r="D37" s="256">
        <v>0</v>
      </c>
      <c r="E37" s="256"/>
      <c r="F37" s="249">
        <f t="shared" si="6"/>
        <v>0</v>
      </c>
      <c r="H37" s="132"/>
      <c r="I37" s="250" t="str">
        <f t="shared" si="1"/>
        <v>Measure 25</v>
      </c>
      <c r="J37" s="251"/>
      <c r="K37" s="252"/>
      <c r="L37" s="242">
        <f t="shared" si="2"/>
        <v>0</v>
      </c>
      <c r="M37" s="257">
        <v>0</v>
      </c>
      <c r="N37" s="257">
        <v>0</v>
      </c>
      <c r="O37" s="244">
        <f t="shared" si="4"/>
        <v>0</v>
      </c>
      <c r="P37" s="245">
        <f t="shared" si="7"/>
        <v>0</v>
      </c>
      <c r="Q37" s="245">
        <f t="shared" si="7"/>
        <v>0</v>
      </c>
      <c r="R37" s="246">
        <f t="shared" si="7"/>
        <v>0</v>
      </c>
      <c r="T37" s="4891"/>
    </row>
    <row r="38" spans="2:20" ht="13.5" thickBot="1">
      <c r="B38" s="262">
        <v>0</v>
      </c>
      <c r="C38" s="236" t="s">
        <v>147</v>
      </c>
      <c r="D38" s="237">
        <f>SUM(D39:D42)</f>
        <v>0</v>
      </c>
      <c r="E38" s="237">
        <f>SUM(E39:E42)</f>
        <v>0</v>
      </c>
      <c r="F38" s="238">
        <f>D38+E38</f>
        <v>0</v>
      </c>
      <c r="H38" s="132"/>
      <c r="I38" s="250" t="str">
        <f t="shared" si="1"/>
        <v>Measure 26</v>
      </c>
      <c r="J38" s="251"/>
      <c r="K38" s="260"/>
      <c r="L38" s="242">
        <f t="shared" si="2"/>
        <v>0</v>
      </c>
      <c r="M38" s="257">
        <v>0</v>
      </c>
      <c r="N38" s="257">
        <v>0</v>
      </c>
      <c r="O38" s="244">
        <f t="shared" si="4"/>
        <v>0</v>
      </c>
      <c r="P38" s="245">
        <f t="shared" si="7"/>
        <v>0</v>
      </c>
      <c r="Q38" s="245">
        <f t="shared" si="7"/>
        <v>0</v>
      </c>
      <c r="R38" s="246">
        <f t="shared" si="7"/>
        <v>0</v>
      </c>
      <c r="T38" s="4891"/>
    </row>
    <row r="39" spans="2:20">
      <c r="B39" s="254"/>
      <c r="C39" s="255" t="s">
        <v>139</v>
      </c>
      <c r="D39" s="256">
        <v>0</v>
      </c>
      <c r="E39" s="256"/>
      <c r="F39" s="249">
        <f t="shared" ref="F39:F52" si="8">SUM(D39:E39)</f>
        <v>0</v>
      </c>
      <c r="H39" s="132"/>
      <c r="I39" s="250" t="str">
        <f t="shared" si="1"/>
        <v>Measure 27</v>
      </c>
      <c r="J39" s="251"/>
      <c r="K39" s="260"/>
      <c r="L39" s="242">
        <f t="shared" si="2"/>
        <v>0</v>
      </c>
      <c r="M39" s="257">
        <v>0</v>
      </c>
      <c r="N39" s="257">
        <v>0</v>
      </c>
      <c r="O39" s="244">
        <f t="shared" si="4"/>
        <v>0</v>
      </c>
      <c r="P39" s="245">
        <f t="shared" si="7"/>
        <v>0</v>
      </c>
      <c r="Q39" s="245">
        <f t="shared" si="7"/>
        <v>0</v>
      </c>
      <c r="R39" s="246">
        <f t="shared" si="7"/>
        <v>0</v>
      </c>
      <c r="T39" s="4891"/>
    </row>
    <row r="40" spans="2:20">
      <c r="B40" s="254"/>
      <c r="C40" s="255" t="s">
        <v>140</v>
      </c>
      <c r="D40" s="256">
        <v>0</v>
      </c>
      <c r="E40" s="256"/>
      <c r="F40" s="249">
        <f t="shared" si="8"/>
        <v>0</v>
      </c>
      <c r="H40" s="132"/>
      <c r="I40" s="250" t="str">
        <f t="shared" si="1"/>
        <v>Measure 28</v>
      </c>
      <c r="J40" s="251"/>
      <c r="K40" s="260"/>
      <c r="L40" s="242">
        <f t="shared" si="2"/>
        <v>0</v>
      </c>
      <c r="M40" s="257">
        <v>0</v>
      </c>
      <c r="N40" s="257">
        <v>0</v>
      </c>
      <c r="O40" s="244">
        <f t="shared" si="4"/>
        <v>0</v>
      </c>
      <c r="P40" s="245">
        <f t="shared" si="7"/>
        <v>0</v>
      </c>
      <c r="Q40" s="245">
        <f t="shared" si="7"/>
        <v>0</v>
      </c>
      <c r="R40" s="246">
        <f t="shared" si="7"/>
        <v>0</v>
      </c>
      <c r="T40" s="4891"/>
    </row>
    <row r="41" spans="2:20">
      <c r="B41" s="254"/>
      <c r="C41" s="255" t="s">
        <v>141</v>
      </c>
      <c r="D41" s="256">
        <v>0</v>
      </c>
      <c r="E41" s="256"/>
      <c r="F41" s="249">
        <f t="shared" si="8"/>
        <v>0</v>
      </c>
      <c r="H41" s="132"/>
      <c r="I41" s="250" t="str">
        <f t="shared" si="1"/>
        <v>Measure 29</v>
      </c>
      <c r="J41" s="251"/>
      <c r="K41" s="260"/>
      <c r="L41" s="242">
        <f t="shared" si="2"/>
        <v>0</v>
      </c>
      <c r="M41" s="257">
        <v>0</v>
      </c>
      <c r="N41" s="257">
        <v>0</v>
      </c>
      <c r="O41" s="244">
        <f t="shared" si="4"/>
        <v>0</v>
      </c>
      <c r="P41" s="245">
        <f t="shared" si="7"/>
        <v>0</v>
      </c>
      <c r="Q41" s="245">
        <f t="shared" si="7"/>
        <v>0</v>
      </c>
      <c r="R41" s="246">
        <f t="shared" si="7"/>
        <v>0</v>
      </c>
      <c r="T41" s="4891"/>
    </row>
    <row r="42" spans="2:20" ht="13.5" thickBot="1">
      <c r="B42" s="254"/>
      <c r="C42" s="255" t="s">
        <v>142</v>
      </c>
      <c r="D42" s="256">
        <v>0</v>
      </c>
      <c r="E42" s="256"/>
      <c r="F42" s="249">
        <f t="shared" si="8"/>
        <v>0</v>
      </c>
      <c r="H42" s="132"/>
      <c r="I42" s="250" t="str">
        <f t="shared" si="1"/>
        <v>Measure 30</v>
      </c>
      <c r="J42" s="251"/>
      <c r="K42" s="260"/>
      <c r="L42" s="242">
        <f t="shared" si="2"/>
        <v>0</v>
      </c>
      <c r="M42" s="257">
        <v>0</v>
      </c>
      <c r="N42" s="257">
        <v>0</v>
      </c>
      <c r="O42" s="244">
        <f t="shared" si="4"/>
        <v>0</v>
      </c>
      <c r="P42" s="245">
        <f t="shared" si="7"/>
        <v>0</v>
      </c>
      <c r="Q42" s="245">
        <f t="shared" si="7"/>
        <v>0</v>
      </c>
      <c r="R42" s="246">
        <f t="shared" si="7"/>
        <v>0</v>
      </c>
      <c r="T42" s="4891"/>
    </row>
    <row r="43" spans="2:20" ht="13.5" thickBot="1">
      <c r="B43" s="262">
        <v>0</v>
      </c>
      <c r="C43" s="236" t="s">
        <v>148</v>
      </c>
      <c r="D43" s="237">
        <f>SUM(D44:D47)</f>
        <v>0</v>
      </c>
      <c r="E43" s="237">
        <f>SUM(E44:E47)</f>
        <v>0</v>
      </c>
      <c r="F43" s="238">
        <f>D43+E43</f>
        <v>0</v>
      </c>
      <c r="H43" s="132"/>
      <c r="I43" s="250" t="str">
        <f t="shared" si="1"/>
        <v>Measure 31</v>
      </c>
      <c r="J43" s="251"/>
      <c r="K43" s="260"/>
      <c r="L43" s="242">
        <f t="shared" si="2"/>
        <v>0</v>
      </c>
      <c r="M43" s="257">
        <v>0</v>
      </c>
      <c r="N43" s="257">
        <v>0</v>
      </c>
      <c r="O43" s="244">
        <f t="shared" si="4"/>
        <v>0</v>
      </c>
      <c r="P43" s="245">
        <f t="shared" si="7"/>
        <v>0</v>
      </c>
      <c r="Q43" s="245">
        <f t="shared" si="7"/>
        <v>0</v>
      </c>
      <c r="R43" s="246">
        <f t="shared" si="7"/>
        <v>0</v>
      </c>
      <c r="T43" s="4891"/>
    </row>
    <row r="44" spans="2:20">
      <c r="B44" s="254"/>
      <c r="C44" s="255" t="s">
        <v>139</v>
      </c>
      <c r="D44" s="256">
        <v>0</v>
      </c>
      <c r="E44" s="256"/>
      <c r="F44" s="249">
        <f t="shared" si="8"/>
        <v>0</v>
      </c>
      <c r="H44" s="132"/>
      <c r="I44" s="250" t="str">
        <f t="shared" si="1"/>
        <v>Measure 32</v>
      </c>
      <c r="J44" s="251"/>
      <c r="K44" s="260"/>
      <c r="L44" s="242">
        <f t="shared" si="2"/>
        <v>0</v>
      </c>
      <c r="M44" s="257">
        <v>0</v>
      </c>
      <c r="N44" s="257">
        <v>0</v>
      </c>
      <c r="O44" s="244">
        <f t="shared" si="4"/>
        <v>0</v>
      </c>
      <c r="P44" s="245">
        <f t="shared" si="7"/>
        <v>0</v>
      </c>
      <c r="Q44" s="245">
        <f t="shared" si="7"/>
        <v>0</v>
      </c>
      <c r="R44" s="246">
        <f t="shared" si="7"/>
        <v>0</v>
      </c>
      <c r="T44" s="4891"/>
    </row>
    <row r="45" spans="2:20">
      <c r="B45" s="254"/>
      <c r="C45" s="255" t="s">
        <v>140</v>
      </c>
      <c r="D45" s="256">
        <v>0</v>
      </c>
      <c r="E45" s="256"/>
      <c r="F45" s="249">
        <f t="shared" si="8"/>
        <v>0</v>
      </c>
      <c r="H45" s="132"/>
      <c r="I45" s="250" t="str">
        <f t="shared" si="1"/>
        <v>Measure 33</v>
      </c>
      <c r="J45" s="251"/>
      <c r="K45" s="260"/>
      <c r="L45" s="242">
        <f t="shared" si="2"/>
        <v>0</v>
      </c>
      <c r="M45" s="257">
        <v>0</v>
      </c>
      <c r="N45" s="257">
        <v>0</v>
      </c>
      <c r="O45" s="244">
        <f t="shared" si="4"/>
        <v>0</v>
      </c>
      <c r="P45" s="245">
        <f t="shared" ref="P45:R54" si="9">M45*$D95</f>
        <v>0</v>
      </c>
      <c r="Q45" s="245">
        <f t="shared" si="9"/>
        <v>0</v>
      </c>
      <c r="R45" s="246">
        <f t="shared" si="9"/>
        <v>0</v>
      </c>
      <c r="T45" s="4891"/>
    </row>
    <row r="46" spans="2:20">
      <c r="B46" s="254"/>
      <c r="C46" s="255" t="s">
        <v>141</v>
      </c>
      <c r="D46" s="256">
        <v>0</v>
      </c>
      <c r="E46" s="256"/>
      <c r="F46" s="249">
        <f t="shared" si="8"/>
        <v>0</v>
      </c>
      <c r="H46" s="132"/>
      <c r="I46" s="250" t="str">
        <f t="shared" si="1"/>
        <v>Measure 34</v>
      </c>
      <c r="J46" s="251"/>
      <c r="K46" s="260"/>
      <c r="L46" s="242">
        <f t="shared" si="2"/>
        <v>0</v>
      </c>
      <c r="M46" s="257">
        <v>0</v>
      </c>
      <c r="N46" s="257">
        <v>0</v>
      </c>
      <c r="O46" s="244">
        <f t="shared" si="4"/>
        <v>0</v>
      </c>
      <c r="P46" s="245">
        <f t="shared" si="9"/>
        <v>0</v>
      </c>
      <c r="Q46" s="245">
        <f t="shared" si="9"/>
        <v>0</v>
      </c>
      <c r="R46" s="246">
        <f t="shared" si="9"/>
        <v>0</v>
      </c>
      <c r="T46" s="4891"/>
    </row>
    <row r="47" spans="2:20" ht="13.5" thickBot="1">
      <c r="B47" s="254"/>
      <c r="C47" s="255" t="s">
        <v>142</v>
      </c>
      <c r="D47" s="256">
        <v>0</v>
      </c>
      <c r="E47" s="256"/>
      <c r="F47" s="249">
        <f t="shared" si="8"/>
        <v>0</v>
      </c>
      <c r="H47" s="132"/>
      <c r="I47" s="250" t="str">
        <f t="shared" si="1"/>
        <v>Measure 35</v>
      </c>
      <c r="J47" s="251"/>
      <c r="K47" s="260"/>
      <c r="L47" s="242">
        <f t="shared" si="2"/>
        <v>0</v>
      </c>
      <c r="M47" s="257">
        <v>0</v>
      </c>
      <c r="N47" s="257">
        <v>0</v>
      </c>
      <c r="O47" s="244">
        <f t="shared" si="4"/>
        <v>0</v>
      </c>
      <c r="P47" s="245">
        <f t="shared" si="9"/>
        <v>0</v>
      </c>
      <c r="Q47" s="245">
        <f t="shared" si="9"/>
        <v>0</v>
      </c>
      <c r="R47" s="246">
        <f t="shared" si="9"/>
        <v>0</v>
      </c>
      <c r="T47" s="4891"/>
    </row>
    <row r="48" spans="2:20" ht="13.5" thickBot="1">
      <c r="B48" s="262">
        <v>0</v>
      </c>
      <c r="C48" s="236" t="s">
        <v>149</v>
      </c>
      <c r="D48" s="237">
        <f>SUM(D49:D52)</f>
        <v>0</v>
      </c>
      <c r="E48" s="237">
        <f>SUM(E49:E52)</f>
        <v>0</v>
      </c>
      <c r="F48" s="238">
        <f>D48+E48</f>
        <v>0</v>
      </c>
      <c r="H48" s="132"/>
      <c r="I48" s="250" t="str">
        <f t="shared" si="1"/>
        <v>Measure 36</v>
      </c>
      <c r="J48" s="251"/>
      <c r="K48" s="260"/>
      <c r="L48" s="242">
        <f t="shared" si="2"/>
        <v>0</v>
      </c>
      <c r="M48" s="257">
        <v>0</v>
      </c>
      <c r="N48" s="257">
        <v>0</v>
      </c>
      <c r="O48" s="244">
        <f t="shared" si="4"/>
        <v>0</v>
      </c>
      <c r="P48" s="245">
        <f t="shared" si="9"/>
        <v>0</v>
      </c>
      <c r="Q48" s="245">
        <f t="shared" si="9"/>
        <v>0</v>
      </c>
      <c r="R48" s="246">
        <f t="shared" si="9"/>
        <v>0</v>
      </c>
      <c r="T48" s="4891"/>
    </row>
    <row r="49" spans="2:24">
      <c r="B49" s="254"/>
      <c r="C49" s="255" t="s">
        <v>139</v>
      </c>
      <c r="D49" s="256">
        <v>0</v>
      </c>
      <c r="E49" s="256"/>
      <c r="F49" s="249">
        <f t="shared" si="8"/>
        <v>0</v>
      </c>
      <c r="H49" s="132"/>
      <c r="I49" s="250" t="str">
        <f t="shared" si="1"/>
        <v>Measure 37</v>
      </c>
      <c r="J49" s="251"/>
      <c r="K49" s="260"/>
      <c r="L49" s="242">
        <f t="shared" si="2"/>
        <v>0</v>
      </c>
      <c r="M49" s="257">
        <v>0</v>
      </c>
      <c r="N49" s="257">
        <v>0</v>
      </c>
      <c r="O49" s="244">
        <f t="shared" si="4"/>
        <v>0</v>
      </c>
      <c r="P49" s="245">
        <f t="shared" si="9"/>
        <v>0</v>
      </c>
      <c r="Q49" s="245">
        <f t="shared" si="9"/>
        <v>0</v>
      </c>
      <c r="R49" s="246">
        <f t="shared" si="9"/>
        <v>0</v>
      </c>
      <c r="T49" s="4891"/>
    </row>
    <row r="50" spans="2:24">
      <c r="B50" s="254"/>
      <c r="C50" s="255" t="s">
        <v>140</v>
      </c>
      <c r="D50" s="256">
        <v>0</v>
      </c>
      <c r="E50" s="256"/>
      <c r="F50" s="249">
        <f t="shared" si="8"/>
        <v>0</v>
      </c>
      <c r="I50" s="250" t="str">
        <f t="shared" si="1"/>
        <v>Measure 38</v>
      </c>
      <c r="J50" s="251"/>
      <c r="K50" s="252"/>
      <c r="L50" s="242">
        <f t="shared" si="2"/>
        <v>0</v>
      </c>
      <c r="M50" s="257">
        <v>0</v>
      </c>
      <c r="N50" s="257">
        <v>0</v>
      </c>
      <c r="O50" s="244">
        <f t="shared" si="4"/>
        <v>0</v>
      </c>
      <c r="P50" s="245">
        <f t="shared" si="9"/>
        <v>0</v>
      </c>
      <c r="Q50" s="245">
        <f t="shared" si="9"/>
        <v>0</v>
      </c>
      <c r="R50" s="246">
        <f t="shared" si="9"/>
        <v>0</v>
      </c>
      <c r="T50" s="4891"/>
    </row>
    <row r="51" spans="2:24">
      <c r="B51" s="254"/>
      <c r="C51" s="255" t="s">
        <v>141</v>
      </c>
      <c r="D51" s="256">
        <v>0</v>
      </c>
      <c r="E51" s="256"/>
      <c r="F51" s="249">
        <f t="shared" si="8"/>
        <v>0</v>
      </c>
      <c r="I51" s="250" t="str">
        <f t="shared" si="1"/>
        <v>Measure 39</v>
      </c>
      <c r="J51" s="251"/>
      <c r="K51" s="252"/>
      <c r="L51" s="242">
        <f t="shared" si="2"/>
        <v>0</v>
      </c>
      <c r="M51" s="257">
        <v>0</v>
      </c>
      <c r="N51" s="257">
        <v>0</v>
      </c>
      <c r="O51" s="244">
        <f t="shared" si="4"/>
        <v>0</v>
      </c>
      <c r="P51" s="245">
        <f t="shared" si="9"/>
        <v>0</v>
      </c>
      <c r="Q51" s="245">
        <f t="shared" si="9"/>
        <v>0</v>
      </c>
      <c r="R51" s="246">
        <f t="shared" si="9"/>
        <v>0</v>
      </c>
      <c r="T51" s="4891"/>
    </row>
    <row r="52" spans="2:24" ht="13.5" thickBot="1">
      <c r="B52" s="254"/>
      <c r="C52" s="255" t="s">
        <v>142</v>
      </c>
      <c r="D52" s="256">
        <v>0</v>
      </c>
      <c r="E52" s="256"/>
      <c r="F52" s="249">
        <f t="shared" si="8"/>
        <v>0</v>
      </c>
      <c r="I52" s="250" t="str">
        <f t="shared" si="1"/>
        <v>Measure 40</v>
      </c>
      <c r="J52" s="251"/>
      <c r="K52" s="252"/>
      <c r="L52" s="242">
        <f t="shared" si="2"/>
        <v>0</v>
      </c>
      <c r="M52" s="257">
        <v>0</v>
      </c>
      <c r="N52" s="257">
        <v>0</v>
      </c>
      <c r="O52" s="244">
        <f t="shared" si="4"/>
        <v>0</v>
      </c>
      <c r="P52" s="245">
        <f t="shared" si="9"/>
        <v>0</v>
      </c>
      <c r="Q52" s="245">
        <f t="shared" si="9"/>
        <v>0</v>
      </c>
      <c r="R52" s="246">
        <f t="shared" si="9"/>
        <v>0</v>
      </c>
      <c r="T52" s="4891"/>
    </row>
    <row r="53" spans="2:24" ht="13.5" thickBot="1">
      <c r="B53" s="262">
        <v>0</v>
      </c>
      <c r="C53" s="236" t="s">
        <v>150</v>
      </c>
      <c r="D53" s="237">
        <f>S105</f>
        <v>0</v>
      </c>
      <c r="E53" s="237">
        <f>T105</f>
        <v>0</v>
      </c>
      <c r="F53" s="238">
        <f>U105</f>
        <v>0</v>
      </c>
      <c r="G53" s="261" t="s">
        <v>151</v>
      </c>
      <c r="I53" s="250" t="str">
        <f t="shared" si="1"/>
        <v>Measure 41</v>
      </c>
      <c r="J53" s="251"/>
      <c r="K53" s="252"/>
      <c r="L53" s="242">
        <f t="shared" si="2"/>
        <v>0</v>
      </c>
      <c r="M53" s="257">
        <v>0</v>
      </c>
      <c r="N53" s="257">
        <v>0</v>
      </c>
      <c r="O53" s="244">
        <f t="shared" si="4"/>
        <v>0</v>
      </c>
      <c r="P53" s="245">
        <f t="shared" si="9"/>
        <v>0</v>
      </c>
      <c r="Q53" s="245">
        <f t="shared" si="9"/>
        <v>0</v>
      </c>
      <c r="R53" s="246">
        <f t="shared" si="9"/>
        <v>0</v>
      </c>
      <c r="T53" s="4891"/>
    </row>
    <row r="54" spans="2:24" ht="13.5" thickBot="1">
      <c r="B54" s="262">
        <v>0</v>
      </c>
      <c r="C54" s="236" t="s">
        <v>152</v>
      </c>
      <c r="D54" s="237">
        <v>0</v>
      </c>
      <c r="E54" s="237">
        <v>0</v>
      </c>
      <c r="F54" s="238">
        <v>0</v>
      </c>
      <c r="I54" s="250" t="str">
        <f t="shared" si="1"/>
        <v>Measure 42</v>
      </c>
      <c r="J54" s="251"/>
      <c r="K54" s="252"/>
      <c r="L54" s="242">
        <f t="shared" si="2"/>
        <v>0</v>
      </c>
      <c r="M54" s="257">
        <v>0</v>
      </c>
      <c r="N54" s="257">
        <v>0</v>
      </c>
      <c r="O54" s="244">
        <f t="shared" si="4"/>
        <v>0</v>
      </c>
      <c r="P54" s="245">
        <f t="shared" si="9"/>
        <v>0</v>
      </c>
      <c r="Q54" s="245">
        <f t="shared" si="9"/>
        <v>0</v>
      </c>
      <c r="R54" s="246">
        <f t="shared" si="9"/>
        <v>0</v>
      </c>
      <c r="T54" s="4891"/>
    </row>
    <row r="55" spans="2:24">
      <c r="B55" s="263">
        <f>B13+B18+B23+B28+B33+B38+B43+B48+B53+B54</f>
        <v>0</v>
      </c>
      <c r="C55" s="264" t="s">
        <v>153</v>
      </c>
      <c r="D55" s="263">
        <f>D13+D18+D23+D28+D33+D38+D43+D48+D53+D54</f>
        <v>0</v>
      </c>
      <c r="E55" s="263">
        <f>E13+E18+E23+E28+E33+E38+E43+E48+E53+E54</f>
        <v>0</v>
      </c>
      <c r="F55" s="263">
        <f>F13+F18+F23+F28+F33+F38+F43+F48+F53+F54</f>
        <v>0</v>
      </c>
      <c r="P55" s="265">
        <f>SUM(P13:P54)</f>
        <v>0</v>
      </c>
      <c r="Q55" s="265">
        <f>SUM(Q13:Q54)</f>
        <v>0</v>
      </c>
      <c r="R55" s="265">
        <f>SUM(R13:R54)</f>
        <v>0</v>
      </c>
      <c r="T55" s="4892"/>
    </row>
    <row r="56" spans="2:24">
      <c r="C56" s="264"/>
      <c r="D56" s="263"/>
      <c r="E56" s="263"/>
      <c r="F56" s="263"/>
      <c r="T56" s="3535"/>
    </row>
    <row r="57" spans="2:24">
      <c r="C57" s="264" t="s">
        <v>154</v>
      </c>
      <c r="D57" s="263">
        <f>D55-D53</f>
        <v>0</v>
      </c>
      <c r="E57" s="263">
        <f>E55-E53</f>
        <v>0</v>
      </c>
      <c r="F57" s="263">
        <f>F55-F53</f>
        <v>0</v>
      </c>
    </row>
    <row r="58" spans="2:24">
      <c r="C58" s="264" t="s">
        <v>155</v>
      </c>
      <c r="D58" s="266">
        <f>D53</f>
        <v>0</v>
      </c>
      <c r="E58" s="266">
        <f>E53</f>
        <v>0</v>
      </c>
      <c r="F58" s="266">
        <f>F53</f>
        <v>0</v>
      </c>
      <c r="G58" s="319" t="e">
        <f>F58/(F57+F58)</f>
        <v>#DIV/0!</v>
      </c>
      <c r="H58" s="268" t="s">
        <v>156</v>
      </c>
    </row>
    <row r="59" spans="2:24" ht="13.5" thickBot="1"/>
    <row r="60" spans="2:24" ht="16.5" thickBot="1">
      <c r="B60" s="269" t="s">
        <v>157</v>
      </c>
      <c r="C60" s="270"/>
      <c r="D60" s="5130" t="s">
        <v>158</v>
      </c>
      <c r="E60" s="5131"/>
      <c r="F60" s="5131"/>
      <c r="G60" s="5131"/>
      <c r="H60" s="5131"/>
      <c r="K60" s="271"/>
    </row>
    <row r="61" spans="2:24"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4" ht="13.5" thickBot="1">
      <c r="B62" s="272" t="s">
        <v>162</v>
      </c>
      <c r="C62" s="273" t="s">
        <v>129</v>
      </c>
      <c r="D62" s="273" t="s">
        <v>130</v>
      </c>
      <c r="E62" s="273" t="s">
        <v>163</v>
      </c>
      <c r="F62" s="273" t="s">
        <v>164</v>
      </c>
      <c r="G62" s="273" t="s">
        <v>165</v>
      </c>
      <c r="H62" s="273" t="s">
        <v>166</v>
      </c>
      <c r="I62" s="273" t="s">
        <v>167</v>
      </c>
      <c r="J62" s="273" t="s">
        <v>168</v>
      </c>
      <c r="K62" s="274" t="s">
        <v>169</v>
      </c>
      <c r="L62" s="275" t="s">
        <v>170</v>
      </c>
      <c r="M62" s="276" t="s">
        <v>171</v>
      </c>
      <c r="N62" s="276" t="s">
        <v>172</v>
      </c>
      <c r="O62" s="276" t="s">
        <v>173</v>
      </c>
      <c r="P62" s="277" t="s">
        <v>174</v>
      </c>
      <c r="Q62" s="277" t="s">
        <v>175</v>
      </c>
      <c r="R62" s="277" t="s">
        <v>176</v>
      </c>
      <c r="S62" s="204" t="s">
        <v>177</v>
      </c>
      <c r="T62" s="204" t="s">
        <v>178</v>
      </c>
      <c r="U62" s="205" t="s">
        <v>179</v>
      </c>
      <c r="V62" s="204" t="s">
        <v>115</v>
      </c>
      <c r="W62" s="204" t="s">
        <v>12</v>
      </c>
      <c r="X62" s="205" t="s">
        <v>116</v>
      </c>
    </row>
    <row r="63" spans="2:24">
      <c r="B63" s="257"/>
      <c r="C63" s="282" t="s">
        <v>368</v>
      </c>
      <c r="D63" s="257">
        <v>0</v>
      </c>
      <c r="E63" s="257" t="s">
        <v>181</v>
      </c>
      <c r="F63" s="282" t="s">
        <v>186</v>
      </c>
      <c r="G63" s="283"/>
      <c r="H63" s="283"/>
      <c r="I63" s="311">
        <v>0</v>
      </c>
      <c r="J63" s="257"/>
      <c r="K63" s="257"/>
      <c r="L63" s="278" t="e">
        <f>P63/N63</f>
        <v>#REF!</v>
      </c>
      <c r="M63" s="278" t="e">
        <f>P63/O63</f>
        <v>#REF!</v>
      </c>
      <c r="N63" s="279" t="e">
        <f t="shared" ref="N63:N105" si="10">((($I63*$F$57)+$U63)/$R13)*$R63</f>
        <v>#DIV/0!</v>
      </c>
      <c r="O63" s="279" t="e">
        <f t="shared" ref="O63:O104" si="11">((($I63*$F$57)+$G63*$O13)/$R13)*$R63</f>
        <v>#DIV/0!</v>
      </c>
      <c r="P63" s="279" t="e">
        <f>HLOOKUP(K63,'[1]E-CESTDWO'!$A$5:$M$35,'[1]18230409'!I62+1,FALSE)</f>
        <v>#REF!</v>
      </c>
      <c r="Q63" s="279" t="e">
        <f>HLOOKUP(K63,'[1]E-CESTD'!$A$5:$M$35,'[1]18230409'!I62+1,FALSE)</f>
        <v>#REF!</v>
      </c>
      <c r="R63" s="279" t="e">
        <f>VLOOKUP(J63,[1]LFCR!$C$8:$D$37,2)/100</f>
        <v>#N/A</v>
      </c>
      <c r="S63" s="280">
        <f t="shared" ref="S63:U78" si="12">M13*$H63</f>
        <v>0</v>
      </c>
      <c r="T63" s="280">
        <f t="shared" si="12"/>
        <v>0</v>
      </c>
      <c r="U63" s="280">
        <f t="shared" si="12"/>
        <v>0</v>
      </c>
      <c r="V63" s="322" t="e">
        <f>U63/(U63+(I63*F$57))</f>
        <v>#DIV/0!</v>
      </c>
      <c r="W63" s="322" t="e">
        <f t="shared" ref="W63:W81" si="13">(I63*((F$18*1.63)+F$28))/(U63+(I63*F$57))</f>
        <v>#DIV/0!</v>
      </c>
      <c r="X63" s="322" t="e">
        <f>(I63*F$38)/(U63+(I63*F$57))</f>
        <v>#DIV/0!</v>
      </c>
    </row>
    <row r="64" spans="2:24">
      <c r="B64" s="282"/>
      <c r="C64" s="282" t="s">
        <v>369</v>
      </c>
      <c r="D64" s="282">
        <v>0</v>
      </c>
      <c r="E64" s="282" t="s">
        <v>181</v>
      </c>
      <c r="F64" s="282" t="s">
        <v>186</v>
      </c>
      <c r="G64" s="283"/>
      <c r="H64" s="283"/>
      <c r="I64" s="311">
        <v>0</v>
      </c>
      <c r="J64" s="257"/>
      <c r="K64" s="257"/>
      <c r="L64" s="278" t="e">
        <f t="shared" ref="L64:L104" si="14">P64/N64</f>
        <v>#REF!</v>
      </c>
      <c r="M64" s="278" t="e">
        <f t="shared" ref="M64:M104" si="15">P64/O64</f>
        <v>#REF!</v>
      </c>
      <c r="N64" s="279" t="e">
        <f t="shared" si="10"/>
        <v>#DIV/0!</v>
      </c>
      <c r="O64" s="279" t="e">
        <f t="shared" si="11"/>
        <v>#DIV/0!</v>
      </c>
      <c r="P64" s="279" t="e">
        <f>HLOOKUP(K64,'[1]E-CESTDWO'!$A$5:$M$35,'[1]18230409'!I63+1,FALSE)</f>
        <v>#REF!</v>
      </c>
      <c r="Q64" s="279" t="e">
        <f>HLOOKUP(K64,'[1]E-CESTD'!$A$5:$M$35,'[1]18230409'!I63+1,FALSE)</f>
        <v>#REF!</v>
      </c>
      <c r="R64" s="279" t="e">
        <f>VLOOKUP(J64,[1]LFCR!$C$8:$D$37,2)/100</f>
        <v>#N/A</v>
      </c>
      <c r="S64" s="280">
        <f t="shared" si="12"/>
        <v>0</v>
      </c>
      <c r="T64" s="280">
        <f t="shared" si="12"/>
        <v>0</v>
      </c>
      <c r="U64" s="280">
        <f t="shared" si="12"/>
        <v>0</v>
      </c>
      <c r="V64" s="322" t="e">
        <f t="shared" ref="V64:V81" si="16">U64/(U64+(I64*F$57))</f>
        <v>#DIV/0!</v>
      </c>
      <c r="W64" s="322" t="e">
        <f t="shared" si="13"/>
        <v>#DIV/0!</v>
      </c>
      <c r="X64" s="322" t="e">
        <f t="shared" ref="X64:X81" si="17">(I64*F$38)/(U64+(I64*F$57))</f>
        <v>#DIV/0!</v>
      </c>
    </row>
    <row r="65" spans="2:24">
      <c r="B65" s="282"/>
      <c r="C65" s="282" t="s">
        <v>370</v>
      </c>
      <c r="D65" s="282">
        <v>0</v>
      </c>
      <c r="E65" s="282" t="s">
        <v>181</v>
      </c>
      <c r="F65" s="282" t="s">
        <v>186</v>
      </c>
      <c r="G65" s="283"/>
      <c r="H65" s="283"/>
      <c r="I65" s="311">
        <v>0</v>
      </c>
      <c r="J65" s="257"/>
      <c r="K65" s="257"/>
      <c r="L65" s="278" t="e">
        <f t="shared" si="14"/>
        <v>#REF!</v>
      </c>
      <c r="M65" s="278" t="e">
        <f t="shared" si="15"/>
        <v>#REF!</v>
      </c>
      <c r="N65" s="279" t="e">
        <f t="shared" si="10"/>
        <v>#DIV/0!</v>
      </c>
      <c r="O65" s="279" t="e">
        <f t="shared" si="11"/>
        <v>#DIV/0!</v>
      </c>
      <c r="P65" s="279" t="e">
        <f>HLOOKUP(K65,'[1]E-CESTDWO'!$A$5:$M$35,'[1]18230409'!I64+1,FALSE)</f>
        <v>#REF!</v>
      </c>
      <c r="Q65" s="279" t="e">
        <f>HLOOKUP(K65,'[1]E-CESTD'!$A$5:$M$35,'[1]18230409'!I64+1,FALSE)</f>
        <v>#REF!</v>
      </c>
      <c r="R65" s="279" t="e">
        <f>VLOOKUP(J65,[1]LFCR!$C$8:$D$37,2)/100</f>
        <v>#N/A</v>
      </c>
      <c r="S65" s="280">
        <f t="shared" si="12"/>
        <v>0</v>
      </c>
      <c r="T65" s="280">
        <f t="shared" si="12"/>
        <v>0</v>
      </c>
      <c r="U65" s="280">
        <f t="shared" si="12"/>
        <v>0</v>
      </c>
      <c r="V65" s="322" t="e">
        <f t="shared" si="16"/>
        <v>#DIV/0!</v>
      </c>
      <c r="W65" s="322" t="e">
        <f t="shared" si="13"/>
        <v>#DIV/0!</v>
      </c>
      <c r="X65" s="322" t="e">
        <f t="shared" si="17"/>
        <v>#DIV/0!</v>
      </c>
    </row>
    <row r="66" spans="2:24">
      <c r="B66" s="282"/>
      <c r="C66" s="282" t="s">
        <v>188</v>
      </c>
      <c r="D66" s="282">
        <v>0</v>
      </c>
      <c r="E66" s="282" t="s">
        <v>181</v>
      </c>
      <c r="F66" s="282" t="s">
        <v>186</v>
      </c>
      <c r="G66" s="283"/>
      <c r="H66" s="283"/>
      <c r="I66" s="311">
        <v>0</v>
      </c>
      <c r="J66" s="257"/>
      <c r="K66" s="257"/>
      <c r="L66" s="278" t="e">
        <f t="shared" si="14"/>
        <v>#REF!</v>
      </c>
      <c r="M66" s="278" t="e">
        <f t="shared" si="15"/>
        <v>#REF!</v>
      </c>
      <c r="N66" s="279" t="e">
        <f t="shared" si="10"/>
        <v>#DIV/0!</v>
      </c>
      <c r="O66" s="279" t="e">
        <f t="shared" si="11"/>
        <v>#DIV/0!</v>
      </c>
      <c r="P66" s="279" t="e">
        <f>HLOOKUP(K66,'[1]E-CESTDWO'!$A$5:$M$35,'[1]18230409'!I65+1,FALSE)</f>
        <v>#REF!</v>
      </c>
      <c r="Q66" s="279" t="e">
        <f>HLOOKUP(K66,'[1]E-CESTD'!$A$5:$M$35,'[1]18230409'!I65+1,FALSE)</f>
        <v>#REF!</v>
      </c>
      <c r="R66" s="279" t="e">
        <f>VLOOKUP(J66,[1]LFCR!$C$8:$D$37,2)/100</f>
        <v>#N/A</v>
      </c>
      <c r="S66" s="280">
        <f t="shared" si="12"/>
        <v>0</v>
      </c>
      <c r="T66" s="280">
        <f t="shared" si="12"/>
        <v>0</v>
      </c>
      <c r="U66" s="280">
        <f t="shared" si="12"/>
        <v>0</v>
      </c>
      <c r="V66" s="322" t="e">
        <f t="shared" si="16"/>
        <v>#DIV/0!</v>
      </c>
      <c r="W66" s="322" t="e">
        <f t="shared" si="13"/>
        <v>#DIV/0!</v>
      </c>
      <c r="X66" s="322" t="e">
        <f t="shared" si="17"/>
        <v>#DIV/0!</v>
      </c>
    </row>
    <row r="67" spans="2:24">
      <c r="B67" s="282"/>
      <c r="C67" s="282" t="s">
        <v>189</v>
      </c>
      <c r="D67" s="282">
        <v>0</v>
      </c>
      <c r="E67" s="282" t="s">
        <v>181</v>
      </c>
      <c r="F67" s="282" t="s">
        <v>186</v>
      </c>
      <c r="G67" s="283"/>
      <c r="H67" s="283"/>
      <c r="I67" s="311">
        <v>0</v>
      </c>
      <c r="J67" s="257"/>
      <c r="K67" s="257"/>
      <c r="L67" s="278" t="e">
        <f t="shared" si="14"/>
        <v>#REF!</v>
      </c>
      <c r="M67" s="278" t="e">
        <f t="shared" si="15"/>
        <v>#REF!</v>
      </c>
      <c r="N67" s="279" t="e">
        <f t="shared" si="10"/>
        <v>#DIV/0!</v>
      </c>
      <c r="O67" s="279" t="e">
        <f t="shared" si="11"/>
        <v>#DIV/0!</v>
      </c>
      <c r="P67" s="279" t="e">
        <f>HLOOKUP(K67,'[1]E-CESTDWO'!$A$5:$M$35,'[1]18230409'!I66+1,FALSE)</f>
        <v>#REF!</v>
      </c>
      <c r="Q67" s="327" t="e">
        <f>HLOOKUP(K67,'[1]E-CESTD'!$A$5:$M$35,'[1]18230409'!I66+1,FALSE)</f>
        <v>#REF!</v>
      </c>
      <c r="R67" s="279" t="e">
        <f>VLOOKUP(J67,[1]LFCR!$C$8:$D$37,2)/100</f>
        <v>#N/A</v>
      </c>
      <c r="S67" s="280">
        <f t="shared" si="12"/>
        <v>0</v>
      </c>
      <c r="T67" s="280">
        <f t="shared" si="12"/>
        <v>0</v>
      </c>
      <c r="U67" s="280">
        <f t="shared" si="12"/>
        <v>0</v>
      </c>
      <c r="V67" s="322" t="e">
        <f t="shared" si="16"/>
        <v>#DIV/0!</v>
      </c>
      <c r="W67" s="322" t="e">
        <f t="shared" si="13"/>
        <v>#DIV/0!</v>
      </c>
      <c r="X67" s="322" t="e">
        <f t="shared" si="17"/>
        <v>#DIV/0!</v>
      </c>
    </row>
    <row r="68" spans="2:24">
      <c r="B68" s="282"/>
      <c r="C68" s="282" t="s">
        <v>190</v>
      </c>
      <c r="D68" s="282">
        <v>0</v>
      </c>
      <c r="E68" s="282" t="s">
        <v>181</v>
      </c>
      <c r="F68" s="282" t="s">
        <v>186</v>
      </c>
      <c r="G68" s="283"/>
      <c r="H68" s="283"/>
      <c r="I68" s="311">
        <v>0</v>
      </c>
      <c r="J68" s="257"/>
      <c r="K68" s="257"/>
      <c r="L68" s="278" t="e">
        <f t="shared" si="14"/>
        <v>#REF!</v>
      </c>
      <c r="M68" s="278" t="e">
        <f t="shared" si="15"/>
        <v>#REF!</v>
      </c>
      <c r="N68" s="279" t="e">
        <f t="shared" si="10"/>
        <v>#DIV/0!</v>
      </c>
      <c r="O68" s="279" t="e">
        <f t="shared" si="11"/>
        <v>#DIV/0!</v>
      </c>
      <c r="P68" s="279" t="e">
        <f>HLOOKUP(K68,'[1]E-CESTDWO'!$A$5:$M$35,'[1]18230409'!I67+1,FALSE)</f>
        <v>#REF!</v>
      </c>
      <c r="Q68" s="327" t="e">
        <f>HLOOKUP(K68,'[1]E-CESTD'!$A$5:$M$35,'[1]18230409'!I67+1,FALSE)</f>
        <v>#REF!</v>
      </c>
      <c r="R68" s="279" t="e">
        <f>VLOOKUP(J68,[1]LFCR!$C$8:$D$37,2)/100</f>
        <v>#N/A</v>
      </c>
      <c r="S68" s="280">
        <f t="shared" si="12"/>
        <v>0</v>
      </c>
      <c r="T68" s="280">
        <f t="shared" si="12"/>
        <v>0</v>
      </c>
      <c r="U68" s="280">
        <f t="shared" si="12"/>
        <v>0</v>
      </c>
      <c r="V68" s="322" t="e">
        <f t="shared" si="16"/>
        <v>#DIV/0!</v>
      </c>
      <c r="W68" s="322" t="e">
        <f t="shared" si="13"/>
        <v>#DIV/0!</v>
      </c>
      <c r="X68" s="322" t="e">
        <f t="shared" si="17"/>
        <v>#DIV/0!</v>
      </c>
    </row>
    <row r="69" spans="2:24">
      <c r="B69" s="282"/>
      <c r="C69" s="282" t="s">
        <v>191</v>
      </c>
      <c r="D69" s="282">
        <v>0</v>
      </c>
      <c r="E69" s="282" t="s">
        <v>181</v>
      </c>
      <c r="F69" s="282" t="s">
        <v>186</v>
      </c>
      <c r="G69" s="283"/>
      <c r="H69" s="283"/>
      <c r="I69" s="311">
        <v>0</v>
      </c>
      <c r="J69" s="257"/>
      <c r="K69" s="257"/>
      <c r="L69" s="278" t="e">
        <f t="shared" si="14"/>
        <v>#REF!</v>
      </c>
      <c r="M69" s="278" t="e">
        <f t="shared" si="15"/>
        <v>#REF!</v>
      </c>
      <c r="N69" s="279" t="e">
        <f t="shared" si="10"/>
        <v>#DIV/0!</v>
      </c>
      <c r="O69" s="279" t="e">
        <f t="shared" si="11"/>
        <v>#DIV/0!</v>
      </c>
      <c r="P69" s="279" t="e">
        <f>HLOOKUP(K69,'[1]E-CESTDWO'!$A$5:$M$35,'[1]18230409'!I68+1,FALSE)</f>
        <v>#REF!</v>
      </c>
      <c r="Q69" s="327" t="e">
        <f>HLOOKUP(K69,'[1]E-CESTD'!$A$5:$M$35,'[1]18230409'!I68+1,FALSE)</f>
        <v>#REF!</v>
      </c>
      <c r="R69" s="279" t="e">
        <f>VLOOKUP(J69,[1]LFCR!$C$8:$D$37,2)/100</f>
        <v>#N/A</v>
      </c>
      <c r="S69" s="280">
        <f t="shared" si="12"/>
        <v>0</v>
      </c>
      <c r="T69" s="280">
        <f t="shared" si="12"/>
        <v>0</v>
      </c>
      <c r="U69" s="280">
        <f t="shared" si="12"/>
        <v>0</v>
      </c>
      <c r="V69" s="322" t="e">
        <f t="shared" si="16"/>
        <v>#DIV/0!</v>
      </c>
      <c r="W69" s="322" t="e">
        <f t="shared" si="13"/>
        <v>#DIV/0!</v>
      </c>
      <c r="X69" s="322" t="e">
        <f t="shared" si="17"/>
        <v>#DIV/0!</v>
      </c>
    </row>
    <row r="70" spans="2:24">
      <c r="B70" s="282"/>
      <c r="C70" s="282" t="s">
        <v>192</v>
      </c>
      <c r="D70" s="282">
        <v>0</v>
      </c>
      <c r="E70" s="282" t="s">
        <v>181</v>
      </c>
      <c r="F70" s="282" t="s">
        <v>186</v>
      </c>
      <c r="G70" s="283"/>
      <c r="H70" s="283"/>
      <c r="I70" s="311">
        <v>0</v>
      </c>
      <c r="J70" s="257"/>
      <c r="K70" s="257"/>
      <c r="L70" s="278" t="e">
        <f t="shared" si="14"/>
        <v>#REF!</v>
      </c>
      <c r="M70" s="278" t="e">
        <f t="shared" si="15"/>
        <v>#REF!</v>
      </c>
      <c r="N70" s="279" t="e">
        <f t="shared" si="10"/>
        <v>#DIV/0!</v>
      </c>
      <c r="O70" s="279" t="e">
        <f t="shared" si="11"/>
        <v>#DIV/0!</v>
      </c>
      <c r="P70" s="279" t="e">
        <f>HLOOKUP(K70,'[1]E-CESTDWO'!$A$5:$M$35,'[1]18230409'!I69+1,FALSE)</f>
        <v>#REF!</v>
      </c>
      <c r="Q70" s="327" t="e">
        <f>HLOOKUP(K70,'[1]E-CESTD'!$A$5:$M$35,'[1]18230409'!I69+1,FALSE)</f>
        <v>#REF!</v>
      </c>
      <c r="R70" s="279" t="e">
        <f>VLOOKUP(J70,[1]LFCR!$C$8:$D$37,2)/100</f>
        <v>#N/A</v>
      </c>
      <c r="S70" s="280">
        <f t="shared" si="12"/>
        <v>0</v>
      </c>
      <c r="T70" s="280">
        <f t="shared" si="12"/>
        <v>0</v>
      </c>
      <c r="U70" s="280">
        <f t="shared" si="12"/>
        <v>0</v>
      </c>
      <c r="V70" s="322" t="e">
        <f t="shared" si="16"/>
        <v>#DIV/0!</v>
      </c>
      <c r="W70" s="322" t="e">
        <f t="shared" si="13"/>
        <v>#DIV/0!</v>
      </c>
      <c r="X70" s="322" t="e">
        <f t="shared" si="17"/>
        <v>#DIV/0!</v>
      </c>
    </row>
    <row r="71" spans="2:24">
      <c r="B71" s="282"/>
      <c r="C71" s="282" t="s">
        <v>193</v>
      </c>
      <c r="D71" s="282">
        <v>0</v>
      </c>
      <c r="E71" s="282" t="s">
        <v>181</v>
      </c>
      <c r="F71" s="282" t="s">
        <v>186</v>
      </c>
      <c r="G71" s="283"/>
      <c r="H71" s="283"/>
      <c r="I71" s="311">
        <v>0</v>
      </c>
      <c r="J71" s="257"/>
      <c r="K71" s="257"/>
      <c r="L71" s="278" t="e">
        <f t="shared" si="14"/>
        <v>#REF!</v>
      </c>
      <c r="M71" s="278" t="e">
        <f t="shared" si="15"/>
        <v>#REF!</v>
      </c>
      <c r="N71" s="279" t="e">
        <f t="shared" si="10"/>
        <v>#DIV/0!</v>
      </c>
      <c r="O71" s="279" t="e">
        <f t="shared" si="11"/>
        <v>#DIV/0!</v>
      </c>
      <c r="P71" s="279" t="e">
        <f>HLOOKUP(K71,'[1]E-CESTDWO'!$A$5:$M$35,'[1]18230409'!I70+1,FALSE)</f>
        <v>#REF!</v>
      </c>
      <c r="Q71" s="327" t="e">
        <f>HLOOKUP(K71,'[1]E-CESTD'!$A$5:$M$35,'[1]18230409'!I70+1,FALSE)</f>
        <v>#REF!</v>
      </c>
      <c r="R71" s="279" t="e">
        <f>VLOOKUP(J71,[1]LFCR!$C$8:$D$37,2)/100</f>
        <v>#N/A</v>
      </c>
      <c r="S71" s="280">
        <f t="shared" si="12"/>
        <v>0</v>
      </c>
      <c r="T71" s="280">
        <f t="shared" si="12"/>
        <v>0</v>
      </c>
      <c r="U71" s="280">
        <f t="shared" si="12"/>
        <v>0</v>
      </c>
      <c r="V71" s="322" t="e">
        <f t="shared" si="16"/>
        <v>#DIV/0!</v>
      </c>
      <c r="W71" s="322" t="e">
        <f t="shared" si="13"/>
        <v>#DIV/0!</v>
      </c>
      <c r="X71" s="322" t="e">
        <f t="shared" si="17"/>
        <v>#DIV/0!</v>
      </c>
    </row>
    <row r="72" spans="2:24">
      <c r="B72" s="282"/>
      <c r="C72" s="282" t="s">
        <v>194</v>
      </c>
      <c r="D72" s="282">
        <v>0</v>
      </c>
      <c r="E72" s="282" t="s">
        <v>181</v>
      </c>
      <c r="F72" s="282" t="s">
        <v>186</v>
      </c>
      <c r="G72" s="283"/>
      <c r="H72" s="283"/>
      <c r="I72" s="311">
        <v>0</v>
      </c>
      <c r="J72" s="257"/>
      <c r="K72" s="257"/>
      <c r="L72" s="278" t="e">
        <f t="shared" si="14"/>
        <v>#REF!</v>
      </c>
      <c r="M72" s="278" t="e">
        <f t="shared" si="15"/>
        <v>#REF!</v>
      </c>
      <c r="N72" s="279" t="e">
        <f t="shared" si="10"/>
        <v>#DIV/0!</v>
      </c>
      <c r="O72" s="279" t="e">
        <f t="shared" si="11"/>
        <v>#DIV/0!</v>
      </c>
      <c r="P72" s="279" t="e">
        <f>HLOOKUP(K72,'[1]E-CESTDWO'!$A$5:$M$35,'[1]18230409'!I71+1,FALSE)</f>
        <v>#REF!</v>
      </c>
      <c r="Q72" s="327" t="e">
        <f>HLOOKUP(K72,'[1]E-CESTD'!$A$5:$M$35,'[1]18230409'!I71+1,FALSE)</f>
        <v>#REF!</v>
      </c>
      <c r="R72" s="279" t="e">
        <f>VLOOKUP(J72,[1]LFCR!$C$8:$D$37,2)/100</f>
        <v>#N/A</v>
      </c>
      <c r="S72" s="280">
        <f t="shared" si="12"/>
        <v>0</v>
      </c>
      <c r="T72" s="280">
        <f t="shared" si="12"/>
        <v>0</v>
      </c>
      <c r="U72" s="280">
        <f t="shared" si="12"/>
        <v>0</v>
      </c>
      <c r="V72" s="322" t="e">
        <f t="shared" si="16"/>
        <v>#DIV/0!</v>
      </c>
      <c r="W72" s="322" t="e">
        <f t="shared" si="13"/>
        <v>#DIV/0!</v>
      </c>
      <c r="X72" s="322" t="e">
        <f t="shared" si="17"/>
        <v>#DIV/0!</v>
      </c>
    </row>
    <row r="73" spans="2:24">
      <c r="B73" s="282"/>
      <c r="C73" s="282" t="s">
        <v>195</v>
      </c>
      <c r="D73" s="282">
        <v>0</v>
      </c>
      <c r="E73" s="282" t="s">
        <v>181</v>
      </c>
      <c r="F73" s="282" t="s">
        <v>186</v>
      </c>
      <c r="G73" s="283"/>
      <c r="H73" s="283"/>
      <c r="I73" s="311">
        <v>0</v>
      </c>
      <c r="J73" s="257"/>
      <c r="K73" s="257"/>
      <c r="L73" s="278" t="e">
        <f t="shared" si="14"/>
        <v>#REF!</v>
      </c>
      <c r="M73" s="278" t="e">
        <f t="shared" si="15"/>
        <v>#REF!</v>
      </c>
      <c r="N73" s="279" t="e">
        <f t="shared" si="10"/>
        <v>#DIV/0!</v>
      </c>
      <c r="O73" s="279" t="e">
        <f t="shared" si="11"/>
        <v>#DIV/0!</v>
      </c>
      <c r="P73" s="279" t="e">
        <f>HLOOKUP(K73,'[1]E-CESTDWO'!$A$5:$M$35,'[1]18230409'!I72+1,FALSE)</f>
        <v>#REF!</v>
      </c>
      <c r="Q73" s="327" t="e">
        <f>HLOOKUP(K73,'[1]E-CESTD'!$A$5:$M$35,'[1]18230409'!I72+1,FALSE)</f>
        <v>#REF!</v>
      </c>
      <c r="R73" s="279" t="e">
        <f>VLOOKUP(J73,[1]LFCR!$C$8:$D$37,2)/100</f>
        <v>#N/A</v>
      </c>
      <c r="S73" s="280">
        <f t="shared" si="12"/>
        <v>0</v>
      </c>
      <c r="T73" s="280">
        <f t="shared" si="12"/>
        <v>0</v>
      </c>
      <c r="U73" s="280">
        <f t="shared" si="12"/>
        <v>0</v>
      </c>
      <c r="V73" s="322" t="e">
        <f t="shared" si="16"/>
        <v>#DIV/0!</v>
      </c>
      <c r="W73" s="322" t="e">
        <f t="shared" si="13"/>
        <v>#DIV/0!</v>
      </c>
      <c r="X73" s="322" t="e">
        <f t="shared" si="17"/>
        <v>#DIV/0!</v>
      </c>
    </row>
    <row r="74" spans="2:24">
      <c r="B74" s="282"/>
      <c r="C74" s="282" t="s">
        <v>196</v>
      </c>
      <c r="D74" s="282">
        <v>0</v>
      </c>
      <c r="E74" s="282" t="s">
        <v>181</v>
      </c>
      <c r="F74" s="282" t="s">
        <v>186</v>
      </c>
      <c r="G74" s="283"/>
      <c r="H74" s="283"/>
      <c r="I74" s="311">
        <v>0</v>
      </c>
      <c r="J74" s="257"/>
      <c r="K74" s="257"/>
      <c r="L74" s="278" t="e">
        <f t="shared" si="14"/>
        <v>#REF!</v>
      </c>
      <c r="M74" s="278" t="e">
        <f t="shared" si="15"/>
        <v>#REF!</v>
      </c>
      <c r="N74" s="279" t="e">
        <f t="shared" si="10"/>
        <v>#DIV/0!</v>
      </c>
      <c r="O74" s="279" t="e">
        <f t="shared" si="11"/>
        <v>#DIV/0!</v>
      </c>
      <c r="P74" s="279" t="e">
        <f>HLOOKUP(K74,'[1]E-CESTDWO'!$A$5:$M$35,'[1]18230409'!I73+1,FALSE)</f>
        <v>#REF!</v>
      </c>
      <c r="Q74" s="327" t="e">
        <f>HLOOKUP(K74,'[1]E-CESTD'!$A$5:$M$35,'[1]18230409'!I73+1,FALSE)</f>
        <v>#REF!</v>
      </c>
      <c r="R74" s="279" t="e">
        <f>VLOOKUP(J74,[1]LFCR!$C$8:$D$37,2)/100</f>
        <v>#N/A</v>
      </c>
      <c r="S74" s="280">
        <f t="shared" si="12"/>
        <v>0</v>
      </c>
      <c r="T74" s="280">
        <f t="shared" si="12"/>
        <v>0</v>
      </c>
      <c r="U74" s="280">
        <f t="shared" si="12"/>
        <v>0</v>
      </c>
      <c r="V74" s="322" t="e">
        <f t="shared" si="16"/>
        <v>#DIV/0!</v>
      </c>
      <c r="W74" s="322" t="e">
        <f t="shared" si="13"/>
        <v>#DIV/0!</v>
      </c>
      <c r="X74" s="322" t="e">
        <f t="shared" si="17"/>
        <v>#DIV/0!</v>
      </c>
    </row>
    <row r="75" spans="2:24">
      <c r="B75" s="282"/>
      <c r="C75" s="282" t="s">
        <v>197</v>
      </c>
      <c r="D75" s="282">
        <v>0</v>
      </c>
      <c r="E75" s="282" t="s">
        <v>181</v>
      </c>
      <c r="F75" s="282" t="s">
        <v>186</v>
      </c>
      <c r="G75" s="283"/>
      <c r="H75" s="283"/>
      <c r="I75" s="311">
        <v>0</v>
      </c>
      <c r="J75" s="257"/>
      <c r="K75" s="257"/>
      <c r="L75" s="278" t="e">
        <f t="shared" si="14"/>
        <v>#REF!</v>
      </c>
      <c r="M75" s="278" t="e">
        <f t="shared" si="15"/>
        <v>#REF!</v>
      </c>
      <c r="N75" s="279" t="e">
        <f t="shared" si="10"/>
        <v>#DIV/0!</v>
      </c>
      <c r="O75" s="279" t="e">
        <f t="shared" si="11"/>
        <v>#DIV/0!</v>
      </c>
      <c r="P75" s="279" t="e">
        <f>HLOOKUP(K75,'[1]E-CESTDWO'!$A$5:$M$35,'[1]18230409'!I74+1,FALSE)</f>
        <v>#REF!</v>
      </c>
      <c r="Q75" s="327" t="e">
        <f>HLOOKUP(K75,'[1]E-CESTD'!$A$5:$M$35,'[1]18230409'!I74+1,FALSE)</f>
        <v>#REF!</v>
      </c>
      <c r="R75" s="279" t="e">
        <f>VLOOKUP(J75,[1]LFCR!$C$8:$D$37,2)/100</f>
        <v>#N/A</v>
      </c>
      <c r="S75" s="280">
        <f t="shared" si="12"/>
        <v>0</v>
      </c>
      <c r="T75" s="280">
        <f t="shared" si="12"/>
        <v>0</v>
      </c>
      <c r="U75" s="280">
        <f t="shared" si="12"/>
        <v>0</v>
      </c>
      <c r="V75" s="322" t="e">
        <f t="shared" si="16"/>
        <v>#DIV/0!</v>
      </c>
      <c r="W75" s="322" t="e">
        <f t="shared" si="13"/>
        <v>#DIV/0!</v>
      </c>
      <c r="X75" s="322" t="e">
        <f t="shared" si="17"/>
        <v>#DIV/0!</v>
      </c>
    </row>
    <row r="76" spans="2:24">
      <c r="B76" s="282"/>
      <c r="C76" s="282" t="s">
        <v>198</v>
      </c>
      <c r="D76" s="282">
        <v>0</v>
      </c>
      <c r="E76" s="282" t="s">
        <v>181</v>
      </c>
      <c r="F76" s="282" t="s">
        <v>186</v>
      </c>
      <c r="G76" s="283"/>
      <c r="H76" s="283"/>
      <c r="I76" s="311">
        <v>0</v>
      </c>
      <c r="J76" s="257"/>
      <c r="K76" s="257"/>
      <c r="L76" s="278" t="e">
        <f t="shared" si="14"/>
        <v>#REF!</v>
      </c>
      <c r="M76" s="278" t="e">
        <f t="shared" si="15"/>
        <v>#REF!</v>
      </c>
      <c r="N76" s="279" t="e">
        <f t="shared" si="10"/>
        <v>#DIV/0!</v>
      </c>
      <c r="O76" s="279" t="e">
        <f t="shared" si="11"/>
        <v>#DIV/0!</v>
      </c>
      <c r="P76" s="279" t="e">
        <f>HLOOKUP(K76,'[1]E-CESTDWO'!$A$5:$M$35,'[1]18230409'!I75+1,FALSE)</f>
        <v>#REF!</v>
      </c>
      <c r="Q76" s="327" t="e">
        <f>HLOOKUP(K76,'[1]E-CESTD'!$A$5:$M$35,'[1]18230409'!I75+1,FALSE)</f>
        <v>#REF!</v>
      </c>
      <c r="R76" s="279" t="e">
        <f>VLOOKUP(J76,[1]LFCR!$C$8:$D$37,2)/100</f>
        <v>#N/A</v>
      </c>
      <c r="S76" s="280">
        <f t="shared" si="12"/>
        <v>0</v>
      </c>
      <c r="T76" s="280">
        <f t="shared" si="12"/>
        <v>0</v>
      </c>
      <c r="U76" s="280">
        <f t="shared" si="12"/>
        <v>0</v>
      </c>
      <c r="V76" s="322" t="e">
        <f t="shared" si="16"/>
        <v>#DIV/0!</v>
      </c>
      <c r="W76" s="322" t="e">
        <f t="shared" si="13"/>
        <v>#DIV/0!</v>
      </c>
      <c r="X76" s="322" t="e">
        <f t="shared" si="17"/>
        <v>#DIV/0!</v>
      </c>
    </row>
    <row r="77" spans="2:24">
      <c r="B77" s="282"/>
      <c r="C77" s="282" t="s">
        <v>199</v>
      </c>
      <c r="D77" s="282">
        <v>0</v>
      </c>
      <c r="E77" s="282" t="s">
        <v>181</v>
      </c>
      <c r="F77" s="282" t="s">
        <v>186</v>
      </c>
      <c r="G77" s="283"/>
      <c r="H77" s="283"/>
      <c r="I77" s="311">
        <v>0</v>
      </c>
      <c r="J77" s="257"/>
      <c r="K77" s="257"/>
      <c r="L77" s="278" t="e">
        <f t="shared" si="14"/>
        <v>#REF!</v>
      </c>
      <c r="M77" s="278" t="e">
        <f t="shared" si="15"/>
        <v>#REF!</v>
      </c>
      <c r="N77" s="279" t="e">
        <f t="shared" si="10"/>
        <v>#DIV/0!</v>
      </c>
      <c r="O77" s="279" t="e">
        <f t="shared" si="11"/>
        <v>#DIV/0!</v>
      </c>
      <c r="P77" s="279" t="e">
        <f>HLOOKUP(K77,'[1]E-CESTDWO'!$A$5:$M$35,'[1]18230409'!I76+1,FALSE)</f>
        <v>#REF!</v>
      </c>
      <c r="Q77" s="327" t="e">
        <f>HLOOKUP(K77,'[1]E-CESTD'!$A$5:$M$35,'[1]18230409'!I76+1,FALSE)</f>
        <v>#REF!</v>
      </c>
      <c r="R77" s="279" t="e">
        <f>VLOOKUP(J77,[1]LFCR!$C$8:$D$37,2)/100</f>
        <v>#N/A</v>
      </c>
      <c r="S77" s="280">
        <f t="shared" si="12"/>
        <v>0</v>
      </c>
      <c r="T77" s="280">
        <f t="shared" si="12"/>
        <v>0</v>
      </c>
      <c r="U77" s="280">
        <f t="shared" si="12"/>
        <v>0</v>
      </c>
      <c r="V77" s="322" t="e">
        <f t="shared" si="16"/>
        <v>#DIV/0!</v>
      </c>
      <c r="W77" s="322" t="e">
        <f t="shared" si="13"/>
        <v>#DIV/0!</v>
      </c>
      <c r="X77" s="322" t="e">
        <f t="shared" si="17"/>
        <v>#DIV/0!</v>
      </c>
    </row>
    <row r="78" spans="2:24">
      <c r="B78" s="282"/>
      <c r="C78" s="282" t="s">
        <v>200</v>
      </c>
      <c r="D78" s="282">
        <v>0</v>
      </c>
      <c r="E78" s="282" t="s">
        <v>181</v>
      </c>
      <c r="F78" s="282" t="s">
        <v>186</v>
      </c>
      <c r="G78" s="283"/>
      <c r="H78" s="283"/>
      <c r="I78" s="311">
        <v>0</v>
      </c>
      <c r="J78" s="257"/>
      <c r="K78" s="257"/>
      <c r="L78" s="278" t="e">
        <f t="shared" si="14"/>
        <v>#REF!</v>
      </c>
      <c r="M78" s="278" t="e">
        <f t="shared" si="15"/>
        <v>#REF!</v>
      </c>
      <c r="N78" s="279" t="e">
        <f t="shared" si="10"/>
        <v>#DIV/0!</v>
      </c>
      <c r="O78" s="279" t="e">
        <f t="shared" si="11"/>
        <v>#DIV/0!</v>
      </c>
      <c r="P78" s="279" t="e">
        <f>HLOOKUP(K78,'[1]E-CESTDWO'!$A$5:$M$35,'[1]18230409'!I77+1,FALSE)</f>
        <v>#REF!</v>
      </c>
      <c r="Q78" s="327" t="e">
        <f>HLOOKUP(K78,'[1]E-CESTD'!$A$5:$M$35,'[1]18230409'!I77+1,FALSE)</f>
        <v>#REF!</v>
      </c>
      <c r="R78" s="279" t="e">
        <f>VLOOKUP(J78,[1]LFCR!$C$8:$D$37,2)/100</f>
        <v>#N/A</v>
      </c>
      <c r="S78" s="280">
        <f t="shared" si="12"/>
        <v>0</v>
      </c>
      <c r="T78" s="280">
        <f t="shared" si="12"/>
        <v>0</v>
      </c>
      <c r="U78" s="280">
        <f t="shared" si="12"/>
        <v>0</v>
      </c>
      <c r="V78" s="322" t="e">
        <f t="shared" si="16"/>
        <v>#DIV/0!</v>
      </c>
      <c r="W78" s="322" t="e">
        <f t="shared" si="13"/>
        <v>#DIV/0!</v>
      </c>
      <c r="X78" s="322" t="e">
        <f t="shared" si="17"/>
        <v>#DIV/0!</v>
      </c>
    </row>
    <row r="79" spans="2:24">
      <c r="B79" s="282"/>
      <c r="C79" s="282" t="s">
        <v>201</v>
      </c>
      <c r="D79" s="282">
        <v>0</v>
      </c>
      <c r="E79" s="282" t="s">
        <v>181</v>
      </c>
      <c r="F79" s="282" t="s">
        <v>186</v>
      </c>
      <c r="G79" s="283"/>
      <c r="H79" s="283"/>
      <c r="I79" s="311">
        <v>0</v>
      </c>
      <c r="J79" s="257"/>
      <c r="K79" s="257"/>
      <c r="L79" s="278" t="e">
        <f t="shared" si="14"/>
        <v>#REF!</v>
      </c>
      <c r="M79" s="278" t="e">
        <f t="shared" si="15"/>
        <v>#REF!</v>
      </c>
      <c r="N79" s="327" t="e">
        <f t="shared" si="10"/>
        <v>#DIV/0!</v>
      </c>
      <c r="O79" s="327" t="e">
        <f t="shared" si="11"/>
        <v>#DIV/0!</v>
      </c>
      <c r="P79" s="279" t="e">
        <f>HLOOKUP(K79,'[1]E-CESTDWO'!$A$5:$M$35,'[1]18230409'!I78+1,FALSE)</f>
        <v>#REF!</v>
      </c>
      <c r="Q79" s="327" t="e">
        <f>HLOOKUP(K79,'[1]E-CESTD'!$A$5:$M$35,'[1]18230409'!I78+1,FALSE)</f>
        <v>#REF!</v>
      </c>
      <c r="R79" s="327" t="e">
        <f>VLOOKUP(J79,[1]LFCR!$C$8:$D$37,2)/100</f>
        <v>#N/A</v>
      </c>
      <c r="S79" s="280">
        <f t="shared" ref="S79:U104" si="18">M29*$H79</f>
        <v>0</v>
      </c>
      <c r="T79" s="280">
        <f t="shared" si="18"/>
        <v>0</v>
      </c>
      <c r="U79" s="280">
        <f t="shared" si="18"/>
        <v>0</v>
      </c>
      <c r="V79" s="322" t="e">
        <f t="shared" si="16"/>
        <v>#DIV/0!</v>
      </c>
      <c r="W79" s="322" t="e">
        <f t="shared" si="13"/>
        <v>#DIV/0!</v>
      </c>
      <c r="X79" s="322" t="e">
        <f t="shared" si="17"/>
        <v>#DIV/0!</v>
      </c>
    </row>
    <row r="80" spans="2:24">
      <c r="B80" s="282"/>
      <c r="C80" s="282" t="s">
        <v>202</v>
      </c>
      <c r="D80" s="282">
        <v>0</v>
      </c>
      <c r="E80" s="282" t="s">
        <v>181</v>
      </c>
      <c r="F80" s="282" t="s">
        <v>186</v>
      </c>
      <c r="G80" s="283"/>
      <c r="H80" s="283"/>
      <c r="I80" s="311">
        <v>0</v>
      </c>
      <c r="J80" s="257"/>
      <c r="K80" s="257"/>
      <c r="L80" s="278" t="e">
        <f t="shared" si="14"/>
        <v>#REF!</v>
      </c>
      <c r="M80" s="278" t="e">
        <f t="shared" si="15"/>
        <v>#REF!</v>
      </c>
      <c r="N80" s="327" t="e">
        <f t="shared" si="10"/>
        <v>#DIV/0!</v>
      </c>
      <c r="O80" s="327" t="e">
        <f t="shared" si="11"/>
        <v>#DIV/0!</v>
      </c>
      <c r="P80" s="279" t="e">
        <f>HLOOKUP(K80,'[1]E-CESTDWO'!$A$5:$M$35,'[1]18230409'!I79+1,FALSE)</f>
        <v>#REF!</v>
      </c>
      <c r="Q80" s="327" t="e">
        <f>HLOOKUP(K80,'[1]E-CESTD'!$A$5:$M$35,'[1]18230409'!I79+1,FALSE)</f>
        <v>#REF!</v>
      </c>
      <c r="R80" s="327" t="e">
        <f>VLOOKUP(J80,[1]LFCR!$C$8:$D$37,2)/100</f>
        <v>#N/A</v>
      </c>
      <c r="S80" s="280">
        <f t="shared" si="18"/>
        <v>0</v>
      </c>
      <c r="T80" s="280">
        <f t="shared" si="18"/>
        <v>0</v>
      </c>
      <c r="U80" s="280">
        <f t="shared" si="18"/>
        <v>0</v>
      </c>
      <c r="V80" s="322" t="e">
        <f t="shared" si="16"/>
        <v>#DIV/0!</v>
      </c>
      <c r="W80" s="322" t="e">
        <f t="shared" si="13"/>
        <v>#DIV/0!</v>
      </c>
      <c r="X80" s="322" t="e">
        <f t="shared" si="17"/>
        <v>#DIV/0!</v>
      </c>
    </row>
    <row r="81" spans="2:24">
      <c r="B81" s="282"/>
      <c r="C81" s="282" t="s">
        <v>203</v>
      </c>
      <c r="D81" s="282">
        <v>0</v>
      </c>
      <c r="E81" s="282" t="s">
        <v>181</v>
      </c>
      <c r="F81" s="282" t="s">
        <v>186</v>
      </c>
      <c r="G81" s="283"/>
      <c r="H81" s="283"/>
      <c r="I81" s="311">
        <v>0</v>
      </c>
      <c r="J81" s="257"/>
      <c r="K81" s="257"/>
      <c r="L81" s="278" t="e">
        <f t="shared" si="14"/>
        <v>#REF!</v>
      </c>
      <c r="M81" s="278" t="e">
        <f t="shared" si="15"/>
        <v>#REF!</v>
      </c>
      <c r="N81" s="327" t="e">
        <f t="shared" si="10"/>
        <v>#DIV/0!</v>
      </c>
      <c r="O81" s="327" t="e">
        <f t="shared" si="11"/>
        <v>#DIV/0!</v>
      </c>
      <c r="P81" s="279" t="e">
        <f>HLOOKUP(K81,'[1]E-CESTDWO'!$A$5:$M$35,'[1]18230409'!I80+1,FALSE)</f>
        <v>#REF!</v>
      </c>
      <c r="Q81" s="327" t="e">
        <f>HLOOKUP(K81,'[1]E-CESTD'!$A$5:$M$35,'[1]18230409'!I80+1,FALSE)</f>
        <v>#REF!</v>
      </c>
      <c r="R81" s="327" t="e">
        <f>VLOOKUP(J81,[1]LFCR!$C$8:$D$37,2)/100</f>
        <v>#N/A</v>
      </c>
      <c r="S81" s="280">
        <f t="shared" si="18"/>
        <v>0</v>
      </c>
      <c r="T81" s="280">
        <f t="shared" si="18"/>
        <v>0</v>
      </c>
      <c r="U81" s="280">
        <f t="shared" si="18"/>
        <v>0</v>
      </c>
      <c r="V81" s="322" t="e">
        <f t="shared" si="16"/>
        <v>#DIV/0!</v>
      </c>
      <c r="W81" s="322" t="e">
        <f t="shared" si="13"/>
        <v>#DIV/0!</v>
      </c>
      <c r="X81" s="322" t="e">
        <f t="shared" si="17"/>
        <v>#DIV/0!</v>
      </c>
    </row>
    <row r="82" spans="2:24">
      <c r="B82" s="282"/>
      <c r="C82" s="282" t="s">
        <v>204</v>
      </c>
      <c r="D82" s="282">
        <v>0</v>
      </c>
      <c r="E82" s="282" t="s">
        <v>181</v>
      </c>
      <c r="F82" s="282" t="s">
        <v>186</v>
      </c>
      <c r="G82" s="283"/>
      <c r="H82" s="283"/>
      <c r="I82" s="311">
        <v>0</v>
      </c>
      <c r="J82" s="257"/>
      <c r="K82" s="257"/>
      <c r="L82" s="278" t="e">
        <f t="shared" si="14"/>
        <v>#REF!</v>
      </c>
      <c r="M82" s="278" t="e">
        <f t="shared" si="15"/>
        <v>#REF!</v>
      </c>
      <c r="N82" s="327" t="e">
        <f t="shared" si="10"/>
        <v>#DIV/0!</v>
      </c>
      <c r="O82" s="327" t="e">
        <f t="shared" si="11"/>
        <v>#DIV/0!</v>
      </c>
      <c r="P82" s="279" t="e">
        <f>HLOOKUP(K82,'[1]E-CESTDWO'!$A$5:$M$35,'[1]18230409'!I81+1,FALSE)</f>
        <v>#REF!</v>
      </c>
      <c r="Q82" s="327" t="e">
        <f>HLOOKUP(K82,'[1]E-CESTD'!$A$5:$M$35,'[1]18230409'!I81+1,FALSE)</f>
        <v>#REF!</v>
      </c>
      <c r="R82" s="327" t="e">
        <f>VLOOKUP(J82,[1]LFCR!$C$8:$D$37,2)/100</f>
        <v>#N/A</v>
      </c>
      <c r="S82" s="280">
        <f t="shared" si="18"/>
        <v>0</v>
      </c>
      <c r="T82" s="280">
        <f t="shared" si="18"/>
        <v>0</v>
      </c>
      <c r="U82" s="280">
        <f t="shared" si="18"/>
        <v>0</v>
      </c>
    </row>
    <row r="83" spans="2:24">
      <c r="B83" s="282"/>
      <c r="C83" s="282" t="s">
        <v>205</v>
      </c>
      <c r="D83" s="285">
        <v>0</v>
      </c>
      <c r="E83" s="282" t="s">
        <v>181</v>
      </c>
      <c r="F83" s="282" t="s">
        <v>186</v>
      </c>
      <c r="G83" s="283"/>
      <c r="H83" s="283"/>
      <c r="I83" s="311">
        <v>0</v>
      </c>
      <c r="J83" s="257"/>
      <c r="K83" s="257"/>
      <c r="L83" s="278" t="e">
        <f t="shared" si="14"/>
        <v>#REF!</v>
      </c>
      <c r="M83" s="278" t="e">
        <f t="shared" si="15"/>
        <v>#REF!</v>
      </c>
      <c r="N83" s="327" t="e">
        <f t="shared" si="10"/>
        <v>#DIV/0!</v>
      </c>
      <c r="O83" s="327" t="e">
        <f t="shared" si="11"/>
        <v>#DIV/0!</v>
      </c>
      <c r="P83" s="279" t="e">
        <f>HLOOKUP(K83,'[1]E-CESTDWO'!$A$5:$M$35,'[1]18230409'!I82+1,FALSE)</f>
        <v>#REF!</v>
      </c>
      <c r="Q83" s="327" t="e">
        <f>HLOOKUP(K83,'[1]E-CESTD'!$A$5:$M$35,'[1]18230409'!I82+1,FALSE)</f>
        <v>#REF!</v>
      </c>
      <c r="R83" s="327" t="e">
        <f>VLOOKUP(J83,[1]LFCR!$C$8:$D$37,2)/100</f>
        <v>#N/A</v>
      </c>
      <c r="S83" s="280">
        <f t="shared" si="18"/>
        <v>0</v>
      </c>
      <c r="T83" s="280">
        <f t="shared" si="18"/>
        <v>0</v>
      </c>
      <c r="U83" s="280">
        <f t="shared" si="18"/>
        <v>0</v>
      </c>
    </row>
    <row r="84" spans="2:24">
      <c r="B84" s="282"/>
      <c r="C84" s="282" t="s">
        <v>206</v>
      </c>
      <c r="D84" s="285">
        <v>0</v>
      </c>
      <c r="E84" s="282" t="s">
        <v>181</v>
      </c>
      <c r="F84" s="282" t="s">
        <v>186</v>
      </c>
      <c r="G84" s="283"/>
      <c r="H84" s="283"/>
      <c r="I84" s="311">
        <v>0</v>
      </c>
      <c r="J84" s="257"/>
      <c r="K84" s="257"/>
      <c r="L84" s="278" t="e">
        <f t="shared" si="14"/>
        <v>#REF!</v>
      </c>
      <c r="M84" s="278" t="e">
        <f t="shared" si="15"/>
        <v>#REF!</v>
      </c>
      <c r="N84" s="327" t="e">
        <f t="shared" si="10"/>
        <v>#DIV/0!</v>
      </c>
      <c r="O84" s="327" t="e">
        <f t="shared" si="11"/>
        <v>#DIV/0!</v>
      </c>
      <c r="P84" s="279" t="e">
        <f>HLOOKUP(K84,'[1]E-CESTDWO'!$A$5:$M$35,'[1]18230409'!I83+1,FALSE)</f>
        <v>#REF!</v>
      </c>
      <c r="Q84" s="327" t="e">
        <f>HLOOKUP(K84,'[1]E-CESTD'!$A$5:$M$35,'[1]18230409'!I83+1,FALSE)</f>
        <v>#REF!</v>
      </c>
      <c r="R84" s="327" t="e">
        <f>VLOOKUP(J84,[1]LFCR!$C$8:$D$37,2)/100</f>
        <v>#N/A</v>
      </c>
      <c r="S84" s="280">
        <f t="shared" si="18"/>
        <v>0</v>
      </c>
      <c r="T84" s="280">
        <f t="shared" si="18"/>
        <v>0</v>
      </c>
      <c r="U84" s="280">
        <f t="shared" si="18"/>
        <v>0</v>
      </c>
    </row>
    <row r="85" spans="2:24">
      <c r="B85" s="282"/>
      <c r="C85" s="282" t="s">
        <v>207</v>
      </c>
      <c r="D85" s="285">
        <v>0</v>
      </c>
      <c r="E85" s="282" t="s">
        <v>181</v>
      </c>
      <c r="F85" s="282" t="s">
        <v>186</v>
      </c>
      <c r="G85" s="283"/>
      <c r="H85" s="283"/>
      <c r="I85" s="311">
        <v>0</v>
      </c>
      <c r="J85" s="257"/>
      <c r="K85" s="257"/>
      <c r="L85" s="278" t="e">
        <f t="shared" si="14"/>
        <v>#REF!</v>
      </c>
      <c r="M85" s="278" t="e">
        <f t="shared" si="15"/>
        <v>#REF!</v>
      </c>
      <c r="N85" s="327" t="e">
        <f t="shared" si="10"/>
        <v>#DIV/0!</v>
      </c>
      <c r="O85" s="327" t="e">
        <f t="shared" si="11"/>
        <v>#DIV/0!</v>
      </c>
      <c r="P85" s="279" t="e">
        <f>HLOOKUP(K85,'[1]E-CESTDWO'!$A$5:$M$35,'[1]18230409'!I84+1,FALSE)</f>
        <v>#REF!</v>
      </c>
      <c r="Q85" s="327" t="e">
        <f>HLOOKUP(K85,'[1]E-CESTD'!$A$5:$M$35,'[1]18230409'!I84+1,FALSE)</f>
        <v>#REF!</v>
      </c>
      <c r="R85" s="327" t="e">
        <f>VLOOKUP(J85,[1]LFCR!$C$8:$D$37,2)/100</f>
        <v>#N/A</v>
      </c>
      <c r="S85" s="280">
        <f t="shared" si="18"/>
        <v>0</v>
      </c>
      <c r="T85" s="280">
        <f t="shared" si="18"/>
        <v>0</v>
      </c>
      <c r="U85" s="280">
        <f t="shared" si="18"/>
        <v>0</v>
      </c>
    </row>
    <row r="86" spans="2:24">
      <c r="B86" s="282"/>
      <c r="C86" s="282" t="s">
        <v>208</v>
      </c>
      <c r="D86" s="285">
        <v>0</v>
      </c>
      <c r="E86" s="282" t="s">
        <v>181</v>
      </c>
      <c r="F86" s="282" t="s">
        <v>186</v>
      </c>
      <c r="G86" s="283"/>
      <c r="H86" s="283"/>
      <c r="I86" s="311">
        <v>0</v>
      </c>
      <c r="J86" s="257"/>
      <c r="K86" s="257"/>
      <c r="L86" s="278" t="e">
        <f t="shared" si="14"/>
        <v>#REF!</v>
      </c>
      <c r="M86" s="278" t="e">
        <f t="shared" si="15"/>
        <v>#REF!</v>
      </c>
      <c r="N86" s="327" t="e">
        <f t="shared" si="10"/>
        <v>#DIV/0!</v>
      </c>
      <c r="O86" s="327" t="e">
        <f t="shared" si="11"/>
        <v>#DIV/0!</v>
      </c>
      <c r="P86" s="279" t="e">
        <f>HLOOKUP(K86,'[1]E-CESTDWO'!$A$5:$M$35,'[1]18230409'!I85+1,FALSE)</f>
        <v>#REF!</v>
      </c>
      <c r="Q86" s="327" t="e">
        <f>HLOOKUP(K86,'[1]E-CESTD'!$A$5:$M$35,'[1]18230409'!I85+1,FALSE)</f>
        <v>#REF!</v>
      </c>
      <c r="R86" s="327" t="e">
        <f>VLOOKUP(J86,[1]LFCR!$C$8:$D$37,2)/100</f>
        <v>#N/A</v>
      </c>
      <c r="S86" s="280">
        <f t="shared" si="18"/>
        <v>0</v>
      </c>
      <c r="T86" s="280">
        <f t="shared" si="18"/>
        <v>0</v>
      </c>
      <c r="U86" s="280">
        <f t="shared" si="18"/>
        <v>0</v>
      </c>
    </row>
    <row r="87" spans="2:24">
      <c r="B87" s="282"/>
      <c r="C87" s="282" t="s">
        <v>209</v>
      </c>
      <c r="D87" s="285">
        <v>0</v>
      </c>
      <c r="E87" s="282" t="s">
        <v>181</v>
      </c>
      <c r="F87" s="282" t="s">
        <v>186</v>
      </c>
      <c r="G87" s="283"/>
      <c r="H87" s="283"/>
      <c r="I87" s="311">
        <v>0</v>
      </c>
      <c r="J87" s="257"/>
      <c r="K87" s="257"/>
      <c r="L87" s="278" t="e">
        <f t="shared" si="14"/>
        <v>#REF!</v>
      </c>
      <c r="M87" s="278" t="e">
        <f t="shared" si="15"/>
        <v>#REF!</v>
      </c>
      <c r="N87" s="327" t="e">
        <f t="shared" si="10"/>
        <v>#DIV/0!</v>
      </c>
      <c r="O87" s="327" t="e">
        <f t="shared" si="11"/>
        <v>#DIV/0!</v>
      </c>
      <c r="P87" s="279" t="e">
        <f>HLOOKUP(K87,'[1]E-CESTDWO'!$A$5:$M$35,'[1]18230409'!I86+1,FALSE)</f>
        <v>#REF!</v>
      </c>
      <c r="Q87" s="327" t="e">
        <f>HLOOKUP(K87,'[1]E-CESTD'!$A$5:$M$35,'[1]18230409'!I86+1,FALSE)</f>
        <v>#REF!</v>
      </c>
      <c r="R87" s="327" t="e">
        <f>VLOOKUP(J87,[1]LFCR!$C$8:$D$37,2)/100</f>
        <v>#N/A</v>
      </c>
      <c r="S87" s="280">
        <f t="shared" si="18"/>
        <v>0</v>
      </c>
      <c r="T87" s="280">
        <f t="shared" si="18"/>
        <v>0</v>
      </c>
      <c r="U87" s="280">
        <f t="shared" si="18"/>
        <v>0</v>
      </c>
    </row>
    <row r="88" spans="2:24">
      <c r="B88" s="282"/>
      <c r="C88" s="282" t="s">
        <v>210</v>
      </c>
      <c r="D88" s="285">
        <v>0</v>
      </c>
      <c r="E88" s="282" t="s">
        <v>181</v>
      </c>
      <c r="F88" s="282" t="s">
        <v>186</v>
      </c>
      <c r="G88" s="283"/>
      <c r="H88" s="283"/>
      <c r="I88" s="311">
        <v>0</v>
      </c>
      <c r="J88" s="257"/>
      <c r="K88" s="257"/>
      <c r="L88" s="278" t="e">
        <f t="shared" si="14"/>
        <v>#REF!</v>
      </c>
      <c r="M88" s="278" t="e">
        <f t="shared" si="15"/>
        <v>#REF!</v>
      </c>
      <c r="N88" s="327" t="e">
        <f t="shared" si="10"/>
        <v>#DIV/0!</v>
      </c>
      <c r="O88" s="327" t="e">
        <f t="shared" si="11"/>
        <v>#DIV/0!</v>
      </c>
      <c r="P88" s="279" t="e">
        <f>HLOOKUP(K88,'[1]E-CESTDWO'!$A$5:$M$35,'[1]18230409'!I87+1,FALSE)</f>
        <v>#REF!</v>
      </c>
      <c r="Q88" s="327" t="e">
        <f>HLOOKUP(K88,'[1]E-CESTD'!$A$5:$M$35,'[1]18230409'!I87+1,FALSE)</f>
        <v>#REF!</v>
      </c>
      <c r="R88" s="327" t="e">
        <f>VLOOKUP(J88,[1]LFCR!$C$8:$D$37,2)/100</f>
        <v>#N/A</v>
      </c>
      <c r="S88" s="280">
        <f t="shared" si="18"/>
        <v>0</v>
      </c>
      <c r="T88" s="280">
        <f t="shared" si="18"/>
        <v>0</v>
      </c>
      <c r="U88" s="280">
        <f t="shared" si="18"/>
        <v>0</v>
      </c>
    </row>
    <row r="89" spans="2:24">
      <c r="B89" s="282"/>
      <c r="C89" s="282" t="s">
        <v>211</v>
      </c>
      <c r="D89" s="285">
        <v>0</v>
      </c>
      <c r="E89" s="282" t="s">
        <v>181</v>
      </c>
      <c r="F89" s="282" t="s">
        <v>186</v>
      </c>
      <c r="G89" s="283"/>
      <c r="H89" s="283"/>
      <c r="I89" s="311">
        <v>0</v>
      </c>
      <c r="J89" s="257"/>
      <c r="K89" s="257"/>
      <c r="L89" s="278" t="e">
        <f t="shared" si="14"/>
        <v>#REF!</v>
      </c>
      <c r="M89" s="278" t="e">
        <f t="shared" si="15"/>
        <v>#REF!</v>
      </c>
      <c r="N89" s="327" t="e">
        <f t="shared" si="10"/>
        <v>#DIV/0!</v>
      </c>
      <c r="O89" s="327" t="e">
        <f t="shared" si="11"/>
        <v>#DIV/0!</v>
      </c>
      <c r="P89" s="279" t="e">
        <f>HLOOKUP(K89,'[1]E-CESTDWO'!$A$5:$M$35,'[1]18230409'!I88+1,FALSE)</f>
        <v>#REF!</v>
      </c>
      <c r="Q89" s="327" t="e">
        <f>HLOOKUP(K89,'[1]E-CESTD'!$A$5:$M$35,'[1]18230409'!I88+1,FALSE)</f>
        <v>#REF!</v>
      </c>
      <c r="R89" s="327" t="e">
        <f>VLOOKUP(J89,[1]LFCR!$C$8:$D$37,2)/100</f>
        <v>#N/A</v>
      </c>
      <c r="S89" s="280">
        <f t="shared" si="18"/>
        <v>0</v>
      </c>
      <c r="T89" s="280">
        <f t="shared" si="18"/>
        <v>0</v>
      </c>
      <c r="U89" s="280">
        <f t="shared" si="18"/>
        <v>0</v>
      </c>
    </row>
    <row r="90" spans="2:24">
      <c r="B90" s="282"/>
      <c r="C90" s="282" t="s">
        <v>212</v>
      </c>
      <c r="D90" s="285">
        <v>0</v>
      </c>
      <c r="E90" s="282" t="s">
        <v>181</v>
      </c>
      <c r="F90" s="282" t="s">
        <v>186</v>
      </c>
      <c r="G90" s="283"/>
      <c r="H90" s="283"/>
      <c r="I90" s="311">
        <v>0</v>
      </c>
      <c r="J90" s="257"/>
      <c r="K90" s="257"/>
      <c r="L90" s="278" t="e">
        <f t="shared" si="14"/>
        <v>#REF!</v>
      </c>
      <c r="M90" s="278" t="e">
        <f t="shared" si="15"/>
        <v>#REF!</v>
      </c>
      <c r="N90" s="327" t="e">
        <f t="shared" si="10"/>
        <v>#DIV/0!</v>
      </c>
      <c r="O90" s="327" t="e">
        <f t="shared" si="11"/>
        <v>#DIV/0!</v>
      </c>
      <c r="P90" s="279" t="e">
        <f>HLOOKUP(K90,'[1]E-CESTDWO'!$A$5:$M$35,'[1]18230409'!I89+1,FALSE)</f>
        <v>#REF!</v>
      </c>
      <c r="Q90" s="327" t="e">
        <f>HLOOKUP(K90,'[1]E-CESTD'!$A$5:$M$35,'[1]18230409'!I89+1,FALSE)</f>
        <v>#REF!</v>
      </c>
      <c r="R90" s="327" t="e">
        <f>VLOOKUP(J90,[1]LFCR!$C$8:$D$37,2)/100</f>
        <v>#N/A</v>
      </c>
      <c r="S90" s="280">
        <f t="shared" si="18"/>
        <v>0</v>
      </c>
      <c r="T90" s="280">
        <f t="shared" si="18"/>
        <v>0</v>
      </c>
      <c r="U90" s="280">
        <f t="shared" si="18"/>
        <v>0</v>
      </c>
    </row>
    <row r="91" spans="2:24">
      <c r="B91" s="282"/>
      <c r="C91" s="282" t="s">
        <v>213</v>
      </c>
      <c r="D91" s="285">
        <v>0</v>
      </c>
      <c r="E91" s="282" t="s">
        <v>181</v>
      </c>
      <c r="F91" s="282" t="s">
        <v>186</v>
      </c>
      <c r="G91" s="283"/>
      <c r="H91" s="283"/>
      <c r="I91" s="311">
        <v>0</v>
      </c>
      <c r="J91" s="257"/>
      <c r="K91" s="257"/>
      <c r="L91" s="278" t="e">
        <f t="shared" si="14"/>
        <v>#REF!</v>
      </c>
      <c r="M91" s="278" t="e">
        <f t="shared" si="15"/>
        <v>#REF!</v>
      </c>
      <c r="N91" s="327" t="e">
        <f t="shared" si="10"/>
        <v>#DIV/0!</v>
      </c>
      <c r="O91" s="327" t="e">
        <f t="shared" si="11"/>
        <v>#DIV/0!</v>
      </c>
      <c r="P91" s="279" t="e">
        <f>HLOOKUP(K91,'[1]E-CESTDWO'!$A$5:$M$35,'[1]18230409'!I90+1,FALSE)</f>
        <v>#REF!</v>
      </c>
      <c r="Q91" s="327" t="e">
        <f>HLOOKUP(K91,'[1]E-CESTD'!$A$5:$M$35,'[1]18230409'!I90+1,FALSE)</f>
        <v>#REF!</v>
      </c>
      <c r="R91" s="327" t="e">
        <f>VLOOKUP(J91,[1]LFCR!$C$8:$D$37,2)/100</f>
        <v>#N/A</v>
      </c>
      <c r="S91" s="280">
        <f t="shared" si="18"/>
        <v>0</v>
      </c>
      <c r="T91" s="280">
        <f t="shared" si="18"/>
        <v>0</v>
      </c>
      <c r="U91" s="280">
        <f t="shared" si="18"/>
        <v>0</v>
      </c>
    </row>
    <row r="92" spans="2:24">
      <c r="B92" s="282"/>
      <c r="C92" s="282" t="s">
        <v>214</v>
      </c>
      <c r="D92" s="285">
        <v>0</v>
      </c>
      <c r="E92" s="282" t="s">
        <v>181</v>
      </c>
      <c r="F92" s="282" t="s">
        <v>186</v>
      </c>
      <c r="G92" s="283"/>
      <c r="H92" s="283"/>
      <c r="I92" s="311">
        <v>0</v>
      </c>
      <c r="J92" s="257"/>
      <c r="K92" s="257"/>
      <c r="L92" s="278" t="e">
        <f t="shared" si="14"/>
        <v>#REF!</v>
      </c>
      <c r="M92" s="278" t="e">
        <f t="shared" si="15"/>
        <v>#REF!</v>
      </c>
      <c r="N92" s="327" t="e">
        <f t="shared" si="10"/>
        <v>#DIV/0!</v>
      </c>
      <c r="O92" s="327" t="e">
        <f t="shared" si="11"/>
        <v>#DIV/0!</v>
      </c>
      <c r="P92" s="279" t="e">
        <f>HLOOKUP(K92,'[1]E-CESTDWO'!$A$5:$M$35,'[1]18230409'!I91+1,FALSE)</f>
        <v>#REF!</v>
      </c>
      <c r="Q92" s="327" t="e">
        <f>HLOOKUP(K92,'[1]E-CESTD'!$A$5:$M$35,'[1]18230409'!I91+1,FALSE)</f>
        <v>#REF!</v>
      </c>
      <c r="R92" s="327" t="e">
        <f>VLOOKUP(J92,[1]LFCR!$C$8:$D$37,2)/100</f>
        <v>#N/A</v>
      </c>
      <c r="S92" s="280">
        <f t="shared" si="18"/>
        <v>0</v>
      </c>
      <c r="T92" s="280">
        <f t="shared" si="18"/>
        <v>0</v>
      </c>
      <c r="U92" s="280">
        <f t="shared" si="18"/>
        <v>0</v>
      </c>
    </row>
    <row r="93" spans="2:24">
      <c r="B93" s="282"/>
      <c r="C93" s="282" t="s">
        <v>215</v>
      </c>
      <c r="D93" s="285">
        <v>0</v>
      </c>
      <c r="E93" s="282" t="s">
        <v>181</v>
      </c>
      <c r="F93" s="282" t="s">
        <v>186</v>
      </c>
      <c r="G93" s="283"/>
      <c r="H93" s="283"/>
      <c r="I93" s="311">
        <v>0</v>
      </c>
      <c r="J93" s="257"/>
      <c r="K93" s="257"/>
      <c r="L93" s="278" t="e">
        <f t="shared" si="14"/>
        <v>#REF!</v>
      </c>
      <c r="M93" s="278" t="e">
        <f t="shared" si="15"/>
        <v>#REF!</v>
      </c>
      <c r="N93" s="327" t="e">
        <f t="shared" si="10"/>
        <v>#DIV/0!</v>
      </c>
      <c r="O93" s="327" t="e">
        <f t="shared" si="11"/>
        <v>#DIV/0!</v>
      </c>
      <c r="P93" s="279" t="e">
        <f>HLOOKUP(K93,'[1]E-CESTDWO'!$A$5:$M$35,'[1]18230409'!I92+1,FALSE)</f>
        <v>#REF!</v>
      </c>
      <c r="Q93" s="327" t="e">
        <f>HLOOKUP(K93,'[1]E-CESTD'!$A$5:$M$35,'[1]18230409'!I92+1,FALSE)</f>
        <v>#REF!</v>
      </c>
      <c r="R93" s="327" t="e">
        <f>VLOOKUP(J93,[1]LFCR!$C$8:$D$37,2)/100</f>
        <v>#N/A</v>
      </c>
      <c r="S93" s="280">
        <f t="shared" si="18"/>
        <v>0</v>
      </c>
      <c r="T93" s="280">
        <f t="shared" si="18"/>
        <v>0</v>
      </c>
      <c r="U93" s="280">
        <f t="shared" si="18"/>
        <v>0</v>
      </c>
    </row>
    <row r="94" spans="2:24">
      <c r="B94" s="282"/>
      <c r="C94" s="282" t="s">
        <v>216</v>
      </c>
      <c r="D94" s="285">
        <v>0</v>
      </c>
      <c r="E94" s="282" t="s">
        <v>181</v>
      </c>
      <c r="F94" s="282" t="s">
        <v>186</v>
      </c>
      <c r="G94" s="283"/>
      <c r="H94" s="283"/>
      <c r="I94" s="311">
        <v>0</v>
      </c>
      <c r="J94" s="257"/>
      <c r="K94" s="257"/>
      <c r="L94" s="278" t="e">
        <f t="shared" si="14"/>
        <v>#REF!</v>
      </c>
      <c r="M94" s="278" t="e">
        <f t="shared" si="15"/>
        <v>#REF!</v>
      </c>
      <c r="N94" s="327" t="e">
        <f t="shared" si="10"/>
        <v>#DIV/0!</v>
      </c>
      <c r="O94" s="327" t="e">
        <f t="shared" si="11"/>
        <v>#DIV/0!</v>
      </c>
      <c r="P94" s="279" t="e">
        <f>HLOOKUP(K94,'[1]E-CESTDWO'!$A$5:$M$35,'[1]18230409'!I93+1,FALSE)</f>
        <v>#REF!</v>
      </c>
      <c r="Q94" s="327" t="e">
        <f>HLOOKUP(K94,'[1]E-CESTD'!$A$5:$M$35,'[1]18230409'!I93+1,FALSE)</f>
        <v>#REF!</v>
      </c>
      <c r="R94" s="327" t="e">
        <f>VLOOKUP(J94,[1]LFCR!$C$8:$D$37,2)/100</f>
        <v>#N/A</v>
      </c>
      <c r="S94" s="280">
        <f t="shared" si="18"/>
        <v>0</v>
      </c>
      <c r="T94" s="280">
        <f t="shared" si="18"/>
        <v>0</v>
      </c>
      <c r="U94" s="280">
        <f t="shared" si="18"/>
        <v>0</v>
      </c>
    </row>
    <row r="95" spans="2:24">
      <c r="B95" s="282"/>
      <c r="C95" s="282" t="s">
        <v>217</v>
      </c>
      <c r="D95" s="285">
        <v>0</v>
      </c>
      <c r="E95" s="282" t="s">
        <v>181</v>
      </c>
      <c r="F95" s="282" t="s">
        <v>186</v>
      </c>
      <c r="G95" s="283"/>
      <c r="H95" s="283"/>
      <c r="I95" s="311">
        <v>0</v>
      </c>
      <c r="J95" s="257"/>
      <c r="K95" s="257"/>
      <c r="L95" s="278" t="e">
        <f t="shared" si="14"/>
        <v>#REF!</v>
      </c>
      <c r="M95" s="278" t="e">
        <f t="shared" si="15"/>
        <v>#REF!</v>
      </c>
      <c r="N95" s="327" t="e">
        <f t="shared" si="10"/>
        <v>#DIV/0!</v>
      </c>
      <c r="O95" s="327" t="e">
        <f t="shared" si="11"/>
        <v>#DIV/0!</v>
      </c>
      <c r="P95" s="279" t="e">
        <f>HLOOKUP(K95,'[1]E-CESTDWO'!$A$5:$M$35,'[1]18230409'!I94+1,FALSE)</f>
        <v>#REF!</v>
      </c>
      <c r="Q95" s="327" t="e">
        <f>HLOOKUP(K95,'[1]E-CESTD'!$A$5:$M$35,'[1]18230409'!I94+1,FALSE)</f>
        <v>#REF!</v>
      </c>
      <c r="R95" s="327" t="e">
        <f>VLOOKUP(J95,[1]LFCR!$C$8:$D$37,2)/100</f>
        <v>#N/A</v>
      </c>
      <c r="S95" s="280">
        <f t="shared" si="18"/>
        <v>0</v>
      </c>
      <c r="T95" s="280">
        <f t="shared" si="18"/>
        <v>0</v>
      </c>
      <c r="U95" s="280">
        <f t="shared" si="18"/>
        <v>0</v>
      </c>
    </row>
    <row r="96" spans="2:24">
      <c r="B96" s="282"/>
      <c r="C96" s="282" t="s">
        <v>218</v>
      </c>
      <c r="D96" s="285">
        <v>0</v>
      </c>
      <c r="E96" s="282" t="s">
        <v>181</v>
      </c>
      <c r="F96" s="282" t="s">
        <v>186</v>
      </c>
      <c r="G96" s="283"/>
      <c r="H96" s="283"/>
      <c r="I96" s="311">
        <v>0</v>
      </c>
      <c r="J96" s="257"/>
      <c r="K96" s="257"/>
      <c r="L96" s="278" t="e">
        <f t="shared" si="14"/>
        <v>#REF!</v>
      </c>
      <c r="M96" s="278" t="e">
        <f t="shared" si="15"/>
        <v>#REF!</v>
      </c>
      <c r="N96" s="327" t="e">
        <f t="shared" si="10"/>
        <v>#DIV/0!</v>
      </c>
      <c r="O96" s="327" t="e">
        <f t="shared" si="11"/>
        <v>#DIV/0!</v>
      </c>
      <c r="P96" s="279" t="e">
        <f>HLOOKUP(K96,'[1]E-CESTDWO'!$A$5:$M$35,'[1]18230409'!I95+1,FALSE)</f>
        <v>#REF!</v>
      </c>
      <c r="Q96" s="327" t="e">
        <f>HLOOKUP(K96,'[1]E-CESTD'!$A$5:$M$35,'[1]18230409'!I95+1,FALSE)</f>
        <v>#REF!</v>
      </c>
      <c r="R96" s="327" t="e">
        <f>VLOOKUP(J96,[1]LFCR!$C$8:$D$37,2)/100</f>
        <v>#N/A</v>
      </c>
      <c r="S96" s="280">
        <f t="shared" si="18"/>
        <v>0</v>
      </c>
      <c r="T96" s="280">
        <f t="shared" si="18"/>
        <v>0</v>
      </c>
      <c r="U96" s="280">
        <f t="shared" si="18"/>
        <v>0</v>
      </c>
    </row>
    <row r="97" spans="2:21">
      <c r="B97" s="282"/>
      <c r="C97" s="282" t="s">
        <v>219</v>
      </c>
      <c r="D97" s="285">
        <v>0</v>
      </c>
      <c r="E97" s="282" t="s">
        <v>181</v>
      </c>
      <c r="F97" s="282" t="s">
        <v>186</v>
      </c>
      <c r="G97" s="283"/>
      <c r="H97" s="283"/>
      <c r="I97" s="311">
        <v>0</v>
      </c>
      <c r="J97" s="257"/>
      <c r="K97" s="257"/>
      <c r="L97" s="278" t="e">
        <f t="shared" si="14"/>
        <v>#REF!</v>
      </c>
      <c r="M97" s="278" t="e">
        <f t="shared" si="15"/>
        <v>#REF!</v>
      </c>
      <c r="N97" s="327" t="e">
        <f t="shared" si="10"/>
        <v>#DIV/0!</v>
      </c>
      <c r="O97" s="327" t="e">
        <f t="shared" si="11"/>
        <v>#DIV/0!</v>
      </c>
      <c r="P97" s="279" t="e">
        <f>HLOOKUP(K97,'[1]E-CESTDWO'!$A$5:$M$35,'[1]18230409'!I96+1,FALSE)</f>
        <v>#REF!</v>
      </c>
      <c r="Q97" s="327" t="e">
        <f>HLOOKUP(K97,'[1]E-CESTD'!$A$5:$M$35,'[1]18230409'!I96+1,FALSE)</f>
        <v>#REF!</v>
      </c>
      <c r="R97" s="327" t="e">
        <f>VLOOKUP(J97,[1]LFCR!$C$8:$D$37,2)/100</f>
        <v>#N/A</v>
      </c>
      <c r="S97" s="280">
        <f t="shared" si="18"/>
        <v>0</v>
      </c>
      <c r="T97" s="280">
        <f t="shared" si="18"/>
        <v>0</v>
      </c>
      <c r="U97" s="280">
        <f t="shared" si="18"/>
        <v>0</v>
      </c>
    </row>
    <row r="98" spans="2:21">
      <c r="B98" s="282"/>
      <c r="C98" s="282" t="s">
        <v>220</v>
      </c>
      <c r="D98" s="285">
        <v>0</v>
      </c>
      <c r="E98" s="282" t="s">
        <v>181</v>
      </c>
      <c r="F98" s="282" t="s">
        <v>186</v>
      </c>
      <c r="G98" s="283"/>
      <c r="H98" s="283"/>
      <c r="I98" s="311">
        <v>0</v>
      </c>
      <c r="J98" s="257"/>
      <c r="K98" s="257"/>
      <c r="L98" s="278" t="e">
        <f t="shared" si="14"/>
        <v>#REF!</v>
      </c>
      <c r="M98" s="278" t="e">
        <f t="shared" si="15"/>
        <v>#REF!</v>
      </c>
      <c r="N98" s="327" t="e">
        <f t="shared" si="10"/>
        <v>#DIV/0!</v>
      </c>
      <c r="O98" s="327" t="e">
        <f t="shared" si="11"/>
        <v>#DIV/0!</v>
      </c>
      <c r="P98" s="279" t="e">
        <f>HLOOKUP(K98,'[1]E-CESTDWO'!$A$5:$M$35,'[1]18230409'!I97+1,FALSE)</f>
        <v>#REF!</v>
      </c>
      <c r="Q98" s="327" t="e">
        <f>HLOOKUP(K98,'[1]E-CESTD'!$A$5:$M$35,'[1]18230409'!I97+1,FALSE)</f>
        <v>#REF!</v>
      </c>
      <c r="R98" s="327" t="e">
        <f>VLOOKUP(J98,[1]LFCR!$C$8:$D$37,2)/100</f>
        <v>#N/A</v>
      </c>
      <c r="S98" s="280">
        <f t="shared" si="18"/>
        <v>0</v>
      </c>
      <c r="T98" s="280">
        <f t="shared" si="18"/>
        <v>0</v>
      </c>
      <c r="U98" s="280">
        <f t="shared" si="18"/>
        <v>0</v>
      </c>
    </row>
    <row r="99" spans="2:21">
      <c r="B99" s="282"/>
      <c r="C99" s="282" t="s">
        <v>221</v>
      </c>
      <c r="D99" s="285">
        <v>0</v>
      </c>
      <c r="E99" s="282" t="s">
        <v>181</v>
      </c>
      <c r="F99" s="282" t="s">
        <v>186</v>
      </c>
      <c r="G99" s="283"/>
      <c r="H99" s="283"/>
      <c r="I99" s="311">
        <v>0</v>
      </c>
      <c r="J99" s="257"/>
      <c r="K99" s="257"/>
      <c r="L99" s="278" t="e">
        <f t="shared" si="14"/>
        <v>#REF!</v>
      </c>
      <c r="M99" s="278" t="e">
        <f t="shared" si="15"/>
        <v>#REF!</v>
      </c>
      <c r="N99" s="327" t="e">
        <f t="shared" si="10"/>
        <v>#DIV/0!</v>
      </c>
      <c r="O99" s="327" t="e">
        <f t="shared" si="11"/>
        <v>#DIV/0!</v>
      </c>
      <c r="P99" s="279" t="e">
        <f>HLOOKUP(K99,'[1]E-CESTDWO'!$A$5:$M$35,'[1]18230409'!I98+1,FALSE)</f>
        <v>#REF!</v>
      </c>
      <c r="Q99" s="327" t="e">
        <f>HLOOKUP(K99,'[1]E-CESTD'!$A$5:$M$35,'[1]18230409'!I98+1,FALSE)</f>
        <v>#REF!</v>
      </c>
      <c r="R99" s="327" t="e">
        <f>VLOOKUP(J99,[1]LFCR!$C$8:$D$37,2)/100</f>
        <v>#N/A</v>
      </c>
      <c r="S99" s="280">
        <f t="shared" si="18"/>
        <v>0</v>
      </c>
      <c r="T99" s="280">
        <f t="shared" si="18"/>
        <v>0</v>
      </c>
      <c r="U99" s="280">
        <f t="shared" si="18"/>
        <v>0</v>
      </c>
    </row>
    <row r="100" spans="2:21">
      <c r="B100" s="282"/>
      <c r="C100" s="282" t="s">
        <v>222</v>
      </c>
      <c r="D100" s="285">
        <v>0</v>
      </c>
      <c r="E100" s="282" t="s">
        <v>181</v>
      </c>
      <c r="F100" s="282" t="s">
        <v>186</v>
      </c>
      <c r="G100" s="283"/>
      <c r="H100" s="283"/>
      <c r="I100" s="311">
        <v>0</v>
      </c>
      <c r="J100" s="257"/>
      <c r="K100" s="257"/>
      <c r="L100" s="278" t="e">
        <f t="shared" si="14"/>
        <v>#REF!</v>
      </c>
      <c r="M100" s="278" t="e">
        <f t="shared" si="15"/>
        <v>#REF!</v>
      </c>
      <c r="N100" s="327" t="e">
        <f t="shared" si="10"/>
        <v>#DIV/0!</v>
      </c>
      <c r="O100" s="327" t="e">
        <f t="shared" si="11"/>
        <v>#DIV/0!</v>
      </c>
      <c r="P100" s="279" t="e">
        <f>HLOOKUP(K100,'[1]E-CESTDWO'!$A$5:$M$35,'[1]18230409'!I99+1,FALSE)</f>
        <v>#REF!</v>
      </c>
      <c r="Q100" s="327" t="e">
        <f>HLOOKUP(K100,'[1]E-CESTD'!$A$5:$M$35,'[1]18230409'!I99+1,FALSE)</f>
        <v>#REF!</v>
      </c>
      <c r="R100" s="327" t="e">
        <f>VLOOKUP(J100,[1]LFCR!$C$8:$D$37,2)/100</f>
        <v>#N/A</v>
      </c>
      <c r="S100" s="280">
        <f t="shared" si="18"/>
        <v>0</v>
      </c>
      <c r="T100" s="280">
        <f t="shared" si="18"/>
        <v>0</v>
      </c>
      <c r="U100" s="280">
        <f t="shared" si="18"/>
        <v>0</v>
      </c>
    </row>
    <row r="101" spans="2:21">
      <c r="B101" s="282"/>
      <c r="C101" s="282" t="s">
        <v>223</v>
      </c>
      <c r="D101" s="285">
        <v>0</v>
      </c>
      <c r="E101" s="282" t="s">
        <v>181</v>
      </c>
      <c r="F101" s="282" t="s">
        <v>186</v>
      </c>
      <c r="G101" s="283"/>
      <c r="H101" s="283"/>
      <c r="I101" s="311">
        <v>0</v>
      </c>
      <c r="J101" s="257"/>
      <c r="K101" s="257"/>
      <c r="L101" s="278" t="e">
        <f t="shared" si="14"/>
        <v>#REF!</v>
      </c>
      <c r="M101" s="278" t="e">
        <f t="shared" si="15"/>
        <v>#REF!</v>
      </c>
      <c r="N101" s="327" t="e">
        <f t="shared" si="10"/>
        <v>#DIV/0!</v>
      </c>
      <c r="O101" s="327" t="e">
        <f t="shared" si="11"/>
        <v>#DIV/0!</v>
      </c>
      <c r="P101" s="279" t="e">
        <f>HLOOKUP(K101,'[1]E-CESTDWO'!$A$5:$M$35,'[1]18230409'!I100+1,FALSE)</f>
        <v>#REF!</v>
      </c>
      <c r="Q101" s="327" t="e">
        <f>HLOOKUP(K101,'[1]E-CESTD'!$A$5:$M$35,'[1]18230409'!I100+1,FALSE)</f>
        <v>#REF!</v>
      </c>
      <c r="R101" s="327" t="e">
        <f>VLOOKUP(J101,[1]LFCR!$C$8:$D$37,2)/100</f>
        <v>#N/A</v>
      </c>
      <c r="S101" s="280">
        <f t="shared" si="18"/>
        <v>0</v>
      </c>
      <c r="T101" s="280">
        <f t="shared" si="18"/>
        <v>0</v>
      </c>
      <c r="U101" s="280">
        <f t="shared" si="18"/>
        <v>0</v>
      </c>
    </row>
    <row r="102" spans="2:21">
      <c r="B102" s="282"/>
      <c r="C102" s="282" t="s">
        <v>224</v>
      </c>
      <c r="D102" s="285">
        <v>0</v>
      </c>
      <c r="E102" s="282" t="s">
        <v>181</v>
      </c>
      <c r="F102" s="282" t="s">
        <v>186</v>
      </c>
      <c r="G102" s="283"/>
      <c r="H102" s="283"/>
      <c r="I102" s="311">
        <v>0</v>
      </c>
      <c r="J102" s="257"/>
      <c r="K102" s="257"/>
      <c r="L102" s="278" t="e">
        <f t="shared" si="14"/>
        <v>#REF!</v>
      </c>
      <c r="M102" s="278" t="e">
        <f t="shared" si="15"/>
        <v>#REF!</v>
      </c>
      <c r="N102" s="327" t="e">
        <f t="shared" si="10"/>
        <v>#DIV/0!</v>
      </c>
      <c r="O102" s="327" t="e">
        <f t="shared" si="11"/>
        <v>#DIV/0!</v>
      </c>
      <c r="P102" s="279" t="e">
        <f>HLOOKUP(K102,'[1]E-CESTDWO'!$A$5:$M$35,'[1]18230409'!I101+1,FALSE)</f>
        <v>#REF!</v>
      </c>
      <c r="Q102" s="327" t="e">
        <f>HLOOKUP(K102,'[1]E-CESTD'!$A$5:$M$35,'[1]18230409'!I101+1,FALSE)</f>
        <v>#REF!</v>
      </c>
      <c r="R102" s="327" t="e">
        <f>VLOOKUP(J102,[1]LFCR!$C$8:$D$37,2)/100</f>
        <v>#N/A</v>
      </c>
      <c r="S102" s="280">
        <f t="shared" si="18"/>
        <v>0</v>
      </c>
      <c r="T102" s="280">
        <f t="shared" si="18"/>
        <v>0</v>
      </c>
      <c r="U102" s="280">
        <f t="shared" si="18"/>
        <v>0</v>
      </c>
    </row>
    <row r="103" spans="2:21">
      <c r="B103" s="282"/>
      <c r="C103" s="282" t="s">
        <v>225</v>
      </c>
      <c r="D103" s="285">
        <v>0</v>
      </c>
      <c r="E103" s="282" t="s">
        <v>181</v>
      </c>
      <c r="F103" s="282" t="s">
        <v>186</v>
      </c>
      <c r="G103" s="283"/>
      <c r="H103" s="283"/>
      <c r="I103" s="311">
        <v>0</v>
      </c>
      <c r="J103" s="257"/>
      <c r="K103" s="257"/>
      <c r="L103" s="278" t="e">
        <f t="shared" si="14"/>
        <v>#REF!</v>
      </c>
      <c r="M103" s="278" t="e">
        <f t="shared" si="15"/>
        <v>#REF!</v>
      </c>
      <c r="N103" s="327" t="e">
        <f t="shared" si="10"/>
        <v>#DIV/0!</v>
      </c>
      <c r="O103" s="327" t="e">
        <f t="shared" si="11"/>
        <v>#DIV/0!</v>
      </c>
      <c r="P103" s="279" t="e">
        <f>HLOOKUP(K103,'[1]E-CESTDWO'!$A$5:$M$35,'[1]18230409'!I102+1,FALSE)</f>
        <v>#REF!</v>
      </c>
      <c r="Q103" s="327" t="e">
        <f>HLOOKUP(K103,'[1]E-CESTD'!$A$5:$M$35,'[1]18230409'!I102+1,FALSE)</f>
        <v>#REF!</v>
      </c>
      <c r="R103" s="327" t="e">
        <f>VLOOKUP(J103,[1]LFCR!$C$8:$D$37,2)/100</f>
        <v>#N/A</v>
      </c>
      <c r="S103" s="280">
        <f t="shared" si="18"/>
        <v>0</v>
      </c>
      <c r="T103" s="280">
        <f t="shared" si="18"/>
        <v>0</v>
      </c>
      <c r="U103" s="280">
        <f t="shared" si="18"/>
        <v>0</v>
      </c>
    </row>
    <row r="104" spans="2:21" ht="13.5" thickBot="1">
      <c r="B104" s="282"/>
      <c r="C104" s="282" t="s">
        <v>226</v>
      </c>
      <c r="D104" s="285">
        <v>0</v>
      </c>
      <c r="E104" s="282" t="s">
        <v>181</v>
      </c>
      <c r="F104" s="282" t="s">
        <v>186</v>
      </c>
      <c r="G104" s="283"/>
      <c r="H104" s="283"/>
      <c r="I104" s="311">
        <v>0</v>
      </c>
      <c r="J104" s="257"/>
      <c r="K104" s="257"/>
      <c r="L104" s="315" t="e">
        <f t="shared" si="14"/>
        <v>#REF!</v>
      </c>
      <c r="M104" s="315" t="e">
        <f t="shared" si="15"/>
        <v>#REF!</v>
      </c>
      <c r="N104" s="328" t="e">
        <f t="shared" si="10"/>
        <v>#DIV/0!</v>
      </c>
      <c r="O104" s="328" t="e">
        <f t="shared" si="11"/>
        <v>#DIV/0!</v>
      </c>
      <c r="P104" s="279" t="e">
        <f>HLOOKUP(K104,'[1]E-CESTDWO'!$A$5:$M$35,'[1]18230409'!I103+1,FALSE)</f>
        <v>#REF!</v>
      </c>
      <c r="Q104" s="327" t="e">
        <f>HLOOKUP(K104,'[1]E-CESTD'!$A$5:$M$35,'[1]18230409'!I103+1,FALSE)</f>
        <v>#REF!</v>
      </c>
      <c r="R104" s="328" t="e">
        <f>VLOOKUP(J104,[1]LFCR!$C$8:$D$37,2)/100</f>
        <v>#N/A</v>
      </c>
      <c r="S104" s="280">
        <f t="shared" si="18"/>
        <v>0</v>
      </c>
      <c r="T104" s="280">
        <f t="shared" si="18"/>
        <v>0</v>
      </c>
      <c r="U104" s="280">
        <f t="shared" si="18"/>
        <v>0</v>
      </c>
    </row>
    <row r="105" spans="2:21" ht="13.5" thickBot="1">
      <c r="G105" s="286">
        <f>SUMPRODUCT(G63:G104,O13:O54)</f>
        <v>0</v>
      </c>
      <c r="H105" s="287">
        <f>U105</f>
        <v>0</v>
      </c>
      <c r="I105" s="288">
        <f>SUM(I63:I104)</f>
        <v>0</v>
      </c>
      <c r="J105" s="289" t="e">
        <f>ROUND(SUMPRODUCT(J63:J104,R13:R54)/R55,0)</f>
        <v>#DIV/0!</v>
      </c>
      <c r="K105" s="264" t="s">
        <v>371</v>
      </c>
      <c r="L105" s="290" t="e">
        <f>P105/N105</f>
        <v>#DIV/0!</v>
      </c>
      <c r="M105" s="291" t="e">
        <f>P105/O105</f>
        <v>#DIV/0!</v>
      </c>
      <c r="N105" s="329" t="e">
        <f t="shared" si="10"/>
        <v>#DIV/0!</v>
      </c>
      <c r="O105" s="329" t="e">
        <f>((($I105*$F$57)+$G105)/$R55)*$R105</f>
        <v>#DIV/0!</v>
      </c>
      <c r="P105" s="329" t="e">
        <f>HLOOKUP(K105,'[1]E-CESTDWO'!$A$5:$M$35,'[1]18230409'!I104+1,FALSE)</f>
        <v>#DIV/0!</v>
      </c>
      <c r="Q105" s="293" t="e">
        <f>HLOOKUP(K105,'[1]E-CESTD'!$A$5:$M$35,'[1]18230409'!I104+1,FALSE)</f>
        <v>#DIV/0!</v>
      </c>
      <c r="R105" s="293" t="e">
        <f>VLOOKUP(J105,[1]LFCR!$C$8:$D$37,2)/100</f>
        <v>#DIV/0!</v>
      </c>
      <c r="S105" s="294">
        <f>SUM(S63:S104)</f>
        <v>0</v>
      </c>
      <c r="T105" s="294">
        <f>SUM(T63:T104)</f>
        <v>0</v>
      </c>
      <c r="U105" s="294">
        <f>SUM(U63:U104)</f>
        <v>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26" top="0.38" bottom="0.37" header="0.32" footer="0.3"/>
      <pageSetup paperSize="17" scale="52"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2"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7" right="0.26" top="0.38" bottom="0.37" header="0.32" footer="0.3"/>
  <pageSetup paperSize="17" scale="52" orientation="landscape" r:id="rId2"/>
  <drawing r:id="rId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enableFormatConditionsCalculation="0">
    <tabColor theme="3" tint="0.59999389629810485"/>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sheetView>
  </sheetViews>
  <sheetFormatPr defaultColWidth="8.85546875" defaultRowHeight="12.75"/>
  <cols>
    <col min="1" max="1" width="16.28515625" style="3064" customWidth="1"/>
    <col min="2" max="2" width="20.42578125" customWidth="1"/>
    <col min="3" max="3" width="40.42578125" customWidth="1"/>
    <col min="4" max="4" width="16.140625" style="19" customWidth="1"/>
    <col min="5" max="5" width="16.140625" customWidth="1"/>
    <col min="6" max="6" width="17.425781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7.42578125" bestFit="1" customWidth="1"/>
    <col min="17" max="17" width="20.140625" bestFit="1" customWidth="1"/>
    <col min="18" max="18" width="16.7109375" bestFit="1" customWidth="1"/>
    <col min="19" max="20" width="15.42578125" bestFit="1" customWidth="1"/>
    <col min="21" max="21" width="16.42578125" bestFit="1" customWidth="1"/>
    <col min="22" max="22" width="17.140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4.8554687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7.42578125" bestFit="1" customWidth="1"/>
    <col min="273" max="273" width="20.140625" bestFit="1"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4.8554687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7.42578125" bestFit="1" customWidth="1"/>
    <col min="529" max="529" width="20.140625" bestFit="1"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4.8554687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7.42578125" bestFit="1" customWidth="1"/>
    <col min="785" max="785" width="20.140625" bestFit="1"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4.8554687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7.42578125" bestFit="1" customWidth="1"/>
    <col min="1041" max="1041" width="20.140625" bestFit="1"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4.8554687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7.42578125" bestFit="1" customWidth="1"/>
    <col min="1297" max="1297" width="20.140625" bestFit="1"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4.8554687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7.42578125" bestFit="1" customWidth="1"/>
    <col min="1553" max="1553" width="20.140625" bestFit="1"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4.8554687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7.42578125" bestFit="1" customWidth="1"/>
    <col min="1809" max="1809" width="20.140625" bestFit="1"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4.8554687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7.42578125" bestFit="1" customWidth="1"/>
    <col min="2065" max="2065" width="20.140625" bestFit="1"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4.8554687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7.42578125" bestFit="1" customWidth="1"/>
    <col min="2321" max="2321" width="20.140625" bestFit="1"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4.8554687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7.42578125" bestFit="1" customWidth="1"/>
    <col min="2577" max="2577" width="20.140625" bestFit="1"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4.8554687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7.42578125" bestFit="1" customWidth="1"/>
    <col min="2833" max="2833" width="20.140625" bestFit="1"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4.8554687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7.42578125" bestFit="1" customWidth="1"/>
    <col min="3089" max="3089" width="20.140625" bestFit="1"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4.8554687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7.42578125" bestFit="1" customWidth="1"/>
    <col min="3345" max="3345" width="20.140625" bestFit="1"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4.8554687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7.42578125" bestFit="1" customWidth="1"/>
    <col min="3601" max="3601" width="20.140625" bestFit="1"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4.8554687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7.42578125" bestFit="1" customWidth="1"/>
    <col min="3857" max="3857" width="20.140625" bestFit="1"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4.8554687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7.42578125" bestFit="1" customWidth="1"/>
    <col min="4113" max="4113" width="20.140625" bestFit="1"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4.8554687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7.42578125" bestFit="1" customWidth="1"/>
    <col min="4369" max="4369" width="20.140625" bestFit="1"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4.8554687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7.42578125" bestFit="1" customWidth="1"/>
    <col min="4625" max="4625" width="20.140625" bestFit="1"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4.8554687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7.42578125" bestFit="1" customWidth="1"/>
    <col min="4881" max="4881" width="20.140625" bestFit="1"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4.8554687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7.42578125" bestFit="1" customWidth="1"/>
    <col min="5137" max="5137" width="20.140625" bestFit="1"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4.8554687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7.42578125" bestFit="1" customWidth="1"/>
    <col min="5393" max="5393" width="20.140625" bestFit="1"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4.8554687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7.42578125" bestFit="1" customWidth="1"/>
    <col min="5649" max="5649" width="20.140625" bestFit="1"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4.8554687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7.42578125" bestFit="1" customWidth="1"/>
    <col min="5905" max="5905" width="20.140625" bestFit="1"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4.8554687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7.42578125" bestFit="1" customWidth="1"/>
    <col min="6161" max="6161" width="20.140625" bestFit="1"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4.8554687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7.42578125" bestFit="1" customWidth="1"/>
    <col min="6417" max="6417" width="20.140625" bestFit="1"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4.8554687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7.42578125" bestFit="1" customWidth="1"/>
    <col min="6673" max="6673" width="20.140625" bestFit="1"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4.8554687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7.42578125" bestFit="1" customWidth="1"/>
    <col min="6929" max="6929" width="20.140625" bestFit="1"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4.8554687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7.42578125" bestFit="1" customWidth="1"/>
    <col min="7185" max="7185" width="20.140625" bestFit="1"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4.8554687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7.42578125" bestFit="1" customWidth="1"/>
    <col min="7441" max="7441" width="20.140625" bestFit="1"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4.8554687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7.42578125" bestFit="1" customWidth="1"/>
    <col min="7697" max="7697" width="20.140625" bestFit="1"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4.8554687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7.42578125" bestFit="1" customWidth="1"/>
    <col min="7953" max="7953" width="20.140625" bestFit="1"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4.8554687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7.42578125" bestFit="1" customWidth="1"/>
    <col min="8209" max="8209" width="20.140625" bestFit="1"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4.8554687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7.42578125" bestFit="1" customWidth="1"/>
    <col min="8465" max="8465" width="20.140625" bestFit="1"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4.8554687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7.42578125" bestFit="1" customWidth="1"/>
    <col min="8721" max="8721" width="20.140625" bestFit="1"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4.8554687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7.42578125" bestFit="1" customWidth="1"/>
    <col min="8977" max="8977" width="20.140625" bestFit="1"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4.8554687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7.42578125" bestFit="1" customWidth="1"/>
    <col min="9233" max="9233" width="20.140625" bestFit="1"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4.8554687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7.42578125" bestFit="1" customWidth="1"/>
    <col min="9489" max="9489" width="20.140625" bestFit="1"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4.8554687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7.42578125" bestFit="1" customWidth="1"/>
    <col min="9745" max="9745" width="20.140625" bestFit="1"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4.8554687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7.42578125" bestFit="1" customWidth="1"/>
    <col min="10001" max="10001" width="20.140625" bestFit="1"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4.8554687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7.42578125" bestFit="1" customWidth="1"/>
    <col min="10257" max="10257" width="20.140625" bestFit="1"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4.8554687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7.42578125" bestFit="1" customWidth="1"/>
    <col min="10513" max="10513" width="20.140625" bestFit="1"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4.8554687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7.42578125" bestFit="1" customWidth="1"/>
    <col min="10769" max="10769" width="20.140625" bestFit="1"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4.8554687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7.42578125" bestFit="1" customWidth="1"/>
    <col min="11025" max="11025" width="20.140625" bestFit="1"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4.8554687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7.42578125" bestFit="1" customWidth="1"/>
    <col min="11281" max="11281" width="20.140625" bestFit="1"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4.8554687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7.42578125" bestFit="1" customWidth="1"/>
    <col min="11537" max="11537" width="20.140625" bestFit="1"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4.8554687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7.42578125" bestFit="1" customWidth="1"/>
    <col min="11793" max="11793" width="20.140625" bestFit="1"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4.8554687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7.42578125" bestFit="1" customWidth="1"/>
    <col min="12049" max="12049" width="20.140625" bestFit="1"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4.8554687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7.42578125" bestFit="1" customWidth="1"/>
    <col min="12305" max="12305" width="20.140625" bestFit="1"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4.8554687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7.42578125" bestFit="1" customWidth="1"/>
    <col min="12561" max="12561" width="20.140625" bestFit="1"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4.8554687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7.42578125" bestFit="1" customWidth="1"/>
    <col min="12817" max="12817" width="20.140625" bestFit="1"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4.8554687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7.42578125" bestFit="1" customWidth="1"/>
    <col min="13073" max="13073" width="20.140625" bestFit="1"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4.8554687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7.42578125" bestFit="1" customWidth="1"/>
    <col min="13329" max="13329" width="20.140625" bestFit="1"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4.8554687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7.42578125" bestFit="1" customWidth="1"/>
    <col min="13585" max="13585" width="20.140625" bestFit="1"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4.8554687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7.42578125" bestFit="1" customWidth="1"/>
    <col min="13841" max="13841" width="20.140625" bestFit="1"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4.8554687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7.42578125" bestFit="1" customWidth="1"/>
    <col min="14097" max="14097" width="20.140625" bestFit="1"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4.8554687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7.42578125" bestFit="1" customWidth="1"/>
    <col min="14353" max="14353" width="20.140625" bestFit="1"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4.8554687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7.42578125" bestFit="1" customWidth="1"/>
    <col min="14609" max="14609" width="20.140625" bestFit="1"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4.8554687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7.42578125" bestFit="1" customWidth="1"/>
    <col min="14865" max="14865" width="20.140625" bestFit="1"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4.8554687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7.42578125" bestFit="1" customWidth="1"/>
    <col min="15121" max="15121" width="20.140625" bestFit="1"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4.8554687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7.42578125" bestFit="1" customWidth="1"/>
    <col min="15377" max="15377" width="20.140625" bestFit="1"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4.8554687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7.42578125" bestFit="1" customWidth="1"/>
    <col min="15633" max="15633" width="20.140625" bestFit="1"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4.8554687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7.42578125" bestFit="1" customWidth="1"/>
    <col min="15889" max="15889" width="20.140625" bestFit="1"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4.8554687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7.42578125" bestFit="1" customWidth="1"/>
    <col min="16145" max="16145" width="20.140625" bestFit="1"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5" customHeight="1" thickBot="1">
      <c r="B1" s="3461"/>
      <c r="F1" s="198"/>
      <c r="G1" s="198">
        <f>C3</f>
        <v>18230434</v>
      </c>
      <c r="H1" s="198" t="str">
        <f>C4</f>
        <v>Home Appliances</v>
      </c>
      <c r="I1" s="198"/>
    </row>
    <row r="2" spans="2:22" ht="16.5" thickBot="1">
      <c r="B2" s="198" t="s">
        <v>109</v>
      </c>
      <c r="C2" s="199" t="s">
        <v>227</v>
      </c>
      <c r="G2" s="200" t="s">
        <v>8</v>
      </c>
      <c r="Q2" s="5133"/>
      <c r="R2" s="5133"/>
      <c r="S2" s="5124" t="s">
        <v>110</v>
      </c>
      <c r="T2" s="5125"/>
      <c r="U2" s="5126"/>
      <c r="V2" s="5118" t="s">
        <v>111</v>
      </c>
    </row>
    <row r="3" spans="2:22" ht="16.5" thickBot="1">
      <c r="B3" s="199" t="s">
        <v>6</v>
      </c>
      <c r="C3" s="199">
        <v>18230434</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375</v>
      </c>
      <c r="F4" s="198">
        <v>2011</v>
      </c>
      <c r="G4" s="206">
        <f>B13</f>
        <v>94569</v>
      </c>
      <c r="H4" s="207">
        <f>B18</f>
        <v>32124</v>
      </c>
      <c r="I4" s="207">
        <f>B23</f>
        <v>79817</v>
      </c>
      <c r="J4" s="207">
        <f>B28</f>
        <v>192000</v>
      </c>
      <c r="K4" s="207">
        <f>B33</f>
        <v>1200</v>
      </c>
      <c r="L4" s="207">
        <f>B38</f>
        <v>0</v>
      </c>
      <c r="M4" s="207">
        <f>B43</f>
        <v>7092</v>
      </c>
      <c r="N4" s="207">
        <f>B48</f>
        <v>3540</v>
      </c>
      <c r="O4" s="207">
        <f>B53</f>
        <v>1186418</v>
      </c>
      <c r="P4" s="207">
        <f>B54</f>
        <v>0</v>
      </c>
      <c r="Q4" s="209">
        <f>B55</f>
        <v>1596760</v>
      </c>
      <c r="R4" s="210">
        <f>T55</f>
        <v>0</v>
      </c>
      <c r="S4" s="316">
        <f>O4/Q4</f>
        <v>0.7430158571106491</v>
      </c>
      <c r="T4" s="316">
        <f>(J4+(H4*1.63))/Q4</f>
        <v>0.15303622335228839</v>
      </c>
      <c r="U4" s="316">
        <f>L4/Q4</f>
        <v>0</v>
      </c>
      <c r="V4" s="212" t="e">
        <f>Q4/R4</f>
        <v>#DIV/0!</v>
      </c>
    </row>
    <row r="5" spans="2:22" ht="16.5" thickBot="1">
      <c r="B5" s="198" t="s">
        <v>33</v>
      </c>
      <c r="F5" s="198">
        <v>2012</v>
      </c>
      <c r="G5" s="213">
        <f>D13</f>
        <v>222336</v>
      </c>
      <c r="H5" s="214">
        <f>D18</f>
        <v>63000</v>
      </c>
      <c r="I5" s="214">
        <f>D23</f>
        <v>179761.68</v>
      </c>
      <c r="J5" s="214">
        <f>D28</f>
        <v>625000</v>
      </c>
      <c r="K5" s="214">
        <f>D33</f>
        <v>0</v>
      </c>
      <c r="L5" s="214">
        <f>D38</f>
        <v>905000</v>
      </c>
      <c r="M5" s="214">
        <f>D43</f>
        <v>18000</v>
      </c>
      <c r="N5" s="214">
        <f>D48</f>
        <v>10000</v>
      </c>
      <c r="O5" s="214">
        <f>D53</f>
        <v>5229450</v>
      </c>
      <c r="P5" s="214">
        <f>D54</f>
        <v>0</v>
      </c>
      <c r="Q5" s="215">
        <f>SUM(G5:P5)</f>
        <v>7252547.6799999997</v>
      </c>
      <c r="R5" s="216">
        <f>P55</f>
        <v>19890350</v>
      </c>
      <c r="S5" s="317">
        <f>O5/Q5</f>
        <v>0.72105006829820661</v>
      </c>
      <c r="T5" s="317">
        <f>(J5+(H5*1.63))/Q5</f>
        <v>0.10033577607586304</v>
      </c>
      <c r="U5" s="317">
        <f>L5/Q5</f>
        <v>0.12478373668547878</v>
      </c>
      <c r="V5" s="218">
        <f>Q5/R5</f>
        <v>0.36462644850392273</v>
      </c>
    </row>
    <row r="6" spans="2:22" s="3532" customFormat="1" ht="16.5" thickBot="1">
      <c r="B6" s="3536"/>
      <c r="D6" s="3533"/>
      <c r="F6" s="4249" t="s">
        <v>1168</v>
      </c>
      <c r="G6" s="4241">
        <v>229006</v>
      </c>
      <c r="H6" s="4242">
        <v>64575</v>
      </c>
      <c r="I6" s="4242">
        <v>184956.03</v>
      </c>
      <c r="J6" s="4242">
        <v>480000</v>
      </c>
      <c r="K6" s="4242">
        <v>0</v>
      </c>
      <c r="L6" s="4242">
        <v>820000</v>
      </c>
      <c r="M6" s="4242">
        <v>18000</v>
      </c>
      <c r="N6" s="4242">
        <v>10000</v>
      </c>
      <c r="O6" s="4242">
        <v>6546800</v>
      </c>
      <c r="P6" s="4242">
        <v>0</v>
      </c>
      <c r="Q6" s="4243">
        <v>8353337.0300000003</v>
      </c>
      <c r="R6" s="219">
        <v>26582500</v>
      </c>
      <c r="S6" s="3637">
        <v>0.78373468908149635</v>
      </c>
      <c r="T6" s="3637">
        <v>7.0062688467868506E-2</v>
      </c>
      <c r="U6" s="3637">
        <v>9.8164361985523765E-2</v>
      </c>
      <c r="V6" s="3498">
        <v>0.31424196482648359</v>
      </c>
    </row>
    <row r="7" spans="2:22" ht="16.5" thickBot="1">
      <c r="C7" s="198" t="s">
        <v>373</v>
      </c>
      <c r="F7" s="4191" t="s">
        <v>1169</v>
      </c>
      <c r="G7" s="4192">
        <f>E13</f>
        <v>269204.8</v>
      </c>
      <c r="H7" s="4193">
        <f>E18</f>
        <v>64575</v>
      </c>
      <c r="I7" s="4193">
        <f>E23</f>
        <v>235982.31859999997</v>
      </c>
      <c r="J7" s="4193">
        <f>E28</f>
        <v>480000</v>
      </c>
      <c r="K7" s="4193">
        <f>E33</f>
        <v>0</v>
      </c>
      <c r="L7" s="4193">
        <f>E38</f>
        <v>820000</v>
      </c>
      <c r="M7" s="4193">
        <f>E43</f>
        <v>18000</v>
      </c>
      <c r="N7" s="4193">
        <f>E48</f>
        <v>10000</v>
      </c>
      <c r="O7" s="4193">
        <f>E53</f>
        <v>5854050</v>
      </c>
      <c r="P7" s="4193">
        <f>E54</f>
        <v>0</v>
      </c>
      <c r="Q7" s="4244">
        <f>SUM(G7:P7)</f>
        <v>7751812.1185999997</v>
      </c>
      <c r="R7" s="4245">
        <f>Q55</f>
        <v>12405640</v>
      </c>
      <c r="S7" s="317">
        <f>O7/Q7</f>
        <v>0.75518471170806178</v>
      </c>
      <c r="T7" s="317">
        <f>(J7+(H7*1.63))/Q7</f>
        <v>7.5499411111333695E-2</v>
      </c>
      <c r="U7" s="317">
        <f>L7/Q7</f>
        <v>0.10578171754607675</v>
      </c>
      <c r="V7" s="218">
        <f>Q7/R7</f>
        <v>0.62486192720407807</v>
      </c>
    </row>
    <row r="8" spans="2:22" ht="16.5" thickBot="1">
      <c r="C8" s="220" t="s">
        <v>374</v>
      </c>
      <c r="F8" s="221" t="s">
        <v>1170</v>
      </c>
      <c r="G8" s="222">
        <f>SUM(G5+G7)</f>
        <v>491540.8</v>
      </c>
      <c r="H8" s="222">
        <f t="shared" ref="H8:R8" si="0">SUM(H5+H7)</f>
        <v>127575</v>
      </c>
      <c r="I8" s="222">
        <f t="shared" si="0"/>
        <v>415743.99859999993</v>
      </c>
      <c r="J8" s="222">
        <f t="shared" si="0"/>
        <v>1105000</v>
      </c>
      <c r="K8" s="222">
        <f t="shared" si="0"/>
        <v>0</v>
      </c>
      <c r="L8" s="222">
        <f t="shared" si="0"/>
        <v>1725000</v>
      </c>
      <c r="M8" s="222">
        <f t="shared" si="0"/>
        <v>36000</v>
      </c>
      <c r="N8" s="222">
        <f t="shared" si="0"/>
        <v>20000</v>
      </c>
      <c r="O8" s="222">
        <f t="shared" si="0"/>
        <v>11083500</v>
      </c>
      <c r="P8" s="222">
        <f t="shared" si="0"/>
        <v>0</v>
      </c>
      <c r="Q8" s="4248">
        <f t="shared" si="0"/>
        <v>15004359.798599999</v>
      </c>
      <c r="R8" s="223">
        <f t="shared" si="0"/>
        <v>32295990</v>
      </c>
      <c r="S8" s="317">
        <f>O8/Q8</f>
        <v>0.73868529872458533</v>
      </c>
      <c r="T8" s="317">
        <f>(J8+(H8*1.63))/Q8</f>
        <v>8.7504383234165456E-2</v>
      </c>
      <c r="U8" s="317">
        <f>L8/Q8</f>
        <v>0.11496658458969727</v>
      </c>
      <c r="V8" s="218">
        <f>Q8/R8</f>
        <v>0.46458894118433897</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94569</v>
      </c>
      <c r="C13" s="236" t="s">
        <v>138</v>
      </c>
      <c r="D13" s="237">
        <f>SUM(D14:D17)</f>
        <v>222336</v>
      </c>
      <c r="E13" s="4468">
        <f>SUM(E14:E17)</f>
        <v>269204.8</v>
      </c>
      <c r="F13" s="238">
        <f>D13+E13</f>
        <v>491540.8</v>
      </c>
      <c r="H13" s="132"/>
      <c r="I13" s="3623" t="s">
        <v>383</v>
      </c>
      <c r="J13" s="3624"/>
      <c r="K13" s="3625"/>
      <c r="L13" s="3626">
        <v>65</v>
      </c>
      <c r="M13" s="3629">
        <v>5000</v>
      </c>
      <c r="N13" s="4451">
        <v>1000</v>
      </c>
      <c r="O13" s="3203">
        <f>M13+N13</f>
        <v>6000</v>
      </c>
      <c r="P13" s="2316">
        <f>M13*$D63</f>
        <v>325000</v>
      </c>
      <c r="Q13" s="3204">
        <f>N13*$D63</f>
        <v>65000</v>
      </c>
      <c r="R13" s="246">
        <f>P13+Q13</f>
        <v>390000</v>
      </c>
      <c r="T13" s="4891"/>
    </row>
    <row r="14" spans="2:22">
      <c r="B14" s="247"/>
      <c r="C14" s="248" t="s">
        <v>239</v>
      </c>
      <c r="D14" s="3164">
        <v>50025.599999999999</v>
      </c>
      <c r="E14" s="3164">
        <v>51526.35</v>
      </c>
      <c r="F14" s="249">
        <f>SUM(D14:E14)</f>
        <v>101551.95</v>
      </c>
      <c r="H14" s="132"/>
      <c r="I14" s="3619" t="s">
        <v>384</v>
      </c>
      <c r="J14" s="3620"/>
      <c r="K14" s="3621"/>
      <c r="L14" s="3626">
        <v>86</v>
      </c>
      <c r="M14" s="3629">
        <v>2500</v>
      </c>
      <c r="N14" s="4451">
        <v>2000</v>
      </c>
      <c r="O14" s="3203">
        <f t="shared" ref="O14:O54" si="1">M14+N14</f>
        <v>4500</v>
      </c>
      <c r="P14" s="3204">
        <f t="shared" ref="P14:P54" si="2">M14*$D64</f>
        <v>215000</v>
      </c>
      <c r="Q14" s="3204">
        <f t="shared" ref="Q14:Q54" si="3">N14*$D64</f>
        <v>172000</v>
      </c>
      <c r="R14" s="246">
        <f t="shared" ref="R14:R54" si="4">P14+Q14</f>
        <v>387000</v>
      </c>
      <c r="T14" s="4891"/>
    </row>
    <row r="15" spans="2:22">
      <c r="B15" s="254"/>
      <c r="C15" s="248" t="s">
        <v>376</v>
      </c>
      <c r="D15" s="3165">
        <v>61142.400000000001</v>
      </c>
      <c r="E15" s="3165">
        <v>62976.65</v>
      </c>
      <c r="F15" s="249">
        <f t="shared" ref="F15:F25" si="5">SUM(D15:E15)</f>
        <v>124119.05</v>
      </c>
      <c r="H15" s="132"/>
      <c r="I15" s="3619" t="s">
        <v>385</v>
      </c>
      <c r="J15" s="3620"/>
      <c r="K15" s="3621"/>
      <c r="L15" s="3626">
        <v>42</v>
      </c>
      <c r="M15" s="3629">
        <v>4500</v>
      </c>
      <c r="N15" s="4451">
        <v>1000</v>
      </c>
      <c r="O15" s="3203">
        <f t="shared" si="1"/>
        <v>5500</v>
      </c>
      <c r="P15" s="3204">
        <f t="shared" si="2"/>
        <v>189000</v>
      </c>
      <c r="Q15" s="3204">
        <f t="shared" si="3"/>
        <v>42000</v>
      </c>
      <c r="R15" s="246">
        <f t="shared" si="4"/>
        <v>231000</v>
      </c>
      <c r="T15" s="4891"/>
    </row>
    <row r="16" spans="2:22">
      <c r="B16" s="254"/>
      <c r="C16" s="255" t="s">
        <v>377</v>
      </c>
      <c r="D16" s="3166">
        <v>44467.199999999997</v>
      </c>
      <c r="E16" s="4581">
        <v>86000</v>
      </c>
      <c r="F16" s="249">
        <f t="shared" si="5"/>
        <v>130467.2</v>
      </c>
      <c r="H16" s="132"/>
      <c r="I16" s="3619" t="s">
        <v>386</v>
      </c>
      <c r="J16" s="3620"/>
      <c r="K16" s="3621"/>
      <c r="L16" s="3626">
        <v>482</v>
      </c>
      <c r="M16" s="3629">
        <v>15000</v>
      </c>
      <c r="N16" s="4585">
        <v>700</v>
      </c>
      <c r="O16" s="3203">
        <f t="shared" si="1"/>
        <v>15700</v>
      </c>
      <c r="P16" s="3204">
        <f t="shared" si="2"/>
        <v>7230000</v>
      </c>
      <c r="Q16" s="3204">
        <f t="shared" si="3"/>
        <v>337400</v>
      </c>
      <c r="R16" s="246">
        <f t="shared" si="4"/>
        <v>7567400</v>
      </c>
      <c r="T16" s="4891"/>
    </row>
    <row r="17" spans="2:20" ht="13.5" thickBot="1">
      <c r="B17" s="254"/>
      <c r="C17" s="255" t="s">
        <v>378</v>
      </c>
      <c r="D17" s="3166">
        <v>66700.799999999988</v>
      </c>
      <c r="E17" s="3166">
        <v>68701.799999999988</v>
      </c>
      <c r="F17" s="249">
        <f t="shared" si="5"/>
        <v>135402.59999999998</v>
      </c>
      <c r="H17" s="132"/>
      <c r="I17" s="3619" t="s">
        <v>387</v>
      </c>
      <c r="J17" s="3620"/>
      <c r="K17" s="3621"/>
      <c r="L17" s="3626">
        <v>555</v>
      </c>
      <c r="M17" s="3629">
        <v>3000</v>
      </c>
      <c r="N17" s="4585">
        <v>100</v>
      </c>
      <c r="O17" s="3203">
        <f t="shared" si="1"/>
        <v>3100</v>
      </c>
      <c r="P17" s="3204">
        <f t="shared" si="2"/>
        <v>1665000</v>
      </c>
      <c r="Q17" s="3204">
        <f t="shared" si="3"/>
        <v>55500</v>
      </c>
      <c r="R17" s="246">
        <f t="shared" si="4"/>
        <v>1720500</v>
      </c>
      <c r="T17" s="4891"/>
    </row>
    <row r="18" spans="2:20" ht="13.5" thickBot="1">
      <c r="B18" s="262">
        <v>32124</v>
      </c>
      <c r="C18" s="236" t="s">
        <v>143</v>
      </c>
      <c r="D18" s="237">
        <f>SUM(D19:D22)</f>
        <v>63000</v>
      </c>
      <c r="E18" s="237">
        <f>SUM(E19:E22)</f>
        <v>64575</v>
      </c>
      <c r="F18" s="238">
        <f>D18+E18</f>
        <v>127575</v>
      </c>
      <c r="H18" s="132"/>
      <c r="I18" s="3619" t="s">
        <v>388</v>
      </c>
      <c r="J18" s="3620"/>
      <c r="K18" s="3621"/>
      <c r="L18" s="3626">
        <v>482</v>
      </c>
      <c r="M18" s="3629">
        <v>11000</v>
      </c>
      <c r="N18" s="4585">
        <v>3000</v>
      </c>
      <c r="O18" s="3203">
        <f t="shared" si="1"/>
        <v>14000</v>
      </c>
      <c r="P18" s="3204">
        <f t="shared" si="2"/>
        <v>5302000</v>
      </c>
      <c r="Q18" s="3204">
        <f t="shared" si="3"/>
        <v>1446000</v>
      </c>
      <c r="R18" s="246">
        <f t="shared" si="4"/>
        <v>6748000</v>
      </c>
      <c r="T18" s="4891"/>
    </row>
    <row r="19" spans="2:20">
      <c r="B19" s="247"/>
      <c r="C19" s="330" t="s">
        <v>379</v>
      </c>
      <c r="D19" s="3167">
        <v>45000</v>
      </c>
      <c r="E19" s="3167">
        <v>46125</v>
      </c>
      <c r="F19" s="249">
        <f t="shared" si="5"/>
        <v>91125</v>
      </c>
      <c r="H19" s="132"/>
      <c r="I19" s="3619" t="s">
        <v>389</v>
      </c>
      <c r="J19" s="3620"/>
      <c r="K19" s="3621"/>
      <c r="L19" s="3626">
        <v>555</v>
      </c>
      <c r="M19" s="3629">
        <v>3000</v>
      </c>
      <c r="N19" s="4585">
        <v>2000</v>
      </c>
      <c r="O19" s="3203">
        <f t="shared" si="1"/>
        <v>5000</v>
      </c>
      <c r="P19" s="3204">
        <f t="shared" si="2"/>
        <v>1665000</v>
      </c>
      <c r="Q19" s="3204">
        <f t="shared" si="3"/>
        <v>1110000</v>
      </c>
      <c r="R19" s="246">
        <f t="shared" si="4"/>
        <v>2775000</v>
      </c>
      <c r="T19" s="4891"/>
    </row>
    <row r="20" spans="2:20">
      <c r="B20" s="254"/>
      <c r="C20" s="332" t="s">
        <v>380</v>
      </c>
      <c r="D20" s="3167">
        <v>18000</v>
      </c>
      <c r="E20" s="3167">
        <v>18450</v>
      </c>
      <c r="F20" s="249">
        <f t="shared" si="5"/>
        <v>36450</v>
      </c>
      <c r="H20" s="132"/>
      <c r="I20" s="3619" t="s">
        <v>390</v>
      </c>
      <c r="J20" s="3620"/>
      <c r="K20" s="3621"/>
      <c r="L20" s="3626">
        <v>112</v>
      </c>
      <c r="M20" s="3629">
        <v>0</v>
      </c>
      <c r="N20" s="4677">
        <v>0</v>
      </c>
      <c r="O20" s="3203">
        <f t="shared" si="1"/>
        <v>0</v>
      </c>
      <c r="P20" s="3204">
        <f t="shared" si="2"/>
        <v>0</v>
      </c>
      <c r="Q20" s="3204">
        <f t="shared" si="3"/>
        <v>0</v>
      </c>
      <c r="R20" s="246">
        <f t="shared" si="4"/>
        <v>0</v>
      </c>
      <c r="T20" s="4891"/>
    </row>
    <row r="21" spans="2:20">
      <c r="B21" s="254"/>
      <c r="C21" s="255" t="s">
        <v>141</v>
      </c>
      <c r="D21" s="258">
        <v>0</v>
      </c>
      <c r="E21" s="258"/>
      <c r="F21" s="249">
        <f t="shared" si="5"/>
        <v>0</v>
      </c>
      <c r="H21" s="132"/>
      <c r="I21" s="3619" t="s">
        <v>391</v>
      </c>
      <c r="J21" s="3620"/>
      <c r="K21" s="3621"/>
      <c r="L21" s="3626">
        <v>167</v>
      </c>
      <c r="M21" s="3629">
        <v>0</v>
      </c>
      <c r="N21" s="4677">
        <v>0</v>
      </c>
      <c r="O21" s="3203">
        <f t="shared" si="1"/>
        <v>0</v>
      </c>
      <c r="P21" s="3204">
        <f t="shared" si="2"/>
        <v>0</v>
      </c>
      <c r="Q21" s="3204">
        <f t="shared" si="3"/>
        <v>0</v>
      </c>
      <c r="R21" s="246">
        <f t="shared" si="4"/>
        <v>0</v>
      </c>
      <c r="T21" s="4891"/>
    </row>
    <row r="22" spans="2:20" ht="13.5" thickBot="1">
      <c r="B22" s="254"/>
      <c r="C22" s="255" t="s">
        <v>142</v>
      </c>
      <c r="D22" s="258">
        <v>0</v>
      </c>
      <c r="E22" s="258"/>
      <c r="F22" s="249">
        <f t="shared" si="5"/>
        <v>0</v>
      </c>
      <c r="H22" s="132"/>
      <c r="I22" s="3619" t="s">
        <v>392</v>
      </c>
      <c r="J22" s="3620"/>
      <c r="K22" s="3621"/>
      <c r="L22" s="3626">
        <v>209</v>
      </c>
      <c r="M22" s="3629">
        <v>0</v>
      </c>
      <c r="N22" s="4677">
        <v>0</v>
      </c>
      <c r="O22" s="3203">
        <f t="shared" si="1"/>
        <v>0</v>
      </c>
      <c r="P22" s="3204">
        <f t="shared" si="2"/>
        <v>0</v>
      </c>
      <c r="Q22" s="3204">
        <f t="shared" si="3"/>
        <v>0</v>
      </c>
      <c r="R22" s="246">
        <f t="shared" si="4"/>
        <v>0</v>
      </c>
      <c r="T22" s="4891"/>
    </row>
    <row r="23" spans="2:20" ht="13.5" thickBot="1">
      <c r="B23" s="262">
        <v>79817</v>
      </c>
      <c r="C23" s="236" t="s">
        <v>144</v>
      </c>
      <c r="D23" s="237">
        <f>SUM(D24:D27)</f>
        <v>179761.68</v>
      </c>
      <c r="E23" s="237">
        <f>SUM(E24:E27)</f>
        <v>235982.31859999997</v>
      </c>
      <c r="F23" s="238">
        <f>D23+E23</f>
        <v>415743.99859999993</v>
      </c>
      <c r="G23" s="53"/>
      <c r="H23" s="132"/>
      <c r="I23" s="3619" t="s">
        <v>393</v>
      </c>
      <c r="J23" s="3620"/>
      <c r="K23" s="3621"/>
      <c r="L23" s="3626">
        <v>149</v>
      </c>
      <c r="M23" s="3629">
        <v>2600</v>
      </c>
      <c r="N23" s="4677">
        <v>0</v>
      </c>
      <c r="O23" s="3203">
        <f t="shared" si="1"/>
        <v>2600</v>
      </c>
      <c r="P23" s="3204">
        <f t="shared" si="2"/>
        <v>0</v>
      </c>
      <c r="Q23" s="3204">
        <f t="shared" si="3"/>
        <v>0</v>
      </c>
      <c r="R23" s="246">
        <f t="shared" si="4"/>
        <v>0</v>
      </c>
      <c r="T23" s="4891"/>
    </row>
    <row r="24" spans="2:20">
      <c r="B24" s="247"/>
      <c r="C24" s="3566" t="s">
        <v>1434</v>
      </c>
      <c r="D24" s="249">
        <f>0.63*D13</f>
        <v>140071.67999999999</v>
      </c>
      <c r="E24" s="249">
        <f>0.707*E13</f>
        <v>190327.79359999998</v>
      </c>
      <c r="F24" s="249">
        <f t="shared" si="5"/>
        <v>330399.47359999997</v>
      </c>
      <c r="H24" s="132"/>
      <c r="I24" s="3619" t="s">
        <v>394</v>
      </c>
      <c r="J24" s="3620"/>
      <c r="K24" s="3621"/>
      <c r="L24" s="3626">
        <v>219</v>
      </c>
      <c r="M24" s="3629">
        <v>3500</v>
      </c>
      <c r="N24" s="4677">
        <v>0</v>
      </c>
      <c r="O24" s="3203">
        <f t="shared" si="1"/>
        <v>3500</v>
      </c>
      <c r="P24" s="3204">
        <f t="shared" si="2"/>
        <v>0</v>
      </c>
      <c r="Q24" s="3204">
        <f t="shared" si="3"/>
        <v>0</v>
      </c>
      <c r="R24" s="246">
        <f t="shared" si="4"/>
        <v>0</v>
      </c>
      <c r="T24" s="4891"/>
    </row>
    <row r="25" spans="2:20">
      <c r="B25" s="247"/>
      <c r="C25" s="3566" t="s">
        <v>1435</v>
      </c>
      <c r="D25" s="256">
        <f>0.63*D18</f>
        <v>39690</v>
      </c>
      <c r="E25" s="256">
        <f>0.707*E18</f>
        <v>45654.524999999994</v>
      </c>
      <c r="F25" s="249">
        <f t="shared" si="5"/>
        <v>85344.524999999994</v>
      </c>
      <c r="H25" s="132"/>
      <c r="I25" s="3619" t="s">
        <v>395</v>
      </c>
      <c r="J25" s="3620"/>
      <c r="K25" s="3621"/>
      <c r="L25" s="3626">
        <v>240</v>
      </c>
      <c r="M25" s="3629">
        <v>3335</v>
      </c>
      <c r="N25" s="4677">
        <v>0</v>
      </c>
      <c r="O25" s="3203">
        <f t="shared" si="1"/>
        <v>3335</v>
      </c>
      <c r="P25" s="3204">
        <f t="shared" si="2"/>
        <v>0</v>
      </c>
      <c r="Q25" s="3204">
        <f t="shared" si="3"/>
        <v>0</v>
      </c>
      <c r="R25" s="246">
        <f t="shared" si="4"/>
        <v>0</v>
      </c>
      <c r="T25" s="4891"/>
    </row>
    <row r="26" spans="2:20">
      <c r="B26" s="254"/>
      <c r="C26" s="255"/>
      <c r="D26" s="258"/>
      <c r="E26" s="258"/>
      <c r="F26" s="258"/>
      <c r="H26" s="132"/>
      <c r="I26" s="3619" t="s">
        <v>396</v>
      </c>
      <c r="J26" s="3620"/>
      <c r="K26" s="3621"/>
      <c r="L26" s="3626">
        <v>84</v>
      </c>
      <c r="M26" s="3629">
        <v>45</v>
      </c>
      <c r="N26" s="4677">
        <v>0</v>
      </c>
      <c r="O26" s="3203">
        <f t="shared" si="1"/>
        <v>45</v>
      </c>
      <c r="P26" s="3204">
        <f t="shared" si="2"/>
        <v>0</v>
      </c>
      <c r="Q26" s="3204">
        <f t="shared" si="3"/>
        <v>0</v>
      </c>
      <c r="R26" s="246">
        <f t="shared" si="4"/>
        <v>0</v>
      </c>
      <c r="T26" s="4891"/>
    </row>
    <row r="27" spans="2:20" ht="13.5" thickBot="1">
      <c r="B27" s="254"/>
      <c r="C27" s="255"/>
      <c r="D27" s="258"/>
      <c r="E27" s="258"/>
      <c r="F27" s="258"/>
      <c r="H27" s="132"/>
      <c r="I27" s="3619" t="s">
        <v>397</v>
      </c>
      <c r="J27" s="3620"/>
      <c r="K27" s="3621"/>
      <c r="L27" s="3626">
        <v>108</v>
      </c>
      <c r="M27" s="3629">
        <v>65</v>
      </c>
      <c r="N27" s="4677">
        <v>0</v>
      </c>
      <c r="O27" s="3203">
        <f t="shared" si="1"/>
        <v>65</v>
      </c>
      <c r="P27" s="3204">
        <f t="shared" si="2"/>
        <v>0</v>
      </c>
      <c r="Q27" s="3204">
        <f t="shared" si="3"/>
        <v>0</v>
      </c>
      <c r="R27" s="246">
        <f t="shared" si="4"/>
        <v>0</v>
      </c>
      <c r="T27" s="4891"/>
    </row>
    <row r="28" spans="2:20" ht="13.5" thickBot="1">
      <c r="B28" s="262">
        <v>192000</v>
      </c>
      <c r="C28" s="236" t="s">
        <v>145</v>
      </c>
      <c r="D28" s="237">
        <f>SUM(D29:D32)</f>
        <v>625000</v>
      </c>
      <c r="E28" s="237">
        <f>SUM(E29:E32)</f>
        <v>480000</v>
      </c>
      <c r="F28" s="238">
        <f>D28+E28</f>
        <v>1105000</v>
      </c>
      <c r="H28" s="132"/>
      <c r="I28" s="3619" t="s">
        <v>398</v>
      </c>
      <c r="J28" s="3620"/>
      <c r="K28" s="3621"/>
      <c r="L28" s="3626">
        <v>114</v>
      </c>
      <c r="M28" s="3629">
        <v>55</v>
      </c>
      <c r="N28" s="4677">
        <v>0</v>
      </c>
      <c r="O28" s="3203">
        <f t="shared" si="1"/>
        <v>55</v>
      </c>
      <c r="P28" s="3204">
        <f t="shared" si="2"/>
        <v>0</v>
      </c>
      <c r="Q28" s="3204">
        <f t="shared" si="3"/>
        <v>0</v>
      </c>
      <c r="R28" s="246">
        <f t="shared" si="4"/>
        <v>0</v>
      </c>
      <c r="T28" s="4891"/>
    </row>
    <row r="29" spans="2:20">
      <c r="B29" s="247"/>
      <c r="C29" s="248" t="s">
        <v>139</v>
      </c>
      <c r="D29" s="249">
        <v>625000</v>
      </c>
      <c r="E29" s="249">
        <v>480000</v>
      </c>
      <c r="F29" s="249">
        <f t="shared" ref="F29:F37" si="6">SUM(D29:E29)</f>
        <v>1105000</v>
      </c>
      <c r="H29" s="132"/>
      <c r="I29" s="3619" t="s">
        <v>399</v>
      </c>
      <c r="J29" s="3620"/>
      <c r="K29" s="3621"/>
      <c r="L29" s="3626">
        <v>81</v>
      </c>
      <c r="M29" s="3629">
        <v>2700</v>
      </c>
      <c r="N29" s="4677">
        <v>0</v>
      </c>
      <c r="O29" s="3203">
        <f t="shared" si="1"/>
        <v>2700</v>
      </c>
      <c r="P29" s="3204">
        <f t="shared" si="2"/>
        <v>0</v>
      </c>
      <c r="Q29" s="3204">
        <f t="shared" si="3"/>
        <v>0</v>
      </c>
      <c r="R29" s="246">
        <f t="shared" si="4"/>
        <v>0</v>
      </c>
      <c r="T29" s="4891"/>
    </row>
    <row r="30" spans="2:20">
      <c r="B30" s="254"/>
      <c r="C30" s="255" t="s">
        <v>140</v>
      </c>
      <c r="D30" s="256">
        <v>0</v>
      </c>
      <c r="E30" s="256"/>
      <c r="F30" s="249">
        <f t="shared" si="6"/>
        <v>0</v>
      </c>
      <c r="H30" s="132"/>
      <c r="I30" s="3619" t="s">
        <v>400</v>
      </c>
      <c r="J30" s="3620"/>
      <c r="K30" s="3621"/>
      <c r="L30" s="3626">
        <v>130</v>
      </c>
      <c r="M30" s="3629">
        <v>3700</v>
      </c>
      <c r="N30" s="4677">
        <v>0</v>
      </c>
      <c r="O30" s="3203">
        <f t="shared" si="1"/>
        <v>3700</v>
      </c>
      <c r="P30" s="3204">
        <f t="shared" si="2"/>
        <v>0</v>
      </c>
      <c r="Q30" s="3204">
        <f t="shared" si="3"/>
        <v>0</v>
      </c>
      <c r="R30" s="246">
        <f t="shared" si="4"/>
        <v>0</v>
      </c>
      <c r="T30" s="4891"/>
    </row>
    <row r="31" spans="2:20">
      <c r="B31" s="254"/>
      <c r="C31" s="255" t="s">
        <v>141</v>
      </c>
      <c r="D31" s="256">
        <v>0</v>
      </c>
      <c r="E31" s="256"/>
      <c r="F31" s="249">
        <f t="shared" si="6"/>
        <v>0</v>
      </c>
      <c r="H31" s="132"/>
      <c r="I31" s="3619" t="s">
        <v>401</v>
      </c>
      <c r="J31" s="3620"/>
      <c r="K31" s="3621"/>
      <c r="L31" s="3626">
        <v>145</v>
      </c>
      <c r="M31" s="3629">
        <v>3500</v>
      </c>
      <c r="N31" s="4677">
        <v>0</v>
      </c>
      <c r="O31" s="3203">
        <f t="shared" si="1"/>
        <v>3500</v>
      </c>
      <c r="P31" s="3204">
        <f t="shared" si="2"/>
        <v>0</v>
      </c>
      <c r="Q31" s="3204">
        <f t="shared" si="3"/>
        <v>0</v>
      </c>
      <c r="R31" s="246">
        <f t="shared" si="4"/>
        <v>0</v>
      </c>
      <c r="T31" s="4891"/>
    </row>
    <row r="32" spans="2:20" ht="13.5" thickBot="1">
      <c r="B32" s="254"/>
      <c r="C32" s="255" t="s">
        <v>142</v>
      </c>
      <c r="D32" s="256">
        <v>0</v>
      </c>
      <c r="E32" s="256"/>
      <c r="F32" s="249">
        <f t="shared" si="6"/>
        <v>0</v>
      </c>
      <c r="H32" s="132"/>
      <c r="I32" s="3619" t="s">
        <v>402</v>
      </c>
      <c r="J32" s="3620"/>
      <c r="K32" s="3621"/>
      <c r="L32" s="3626">
        <v>16</v>
      </c>
      <c r="M32" s="3629">
        <v>700</v>
      </c>
      <c r="N32" s="4677">
        <v>0</v>
      </c>
      <c r="O32" s="3203">
        <f t="shared" si="1"/>
        <v>700</v>
      </c>
      <c r="P32" s="3204">
        <f t="shared" si="2"/>
        <v>0</v>
      </c>
      <c r="Q32" s="3204">
        <f t="shared" si="3"/>
        <v>0</v>
      </c>
      <c r="R32" s="246">
        <f t="shared" si="4"/>
        <v>0</v>
      </c>
      <c r="T32" s="4891"/>
    </row>
    <row r="33" spans="2:20" ht="13.5" thickBot="1">
      <c r="B33" s="262">
        <v>1200</v>
      </c>
      <c r="C33" s="236" t="s">
        <v>146</v>
      </c>
      <c r="D33" s="237">
        <f>SUM(D34:D37)</f>
        <v>0</v>
      </c>
      <c r="E33" s="237">
        <f>SUM(E34:E37)</f>
        <v>0</v>
      </c>
      <c r="F33" s="238">
        <f>D33+E33</f>
        <v>0</v>
      </c>
      <c r="H33" s="132"/>
      <c r="I33" s="3619" t="s">
        <v>403</v>
      </c>
      <c r="J33" s="3620"/>
      <c r="K33" s="3621"/>
      <c r="L33" s="3626">
        <v>20</v>
      </c>
      <c r="M33" s="3629">
        <v>900</v>
      </c>
      <c r="N33" s="4677">
        <v>0</v>
      </c>
      <c r="O33" s="3203">
        <f t="shared" si="1"/>
        <v>900</v>
      </c>
      <c r="P33" s="3204">
        <f t="shared" si="2"/>
        <v>0</v>
      </c>
      <c r="Q33" s="3204">
        <f t="shared" si="3"/>
        <v>0</v>
      </c>
      <c r="R33" s="246">
        <f t="shared" si="4"/>
        <v>0</v>
      </c>
      <c r="T33" s="4891"/>
    </row>
    <row r="34" spans="2:20">
      <c r="B34" s="254"/>
      <c r="C34" s="255" t="s">
        <v>139</v>
      </c>
      <c r="D34" s="256">
        <v>0</v>
      </c>
      <c r="E34" s="256">
        <v>0</v>
      </c>
      <c r="F34" s="249">
        <f t="shared" si="6"/>
        <v>0</v>
      </c>
      <c r="H34" s="132"/>
      <c r="I34" s="3619" t="s">
        <v>404</v>
      </c>
      <c r="J34" s="3620"/>
      <c r="K34" s="3621"/>
      <c r="L34" s="3626">
        <v>20</v>
      </c>
      <c r="M34" s="3629">
        <v>900</v>
      </c>
      <c r="N34" s="4677">
        <v>0</v>
      </c>
      <c r="O34" s="3203">
        <f t="shared" si="1"/>
        <v>900</v>
      </c>
      <c r="P34" s="3204">
        <f t="shared" si="2"/>
        <v>0</v>
      </c>
      <c r="Q34" s="3204">
        <f t="shared" si="3"/>
        <v>0</v>
      </c>
      <c r="R34" s="246">
        <f t="shared" si="4"/>
        <v>0</v>
      </c>
      <c r="T34" s="4891"/>
    </row>
    <row r="35" spans="2:20">
      <c r="B35" s="254"/>
      <c r="C35" s="255" t="s">
        <v>140</v>
      </c>
      <c r="D35" s="256">
        <v>0</v>
      </c>
      <c r="E35" s="256"/>
      <c r="F35" s="249">
        <f t="shared" si="6"/>
        <v>0</v>
      </c>
      <c r="H35" s="132"/>
      <c r="I35" s="3619" t="s">
        <v>405</v>
      </c>
      <c r="J35" s="3620"/>
      <c r="K35" s="3621"/>
      <c r="L35" s="3626">
        <v>755</v>
      </c>
      <c r="M35" s="3627">
        <v>4370</v>
      </c>
      <c r="N35" s="3574">
        <v>6000</v>
      </c>
      <c r="O35" s="3203">
        <f t="shared" si="1"/>
        <v>10370</v>
      </c>
      <c r="P35" s="3204">
        <f t="shared" si="2"/>
        <v>3299350</v>
      </c>
      <c r="Q35" s="3204">
        <f t="shared" si="3"/>
        <v>4530000</v>
      </c>
      <c r="R35" s="246">
        <f t="shared" si="4"/>
        <v>7829350</v>
      </c>
      <c r="T35" s="4891"/>
    </row>
    <row r="36" spans="2:20">
      <c r="B36" s="254"/>
      <c r="C36" s="255" t="s">
        <v>141</v>
      </c>
      <c r="D36" s="256">
        <v>0</v>
      </c>
      <c r="E36" s="256"/>
      <c r="F36" s="249">
        <f t="shared" si="6"/>
        <v>0</v>
      </c>
      <c r="H36" s="132"/>
      <c r="I36" s="3619">
        <v>0</v>
      </c>
      <c r="J36" s="3620"/>
      <c r="K36" s="3621"/>
      <c r="L36" s="3626">
        <v>0</v>
      </c>
      <c r="M36" s="3627">
        <v>0</v>
      </c>
      <c r="N36" s="3574">
        <v>1000</v>
      </c>
      <c r="O36" s="3203">
        <f t="shared" si="1"/>
        <v>1000</v>
      </c>
      <c r="P36" s="3204">
        <f t="shared" si="2"/>
        <v>0</v>
      </c>
      <c r="Q36" s="3204">
        <f t="shared" si="3"/>
        <v>37000</v>
      </c>
      <c r="R36" s="246">
        <f t="shared" si="4"/>
        <v>37000</v>
      </c>
      <c r="T36" s="4891"/>
    </row>
    <row r="37" spans="2:20" ht="13.5" thickBot="1">
      <c r="B37" s="254"/>
      <c r="C37" s="255" t="s">
        <v>142</v>
      </c>
      <c r="D37" s="256">
        <v>0</v>
      </c>
      <c r="E37" s="256"/>
      <c r="F37" s="249">
        <f t="shared" si="6"/>
        <v>0</v>
      </c>
      <c r="H37" s="132"/>
      <c r="I37" s="3619" t="s">
        <v>984</v>
      </c>
      <c r="J37" s="3620"/>
      <c r="K37" s="3621"/>
      <c r="L37" s="3626">
        <v>398</v>
      </c>
      <c r="M37" s="3627">
        <v>4000</v>
      </c>
      <c r="N37" s="4444">
        <v>0</v>
      </c>
      <c r="O37" s="3203">
        <f t="shared" si="1"/>
        <v>4000</v>
      </c>
      <c r="P37" s="3204">
        <f t="shared" si="2"/>
        <v>0</v>
      </c>
      <c r="Q37" s="3204">
        <f t="shared" si="3"/>
        <v>0</v>
      </c>
      <c r="R37" s="246">
        <f t="shared" si="4"/>
        <v>0</v>
      </c>
      <c r="T37" s="4891"/>
    </row>
    <row r="38" spans="2:20" ht="13.5" thickBot="1">
      <c r="B38" s="262">
        <v>0</v>
      </c>
      <c r="C38" s="236" t="s">
        <v>147</v>
      </c>
      <c r="D38" s="237">
        <f>SUM(D39:D42)</f>
        <v>905000</v>
      </c>
      <c r="E38" s="237">
        <f>SUM(E39:E42)</f>
        <v>820000</v>
      </c>
      <c r="F38" s="238">
        <f>D38+E38</f>
        <v>1725000</v>
      </c>
      <c r="H38" s="132"/>
      <c r="I38" s="3619" t="s">
        <v>985</v>
      </c>
      <c r="J38" s="3620"/>
      <c r="K38" s="3622"/>
      <c r="L38" s="3626">
        <v>136</v>
      </c>
      <c r="M38" s="3627">
        <v>3000</v>
      </c>
      <c r="N38" s="4444">
        <v>0</v>
      </c>
      <c r="O38" s="3203">
        <f t="shared" si="1"/>
        <v>3000</v>
      </c>
      <c r="P38" s="3204">
        <f t="shared" si="2"/>
        <v>0</v>
      </c>
      <c r="Q38" s="3204">
        <f t="shared" si="3"/>
        <v>0</v>
      </c>
      <c r="R38" s="246">
        <f t="shared" si="4"/>
        <v>0</v>
      </c>
      <c r="T38" s="4891"/>
    </row>
    <row r="39" spans="2:20">
      <c r="B39" s="254"/>
      <c r="C39" s="255" t="s">
        <v>381</v>
      </c>
      <c r="D39" s="3206">
        <v>355000</v>
      </c>
      <c r="E39" s="3206">
        <v>375000</v>
      </c>
      <c r="F39" s="249">
        <f t="shared" ref="F39:F52" si="7">SUM(D39:E39)</f>
        <v>730000</v>
      </c>
      <c r="H39" s="132"/>
      <c r="I39" s="4475" t="str">
        <f t="shared" ref="I39:I54" si="8">C89</f>
        <v>Clothes Washer MEF 2.4 -3.09 Electric WH / Electric Dryer</v>
      </c>
      <c r="J39" s="4476"/>
      <c r="K39" s="4487"/>
      <c r="L39" s="4474">
        <f t="shared" ref="L39:L54" si="9">D89</f>
        <v>82</v>
      </c>
      <c r="M39" s="3202">
        <v>0</v>
      </c>
      <c r="N39" s="4676">
        <v>5936</v>
      </c>
      <c r="O39" s="3203">
        <f t="shared" si="1"/>
        <v>5936</v>
      </c>
      <c r="P39" s="3204">
        <f t="shared" si="2"/>
        <v>0</v>
      </c>
      <c r="Q39" s="3204">
        <f t="shared" si="3"/>
        <v>486752</v>
      </c>
      <c r="R39" s="246">
        <f t="shared" si="4"/>
        <v>486752</v>
      </c>
      <c r="T39" s="4891"/>
    </row>
    <row r="40" spans="2:20">
      <c r="B40" s="254"/>
      <c r="C40" s="255" t="s">
        <v>382</v>
      </c>
      <c r="D40" s="3205">
        <v>410000</v>
      </c>
      <c r="E40" s="3205">
        <v>385000</v>
      </c>
      <c r="F40" s="249">
        <f t="shared" si="7"/>
        <v>795000</v>
      </c>
      <c r="H40" s="132"/>
      <c r="I40" s="4475" t="str">
        <f t="shared" si="8"/>
        <v>Clothes Washer MEF 3.1+ Electric WH / Electric Dryer</v>
      </c>
      <c r="J40" s="4476"/>
      <c r="K40" s="4487"/>
      <c r="L40" s="4474">
        <f t="shared" si="9"/>
        <v>140</v>
      </c>
      <c r="M40" s="257">
        <v>0</v>
      </c>
      <c r="N40" s="4676">
        <v>844</v>
      </c>
      <c r="O40" s="3203">
        <f t="shared" si="1"/>
        <v>844</v>
      </c>
      <c r="P40" s="3204">
        <f t="shared" si="2"/>
        <v>0</v>
      </c>
      <c r="Q40" s="3204">
        <f t="shared" si="3"/>
        <v>118160</v>
      </c>
      <c r="R40" s="246">
        <f t="shared" si="4"/>
        <v>118160</v>
      </c>
      <c r="T40" s="4891"/>
    </row>
    <row r="41" spans="2:20">
      <c r="B41" s="254"/>
      <c r="C41" s="255" t="s">
        <v>141</v>
      </c>
      <c r="D41" s="3205">
        <v>140000</v>
      </c>
      <c r="E41" s="3205">
        <v>60000</v>
      </c>
      <c r="F41" s="249">
        <f t="shared" si="7"/>
        <v>200000</v>
      </c>
      <c r="H41" s="132"/>
      <c r="I41" s="4475" t="str">
        <f t="shared" si="8"/>
        <v>Clothes Washer MEF 2.4 -3.09 Electric WH / Gas Dryer</v>
      </c>
      <c r="J41" s="4476"/>
      <c r="K41" s="4487"/>
      <c r="L41" s="4474">
        <f t="shared" si="9"/>
        <v>31</v>
      </c>
      <c r="M41" s="257">
        <v>0</v>
      </c>
      <c r="N41" s="4676">
        <v>114</v>
      </c>
      <c r="O41" s="3203">
        <f t="shared" si="1"/>
        <v>114</v>
      </c>
      <c r="P41" s="3204">
        <f t="shared" si="2"/>
        <v>0</v>
      </c>
      <c r="Q41" s="3204">
        <f t="shared" si="3"/>
        <v>3534</v>
      </c>
      <c r="R41" s="246">
        <f t="shared" si="4"/>
        <v>3534</v>
      </c>
      <c r="T41" s="4891"/>
    </row>
    <row r="42" spans="2:20" ht="13.5" thickBot="1">
      <c r="B42" s="254"/>
      <c r="C42" s="255" t="s">
        <v>142</v>
      </c>
      <c r="D42" s="256">
        <v>0</v>
      </c>
      <c r="E42" s="256"/>
      <c r="F42" s="249">
        <f t="shared" si="7"/>
        <v>0</v>
      </c>
      <c r="H42" s="132"/>
      <c r="I42" s="4475" t="str">
        <f t="shared" si="8"/>
        <v>Clothes Washer MEF 3.1+ Electric WH / Gas Dryer</v>
      </c>
      <c r="J42" s="4476"/>
      <c r="K42" s="4487"/>
      <c r="L42" s="4474">
        <f t="shared" si="9"/>
        <v>51</v>
      </c>
      <c r="M42" s="257">
        <v>0</v>
      </c>
      <c r="N42" s="4676">
        <v>20</v>
      </c>
      <c r="O42" s="3203">
        <f t="shared" si="1"/>
        <v>20</v>
      </c>
      <c r="P42" s="3204">
        <f t="shared" si="2"/>
        <v>0</v>
      </c>
      <c r="Q42" s="3204">
        <f t="shared" si="3"/>
        <v>1020</v>
      </c>
      <c r="R42" s="246">
        <f t="shared" si="4"/>
        <v>1020</v>
      </c>
      <c r="T42" s="4891"/>
    </row>
    <row r="43" spans="2:20" ht="13.5" thickBot="1">
      <c r="B43" s="262">
        <v>7092</v>
      </c>
      <c r="C43" s="236" t="s">
        <v>148</v>
      </c>
      <c r="D43" s="237">
        <f>SUM(D44:D47)</f>
        <v>18000</v>
      </c>
      <c r="E43" s="237">
        <f>SUM(E44:E47)</f>
        <v>18000</v>
      </c>
      <c r="F43" s="238">
        <f>D43+E43</f>
        <v>36000</v>
      </c>
      <c r="H43" s="132"/>
      <c r="I43" s="4475" t="str">
        <f t="shared" si="8"/>
        <v>Clothes Washer MEF 2.4 -3.09 Gas WH / Electric Dryer</v>
      </c>
      <c r="J43" s="4476"/>
      <c r="K43" s="4487"/>
      <c r="L43" s="4474">
        <f t="shared" si="9"/>
        <v>59</v>
      </c>
      <c r="M43" s="257">
        <v>0</v>
      </c>
      <c r="N43" s="4676">
        <v>5619</v>
      </c>
      <c r="O43" s="3203">
        <f t="shared" si="1"/>
        <v>5619</v>
      </c>
      <c r="P43" s="3204">
        <f t="shared" si="2"/>
        <v>0</v>
      </c>
      <c r="Q43" s="3204">
        <f t="shared" si="3"/>
        <v>331521</v>
      </c>
      <c r="R43" s="246">
        <f t="shared" si="4"/>
        <v>331521</v>
      </c>
      <c r="T43" s="4891"/>
    </row>
    <row r="44" spans="2:20">
      <c r="B44" s="254"/>
      <c r="C44" s="255" t="s">
        <v>139</v>
      </c>
      <c r="D44" s="256">
        <v>18000</v>
      </c>
      <c r="E44" s="256">
        <v>18000</v>
      </c>
      <c r="F44" s="249">
        <f t="shared" si="7"/>
        <v>36000</v>
      </c>
      <c r="H44" s="132"/>
      <c r="I44" s="4475" t="str">
        <f t="shared" si="8"/>
        <v>Clothes Washer MEF 3.1+ Gas / Electric Dryer</v>
      </c>
      <c r="J44" s="4476"/>
      <c r="K44" s="4487"/>
      <c r="L44" s="4474">
        <f t="shared" si="9"/>
        <v>105</v>
      </c>
      <c r="M44" s="257">
        <v>0</v>
      </c>
      <c r="N44" s="4676">
        <v>891</v>
      </c>
      <c r="O44" s="3203">
        <f t="shared" si="1"/>
        <v>891</v>
      </c>
      <c r="P44" s="3204">
        <f t="shared" si="2"/>
        <v>0</v>
      </c>
      <c r="Q44" s="3204">
        <f t="shared" si="3"/>
        <v>93555</v>
      </c>
      <c r="R44" s="246">
        <f t="shared" si="4"/>
        <v>93555</v>
      </c>
      <c r="T44" s="4891"/>
    </row>
    <row r="45" spans="2:20">
      <c r="B45" s="254"/>
      <c r="C45" s="255" t="s">
        <v>140</v>
      </c>
      <c r="D45" s="256">
        <v>0</v>
      </c>
      <c r="E45" s="256"/>
      <c r="F45" s="249">
        <f t="shared" si="7"/>
        <v>0</v>
      </c>
      <c r="H45" s="132"/>
      <c r="I45" s="4475" t="str">
        <f t="shared" si="8"/>
        <v>Clothes Washer MEF 2.4 -3.09 Gas WH / Gas Dryer</v>
      </c>
      <c r="J45" s="4476"/>
      <c r="K45" s="4487"/>
      <c r="L45" s="4474">
        <f t="shared" si="9"/>
        <v>9</v>
      </c>
      <c r="M45" s="257">
        <v>0</v>
      </c>
      <c r="N45" s="4676">
        <v>1374</v>
      </c>
      <c r="O45" s="3203">
        <f t="shared" si="1"/>
        <v>1374</v>
      </c>
      <c r="P45" s="3204">
        <f t="shared" si="2"/>
        <v>0</v>
      </c>
      <c r="Q45" s="3204">
        <f t="shared" si="3"/>
        <v>12366</v>
      </c>
      <c r="R45" s="246">
        <f t="shared" si="4"/>
        <v>12366</v>
      </c>
      <c r="T45" s="4891"/>
    </row>
    <row r="46" spans="2:20">
      <c r="B46" s="254"/>
      <c r="C46" s="255" t="s">
        <v>141</v>
      </c>
      <c r="D46" s="256">
        <v>0</v>
      </c>
      <c r="E46" s="256"/>
      <c r="F46" s="249">
        <f t="shared" si="7"/>
        <v>0</v>
      </c>
      <c r="H46" s="132"/>
      <c r="I46" s="4475" t="str">
        <f t="shared" si="8"/>
        <v>Clothes Washer MEF 3.1+ Gas WH / Gas Dryer</v>
      </c>
      <c r="J46" s="4476"/>
      <c r="K46" s="4487"/>
      <c r="L46" s="4474">
        <f t="shared" si="9"/>
        <v>16</v>
      </c>
      <c r="M46" s="257">
        <v>0</v>
      </c>
      <c r="N46" s="4676">
        <v>202</v>
      </c>
      <c r="O46" s="3203">
        <f t="shared" si="1"/>
        <v>202</v>
      </c>
      <c r="P46" s="3204">
        <f t="shared" si="2"/>
        <v>0</v>
      </c>
      <c r="Q46" s="3204">
        <f t="shared" si="3"/>
        <v>3232</v>
      </c>
      <c r="R46" s="246">
        <f t="shared" si="4"/>
        <v>3232</v>
      </c>
      <c r="T46" s="4891"/>
    </row>
    <row r="47" spans="2:20" ht="13.5" thickBot="1">
      <c r="B47" s="254"/>
      <c r="C47" s="255" t="s">
        <v>142</v>
      </c>
      <c r="D47" s="256">
        <v>0</v>
      </c>
      <c r="E47" s="256"/>
      <c r="F47" s="249">
        <f t="shared" si="7"/>
        <v>0</v>
      </c>
      <c r="H47" s="132"/>
      <c r="I47" s="4475" t="str">
        <f t="shared" si="8"/>
        <v>Clothes Washer Replacement Electric WH / Electric Dryer</v>
      </c>
      <c r="J47" s="4476"/>
      <c r="K47" s="4487"/>
      <c r="L47" s="4474">
        <f t="shared" si="9"/>
        <v>524</v>
      </c>
      <c r="M47" s="257">
        <v>0</v>
      </c>
      <c r="N47" s="4444">
        <v>1000</v>
      </c>
      <c r="O47" s="3203">
        <f t="shared" si="1"/>
        <v>1000</v>
      </c>
      <c r="P47" s="3204">
        <f t="shared" si="2"/>
        <v>0</v>
      </c>
      <c r="Q47" s="3204">
        <f t="shared" si="3"/>
        <v>524000</v>
      </c>
      <c r="R47" s="246">
        <f t="shared" si="4"/>
        <v>524000</v>
      </c>
      <c r="T47" s="4891"/>
    </row>
    <row r="48" spans="2:20" ht="13.5" thickBot="1">
      <c r="B48" s="262">
        <v>3540</v>
      </c>
      <c r="C48" s="236" t="s">
        <v>149</v>
      </c>
      <c r="D48" s="237">
        <f>SUM(D49:D52)</f>
        <v>10000</v>
      </c>
      <c r="E48" s="237">
        <f>SUM(E49:E52)</f>
        <v>10000</v>
      </c>
      <c r="F48" s="238">
        <f>D48+E48</f>
        <v>20000</v>
      </c>
      <c r="H48" s="132"/>
      <c r="I48" s="250" t="str">
        <f t="shared" si="8"/>
        <v>Refrigerator Decomm 20yrs</v>
      </c>
      <c r="J48" s="251"/>
      <c r="K48" s="260"/>
      <c r="L48" s="242">
        <f t="shared" si="9"/>
        <v>482</v>
      </c>
      <c r="M48" s="257">
        <v>0</v>
      </c>
      <c r="N48" s="3574">
        <v>6300</v>
      </c>
      <c r="O48" s="3203">
        <f t="shared" si="1"/>
        <v>6300</v>
      </c>
      <c r="P48" s="3204">
        <f t="shared" si="2"/>
        <v>0</v>
      </c>
      <c r="Q48" s="3204">
        <f t="shared" si="3"/>
        <v>3036600</v>
      </c>
      <c r="R48" s="246">
        <f t="shared" si="4"/>
        <v>3036600</v>
      </c>
      <c r="T48" s="4891"/>
    </row>
    <row r="49" spans="2:25">
      <c r="B49" s="254"/>
      <c r="C49" s="255" t="s">
        <v>139</v>
      </c>
      <c r="D49" s="256">
        <v>10000</v>
      </c>
      <c r="E49" s="256">
        <v>10000</v>
      </c>
      <c r="F49" s="249">
        <f t="shared" si="7"/>
        <v>20000</v>
      </c>
      <c r="H49" s="132"/>
      <c r="I49" s="250" t="str">
        <f t="shared" si="8"/>
        <v>Measure 37</v>
      </c>
      <c r="J49" s="251"/>
      <c r="K49" s="260"/>
      <c r="L49" s="242">
        <f t="shared" si="9"/>
        <v>0</v>
      </c>
      <c r="M49" s="257">
        <v>0</v>
      </c>
      <c r="N49" s="3574">
        <v>0</v>
      </c>
      <c r="O49" s="3203">
        <f t="shared" si="1"/>
        <v>0</v>
      </c>
      <c r="P49" s="3204">
        <f t="shared" si="2"/>
        <v>0</v>
      </c>
      <c r="Q49" s="3204">
        <f t="shared" si="3"/>
        <v>0</v>
      </c>
      <c r="R49" s="246">
        <f t="shared" si="4"/>
        <v>0</v>
      </c>
      <c r="T49" s="4891"/>
    </row>
    <row r="50" spans="2:25">
      <c r="B50" s="254"/>
      <c r="C50" s="255" t="s">
        <v>140</v>
      </c>
      <c r="D50" s="256">
        <v>0</v>
      </c>
      <c r="E50" s="256"/>
      <c r="F50" s="249">
        <f t="shared" si="7"/>
        <v>0</v>
      </c>
      <c r="I50" s="250" t="str">
        <f t="shared" si="8"/>
        <v>Measure 38</v>
      </c>
      <c r="J50" s="251"/>
      <c r="K50" s="252"/>
      <c r="L50" s="242">
        <f t="shared" si="9"/>
        <v>0</v>
      </c>
      <c r="M50" s="257">
        <v>0</v>
      </c>
      <c r="N50" s="3574">
        <v>0</v>
      </c>
      <c r="O50" s="3203">
        <f t="shared" si="1"/>
        <v>0</v>
      </c>
      <c r="P50" s="3204">
        <f t="shared" si="2"/>
        <v>0</v>
      </c>
      <c r="Q50" s="3204">
        <f t="shared" si="3"/>
        <v>0</v>
      </c>
      <c r="R50" s="246">
        <f t="shared" si="4"/>
        <v>0</v>
      </c>
      <c r="T50" s="4891"/>
    </row>
    <row r="51" spans="2:25">
      <c r="B51" s="254"/>
      <c r="C51" s="255" t="s">
        <v>141</v>
      </c>
      <c r="D51" s="256">
        <v>0</v>
      </c>
      <c r="E51" s="256"/>
      <c r="F51" s="249">
        <f t="shared" si="7"/>
        <v>0</v>
      </c>
      <c r="I51" s="250" t="str">
        <f t="shared" si="8"/>
        <v>Measure 39</v>
      </c>
      <c r="J51" s="251"/>
      <c r="K51" s="252"/>
      <c r="L51" s="242">
        <f t="shared" si="9"/>
        <v>0</v>
      </c>
      <c r="M51" s="257">
        <v>0</v>
      </c>
      <c r="N51" s="3574">
        <v>0</v>
      </c>
      <c r="O51" s="3203">
        <f t="shared" si="1"/>
        <v>0</v>
      </c>
      <c r="P51" s="3204">
        <f t="shared" si="2"/>
        <v>0</v>
      </c>
      <c r="Q51" s="3204">
        <f t="shared" si="3"/>
        <v>0</v>
      </c>
      <c r="R51" s="246">
        <f t="shared" si="4"/>
        <v>0</v>
      </c>
      <c r="T51" s="4891"/>
    </row>
    <row r="52" spans="2:25" ht="13.5" thickBot="1">
      <c r="B52" s="254"/>
      <c r="C52" s="255" t="s">
        <v>142</v>
      </c>
      <c r="D52" s="256">
        <v>0</v>
      </c>
      <c r="E52" s="256"/>
      <c r="F52" s="249">
        <f t="shared" si="7"/>
        <v>0</v>
      </c>
      <c r="I52" s="250" t="str">
        <f t="shared" si="8"/>
        <v>Measure 40</v>
      </c>
      <c r="J52" s="251"/>
      <c r="K52" s="252"/>
      <c r="L52" s="242">
        <f t="shared" si="9"/>
        <v>0</v>
      </c>
      <c r="M52" s="257">
        <v>0</v>
      </c>
      <c r="N52" s="3574">
        <v>0</v>
      </c>
      <c r="O52" s="3203">
        <f t="shared" si="1"/>
        <v>0</v>
      </c>
      <c r="P52" s="3204">
        <f t="shared" si="2"/>
        <v>0</v>
      </c>
      <c r="Q52" s="3204">
        <f t="shared" si="3"/>
        <v>0</v>
      </c>
      <c r="R52" s="246">
        <f t="shared" si="4"/>
        <v>0</v>
      </c>
      <c r="T52" s="4891"/>
    </row>
    <row r="53" spans="2:25" ht="13.5" thickBot="1">
      <c r="B53" s="262">
        <v>1186418</v>
      </c>
      <c r="C53" s="236" t="s">
        <v>150</v>
      </c>
      <c r="D53" s="237">
        <f>T105</f>
        <v>5229450</v>
      </c>
      <c r="E53" s="237">
        <f>U105</f>
        <v>5854050</v>
      </c>
      <c r="F53" s="238">
        <f>V105</f>
        <v>11083500</v>
      </c>
      <c r="G53" s="261" t="s">
        <v>151</v>
      </c>
      <c r="I53" s="250" t="str">
        <f t="shared" si="8"/>
        <v>Measure 41</v>
      </c>
      <c r="J53" s="251"/>
      <c r="K53" s="252"/>
      <c r="L53" s="242">
        <f t="shared" si="9"/>
        <v>0</v>
      </c>
      <c r="M53" s="257">
        <v>0</v>
      </c>
      <c r="N53" s="3574">
        <v>0</v>
      </c>
      <c r="O53" s="3203">
        <f t="shared" si="1"/>
        <v>0</v>
      </c>
      <c r="P53" s="3204">
        <f t="shared" si="2"/>
        <v>0</v>
      </c>
      <c r="Q53" s="3204">
        <f t="shared" si="3"/>
        <v>0</v>
      </c>
      <c r="R53" s="246">
        <f t="shared" si="4"/>
        <v>0</v>
      </c>
      <c r="T53" s="4891"/>
    </row>
    <row r="54" spans="2:25" ht="13.5" thickBot="1">
      <c r="B54" s="262">
        <v>0</v>
      </c>
      <c r="C54" s="236" t="s">
        <v>152</v>
      </c>
      <c r="D54" s="237">
        <v>0</v>
      </c>
      <c r="E54" s="237">
        <v>0</v>
      </c>
      <c r="F54" s="238">
        <v>0</v>
      </c>
      <c r="I54" s="250" t="str">
        <f t="shared" si="8"/>
        <v>Measure 42</v>
      </c>
      <c r="J54" s="251"/>
      <c r="K54" s="252"/>
      <c r="L54" s="242">
        <f t="shared" si="9"/>
        <v>0</v>
      </c>
      <c r="M54" s="257">
        <v>0</v>
      </c>
      <c r="N54" s="3574">
        <v>0</v>
      </c>
      <c r="O54" s="3203">
        <f t="shared" si="1"/>
        <v>0</v>
      </c>
      <c r="P54" s="3204">
        <f t="shared" si="2"/>
        <v>0</v>
      </c>
      <c r="Q54" s="3204">
        <f t="shared" si="3"/>
        <v>0</v>
      </c>
      <c r="R54" s="246">
        <f t="shared" si="4"/>
        <v>0</v>
      </c>
      <c r="T54" s="4891"/>
    </row>
    <row r="55" spans="2:25">
      <c r="B55" s="263">
        <f>B13+B18+B23+B28+B33+B38+B43+B48+B53+B54</f>
        <v>1596760</v>
      </c>
      <c r="C55" s="264" t="s">
        <v>153</v>
      </c>
      <c r="D55" s="263">
        <f>D13+D18+D23+D28+D33+D38+D43+D48+D53+D54</f>
        <v>7252547.6799999997</v>
      </c>
      <c r="E55" s="263">
        <f>E13+E18+E23+E28+E33+E38+E43+E48+E53+E54</f>
        <v>7751812.1185999997</v>
      </c>
      <c r="F55" s="263">
        <f>F13+F18+F23+F28+F33+F38+F43+F48+F53+F54</f>
        <v>15004359.798599999</v>
      </c>
      <c r="O55" s="4586">
        <f>SUM(O13:O54)</f>
        <v>116470</v>
      </c>
      <c r="P55" s="265">
        <f>SUM(P13:P54)</f>
        <v>19890350</v>
      </c>
      <c r="Q55" s="265">
        <f>SUM(Q13:Q54)</f>
        <v>12405640</v>
      </c>
      <c r="R55" s="265">
        <f>SUM(R13:R54)</f>
        <v>32295990</v>
      </c>
      <c r="T55" s="265"/>
    </row>
    <row r="56" spans="2:25">
      <c r="C56" s="264"/>
      <c r="D56" s="263"/>
      <c r="E56" s="263"/>
      <c r="F56" s="263"/>
    </row>
    <row r="57" spans="2:25">
      <c r="C57" s="264" t="s">
        <v>154</v>
      </c>
      <c r="D57" s="263">
        <f>D55-D53</f>
        <v>2023097.6799999997</v>
      </c>
      <c r="E57" s="263">
        <f>E55-E53</f>
        <v>1897762.1185999997</v>
      </c>
      <c r="F57" s="263">
        <f>F55-F53</f>
        <v>3920859.7985999994</v>
      </c>
    </row>
    <row r="58" spans="2:25">
      <c r="C58" s="264" t="s">
        <v>155</v>
      </c>
      <c r="D58" s="266">
        <f>D53</f>
        <v>5229450</v>
      </c>
      <c r="E58" s="266">
        <f>E53</f>
        <v>5854050</v>
      </c>
      <c r="F58" s="266">
        <f>F53</f>
        <v>11083500</v>
      </c>
      <c r="G58" s="319">
        <f>F58/(F57+F58)</f>
        <v>0.73868529872458533</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3593" t="s">
        <v>383</v>
      </c>
      <c r="D63" s="3574">
        <v>65</v>
      </c>
      <c r="E63" s="3574" t="s">
        <v>181</v>
      </c>
      <c r="F63" s="3574" t="s">
        <v>186</v>
      </c>
      <c r="G63" s="3594">
        <v>38</v>
      </c>
      <c r="H63" s="3594">
        <v>50</v>
      </c>
      <c r="I63" s="4156">
        <f>Q13/Q$55</f>
        <v>5.2395523326486983E-3</v>
      </c>
      <c r="J63" s="3574">
        <v>20</v>
      </c>
      <c r="K63" s="3574" t="s">
        <v>253</v>
      </c>
      <c r="L63" s="3574"/>
      <c r="M63" s="278">
        <f>Q63/O63</f>
        <v>1.2744194211161795</v>
      </c>
      <c r="N63" s="278">
        <f>((L63/S63)+R63)/P63</f>
        <v>1.8079633043575154</v>
      </c>
      <c r="O63" s="3548">
        <f t="shared" ref="O63:O104" si="10">(($I63*$F$57)+$V63)/$S63</f>
        <v>296525.02322270413</v>
      </c>
      <c r="P63" s="3548">
        <f t="shared" ref="P63:P104" si="11">(($I63*$F$57)+($G63*$O13))/$S63</f>
        <v>229920.02784805099</v>
      </c>
      <c r="Q63" s="3548">
        <f>IF(K63=0, 0, (HLOOKUP(K63,'[3]E-CESTDWO'!$A$5:$O$35,J63+1,FALSE)*R13))</f>
        <v>377897.24844194029</v>
      </c>
      <c r="R63" s="3548">
        <f>IF(K63=0, 0, (HLOOKUP(K63,'[3]E-CESTD'!$A$5:$O$35,J63+1,FALSE)*R13))</f>
        <v>415686.97328613425</v>
      </c>
      <c r="S63" s="3592">
        <v>1.081</v>
      </c>
      <c r="T63" s="4150">
        <f t="shared" ref="T63:U78" si="12">M13*$H63</f>
        <v>250000</v>
      </c>
      <c r="U63" s="4150">
        <f t="shared" si="12"/>
        <v>50000</v>
      </c>
      <c r="V63" s="3618">
        <f>SUM(T63:U63)</f>
        <v>300000</v>
      </c>
      <c r="W63" s="322">
        <f t="shared" ref="W63:W81" si="13">V63/(V63+(I63*F$57))</f>
        <v>0.93591026836417612</v>
      </c>
      <c r="X63" s="322">
        <f t="shared" ref="X63:X81" si="14">(I63*((F$18*1.63)+F$28))/(V63+(I63*F$57))</f>
        <v>2.146122055538394E-2</v>
      </c>
      <c r="Y63" s="322">
        <f t="shared" ref="Y63:Y81" si="15">(I63*F$38)/(V63+(I63*F$57))</f>
        <v>2.8196567271104981E-2</v>
      </c>
    </row>
    <row r="64" spans="2:25">
      <c r="B64" s="282"/>
      <c r="C64" s="3593" t="s">
        <v>384</v>
      </c>
      <c r="D64" s="3593">
        <v>86</v>
      </c>
      <c r="E64" s="3593" t="s">
        <v>181</v>
      </c>
      <c r="F64" s="3574" t="s">
        <v>186</v>
      </c>
      <c r="G64" s="3594">
        <v>77</v>
      </c>
      <c r="H64" s="3594">
        <v>50</v>
      </c>
      <c r="I64" s="4156">
        <f t="shared" ref="I64:I98" si="16">Q14/Q$55</f>
        <v>1.386466155716271E-2</v>
      </c>
      <c r="J64" s="3574">
        <v>20</v>
      </c>
      <c r="K64" s="3574" t="s">
        <v>253</v>
      </c>
      <c r="L64" s="3574"/>
      <c r="M64" s="278">
        <f t="shared" ref="M64:M104" si="17">Q64/O64</f>
        <v>1.45104002604148</v>
      </c>
      <c r="N64" s="278">
        <f t="shared" ref="N64:N104" si="18">((L64/S64)+R64)/P64</f>
        <v>1.1123571079673467</v>
      </c>
      <c r="O64" s="3548">
        <f t="shared" si="10"/>
        <v>258428.67171200196</v>
      </c>
      <c r="P64" s="3548">
        <f t="shared" si="11"/>
        <v>370824.60140672908</v>
      </c>
      <c r="Q64" s="3548">
        <f>IF(K64=0, 0, (HLOOKUP(K64,'[3]E-CESTDWO'!$A$5:$O$35,J64+1,FALSE)*R14))</f>
        <v>374990.34653084842</v>
      </c>
      <c r="R64" s="3548">
        <f>IF(K64=0, 0, (HLOOKUP(K64,'[3]E-CESTD'!$A$5:$O$35,J64+1,FALSE)*R14))</f>
        <v>412489.38118393323</v>
      </c>
      <c r="S64" s="3592">
        <v>1.081</v>
      </c>
      <c r="T64" s="4150">
        <f t="shared" si="12"/>
        <v>125000</v>
      </c>
      <c r="U64" s="4150">
        <f t="shared" si="12"/>
        <v>100000</v>
      </c>
      <c r="V64" s="3618">
        <f t="shared" ref="V64:V104" si="19">SUM(T64:U64)</f>
        <v>225000</v>
      </c>
      <c r="W64" s="322">
        <f t="shared" si="13"/>
        <v>0.8054083518168873</v>
      </c>
      <c r="X64" s="322">
        <f t="shared" si="14"/>
        <v>6.5161363190341923E-2</v>
      </c>
      <c r="Y64" s="322">
        <f t="shared" si="15"/>
        <v>8.5611475634942549E-2</v>
      </c>
    </row>
    <row r="65" spans="2:25">
      <c r="B65" s="282"/>
      <c r="C65" s="3593" t="s">
        <v>385</v>
      </c>
      <c r="D65" s="3574">
        <v>42</v>
      </c>
      <c r="E65" s="3593" t="s">
        <v>181</v>
      </c>
      <c r="F65" s="3574" t="s">
        <v>186</v>
      </c>
      <c r="G65" s="3594">
        <v>4</v>
      </c>
      <c r="H65" s="3594">
        <v>25</v>
      </c>
      <c r="I65" s="4156">
        <f t="shared" si="16"/>
        <v>3.385556891865313E-3</v>
      </c>
      <c r="J65" s="3574">
        <v>20</v>
      </c>
      <c r="K65" s="3574" t="s">
        <v>253</v>
      </c>
      <c r="L65" s="3574"/>
      <c r="M65" s="278">
        <f t="shared" si="17"/>
        <v>1.6047947438100278</v>
      </c>
      <c r="N65" s="278">
        <f t="shared" si="18"/>
        <v>7.5453806238032133</v>
      </c>
      <c r="O65" s="3548">
        <f t="shared" si="10"/>
        <v>139476.68262089536</v>
      </c>
      <c r="P65" s="3548">
        <f t="shared" si="11"/>
        <v>32631.169207389332</v>
      </c>
      <c r="Q65" s="3548">
        <f>IF(K65=0, 0, (HLOOKUP(K65,'[3]E-CESTDWO'!$A$5:$O$35,J65+1,FALSE)*R15))</f>
        <v>223831.44715407232</v>
      </c>
      <c r="R65" s="3548">
        <f>IF(K65=0, 0, (HLOOKUP(K65,'[3]E-CESTD'!$A$5:$O$35,J65+1,FALSE)*R15))</f>
        <v>246214.59186947951</v>
      </c>
      <c r="S65" s="3592">
        <v>1.081</v>
      </c>
      <c r="T65" s="4150">
        <f t="shared" si="12"/>
        <v>112500</v>
      </c>
      <c r="U65" s="4150">
        <f t="shared" si="12"/>
        <v>25000</v>
      </c>
      <c r="V65" s="3618">
        <f t="shared" si="19"/>
        <v>137500</v>
      </c>
      <c r="W65" s="322">
        <f t="shared" si="13"/>
        <v>0.91195917043504193</v>
      </c>
      <c r="X65" s="322">
        <f t="shared" si="14"/>
        <v>2.9481534919025817E-2</v>
      </c>
      <c r="Y65" s="322">
        <f t="shared" si="15"/>
        <v>3.8733961120920542E-2</v>
      </c>
    </row>
    <row r="66" spans="2:25">
      <c r="B66" s="282"/>
      <c r="C66" s="3593" t="s">
        <v>386</v>
      </c>
      <c r="D66" s="3593">
        <v>482</v>
      </c>
      <c r="E66" s="3593" t="s">
        <v>181</v>
      </c>
      <c r="F66" s="3574" t="s">
        <v>186</v>
      </c>
      <c r="G66" s="3594">
        <v>65</v>
      </c>
      <c r="H66" s="3594">
        <v>72.5</v>
      </c>
      <c r="I66" s="4156">
        <f t="shared" si="16"/>
        <v>2.7197307031318015E-2</v>
      </c>
      <c r="J66" s="3574">
        <v>9</v>
      </c>
      <c r="K66" s="3574" t="s">
        <v>253</v>
      </c>
      <c r="L66" s="3574"/>
      <c r="M66" s="278">
        <f t="shared" si="17"/>
        <v>3.7161049484070183</v>
      </c>
      <c r="N66" s="278">
        <f t="shared" si="18"/>
        <v>4.5147518789172203</v>
      </c>
      <c r="O66" s="3548">
        <f t="shared" si="10"/>
        <v>1151606.6861880445</v>
      </c>
      <c r="P66" s="3548">
        <f t="shared" si="11"/>
        <v>1042679.7666690805</v>
      </c>
      <c r="Q66" s="3548">
        <f>IF(K66=0, 0, (HLOOKUP(K66,'[3]E-CESTDWO'!$A$5:$O$35,J66+1,FALSE)*R16))</f>
        <v>4279491.3051620005</v>
      </c>
      <c r="R66" s="3548">
        <f>IF(K66=0, 0, (HLOOKUP(K66,'[3]E-CESTD'!$A$5:$O$35,J66+1,FALSE)*R16))</f>
        <v>4707440.4356781999</v>
      </c>
      <c r="S66" s="3592">
        <v>1.081</v>
      </c>
      <c r="T66" s="4150">
        <f t="shared" si="12"/>
        <v>1087500</v>
      </c>
      <c r="U66" s="4150">
        <f t="shared" si="12"/>
        <v>50750</v>
      </c>
      <c r="V66" s="3618">
        <f t="shared" si="19"/>
        <v>1138250</v>
      </c>
      <c r="W66" s="322">
        <f t="shared" si="13"/>
        <v>0.91434014290250021</v>
      </c>
      <c r="X66" s="322">
        <f t="shared" si="14"/>
        <v>2.8684237536805872E-2</v>
      </c>
      <c r="Y66" s="322">
        <f t="shared" si="15"/>
        <v>3.7686441516207238E-2</v>
      </c>
    </row>
    <row r="67" spans="2:25">
      <c r="B67" s="282"/>
      <c r="C67" s="3593" t="s">
        <v>387</v>
      </c>
      <c r="D67" s="3574">
        <v>555</v>
      </c>
      <c r="E67" s="3593" t="s">
        <v>181</v>
      </c>
      <c r="F67" s="3574" t="s">
        <v>186</v>
      </c>
      <c r="G67" s="3594">
        <v>65</v>
      </c>
      <c r="H67" s="3594">
        <v>72.5</v>
      </c>
      <c r="I67" s="4156">
        <f t="shared" si="16"/>
        <v>4.4737716071077353E-3</v>
      </c>
      <c r="J67" s="3574">
        <v>6</v>
      </c>
      <c r="K67" s="3574" t="s">
        <v>253</v>
      </c>
      <c r="L67" s="3574"/>
      <c r="M67" s="278">
        <f t="shared" si="17"/>
        <v>3.1041669243428718</v>
      </c>
      <c r="N67" s="278">
        <f t="shared" si="18"/>
        <v>3.7770228759413644</v>
      </c>
      <c r="O67" s="3548">
        <f t="shared" si="10"/>
        <v>224136.01410030236</v>
      </c>
      <c r="P67" s="3548">
        <f t="shared" si="11"/>
        <v>202628.15101057061</v>
      </c>
      <c r="Q67" s="3548">
        <f>IF(K67=0, 0, (HLOOKUP(K67,'[3]E-CESTDWO'!$A$5:$O$35,J67+1,FALSE)*R17))</f>
        <v>695755.60152420611</v>
      </c>
      <c r="R67" s="3548">
        <f>IF(K67=0, 0, (HLOOKUP(K67,'[3]E-CESTD'!$A$5:$O$35,J67+1,FALSE)*R17))</f>
        <v>765331.16167662654</v>
      </c>
      <c r="S67" s="3592">
        <v>1.081</v>
      </c>
      <c r="T67" s="4150">
        <f t="shared" si="12"/>
        <v>217500</v>
      </c>
      <c r="U67" s="4150">
        <f t="shared" si="12"/>
        <v>7250</v>
      </c>
      <c r="V67" s="3618">
        <f t="shared" si="19"/>
        <v>224750</v>
      </c>
      <c r="W67" s="322">
        <f t="shared" si="13"/>
        <v>0.92760346450927456</v>
      </c>
      <c r="X67" s="322">
        <f t="shared" si="14"/>
        <v>2.4242854135211728E-2</v>
      </c>
      <c r="Y67" s="322">
        <f t="shared" si="15"/>
        <v>3.1851183193567167E-2</v>
      </c>
    </row>
    <row r="68" spans="2:25">
      <c r="B68" s="282"/>
      <c r="C68" s="3593" t="s">
        <v>388</v>
      </c>
      <c r="D68" s="3593">
        <v>482</v>
      </c>
      <c r="E68" s="3593" t="s">
        <v>181</v>
      </c>
      <c r="F68" s="3574" t="s">
        <v>186</v>
      </c>
      <c r="G68" s="3594">
        <v>130</v>
      </c>
      <c r="H68" s="3594">
        <v>78.5</v>
      </c>
      <c r="I68" s="4156">
        <f t="shared" si="16"/>
        <v>0.1165598872770772</v>
      </c>
      <c r="J68" s="3574">
        <v>9</v>
      </c>
      <c r="K68" s="3574" t="s">
        <v>253</v>
      </c>
      <c r="L68" s="3574"/>
      <c r="M68" s="278">
        <f t="shared" si="17"/>
        <v>2.6511387217629001</v>
      </c>
      <c r="N68" s="278">
        <f t="shared" si="18"/>
        <v>1.9928427164242193</v>
      </c>
      <c r="O68" s="3548">
        <f t="shared" si="10"/>
        <v>1439421.809578205</v>
      </c>
      <c r="P68" s="3548">
        <f t="shared" si="11"/>
        <v>2106396.8327049394</v>
      </c>
      <c r="Q68" s="3548">
        <f>IF(K68=0, 0, (HLOOKUP(K68,'[3]E-CESTDWO'!$A$5:$O$35,J68+1,FALSE)*R18))</f>
        <v>3816106.8963228031</v>
      </c>
      <c r="R68" s="3548">
        <f>IF(K68=0, 0, (HLOOKUP(K68,'[3]E-CESTD'!$A$5:$O$35,J68+1,FALSE)*R18))</f>
        <v>4197717.5859550834</v>
      </c>
      <c r="S68" s="3592">
        <v>1.081</v>
      </c>
      <c r="T68" s="4150">
        <f t="shared" si="12"/>
        <v>863500</v>
      </c>
      <c r="U68" s="4150">
        <f t="shared" si="12"/>
        <v>235500</v>
      </c>
      <c r="V68" s="3618">
        <f t="shared" si="19"/>
        <v>1099000</v>
      </c>
      <c r="W68" s="322">
        <f t="shared" si="13"/>
        <v>0.7062914026164252</v>
      </c>
      <c r="X68" s="322">
        <f t="shared" si="14"/>
        <v>9.8351870519270884E-2</v>
      </c>
      <c r="Y68" s="322">
        <f t="shared" si="15"/>
        <v>0.12921842567989103</v>
      </c>
    </row>
    <row r="69" spans="2:25">
      <c r="B69" s="282"/>
      <c r="C69" s="3593" t="s">
        <v>389</v>
      </c>
      <c r="D69" s="3574">
        <v>555</v>
      </c>
      <c r="E69" s="3593" t="s">
        <v>181</v>
      </c>
      <c r="F69" s="3574" t="s">
        <v>186</v>
      </c>
      <c r="G69" s="3594">
        <v>130</v>
      </c>
      <c r="H69" s="3594">
        <v>78.5</v>
      </c>
      <c r="I69" s="4156">
        <f t="shared" si="16"/>
        <v>8.9475432142154698E-2</v>
      </c>
      <c r="J69" s="3574">
        <v>6</v>
      </c>
      <c r="K69" s="3574" t="s">
        <v>253</v>
      </c>
      <c r="L69" s="3574"/>
      <c r="M69" s="278">
        <f t="shared" si="17"/>
        <v>1.6319788746589141</v>
      </c>
      <c r="N69" s="278">
        <f t="shared" si="18"/>
        <v>1.3332977752513129</v>
      </c>
      <c r="O69" s="3548">
        <f t="shared" si="10"/>
        <v>687623.14972112549</v>
      </c>
      <c r="P69" s="3548">
        <f t="shared" si="11"/>
        <v>925828.51512353064</v>
      </c>
      <c r="Q69" s="3548">
        <f>IF(K69=0, 0, (HLOOKUP(K69,'[3]E-CESTDWO'!$A$5:$O$35,J69+1,FALSE)*R19))</f>
        <v>1122186.4540713003</v>
      </c>
      <c r="R69" s="3548">
        <f>IF(K69=0, 0, (HLOOKUP(K69,'[3]E-CESTD'!$A$5:$O$35,J69+1,FALSE)*R19))</f>
        <v>1234405.0994784299</v>
      </c>
      <c r="S69" s="3592">
        <v>1.081</v>
      </c>
      <c r="T69" s="4150">
        <f t="shared" si="12"/>
        <v>235500</v>
      </c>
      <c r="U69" s="4150">
        <f t="shared" si="12"/>
        <v>157000</v>
      </c>
      <c r="V69" s="3618">
        <f t="shared" si="19"/>
        <v>392500</v>
      </c>
      <c r="W69" s="322">
        <f t="shared" si="13"/>
        <v>0.52803593345735311</v>
      </c>
      <c r="X69" s="322">
        <f t="shared" si="14"/>
        <v>0.1580428668954818</v>
      </c>
      <c r="Y69" s="322">
        <f t="shared" si="15"/>
        <v>0.20764272547484761</v>
      </c>
    </row>
    <row r="70" spans="2:25">
      <c r="B70" s="282"/>
      <c r="C70" s="3593"/>
      <c r="D70" s="3593"/>
      <c r="E70" s="3593" t="s">
        <v>181</v>
      </c>
      <c r="F70" s="3574" t="s">
        <v>186</v>
      </c>
      <c r="G70" s="3594"/>
      <c r="H70" s="3594"/>
      <c r="I70" s="4156">
        <f t="shared" si="16"/>
        <v>0</v>
      </c>
      <c r="J70" s="3574">
        <v>14</v>
      </c>
      <c r="K70" s="3574" t="s">
        <v>233</v>
      </c>
      <c r="L70" s="3574"/>
      <c r="M70" s="278" t="e">
        <f t="shared" si="17"/>
        <v>#DIV/0!</v>
      </c>
      <c r="N70" s="278" t="e">
        <f t="shared" si="18"/>
        <v>#DIV/0!</v>
      </c>
      <c r="O70" s="3548">
        <f t="shared" si="10"/>
        <v>0</v>
      </c>
      <c r="P70" s="3548">
        <f t="shared" si="11"/>
        <v>0</v>
      </c>
      <c r="Q70" s="3548">
        <f>IF(K70=0, 0, (HLOOKUP(K70,'[3]E-CESTDWO'!$A$5:$O$35,J70+1,FALSE)*R20))</f>
        <v>0</v>
      </c>
      <c r="R70" s="3548">
        <f>IF(K70=0, 0, (HLOOKUP(K70,'[3]E-CESTD'!$A$5:$O$35,J70+1,FALSE)*R20))</f>
        <v>0</v>
      </c>
      <c r="S70" s="3592">
        <v>1.081</v>
      </c>
      <c r="T70" s="4150">
        <f t="shared" si="12"/>
        <v>0</v>
      </c>
      <c r="U70" s="4150">
        <f t="shared" si="12"/>
        <v>0</v>
      </c>
      <c r="V70" s="3618">
        <f t="shared" si="19"/>
        <v>0</v>
      </c>
      <c r="W70" s="322" t="e">
        <f t="shared" si="13"/>
        <v>#DIV/0!</v>
      </c>
      <c r="X70" s="322" t="e">
        <f t="shared" si="14"/>
        <v>#DIV/0!</v>
      </c>
      <c r="Y70" s="322" t="e">
        <f t="shared" si="15"/>
        <v>#DIV/0!</v>
      </c>
    </row>
    <row r="71" spans="2:25">
      <c r="B71" s="282"/>
      <c r="C71" s="3593"/>
      <c r="D71" s="3574"/>
      <c r="E71" s="3593" t="s">
        <v>181</v>
      </c>
      <c r="F71" s="3574" t="s">
        <v>186</v>
      </c>
      <c r="G71" s="3594"/>
      <c r="H71" s="3594"/>
      <c r="I71" s="4156">
        <f t="shared" si="16"/>
        <v>0</v>
      </c>
      <c r="J71" s="3574">
        <v>14</v>
      </c>
      <c r="K71" s="3574" t="s">
        <v>233</v>
      </c>
      <c r="L71" s="3574"/>
      <c r="M71" s="278" t="e">
        <f t="shared" si="17"/>
        <v>#DIV/0!</v>
      </c>
      <c r="N71" s="278" t="e">
        <f t="shared" si="18"/>
        <v>#DIV/0!</v>
      </c>
      <c r="O71" s="3548">
        <f t="shared" si="10"/>
        <v>0</v>
      </c>
      <c r="P71" s="3548">
        <f t="shared" si="11"/>
        <v>0</v>
      </c>
      <c r="Q71" s="3548">
        <f>IF(K71=0, 0, (HLOOKUP(K71,'[3]E-CESTDWO'!$A$5:$O$35,J71+1,FALSE)*R21))</f>
        <v>0</v>
      </c>
      <c r="R71" s="3548">
        <f>IF(K71=0, 0, (HLOOKUP(K71,'[3]E-CESTD'!$A$5:$O$35,J71+1,FALSE)*R21))</f>
        <v>0</v>
      </c>
      <c r="S71" s="3592">
        <v>1.081</v>
      </c>
      <c r="T71" s="4150">
        <f t="shared" si="12"/>
        <v>0</v>
      </c>
      <c r="U71" s="4150">
        <f t="shared" si="12"/>
        <v>0</v>
      </c>
      <c r="V71" s="3618">
        <f t="shared" si="19"/>
        <v>0</v>
      </c>
      <c r="W71" s="322" t="e">
        <f t="shared" si="13"/>
        <v>#DIV/0!</v>
      </c>
      <c r="X71" s="322" t="e">
        <f t="shared" si="14"/>
        <v>#DIV/0!</v>
      </c>
      <c r="Y71" s="322" t="e">
        <f t="shared" si="15"/>
        <v>#DIV/0!</v>
      </c>
    </row>
    <row r="72" spans="2:25">
      <c r="B72" s="282"/>
      <c r="C72" s="3593"/>
      <c r="D72" s="3593"/>
      <c r="E72" s="3593" t="s">
        <v>181</v>
      </c>
      <c r="F72" s="3574" t="s">
        <v>186</v>
      </c>
      <c r="G72" s="3594"/>
      <c r="H72" s="3594"/>
      <c r="I72" s="4156">
        <f t="shared" si="16"/>
        <v>0</v>
      </c>
      <c r="J72" s="3574">
        <v>14</v>
      </c>
      <c r="K72" s="3574" t="s">
        <v>233</v>
      </c>
      <c r="L72" s="3574"/>
      <c r="M72" s="278" t="e">
        <f t="shared" si="17"/>
        <v>#DIV/0!</v>
      </c>
      <c r="N72" s="278" t="e">
        <f t="shared" si="18"/>
        <v>#DIV/0!</v>
      </c>
      <c r="O72" s="3548">
        <f t="shared" si="10"/>
        <v>0</v>
      </c>
      <c r="P72" s="3548">
        <f t="shared" si="11"/>
        <v>0</v>
      </c>
      <c r="Q72" s="3548">
        <f>IF(K72=0, 0, (HLOOKUP(K72,'[3]E-CESTDWO'!$A$5:$O$35,J72+1,FALSE)*R22))</f>
        <v>0</v>
      </c>
      <c r="R72" s="3548">
        <f>IF(K72=0, 0, (HLOOKUP(K72,'[3]E-CESTD'!$A$5:$O$35,J72+1,FALSE)*R22))</f>
        <v>0</v>
      </c>
      <c r="S72" s="3592">
        <v>1.081</v>
      </c>
      <c r="T72" s="4150">
        <f t="shared" si="12"/>
        <v>0</v>
      </c>
      <c r="U72" s="4150">
        <f t="shared" si="12"/>
        <v>0</v>
      </c>
      <c r="V72" s="3618">
        <f t="shared" si="19"/>
        <v>0</v>
      </c>
      <c r="W72" s="322" t="e">
        <f t="shared" si="13"/>
        <v>#DIV/0!</v>
      </c>
      <c r="X72" s="322" t="e">
        <f t="shared" si="14"/>
        <v>#DIV/0!</v>
      </c>
      <c r="Y72" s="322" t="e">
        <f t="shared" si="15"/>
        <v>#DIV/0!</v>
      </c>
    </row>
    <row r="73" spans="2:25">
      <c r="B73" s="282"/>
      <c r="C73" s="3593"/>
      <c r="D73" s="3574"/>
      <c r="E73" s="3593" t="s">
        <v>181</v>
      </c>
      <c r="F73" s="3574" t="s">
        <v>186</v>
      </c>
      <c r="G73" s="3594"/>
      <c r="H73" s="3594"/>
      <c r="I73" s="4156">
        <f t="shared" si="16"/>
        <v>0</v>
      </c>
      <c r="J73" s="3574">
        <v>14</v>
      </c>
      <c r="K73" s="3574" t="s">
        <v>233</v>
      </c>
      <c r="L73" s="3574"/>
      <c r="M73" s="278" t="e">
        <f t="shared" si="17"/>
        <v>#DIV/0!</v>
      </c>
      <c r="N73" s="278" t="e">
        <f t="shared" si="18"/>
        <v>#DIV/0!</v>
      </c>
      <c r="O73" s="3548">
        <f t="shared" si="10"/>
        <v>0</v>
      </c>
      <c r="P73" s="3548">
        <f t="shared" si="11"/>
        <v>0</v>
      </c>
      <c r="Q73" s="3548">
        <f>IF(K73=0, 0, (HLOOKUP(K73,'[3]E-CESTDWO'!$A$5:$O$35,J73+1,FALSE)*R23))</f>
        <v>0</v>
      </c>
      <c r="R73" s="3548">
        <f>IF(K73=0, 0, (HLOOKUP(K73,'[3]E-CESTD'!$A$5:$O$35,J73+1,FALSE)*R23))</f>
        <v>0</v>
      </c>
      <c r="S73" s="3592">
        <v>1.081</v>
      </c>
      <c r="T73" s="4150">
        <f t="shared" si="12"/>
        <v>0</v>
      </c>
      <c r="U73" s="4150">
        <f t="shared" si="12"/>
        <v>0</v>
      </c>
      <c r="V73" s="3618">
        <f t="shared" si="19"/>
        <v>0</v>
      </c>
      <c r="W73" s="322" t="e">
        <f t="shared" si="13"/>
        <v>#DIV/0!</v>
      </c>
      <c r="X73" s="322" t="e">
        <f t="shared" si="14"/>
        <v>#DIV/0!</v>
      </c>
      <c r="Y73" s="322" t="e">
        <f t="shared" si="15"/>
        <v>#DIV/0!</v>
      </c>
    </row>
    <row r="74" spans="2:25">
      <c r="B74" s="282"/>
      <c r="C74" s="3593"/>
      <c r="D74" s="3593"/>
      <c r="E74" s="3593" t="s">
        <v>181</v>
      </c>
      <c r="F74" s="3574" t="s">
        <v>186</v>
      </c>
      <c r="G74" s="3594"/>
      <c r="H74" s="3594"/>
      <c r="I74" s="4156">
        <f t="shared" si="16"/>
        <v>0</v>
      </c>
      <c r="J74" s="3574">
        <v>14</v>
      </c>
      <c r="K74" s="3574" t="s">
        <v>233</v>
      </c>
      <c r="L74" s="3574"/>
      <c r="M74" s="278" t="e">
        <f t="shared" si="17"/>
        <v>#DIV/0!</v>
      </c>
      <c r="N74" s="278" t="e">
        <f t="shared" si="18"/>
        <v>#DIV/0!</v>
      </c>
      <c r="O74" s="3548">
        <f t="shared" si="10"/>
        <v>0</v>
      </c>
      <c r="P74" s="3548">
        <f t="shared" si="11"/>
        <v>0</v>
      </c>
      <c r="Q74" s="3548">
        <f>IF(K74=0, 0, (HLOOKUP(K74,'[3]E-CESTDWO'!$A$5:$O$35,J74+1,FALSE)*R24))</f>
        <v>0</v>
      </c>
      <c r="R74" s="3548">
        <f>IF(K74=0, 0, (HLOOKUP(K74,'[3]E-CESTD'!$A$5:$O$35,J74+1,FALSE)*R24))</f>
        <v>0</v>
      </c>
      <c r="S74" s="3592">
        <v>1.081</v>
      </c>
      <c r="T74" s="4150">
        <f t="shared" si="12"/>
        <v>0</v>
      </c>
      <c r="U74" s="4150">
        <f t="shared" si="12"/>
        <v>0</v>
      </c>
      <c r="V74" s="3618">
        <f t="shared" si="19"/>
        <v>0</v>
      </c>
      <c r="W74" s="322" t="e">
        <f t="shared" si="13"/>
        <v>#DIV/0!</v>
      </c>
      <c r="X74" s="322" t="e">
        <f t="shared" si="14"/>
        <v>#DIV/0!</v>
      </c>
      <c r="Y74" s="322" t="e">
        <f t="shared" si="15"/>
        <v>#DIV/0!</v>
      </c>
    </row>
    <row r="75" spans="2:25">
      <c r="B75" s="282"/>
      <c r="C75" s="3593"/>
      <c r="D75" s="3574"/>
      <c r="E75" s="3593" t="s">
        <v>181</v>
      </c>
      <c r="F75" s="3574" t="s">
        <v>186</v>
      </c>
      <c r="G75" s="3594"/>
      <c r="H75" s="3594"/>
      <c r="I75" s="4156">
        <f t="shared" si="16"/>
        <v>0</v>
      </c>
      <c r="J75" s="3574">
        <v>14</v>
      </c>
      <c r="K75" s="3574" t="s">
        <v>233</v>
      </c>
      <c r="L75" s="3574"/>
      <c r="M75" s="278" t="e">
        <f t="shared" si="17"/>
        <v>#DIV/0!</v>
      </c>
      <c r="N75" s="278" t="e">
        <f t="shared" si="18"/>
        <v>#DIV/0!</v>
      </c>
      <c r="O75" s="3548">
        <f t="shared" si="10"/>
        <v>0</v>
      </c>
      <c r="P75" s="3548">
        <f t="shared" si="11"/>
        <v>0</v>
      </c>
      <c r="Q75" s="3548">
        <f>IF(K75=0, 0, (HLOOKUP(K75,'[3]E-CESTDWO'!$A$5:$O$35,J75+1,FALSE)*R25))</f>
        <v>0</v>
      </c>
      <c r="R75" s="3548">
        <f>IF(K75=0, 0, (HLOOKUP(K75,'[3]E-CESTD'!$A$5:$O$35,J75+1,FALSE)*R25))</f>
        <v>0</v>
      </c>
      <c r="S75" s="3592">
        <v>1.081</v>
      </c>
      <c r="T75" s="4150">
        <f t="shared" si="12"/>
        <v>0</v>
      </c>
      <c r="U75" s="4150">
        <f t="shared" si="12"/>
        <v>0</v>
      </c>
      <c r="V75" s="3618">
        <f t="shared" si="19"/>
        <v>0</v>
      </c>
      <c r="W75" s="322" t="e">
        <f t="shared" si="13"/>
        <v>#DIV/0!</v>
      </c>
      <c r="X75" s="322" t="e">
        <f t="shared" si="14"/>
        <v>#DIV/0!</v>
      </c>
      <c r="Y75" s="322" t="e">
        <f t="shared" si="15"/>
        <v>#DIV/0!</v>
      </c>
    </row>
    <row r="76" spans="2:25">
      <c r="B76" s="282"/>
      <c r="C76" s="3593"/>
      <c r="D76" s="3593"/>
      <c r="E76" s="3593" t="s">
        <v>181</v>
      </c>
      <c r="F76" s="3574" t="s">
        <v>186</v>
      </c>
      <c r="G76" s="3594"/>
      <c r="H76" s="3594"/>
      <c r="I76" s="4156">
        <f t="shared" si="16"/>
        <v>0</v>
      </c>
      <c r="J76" s="3574">
        <v>14</v>
      </c>
      <c r="K76" s="3574" t="s">
        <v>233</v>
      </c>
      <c r="L76" s="3574"/>
      <c r="M76" s="278" t="e">
        <f t="shared" si="17"/>
        <v>#DIV/0!</v>
      </c>
      <c r="N76" s="278" t="e">
        <f t="shared" si="18"/>
        <v>#DIV/0!</v>
      </c>
      <c r="O76" s="3548">
        <f t="shared" si="10"/>
        <v>0</v>
      </c>
      <c r="P76" s="3548">
        <f t="shared" si="11"/>
        <v>0</v>
      </c>
      <c r="Q76" s="3548">
        <f>IF(K76=0, 0, (HLOOKUP(K76,'[3]E-CESTDWO'!$A$5:$O$35,J76+1,FALSE)*R26))</f>
        <v>0</v>
      </c>
      <c r="R76" s="3548">
        <f>IF(K76=0, 0, (HLOOKUP(K76,'[3]E-CESTD'!$A$5:$O$35,J76+1,FALSE)*R26))</f>
        <v>0</v>
      </c>
      <c r="S76" s="3592">
        <v>1.081</v>
      </c>
      <c r="T76" s="4150">
        <f t="shared" si="12"/>
        <v>0</v>
      </c>
      <c r="U76" s="4150">
        <f t="shared" si="12"/>
        <v>0</v>
      </c>
      <c r="V76" s="3618">
        <f t="shared" si="19"/>
        <v>0</v>
      </c>
      <c r="W76" s="322" t="e">
        <f t="shared" si="13"/>
        <v>#DIV/0!</v>
      </c>
      <c r="X76" s="322" t="e">
        <f t="shared" si="14"/>
        <v>#DIV/0!</v>
      </c>
      <c r="Y76" s="322" t="e">
        <f t="shared" si="15"/>
        <v>#DIV/0!</v>
      </c>
    </row>
    <row r="77" spans="2:25">
      <c r="B77" s="282"/>
      <c r="C77" s="3593"/>
      <c r="D77" s="3574"/>
      <c r="E77" s="3593" t="s">
        <v>181</v>
      </c>
      <c r="F77" s="3574" t="s">
        <v>186</v>
      </c>
      <c r="G77" s="3594"/>
      <c r="H77" s="3594"/>
      <c r="I77" s="4156">
        <f t="shared" si="16"/>
        <v>0</v>
      </c>
      <c r="J77" s="3574">
        <v>14</v>
      </c>
      <c r="K77" s="3574" t="s">
        <v>233</v>
      </c>
      <c r="L77" s="3574"/>
      <c r="M77" s="278" t="e">
        <f t="shared" si="17"/>
        <v>#DIV/0!</v>
      </c>
      <c r="N77" s="278" t="e">
        <f t="shared" si="18"/>
        <v>#DIV/0!</v>
      </c>
      <c r="O77" s="3548">
        <f t="shared" si="10"/>
        <v>0</v>
      </c>
      <c r="P77" s="3548">
        <f t="shared" si="11"/>
        <v>0</v>
      </c>
      <c r="Q77" s="3548">
        <f>IF(K77=0, 0, (HLOOKUP(K77,'[3]E-CESTDWO'!$A$5:$O$35,J77+1,FALSE)*R27))</f>
        <v>0</v>
      </c>
      <c r="R77" s="3548">
        <f>IF(K77=0, 0, (HLOOKUP(K77,'[3]E-CESTD'!$A$5:$O$35,J77+1,FALSE)*R27))</f>
        <v>0</v>
      </c>
      <c r="S77" s="3592">
        <v>1.081</v>
      </c>
      <c r="T77" s="4150">
        <f t="shared" si="12"/>
        <v>0</v>
      </c>
      <c r="U77" s="4150">
        <f t="shared" si="12"/>
        <v>0</v>
      </c>
      <c r="V77" s="3618">
        <f t="shared" si="19"/>
        <v>0</v>
      </c>
      <c r="W77" s="322" t="e">
        <f t="shared" si="13"/>
        <v>#DIV/0!</v>
      </c>
      <c r="X77" s="322" t="e">
        <f t="shared" si="14"/>
        <v>#DIV/0!</v>
      </c>
      <c r="Y77" s="322" t="e">
        <f t="shared" si="15"/>
        <v>#DIV/0!</v>
      </c>
    </row>
    <row r="78" spans="2:25">
      <c r="B78" s="282"/>
      <c r="C78" s="3593"/>
      <c r="D78" s="3593"/>
      <c r="E78" s="3593" t="s">
        <v>181</v>
      </c>
      <c r="F78" s="3574" t="s">
        <v>186</v>
      </c>
      <c r="G78" s="3594"/>
      <c r="H78" s="3594"/>
      <c r="I78" s="4156">
        <f t="shared" si="16"/>
        <v>0</v>
      </c>
      <c r="J78" s="3574">
        <v>14</v>
      </c>
      <c r="K78" s="3574" t="s">
        <v>233</v>
      </c>
      <c r="L78" s="3574"/>
      <c r="M78" s="278" t="e">
        <f t="shared" si="17"/>
        <v>#DIV/0!</v>
      </c>
      <c r="N78" s="278" t="e">
        <f t="shared" si="18"/>
        <v>#DIV/0!</v>
      </c>
      <c r="O78" s="3548">
        <f t="shared" si="10"/>
        <v>0</v>
      </c>
      <c r="P78" s="3548">
        <f t="shared" si="11"/>
        <v>0</v>
      </c>
      <c r="Q78" s="3548">
        <f>IF(K78=0, 0, (HLOOKUP(K78,'[3]E-CESTDWO'!$A$5:$O$35,J78+1,FALSE)*R28))</f>
        <v>0</v>
      </c>
      <c r="R78" s="3548">
        <f>IF(K78=0, 0, (HLOOKUP(K78,'[3]E-CESTD'!$A$5:$O$35,J78+1,FALSE)*R28))</f>
        <v>0</v>
      </c>
      <c r="S78" s="3592">
        <v>1.081</v>
      </c>
      <c r="T78" s="4150">
        <f t="shared" si="12"/>
        <v>0</v>
      </c>
      <c r="U78" s="4150">
        <f t="shared" si="12"/>
        <v>0</v>
      </c>
      <c r="V78" s="3618">
        <f t="shared" si="19"/>
        <v>0</v>
      </c>
      <c r="W78" s="322" t="e">
        <f t="shared" si="13"/>
        <v>#DIV/0!</v>
      </c>
      <c r="X78" s="322" t="e">
        <f t="shared" si="14"/>
        <v>#DIV/0!</v>
      </c>
      <c r="Y78" s="322" t="e">
        <f t="shared" si="15"/>
        <v>#DIV/0!</v>
      </c>
    </row>
    <row r="79" spans="2:25">
      <c r="B79" s="282"/>
      <c r="C79" s="3593"/>
      <c r="D79" s="3574"/>
      <c r="E79" s="3593" t="s">
        <v>181</v>
      </c>
      <c r="F79" s="3593" t="s">
        <v>186</v>
      </c>
      <c r="G79" s="3594"/>
      <c r="H79" s="3594"/>
      <c r="I79" s="4156">
        <f t="shared" si="16"/>
        <v>0</v>
      </c>
      <c r="J79" s="3574">
        <v>14</v>
      </c>
      <c r="K79" s="3574" t="s">
        <v>233</v>
      </c>
      <c r="L79" s="3574"/>
      <c r="M79" s="278" t="e">
        <f t="shared" si="17"/>
        <v>#DIV/0!</v>
      </c>
      <c r="N79" s="278" t="e">
        <f t="shared" si="18"/>
        <v>#DIV/0!</v>
      </c>
      <c r="O79" s="3548">
        <f t="shared" si="10"/>
        <v>0</v>
      </c>
      <c r="P79" s="3548">
        <f t="shared" si="11"/>
        <v>0</v>
      </c>
      <c r="Q79" s="3548">
        <f>IF(K79=0, 0, (HLOOKUP(K79,'[3]E-CESTDWO'!$A$5:$O$35,J79+1,FALSE)*R29))</f>
        <v>0</v>
      </c>
      <c r="R79" s="3548">
        <f>IF(K79=0, 0, (HLOOKUP(K79,'[3]E-CESTD'!$A$5:$O$35,J79+1,FALSE)*R29))</f>
        <v>0</v>
      </c>
      <c r="S79" s="3592">
        <v>1.081</v>
      </c>
      <c r="T79" s="4150">
        <f t="shared" ref="T79:U104" si="20">M29*$H79</f>
        <v>0</v>
      </c>
      <c r="U79" s="4150">
        <f t="shared" si="20"/>
        <v>0</v>
      </c>
      <c r="V79" s="3618">
        <f t="shared" si="19"/>
        <v>0</v>
      </c>
      <c r="W79" s="322" t="e">
        <f t="shared" si="13"/>
        <v>#DIV/0!</v>
      </c>
      <c r="X79" s="322" t="e">
        <f t="shared" si="14"/>
        <v>#DIV/0!</v>
      </c>
      <c r="Y79" s="322" t="e">
        <f t="shared" si="15"/>
        <v>#DIV/0!</v>
      </c>
    </row>
    <row r="80" spans="2:25">
      <c r="B80" s="282"/>
      <c r="C80" s="3593"/>
      <c r="D80" s="3593"/>
      <c r="E80" s="3593" t="s">
        <v>181</v>
      </c>
      <c r="F80" s="3593" t="s">
        <v>186</v>
      </c>
      <c r="G80" s="3594"/>
      <c r="H80" s="3594"/>
      <c r="I80" s="4156">
        <f t="shared" si="16"/>
        <v>0</v>
      </c>
      <c r="J80" s="3574">
        <v>14</v>
      </c>
      <c r="K80" s="3574" t="s">
        <v>233</v>
      </c>
      <c r="L80" s="3574"/>
      <c r="M80" s="278" t="e">
        <f t="shared" si="17"/>
        <v>#DIV/0!</v>
      </c>
      <c r="N80" s="278" t="e">
        <f t="shared" si="18"/>
        <v>#DIV/0!</v>
      </c>
      <c r="O80" s="3548">
        <f t="shared" si="10"/>
        <v>0</v>
      </c>
      <c r="P80" s="3548">
        <f t="shared" si="11"/>
        <v>0</v>
      </c>
      <c r="Q80" s="3548">
        <f>IF(K80=0, 0, (HLOOKUP(K80,'[3]E-CESTDWO'!$A$5:$O$35,J80+1,FALSE)*R30))</f>
        <v>0</v>
      </c>
      <c r="R80" s="3548">
        <f>IF(K80=0, 0, (HLOOKUP(K80,'[3]E-CESTD'!$A$5:$O$35,J80+1,FALSE)*R30))</f>
        <v>0</v>
      </c>
      <c r="S80" s="3592">
        <v>1.081</v>
      </c>
      <c r="T80" s="4150">
        <f t="shared" si="20"/>
        <v>0</v>
      </c>
      <c r="U80" s="4150">
        <f t="shared" si="20"/>
        <v>0</v>
      </c>
      <c r="V80" s="3618">
        <f t="shared" si="19"/>
        <v>0</v>
      </c>
      <c r="W80" s="322" t="e">
        <f t="shared" si="13"/>
        <v>#DIV/0!</v>
      </c>
      <c r="X80" s="322" t="e">
        <f t="shared" si="14"/>
        <v>#DIV/0!</v>
      </c>
      <c r="Y80" s="322" t="e">
        <f t="shared" si="15"/>
        <v>#DIV/0!</v>
      </c>
    </row>
    <row r="81" spans="2:25">
      <c r="B81" s="282"/>
      <c r="C81" s="3593"/>
      <c r="D81" s="3574"/>
      <c r="E81" s="3593" t="s">
        <v>181</v>
      </c>
      <c r="F81" s="3593" t="s">
        <v>186</v>
      </c>
      <c r="G81" s="3594"/>
      <c r="H81" s="3594"/>
      <c r="I81" s="4156">
        <f t="shared" si="16"/>
        <v>0</v>
      </c>
      <c r="J81" s="3574">
        <v>14</v>
      </c>
      <c r="K81" s="3574" t="s">
        <v>233</v>
      </c>
      <c r="L81" s="3574"/>
      <c r="M81" s="278" t="e">
        <f t="shared" si="17"/>
        <v>#DIV/0!</v>
      </c>
      <c r="N81" s="278" t="e">
        <f t="shared" si="18"/>
        <v>#DIV/0!</v>
      </c>
      <c r="O81" s="3548">
        <f t="shared" si="10"/>
        <v>0</v>
      </c>
      <c r="P81" s="3548">
        <f t="shared" si="11"/>
        <v>0</v>
      </c>
      <c r="Q81" s="3548">
        <f>IF(K81=0, 0, (HLOOKUP(K81,'[3]E-CESTDWO'!$A$5:$O$35,J81+1,FALSE)*R31))</f>
        <v>0</v>
      </c>
      <c r="R81" s="3548">
        <f>IF(K81=0, 0, (HLOOKUP(K81,'[3]E-CESTD'!$A$5:$O$35,J81+1,FALSE)*R31))</f>
        <v>0</v>
      </c>
      <c r="S81" s="3592">
        <v>1.081</v>
      </c>
      <c r="T81" s="4150">
        <f t="shared" si="20"/>
        <v>0</v>
      </c>
      <c r="U81" s="4150">
        <f t="shared" si="20"/>
        <v>0</v>
      </c>
      <c r="V81" s="3618">
        <f t="shared" si="19"/>
        <v>0</v>
      </c>
      <c r="W81" s="322" t="e">
        <f t="shared" si="13"/>
        <v>#DIV/0!</v>
      </c>
      <c r="X81" s="322" t="e">
        <f t="shared" si="14"/>
        <v>#DIV/0!</v>
      </c>
      <c r="Y81" s="322" t="e">
        <f t="shared" si="15"/>
        <v>#DIV/0!</v>
      </c>
    </row>
    <row r="82" spans="2:25">
      <c r="B82" s="282"/>
      <c r="C82" s="3593"/>
      <c r="D82" s="3593"/>
      <c r="E82" s="3593" t="s">
        <v>181</v>
      </c>
      <c r="F82" s="3593" t="s">
        <v>186</v>
      </c>
      <c r="G82" s="3594"/>
      <c r="H82" s="3594"/>
      <c r="I82" s="4156">
        <f t="shared" si="16"/>
        <v>0</v>
      </c>
      <c r="J82" s="3574">
        <v>14</v>
      </c>
      <c r="K82" s="3574" t="s">
        <v>233</v>
      </c>
      <c r="L82" s="3574"/>
      <c r="M82" s="278" t="e">
        <f t="shared" si="17"/>
        <v>#DIV/0!</v>
      </c>
      <c r="N82" s="278" t="e">
        <f t="shared" si="18"/>
        <v>#DIV/0!</v>
      </c>
      <c r="O82" s="3548">
        <f t="shared" si="10"/>
        <v>0</v>
      </c>
      <c r="P82" s="3548">
        <f t="shared" si="11"/>
        <v>0</v>
      </c>
      <c r="Q82" s="3548">
        <f>IF(K82=0, 0, (HLOOKUP(K82,'[3]E-CESTDWO'!$A$5:$O$35,J82+1,FALSE)*R32))</f>
        <v>0</v>
      </c>
      <c r="R82" s="3548">
        <f>IF(K82=0, 0, (HLOOKUP(K82,'[3]E-CESTD'!$A$5:$O$35,J82+1,FALSE)*R32))</f>
        <v>0</v>
      </c>
      <c r="S82" s="3592">
        <v>1.081</v>
      </c>
      <c r="T82" s="4150">
        <f t="shared" si="20"/>
        <v>0</v>
      </c>
      <c r="U82" s="4150">
        <f t="shared" si="20"/>
        <v>0</v>
      </c>
      <c r="V82" s="3618">
        <f t="shared" si="19"/>
        <v>0</v>
      </c>
    </row>
    <row r="83" spans="2:25">
      <c r="B83" s="282"/>
      <c r="C83" s="3593"/>
      <c r="D83" s="3574"/>
      <c r="E83" s="3593" t="s">
        <v>181</v>
      </c>
      <c r="F83" s="3593" t="s">
        <v>186</v>
      </c>
      <c r="G83" s="3594"/>
      <c r="H83" s="3594"/>
      <c r="I83" s="4156">
        <f t="shared" si="16"/>
        <v>0</v>
      </c>
      <c r="J83" s="3574">
        <v>14</v>
      </c>
      <c r="K83" s="3574" t="s">
        <v>233</v>
      </c>
      <c r="L83" s="3574"/>
      <c r="M83" s="278" t="e">
        <f t="shared" si="17"/>
        <v>#DIV/0!</v>
      </c>
      <c r="N83" s="278" t="e">
        <f t="shared" si="18"/>
        <v>#DIV/0!</v>
      </c>
      <c r="O83" s="3548">
        <f t="shared" si="10"/>
        <v>0</v>
      </c>
      <c r="P83" s="3548">
        <f t="shared" si="11"/>
        <v>0</v>
      </c>
      <c r="Q83" s="3548">
        <f>IF(K83=0, 0, (HLOOKUP(K83,'[3]E-CESTDWO'!$A$5:$O$35,J83+1,FALSE)*R33))</f>
        <v>0</v>
      </c>
      <c r="R83" s="3548">
        <f>IF(K83=0, 0, (HLOOKUP(K83,'[3]E-CESTD'!$A$5:$O$35,J83+1,FALSE)*R33))</f>
        <v>0</v>
      </c>
      <c r="S83" s="3592">
        <v>1.081</v>
      </c>
      <c r="T83" s="4150">
        <f t="shared" si="20"/>
        <v>0</v>
      </c>
      <c r="U83" s="4150">
        <f t="shared" si="20"/>
        <v>0</v>
      </c>
      <c r="V83" s="3618">
        <f t="shared" si="19"/>
        <v>0</v>
      </c>
    </row>
    <row r="84" spans="2:25">
      <c r="B84" s="282"/>
      <c r="C84" s="3593"/>
      <c r="D84" s="3593"/>
      <c r="E84" s="3593" t="s">
        <v>181</v>
      </c>
      <c r="F84" s="3593" t="s">
        <v>186</v>
      </c>
      <c r="G84" s="3594"/>
      <c r="H84" s="3594"/>
      <c r="I84" s="4156">
        <f t="shared" si="16"/>
        <v>0</v>
      </c>
      <c r="J84" s="3574">
        <v>14</v>
      </c>
      <c r="K84" s="3574" t="s">
        <v>233</v>
      </c>
      <c r="L84" s="3574"/>
      <c r="M84" s="278" t="e">
        <f t="shared" si="17"/>
        <v>#DIV/0!</v>
      </c>
      <c r="N84" s="278" t="e">
        <f t="shared" si="18"/>
        <v>#DIV/0!</v>
      </c>
      <c r="O84" s="3548">
        <f t="shared" si="10"/>
        <v>0</v>
      </c>
      <c r="P84" s="3548">
        <f t="shared" si="11"/>
        <v>0</v>
      </c>
      <c r="Q84" s="3548">
        <f>IF(K84=0, 0, (HLOOKUP(K84,'[3]E-CESTDWO'!$A$5:$O$35,J84+1,FALSE)*R34))</f>
        <v>0</v>
      </c>
      <c r="R84" s="3548">
        <f>IF(K84=0, 0, (HLOOKUP(K84,'[3]E-CESTD'!$A$5:$O$35,J84+1,FALSE)*R34))</f>
        <v>0</v>
      </c>
      <c r="S84" s="3592">
        <v>1.081</v>
      </c>
      <c r="T84" s="4150">
        <f t="shared" si="20"/>
        <v>0</v>
      </c>
      <c r="U84" s="4150">
        <f t="shared" si="20"/>
        <v>0</v>
      </c>
      <c r="V84" s="3618">
        <f t="shared" si="19"/>
        <v>0</v>
      </c>
    </row>
    <row r="85" spans="2:25">
      <c r="B85" s="282"/>
      <c r="C85" s="3593" t="s">
        <v>405</v>
      </c>
      <c r="D85" s="3574">
        <v>755</v>
      </c>
      <c r="E85" s="3593" t="s">
        <v>181</v>
      </c>
      <c r="F85" s="3574" t="s">
        <v>186</v>
      </c>
      <c r="G85" s="3594">
        <v>535</v>
      </c>
      <c r="H85" s="3594">
        <v>535</v>
      </c>
      <c r="I85" s="4156">
        <f t="shared" si="16"/>
        <v>0.36515649333690159</v>
      </c>
      <c r="J85" s="3574">
        <v>15</v>
      </c>
      <c r="K85" s="3574" t="s">
        <v>253</v>
      </c>
      <c r="L85" s="3574"/>
      <c r="M85" s="278">
        <f t="shared" si="17"/>
        <v>0.98760228422965812</v>
      </c>
      <c r="N85" s="278">
        <f t="shared" si="18"/>
        <v>1.0863625126526237</v>
      </c>
      <c r="O85" s="3548">
        <f t="shared" si="10"/>
        <v>6456685.860242744</v>
      </c>
      <c r="P85" s="3548">
        <f t="shared" si="11"/>
        <v>6456685.860242744</v>
      </c>
      <c r="Q85" s="3548">
        <f>IF(K85=0, 0, (HLOOKUP(K85,'[3]E-CESTDWO'!$A$5:$O$35,J85+1,FALSE)*R35))</f>
        <v>6376637.7041290691</v>
      </c>
      <c r="R85" s="3548">
        <f>IF(K85=0, 0, (HLOOKUP(K85,'[3]E-CESTD'!$A$5:$O$35,J85+1,FALSE)*R35))</f>
        <v>7014301.4745419752</v>
      </c>
      <c r="S85" s="3592">
        <v>1.081</v>
      </c>
      <c r="T85" s="4150">
        <f t="shared" si="20"/>
        <v>2337950</v>
      </c>
      <c r="U85" s="4150">
        <f t="shared" si="20"/>
        <v>3210000</v>
      </c>
      <c r="V85" s="3618">
        <f t="shared" si="19"/>
        <v>5547950</v>
      </c>
    </row>
    <row r="86" spans="2:25">
      <c r="B86" s="282"/>
      <c r="C86" s="3593" t="s">
        <v>1293</v>
      </c>
      <c r="D86" s="3595">
        <v>37</v>
      </c>
      <c r="E86" s="3593" t="s">
        <v>181</v>
      </c>
      <c r="F86" s="3593" t="s">
        <v>186</v>
      </c>
      <c r="G86" s="3594">
        <v>15</v>
      </c>
      <c r="H86" s="3594">
        <v>25</v>
      </c>
      <c r="I86" s="4156">
        <f t="shared" si="16"/>
        <v>2.98251440473849E-3</v>
      </c>
      <c r="J86" s="3574">
        <v>20</v>
      </c>
      <c r="K86" s="3574" t="s">
        <v>253</v>
      </c>
      <c r="L86" s="3574"/>
      <c r="M86" s="278">
        <f t="shared" si="17"/>
        <v>1.0561880211313994</v>
      </c>
      <c r="N86" s="278">
        <f t="shared" si="18"/>
        <v>1.5970379301347788</v>
      </c>
      <c r="O86" s="3548">
        <f t="shared" si="10"/>
        <v>33944.515104796075</v>
      </c>
      <c r="P86" s="3548">
        <f t="shared" si="11"/>
        <v>24693.82130276092</v>
      </c>
      <c r="Q86" s="3548">
        <f>IF(K86=0, 0, (HLOOKUP(K86,'[3]E-CESTDWO'!$A$5:$O$35,J86+1,FALSE)*R36))</f>
        <v>35851.790236799461</v>
      </c>
      <c r="R86" s="3548">
        <f>IF(K86=0, 0, (HLOOKUP(K86,'[3]E-CESTD'!$A$5:$O$35,J86+1,FALSE)*R36))</f>
        <v>39436.969260479404</v>
      </c>
      <c r="S86" s="3592">
        <v>1.081</v>
      </c>
      <c r="T86" s="4150">
        <f t="shared" si="20"/>
        <v>0</v>
      </c>
      <c r="U86" s="4150">
        <f t="shared" si="20"/>
        <v>25000</v>
      </c>
      <c r="V86" s="3618">
        <f t="shared" si="19"/>
        <v>25000</v>
      </c>
    </row>
    <row r="87" spans="2:25">
      <c r="B87" s="282"/>
      <c r="C87" s="3593"/>
      <c r="D87" s="4582"/>
      <c r="E87" s="3593" t="s">
        <v>181</v>
      </c>
      <c r="F87" s="3593" t="s">
        <v>186</v>
      </c>
      <c r="G87" s="4466"/>
      <c r="H87" s="3594"/>
      <c r="I87" s="4156">
        <f t="shared" si="16"/>
        <v>0</v>
      </c>
      <c r="J87" s="3574">
        <v>4</v>
      </c>
      <c r="K87" s="3574" t="s">
        <v>310</v>
      </c>
      <c r="L87" s="3574"/>
      <c r="M87" s="278" t="e">
        <f t="shared" si="17"/>
        <v>#DIV/0!</v>
      </c>
      <c r="N87" s="278" t="e">
        <f t="shared" si="18"/>
        <v>#DIV/0!</v>
      </c>
      <c r="O87" s="3548">
        <f t="shared" si="10"/>
        <v>0</v>
      </c>
      <c r="P87" s="3548">
        <f t="shared" si="11"/>
        <v>0</v>
      </c>
      <c r="Q87" s="3548">
        <f>IF(K87=0, 0, (HLOOKUP(K87,'[3]E-CESTDWO'!$A$5:$O$35,J87+1,FALSE)*R37))</f>
        <v>0</v>
      </c>
      <c r="R87" s="3548">
        <f>IF(K87=0, 0, (HLOOKUP(K87,'[3]E-CESTD'!$A$5:$O$35,J87+1,FALSE)*R37))</f>
        <v>0</v>
      </c>
      <c r="S87" s="3592">
        <v>1.081</v>
      </c>
      <c r="T87" s="4150">
        <f t="shared" si="20"/>
        <v>0</v>
      </c>
      <c r="U87" s="4150">
        <f t="shared" si="20"/>
        <v>0</v>
      </c>
      <c r="V87" s="3618">
        <f t="shared" si="19"/>
        <v>0</v>
      </c>
    </row>
    <row r="88" spans="2:25">
      <c r="B88" s="282"/>
      <c r="C88" s="4445"/>
      <c r="D88" s="4672"/>
      <c r="E88" s="3593" t="s">
        <v>181</v>
      </c>
      <c r="F88" s="3593" t="s">
        <v>186</v>
      </c>
      <c r="G88" s="4466"/>
      <c r="H88" s="3594"/>
      <c r="I88" s="4156">
        <f t="shared" si="16"/>
        <v>0</v>
      </c>
      <c r="J88" s="3574">
        <v>3</v>
      </c>
      <c r="K88" s="3574" t="s">
        <v>310</v>
      </c>
      <c r="L88" s="3574"/>
      <c r="M88" s="278" t="e">
        <f t="shared" si="17"/>
        <v>#DIV/0!</v>
      </c>
      <c r="N88" s="278" t="e">
        <f t="shared" si="18"/>
        <v>#DIV/0!</v>
      </c>
      <c r="O88" s="3548">
        <f t="shared" si="10"/>
        <v>0</v>
      </c>
      <c r="P88" s="3548">
        <f t="shared" si="11"/>
        <v>0</v>
      </c>
      <c r="Q88" s="3548">
        <f>IF(K88=0, 0, (HLOOKUP(K88,'[3]E-CESTDWO'!$A$5:$O$35,J88+1,FALSE)*R38))</f>
        <v>0</v>
      </c>
      <c r="R88" s="3548">
        <f>IF(K88=0, 0, (HLOOKUP(K88,'[3]E-CESTD'!$A$5:$O$35,J88+1,FALSE)*R38))</f>
        <v>0</v>
      </c>
      <c r="S88" s="3592">
        <v>1.081</v>
      </c>
      <c r="T88" s="4150">
        <f t="shared" si="20"/>
        <v>0</v>
      </c>
      <c r="U88" s="4150">
        <f t="shared" si="20"/>
        <v>0</v>
      </c>
      <c r="V88" s="3618">
        <f t="shared" si="19"/>
        <v>0</v>
      </c>
    </row>
    <row r="89" spans="2:25">
      <c r="B89" s="282"/>
      <c r="C89" s="4670" t="s">
        <v>1294</v>
      </c>
      <c r="D89" s="4673">
        <v>82</v>
      </c>
      <c r="E89" s="3593" t="s">
        <v>181</v>
      </c>
      <c r="F89" s="3593" t="s">
        <v>186</v>
      </c>
      <c r="G89" s="4675">
        <v>73</v>
      </c>
      <c r="H89" s="4675">
        <v>50</v>
      </c>
      <c r="I89" s="4156">
        <f t="shared" si="16"/>
        <v>3.9236347338791069E-2</v>
      </c>
      <c r="J89" s="3574">
        <v>14</v>
      </c>
      <c r="K89" s="3574" t="s">
        <v>233</v>
      </c>
      <c r="L89" s="4584"/>
      <c r="M89" s="278">
        <f t="shared" si="17"/>
        <v>1.0411566710398057</v>
      </c>
      <c r="N89" s="278">
        <f t="shared" si="18"/>
        <v>0.8789743041645709</v>
      </c>
      <c r="O89" s="3548">
        <f t="shared" si="10"/>
        <v>416873.46616519149</v>
      </c>
      <c r="P89" s="3548">
        <f t="shared" si="11"/>
        <v>543171.33850561711</v>
      </c>
      <c r="Q89" s="3548">
        <f>IF(K89=0, 0, (HLOOKUP(K89,'[3]E-CESTDWO'!$A$5:$O$35,J89+1,FALSE)*R39))</f>
        <v>434030.59027737589</v>
      </c>
      <c r="R89" s="3548">
        <f>IF(K89=0, 0, (HLOOKUP(K89,'[3]E-CESTD'!$A$5:$O$35,J89+1,FALSE)*R39))</f>
        <v>477433.64930511342</v>
      </c>
      <c r="S89" s="3592">
        <v>1.081</v>
      </c>
      <c r="T89" s="4150">
        <f t="shared" si="20"/>
        <v>0</v>
      </c>
      <c r="U89" s="4150">
        <f t="shared" si="20"/>
        <v>296800</v>
      </c>
      <c r="V89" s="3618">
        <f t="shared" si="19"/>
        <v>296800</v>
      </c>
    </row>
    <row r="90" spans="2:25">
      <c r="B90" s="282"/>
      <c r="C90" s="4670" t="s">
        <v>1295</v>
      </c>
      <c r="D90" s="4673">
        <v>140</v>
      </c>
      <c r="E90" s="3593" t="s">
        <v>181</v>
      </c>
      <c r="F90" s="3593" t="s">
        <v>186</v>
      </c>
      <c r="G90" s="4675">
        <v>206</v>
      </c>
      <c r="H90" s="4675">
        <v>50</v>
      </c>
      <c r="I90" s="4156">
        <f t="shared" si="16"/>
        <v>9.5247000557810799E-3</v>
      </c>
      <c r="J90" s="3574">
        <v>14</v>
      </c>
      <c r="K90" s="3574" t="s">
        <v>233</v>
      </c>
      <c r="L90" s="3574"/>
      <c r="M90" s="278">
        <f t="shared" si="17"/>
        <v>1.4318443526843871</v>
      </c>
      <c r="N90" s="278">
        <f t="shared" si="18"/>
        <v>0.59318342605800289</v>
      </c>
      <c r="O90" s="3548">
        <f t="shared" si="10"/>
        <v>73584.656375980761</v>
      </c>
      <c r="P90" s="3548">
        <f t="shared" si="11"/>
        <v>195382.99125109639</v>
      </c>
      <c r="Q90" s="3548">
        <f>IF(K90=0, 0, (HLOOKUP(K90,'[3]E-CESTDWO'!$A$5:$O$35,J90+1,FALSE)*R40))</f>
        <v>105361.77467616924</v>
      </c>
      <c r="R90" s="3548">
        <f>IF(K90=0, 0, (HLOOKUP(K90,'[3]E-CESTD'!$A$5:$O$35,J90+1,FALSE)*R40))</f>
        <v>115897.95214378615</v>
      </c>
      <c r="S90" s="3592">
        <v>1.081</v>
      </c>
      <c r="T90" s="4150">
        <f t="shared" si="20"/>
        <v>0</v>
      </c>
      <c r="U90" s="4150">
        <f t="shared" si="20"/>
        <v>42200</v>
      </c>
      <c r="V90" s="3618">
        <f t="shared" si="19"/>
        <v>42200</v>
      </c>
    </row>
    <row r="91" spans="2:25">
      <c r="B91" s="282"/>
      <c r="C91" s="4670" t="s">
        <v>1296</v>
      </c>
      <c r="D91" s="4673">
        <v>31</v>
      </c>
      <c r="E91" s="3593" t="s">
        <v>181</v>
      </c>
      <c r="F91" s="3593" t="s">
        <v>186</v>
      </c>
      <c r="G91" s="4675">
        <v>73</v>
      </c>
      <c r="H91" s="4675">
        <v>50</v>
      </c>
      <c r="I91" s="4156">
        <f t="shared" si="16"/>
        <v>2.8487042990123847E-4</v>
      </c>
      <c r="J91" s="3574">
        <v>14</v>
      </c>
      <c r="K91" s="3574" t="s">
        <v>233</v>
      </c>
      <c r="L91" s="3574"/>
      <c r="M91" s="278">
        <f t="shared" si="17"/>
        <v>0.49970713728632637</v>
      </c>
      <c r="N91" s="278">
        <f t="shared" si="18"/>
        <v>0.39698530493105261</v>
      </c>
      <c r="O91" s="3548">
        <f t="shared" si="10"/>
        <v>6306.1397006564903</v>
      </c>
      <c r="P91" s="3548">
        <f t="shared" si="11"/>
        <v>8731.6716155501072</v>
      </c>
      <c r="Q91" s="3548">
        <f>IF(K91=0, 0, (HLOOKUP(K91,'[3]E-CESTDWO'!$A$5:$O$35,J91+1,FALSE)*R41))</f>
        <v>3151.2230171427059</v>
      </c>
      <c r="R91" s="3548">
        <f>IF(K91=0, 0, (HLOOKUP(K91,'[3]E-CESTD'!$A$5:$O$35,J91+1,FALSE)*R41))</f>
        <v>3466.3453188569761</v>
      </c>
      <c r="S91" s="3592">
        <v>1.081</v>
      </c>
      <c r="T91" s="4150">
        <f t="shared" si="20"/>
        <v>0</v>
      </c>
      <c r="U91" s="4150">
        <f t="shared" si="20"/>
        <v>5700</v>
      </c>
      <c r="V91" s="3618">
        <f t="shared" si="19"/>
        <v>5700</v>
      </c>
    </row>
    <row r="92" spans="2:25">
      <c r="B92" s="282"/>
      <c r="C92" s="4670" t="s">
        <v>1297</v>
      </c>
      <c r="D92" s="4673">
        <v>51</v>
      </c>
      <c r="E92" s="3593" t="s">
        <v>181</v>
      </c>
      <c r="F92" s="3593" t="s">
        <v>186</v>
      </c>
      <c r="G92" s="4675">
        <v>206</v>
      </c>
      <c r="H92" s="4675">
        <v>50</v>
      </c>
      <c r="I92" s="4156">
        <f t="shared" si="16"/>
        <v>8.2220667373871886E-5</v>
      </c>
      <c r="J92" s="3574">
        <v>14</v>
      </c>
      <c r="K92" s="3574" t="s">
        <v>233</v>
      </c>
      <c r="L92" s="3574"/>
      <c r="M92" s="278">
        <f t="shared" si="17"/>
        <v>0.7435044932138366</v>
      </c>
      <c r="N92" s="278">
        <f t="shared" si="18"/>
        <v>0.24345340883416347</v>
      </c>
      <c r="O92" s="3548">
        <f t="shared" si="10"/>
        <v>1223.2892778170924</v>
      </c>
      <c r="P92" s="3548">
        <f t="shared" si="11"/>
        <v>4109.5057440520595</v>
      </c>
      <c r="Q92" s="3548">
        <f>IF(K92=0, 0, (HLOOKUP(K92,'[3]E-CESTDWO'!$A$5:$O$35,J92+1,FALSE)*R42))</f>
        <v>909.52107455731743</v>
      </c>
      <c r="R92" s="3548">
        <f>IF(K92=0, 0, (HLOOKUP(K92,'[3]E-CESTD'!$A$5:$O$35,J92+1,FALSE)*R42))</f>
        <v>1000.4731820130492</v>
      </c>
      <c r="S92" s="3592">
        <v>1.081</v>
      </c>
      <c r="T92" s="4150">
        <f t="shared" si="20"/>
        <v>0</v>
      </c>
      <c r="U92" s="4150">
        <f t="shared" si="20"/>
        <v>1000</v>
      </c>
      <c r="V92" s="3618">
        <f t="shared" si="19"/>
        <v>1000</v>
      </c>
    </row>
    <row r="93" spans="2:25">
      <c r="B93" s="282"/>
      <c r="C93" s="4670" t="s">
        <v>1298</v>
      </c>
      <c r="D93" s="4673">
        <v>59</v>
      </c>
      <c r="E93" s="3593" t="s">
        <v>181</v>
      </c>
      <c r="F93" s="3593" t="s">
        <v>186</v>
      </c>
      <c r="G93" s="4675">
        <v>73</v>
      </c>
      <c r="H93" s="4675">
        <v>50</v>
      </c>
      <c r="I93" s="4156">
        <f t="shared" si="16"/>
        <v>2.6723409674954294E-2</v>
      </c>
      <c r="J93" s="3574">
        <v>14</v>
      </c>
      <c r="K93" s="3574" t="s">
        <v>233</v>
      </c>
      <c r="L93" s="3574"/>
      <c r="M93" s="278">
        <f t="shared" si="17"/>
        <v>0.82845196211178451</v>
      </c>
      <c r="N93" s="278">
        <f t="shared" si="18"/>
        <v>0.68259590484118837</v>
      </c>
      <c r="O93" s="3548">
        <f t="shared" si="10"/>
        <v>356825.84891401161</v>
      </c>
      <c r="P93" s="3548">
        <f t="shared" si="11"/>
        <v>476379.04040337336</v>
      </c>
      <c r="Q93" s="3548">
        <f>IF(K93=0, 0, (HLOOKUP(K93,'[3]E-CESTDWO'!$A$5:$O$35,J93+1,FALSE)*R43))</f>
        <v>295613.07466501609</v>
      </c>
      <c r="R93" s="3548">
        <f>IF(K93=0, 0, (HLOOKUP(K93,'[3]E-CESTD'!$A$5:$O$35,J93+1,FALSE)*R43))</f>
        <v>325174.38213151769</v>
      </c>
      <c r="S93" s="3592">
        <v>1.081</v>
      </c>
      <c r="T93" s="4150">
        <f t="shared" si="20"/>
        <v>0</v>
      </c>
      <c r="U93" s="4150">
        <f t="shared" si="20"/>
        <v>280950</v>
      </c>
      <c r="V93" s="3618">
        <f t="shared" si="19"/>
        <v>280950</v>
      </c>
    </row>
    <row r="94" spans="2:25">
      <c r="B94" s="282"/>
      <c r="C94" s="4670" t="s">
        <v>1299</v>
      </c>
      <c r="D94" s="4673">
        <v>105</v>
      </c>
      <c r="E94" s="3593" t="s">
        <v>181</v>
      </c>
      <c r="F94" s="3593" t="s">
        <v>186</v>
      </c>
      <c r="G94" s="4675">
        <v>206</v>
      </c>
      <c r="H94" s="4675">
        <v>50</v>
      </c>
      <c r="I94" s="4156">
        <f t="shared" si="16"/>
        <v>7.5413279766299848E-3</v>
      </c>
      <c r="J94" s="3574">
        <v>14</v>
      </c>
      <c r="K94" s="3574" t="s">
        <v>233</v>
      </c>
      <c r="L94" s="3574"/>
      <c r="M94" s="278">
        <f t="shared" si="17"/>
        <v>1.2166866161415701</v>
      </c>
      <c r="N94" s="278">
        <f t="shared" si="18"/>
        <v>0.46546282236185682</v>
      </c>
      <c r="O94" s="3548">
        <f t="shared" si="10"/>
        <v>68564.745320653092</v>
      </c>
      <c r="P94" s="3548">
        <f t="shared" si="11"/>
        <v>197145.6888914209</v>
      </c>
      <c r="Q94" s="3548">
        <f>IF(K94=0, 0, (HLOOKUP(K94,'[3]E-CESTDWO'!$A$5:$O$35,J94+1,FALSE)*R44))</f>
        <v>83421.807970793961</v>
      </c>
      <c r="R94" s="3548">
        <f>IF(K94=0, 0, (HLOOKUP(K94,'[3]E-CESTD'!$A$5:$O$35,J94+1,FALSE)*R44))</f>
        <v>91763.988767873336</v>
      </c>
      <c r="S94" s="3592">
        <v>1.081</v>
      </c>
      <c r="T94" s="4150">
        <f t="shared" si="20"/>
        <v>0</v>
      </c>
      <c r="U94" s="4150">
        <f t="shared" si="20"/>
        <v>44550</v>
      </c>
      <c r="V94" s="3618">
        <f t="shared" si="19"/>
        <v>44550</v>
      </c>
    </row>
    <row r="95" spans="2:25">
      <c r="B95" s="282"/>
      <c r="C95" s="4670" t="s">
        <v>1300</v>
      </c>
      <c r="D95" s="4673">
        <v>9</v>
      </c>
      <c r="E95" s="3593" t="s">
        <v>181</v>
      </c>
      <c r="F95" s="3593" t="s">
        <v>186</v>
      </c>
      <c r="G95" s="4675">
        <v>73</v>
      </c>
      <c r="H95" s="4675">
        <v>50</v>
      </c>
      <c r="I95" s="4156">
        <f t="shared" si="16"/>
        <v>9.9680467916205863E-4</v>
      </c>
      <c r="J95" s="3574">
        <v>14</v>
      </c>
      <c r="K95" s="3574" t="s">
        <v>233</v>
      </c>
      <c r="L95" s="3574"/>
      <c r="M95" s="278">
        <f t="shared" si="17"/>
        <v>0.16416519033803603</v>
      </c>
      <c r="N95" s="278">
        <f t="shared" si="18"/>
        <v>0.12581992996615307</v>
      </c>
      <c r="O95" s="3548">
        <f t="shared" si="10"/>
        <v>67167.744119873169</v>
      </c>
      <c r="P95" s="3548">
        <f t="shared" si="11"/>
        <v>96401.786673064664</v>
      </c>
      <c r="Q95" s="3548">
        <f>IF(K95=0, 0, (HLOOKUP(K95,'[3]E-CESTDWO'!$A$5:$O$35,J95+1,FALSE)*R45))</f>
        <v>11026.605498015479</v>
      </c>
      <c r="R95" s="3548">
        <f>IF(K95=0, 0, (HLOOKUP(K95,'[3]E-CESTD'!$A$5:$O$35,J95+1,FALSE)*R45))</f>
        <v>12129.266047817026</v>
      </c>
      <c r="S95" s="3592">
        <v>1.081</v>
      </c>
      <c r="T95" s="4150">
        <f t="shared" si="20"/>
        <v>0</v>
      </c>
      <c r="U95" s="4150">
        <f t="shared" si="20"/>
        <v>68700</v>
      </c>
      <c r="V95" s="3618">
        <f t="shared" si="19"/>
        <v>68700</v>
      </c>
    </row>
    <row r="96" spans="2:25">
      <c r="B96" s="282"/>
      <c r="C96" s="4670" t="s">
        <v>1301</v>
      </c>
      <c r="D96" s="4673">
        <v>16</v>
      </c>
      <c r="E96" s="3593" t="s">
        <v>181</v>
      </c>
      <c r="F96" s="3593" t="s">
        <v>186</v>
      </c>
      <c r="G96" s="4675">
        <v>206</v>
      </c>
      <c r="H96" s="4675">
        <v>50</v>
      </c>
      <c r="I96" s="4156">
        <f t="shared" si="16"/>
        <v>2.6052666367877835E-4</v>
      </c>
      <c r="J96" s="3574">
        <v>14</v>
      </c>
      <c r="K96" s="3574" t="s">
        <v>233</v>
      </c>
      <c r="L96" s="3574"/>
      <c r="M96" s="278">
        <f t="shared" si="17"/>
        <v>0.28012168037336721</v>
      </c>
      <c r="N96" s="278">
        <f t="shared" si="18"/>
        <v>8.0380639191407491E-2</v>
      </c>
      <c r="O96" s="3548">
        <f t="shared" si="10"/>
        <v>10288.148494062447</v>
      </c>
      <c r="P96" s="3548">
        <f t="shared" si="11"/>
        <v>39438.93480303562</v>
      </c>
      <c r="Q96" s="3548">
        <f>IF(K96=0, 0, (HLOOKUP(K96,'[3]E-CESTDWO'!$A$5:$O$35,J96+1,FALSE)*R46))</f>
        <v>2881.9334440875</v>
      </c>
      <c r="R96" s="3548">
        <f>IF(K96=0, 0, (HLOOKUP(K96,'[3]E-CESTD'!$A$5:$O$35,J96+1,FALSE)*R46))</f>
        <v>3170.1267884962499</v>
      </c>
      <c r="S96" s="3592">
        <v>1.081</v>
      </c>
      <c r="T96" s="4150">
        <f t="shared" si="20"/>
        <v>0</v>
      </c>
      <c r="U96" s="4150">
        <f t="shared" si="20"/>
        <v>10100</v>
      </c>
      <c r="V96" s="3618">
        <f t="shared" si="19"/>
        <v>10100</v>
      </c>
    </row>
    <row r="97" spans="2:22">
      <c r="B97" s="282"/>
      <c r="C97" s="4670" t="s">
        <v>1302</v>
      </c>
      <c r="D97" s="4674">
        <v>524</v>
      </c>
      <c r="E97" s="3593" t="s">
        <v>181</v>
      </c>
      <c r="F97" s="3593" t="s">
        <v>186</v>
      </c>
      <c r="G97" s="4470">
        <v>560</v>
      </c>
      <c r="H97" s="4470">
        <v>560</v>
      </c>
      <c r="I97" s="4156">
        <f t="shared" si="16"/>
        <v>4.223885265089105E-2</v>
      </c>
      <c r="J97" s="3574">
        <v>14</v>
      </c>
      <c r="K97" s="3574" t="s">
        <v>233</v>
      </c>
      <c r="L97" s="3574"/>
      <c r="M97" s="278">
        <f t="shared" si="17"/>
        <v>0.69608896453439417</v>
      </c>
      <c r="N97" s="278">
        <f t="shared" si="18"/>
        <v>0.76569786098783355</v>
      </c>
      <c r="O97" s="3548">
        <f t="shared" si="10"/>
        <v>671242.01600172778</v>
      </c>
      <c r="P97" s="3548">
        <f t="shared" si="11"/>
        <v>671242.01600172778</v>
      </c>
      <c r="Q97" s="3548">
        <f>IF(K97=0, 0, (HLOOKUP(K97,'[3]E-CESTDWO'!$A$5:$O$35,J97+1,FALSE)*R47))</f>
        <v>467244.15987062192</v>
      </c>
      <c r="R97" s="3548">
        <f>IF(K97=0, 0, (HLOOKUP(K97,'[3]E-CESTD'!$A$5:$O$35,J97+1,FALSE)*R47))</f>
        <v>513968.57585768407</v>
      </c>
      <c r="S97" s="3592">
        <v>1.081</v>
      </c>
      <c r="T97" s="4150">
        <f t="shared" si="20"/>
        <v>0</v>
      </c>
      <c r="U97" s="4150">
        <f t="shared" si="20"/>
        <v>560000</v>
      </c>
      <c r="V97" s="3618">
        <f t="shared" si="19"/>
        <v>560000</v>
      </c>
    </row>
    <row r="98" spans="2:22">
      <c r="B98" s="282"/>
      <c r="C98" s="4583" t="s">
        <v>1303</v>
      </c>
      <c r="D98" s="3595">
        <v>482</v>
      </c>
      <c r="E98" s="3593" t="s">
        <v>181</v>
      </c>
      <c r="F98" s="3593" t="s">
        <v>186</v>
      </c>
      <c r="G98" s="3594">
        <v>108.5</v>
      </c>
      <c r="H98" s="3594">
        <v>108.5</v>
      </c>
      <c r="I98" s="4156">
        <f t="shared" si="16"/>
        <v>0.24477576328186212</v>
      </c>
      <c r="J98" s="3574">
        <v>9</v>
      </c>
      <c r="K98" s="3574" t="s">
        <v>253</v>
      </c>
      <c r="L98" s="3574"/>
      <c r="M98" s="278">
        <f t="shared" si="17"/>
        <v>1.1296574909931987</v>
      </c>
      <c r="N98" s="278">
        <f t="shared" si="18"/>
        <v>1.2426232400925183</v>
      </c>
      <c r="O98" s="3548">
        <f t="shared" si="10"/>
        <v>1520149.3523806506</v>
      </c>
      <c r="P98" s="3548">
        <f t="shared" si="11"/>
        <v>1520149.3523806506</v>
      </c>
      <c r="Q98" s="3548">
        <f>IF(K98=0, 0, (HLOOKUP(K98,'[3]E-CESTDWO'!$A$5:$O$35,J98+1,FALSE)*R48))</f>
        <v>1717248.1033452614</v>
      </c>
      <c r="R98" s="3548">
        <f>IF(K98=0, 0, (HLOOKUP(K98,'[3]E-CESTD'!$A$5:$O$35,J98+1,FALSE)*R48))</f>
        <v>1888972.9136797874</v>
      </c>
      <c r="S98" s="3592">
        <v>1.081</v>
      </c>
      <c r="T98" s="4150">
        <f t="shared" si="20"/>
        <v>0</v>
      </c>
      <c r="U98" s="4150">
        <f t="shared" si="20"/>
        <v>683550</v>
      </c>
      <c r="V98" s="3618">
        <f t="shared" si="19"/>
        <v>683550</v>
      </c>
    </row>
    <row r="99" spans="2:22">
      <c r="B99" s="282"/>
      <c r="C99" s="3593" t="s">
        <v>221</v>
      </c>
      <c r="D99" s="3595">
        <v>0</v>
      </c>
      <c r="E99" s="3593" t="s">
        <v>181</v>
      </c>
      <c r="F99" s="3593" t="s">
        <v>186</v>
      </c>
      <c r="G99" s="3594"/>
      <c r="H99" s="3594"/>
      <c r="I99" s="4156">
        <f>P49/Q$55</f>
        <v>0</v>
      </c>
      <c r="J99" s="3574"/>
      <c r="K99" s="3574"/>
      <c r="L99" s="3574"/>
      <c r="M99" s="278" t="e">
        <f t="shared" si="17"/>
        <v>#DIV/0!</v>
      </c>
      <c r="N99" s="278" t="e">
        <f t="shared" si="18"/>
        <v>#DIV/0!</v>
      </c>
      <c r="O99" s="3548">
        <f t="shared" si="10"/>
        <v>0</v>
      </c>
      <c r="P99" s="3548">
        <f t="shared" si="11"/>
        <v>0</v>
      </c>
      <c r="Q99" s="3548">
        <f>IF(K99=0, 0, (HLOOKUP(K99,'[3]E-CESTDWO'!$A$5:$O$35,J99+1,FALSE)*R49))</f>
        <v>0</v>
      </c>
      <c r="R99" s="3548">
        <f>IF(K99=0, 0, (HLOOKUP(K99,'[3]E-CESTD'!$A$5:$O$35,J99+1,FALSE)*R49))</f>
        <v>0</v>
      </c>
      <c r="S99" s="3592">
        <v>1.081</v>
      </c>
      <c r="T99" s="4150">
        <f t="shared" si="20"/>
        <v>0</v>
      </c>
      <c r="U99" s="4150">
        <f t="shared" si="20"/>
        <v>0</v>
      </c>
      <c r="V99" s="3618">
        <f t="shared" si="19"/>
        <v>0</v>
      </c>
    </row>
    <row r="100" spans="2:22">
      <c r="B100" s="282"/>
      <c r="C100" s="3593" t="s">
        <v>222</v>
      </c>
      <c r="D100" s="3595">
        <v>0</v>
      </c>
      <c r="E100" s="3593" t="s">
        <v>181</v>
      </c>
      <c r="F100" s="3593" t="s">
        <v>186</v>
      </c>
      <c r="G100" s="3594"/>
      <c r="H100" s="3594"/>
      <c r="I100" s="4156">
        <f>P50/P$55</f>
        <v>0</v>
      </c>
      <c r="J100" s="3574"/>
      <c r="K100" s="3574"/>
      <c r="L100" s="3574"/>
      <c r="M100" s="278" t="e">
        <f t="shared" si="17"/>
        <v>#DIV/0!</v>
      </c>
      <c r="N100" s="278" t="e">
        <f t="shared" si="18"/>
        <v>#DIV/0!</v>
      </c>
      <c r="O100" s="3548">
        <f t="shared" si="10"/>
        <v>0</v>
      </c>
      <c r="P100" s="3548">
        <f t="shared" si="11"/>
        <v>0</v>
      </c>
      <c r="Q100" s="3548">
        <f>IF(K100=0, 0, (HLOOKUP(K100,'[3]E-CESTDWO'!$A$5:$O$35,J100+1,FALSE)*R50))</f>
        <v>0</v>
      </c>
      <c r="R100" s="3548">
        <f>IF(K100=0, 0, (HLOOKUP(K100,'[3]E-CESTD'!$A$5:$O$35,J100+1,FALSE)*R50))</f>
        <v>0</v>
      </c>
      <c r="S100" s="3592">
        <v>1.081</v>
      </c>
      <c r="T100" s="4150">
        <f t="shared" si="20"/>
        <v>0</v>
      </c>
      <c r="U100" s="4150">
        <f t="shared" si="20"/>
        <v>0</v>
      </c>
      <c r="V100" s="3618">
        <f t="shared" si="19"/>
        <v>0</v>
      </c>
    </row>
    <row r="101" spans="2:22">
      <c r="B101" s="282"/>
      <c r="C101" s="3593" t="s">
        <v>223</v>
      </c>
      <c r="D101" s="3595">
        <v>0</v>
      </c>
      <c r="E101" s="3593" t="s">
        <v>181</v>
      </c>
      <c r="F101" s="3593" t="s">
        <v>186</v>
      </c>
      <c r="G101" s="3594"/>
      <c r="H101" s="3594"/>
      <c r="I101" s="4156">
        <f>P51/P$55</f>
        <v>0</v>
      </c>
      <c r="J101" s="3574"/>
      <c r="K101" s="3574"/>
      <c r="L101" s="3574"/>
      <c r="M101" s="278" t="e">
        <f t="shared" si="17"/>
        <v>#DIV/0!</v>
      </c>
      <c r="N101" s="278" t="e">
        <f t="shared" si="18"/>
        <v>#DIV/0!</v>
      </c>
      <c r="O101" s="3548">
        <f t="shared" si="10"/>
        <v>0</v>
      </c>
      <c r="P101" s="3548">
        <f t="shared" si="11"/>
        <v>0</v>
      </c>
      <c r="Q101" s="3548">
        <f>IF(K101=0, 0, (HLOOKUP(K101,'[3]E-CESTDWO'!$A$5:$O$35,J101+1,FALSE)*R51))</f>
        <v>0</v>
      </c>
      <c r="R101" s="3548">
        <f>IF(K101=0, 0, (HLOOKUP(K101,'[3]E-CESTD'!$A$5:$O$35,J101+1,FALSE)*R51))</f>
        <v>0</v>
      </c>
      <c r="S101" s="3592">
        <v>1.081</v>
      </c>
      <c r="T101" s="4150">
        <f t="shared" si="20"/>
        <v>0</v>
      </c>
      <c r="U101" s="4150">
        <f t="shared" si="20"/>
        <v>0</v>
      </c>
      <c r="V101" s="3618">
        <f t="shared" si="19"/>
        <v>0</v>
      </c>
    </row>
    <row r="102" spans="2:22">
      <c r="B102" s="282"/>
      <c r="C102" s="3593" t="s">
        <v>224</v>
      </c>
      <c r="D102" s="3595">
        <v>0</v>
      </c>
      <c r="E102" s="3593" t="s">
        <v>181</v>
      </c>
      <c r="F102" s="3593" t="s">
        <v>186</v>
      </c>
      <c r="G102" s="3594"/>
      <c r="H102" s="3594"/>
      <c r="I102" s="4156">
        <f>P52/P$55</f>
        <v>0</v>
      </c>
      <c r="J102" s="3574"/>
      <c r="K102" s="3574"/>
      <c r="L102" s="3574"/>
      <c r="M102" s="278" t="e">
        <f t="shared" si="17"/>
        <v>#DIV/0!</v>
      </c>
      <c r="N102" s="278" t="e">
        <f t="shared" si="18"/>
        <v>#DIV/0!</v>
      </c>
      <c r="O102" s="3548">
        <f t="shared" si="10"/>
        <v>0</v>
      </c>
      <c r="P102" s="3548">
        <f t="shared" si="11"/>
        <v>0</v>
      </c>
      <c r="Q102" s="3548">
        <f>IF(K102=0, 0, (HLOOKUP(K102,'[3]E-CESTDWO'!$A$5:$O$35,J102+1,FALSE)*R52))</f>
        <v>0</v>
      </c>
      <c r="R102" s="3548">
        <f>IF(K102=0, 0, (HLOOKUP(K102,'[3]E-CESTD'!$A$5:$O$35,J102+1,FALSE)*R52))</f>
        <v>0</v>
      </c>
      <c r="S102" s="3592">
        <v>1.081</v>
      </c>
      <c r="T102" s="4150">
        <f t="shared" si="20"/>
        <v>0</v>
      </c>
      <c r="U102" s="4150">
        <f t="shared" si="20"/>
        <v>0</v>
      </c>
      <c r="V102" s="3618">
        <f t="shared" si="19"/>
        <v>0</v>
      </c>
    </row>
    <row r="103" spans="2:22">
      <c r="B103" s="282"/>
      <c r="C103" s="3593" t="s">
        <v>225</v>
      </c>
      <c r="D103" s="3595">
        <v>0</v>
      </c>
      <c r="E103" s="3593" t="s">
        <v>181</v>
      </c>
      <c r="F103" s="3593" t="s">
        <v>186</v>
      </c>
      <c r="G103" s="3594"/>
      <c r="H103" s="3594"/>
      <c r="I103" s="4156">
        <f>P53/P$55</f>
        <v>0</v>
      </c>
      <c r="J103" s="3574"/>
      <c r="K103" s="3574"/>
      <c r="L103" s="3574"/>
      <c r="M103" s="278" t="e">
        <f t="shared" si="17"/>
        <v>#DIV/0!</v>
      </c>
      <c r="N103" s="278" t="e">
        <f t="shared" si="18"/>
        <v>#DIV/0!</v>
      </c>
      <c r="O103" s="3548">
        <f t="shared" si="10"/>
        <v>0</v>
      </c>
      <c r="P103" s="3548">
        <f t="shared" si="11"/>
        <v>0</v>
      </c>
      <c r="Q103" s="3548">
        <f>IF(K103=0, 0, (HLOOKUP(K103,'[3]E-CESTDWO'!$A$5:$O$35,J103+1,FALSE)*R53))</f>
        <v>0</v>
      </c>
      <c r="R103" s="3548">
        <f>IF(K103=0, 0, (HLOOKUP(K103,'[3]E-CESTD'!$A$5:$O$35,J103+1,FALSE)*R53))</f>
        <v>0</v>
      </c>
      <c r="S103" s="3592">
        <v>1.081</v>
      </c>
      <c r="T103" s="4150">
        <f t="shared" si="20"/>
        <v>0</v>
      </c>
      <c r="U103" s="4150">
        <f t="shared" si="20"/>
        <v>0</v>
      </c>
      <c r="V103" s="3618">
        <f t="shared" si="19"/>
        <v>0</v>
      </c>
    </row>
    <row r="104" spans="2:22" ht="13.5" thickBot="1">
      <c r="B104" s="282"/>
      <c r="C104" s="3593" t="s">
        <v>226</v>
      </c>
      <c r="D104" s="3595">
        <v>0</v>
      </c>
      <c r="E104" s="3593" t="s">
        <v>181</v>
      </c>
      <c r="F104" s="3593" t="s">
        <v>186</v>
      </c>
      <c r="G104" s="3594"/>
      <c r="H104" s="3594"/>
      <c r="I104" s="4156">
        <f>P54/P$55</f>
        <v>0</v>
      </c>
      <c r="J104" s="3574"/>
      <c r="K104" s="3574"/>
      <c r="L104" s="3574"/>
      <c r="M104" s="278" t="e">
        <f t="shared" si="17"/>
        <v>#DIV/0!</v>
      </c>
      <c r="N104" s="278" t="e">
        <f t="shared" si="18"/>
        <v>#DIV/0!</v>
      </c>
      <c r="O104" s="3548">
        <f t="shared" si="10"/>
        <v>0</v>
      </c>
      <c r="P104" s="3548">
        <f t="shared" si="11"/>
        <v>0</v>
      </c>
      <c r="Q104" s="3548">
        <f>IF(K104=0, 0, (HLOOKUP(K104,'[3]E-CESTDWO'!$A$5:$O$35,J104+1,FALSE)*R54))</f>
        <v>0</v>
      </c>
      <c r="R104" s="3548">
        <f>IF(K104=0, 0, (HLOOKUP(K104,'[3]E-CESTD'!$A$5:$O$35,J104+1,FALSE)*R54))</f>
        <v>0</v>
      </c>
      <c r="S104" s="3592">
        <v>1.081</v>
      </c>
      <c r="T104" s="4150">
        <f t="shared" si="20"/>
        <v>0</v>
      </c>
      <c r="U104" s="4150">
        <f t="shared" si="20"/>
        <v>0</v>
      </c>
      <c r="V104" s="3618">
        <f t="shared" si="19"/>
        <v>0</v>
      </c>
    </row>
    <row r="105" spans="2:22" ht="13.5" thickBot="1">
      <c r="G105" s="286">
        <f>SUMPRODUCT(G63:G104,O13:O54)</f>
        <v>12450281</v>
      </c>
      <c r="H105" s="287">
        <f>V105</f>
        <v>11083500</v>
      </c>
      <c r="I105" s="288">
        <f>SUM(I63:I104)</f>
        <v>1</v>
      </c>
      <c r="J105" s="289">
        <f>ROUND(SUMPRODUCT(J63:J104,R13:R54)/R55,0)</f>
        <v>11</v>
      </c>
      <c r="K105" s="264"/>
      <c r="L105" s="3580"/>
      <c r="M105" s="290">
        <f>Q105/O105</f>
        <v>1.4714358045487865</v>
      </c>
      <c r="N105" s="291">
        <f>R105/P105</f>
        <v>1.4834486951128374</v>
      </c>
      <c r="O105" s="292">
        <f>SUM(O63:O104)</f>
        <v>13880073.819241444</v>
      </c>
      <c r="P105" s="292">
        <f>SUM(P63:P104)</f>
        <v>15144441.071785379</v>
      </c>
      <c r="Q105" s="292">
        <f>SUM(Q63:Q104)</f>
        <v>20423637.587412082</v>
      </c>
      <c r="R105" s="292">
        <f>SUM(R63:R104)</f>
        <v>22466001.346153282</v>
      </c>
      <c r="S105" s="293"/>
      <c r="T105" s="294">
        <f>SUM(T63:T104)</f>
        <v>5229450</v>
      </c>
      <c r="U105" s="294">
        <f>SUM(U63:U104)</f>
        <v>5854050</v>
      </c>
      <c r="V105" s="294">
        <f>SUM(V63:V104)</f>
        <v>11083500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 right="0.18" top="0.32" bottom="0.37" header="0.3" footer="0.3"/>
      <pageSetup paperSize="17" scale="52"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 right="0.18" top="0.32" bottom="0.37" header="0.3" footer="0.3"/>
  <pageSetup paperSize="17" scale="52" orientation="landscape" r:id="rId2"/>
  <drawing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enableFormatConditionsCalculation="0">
    <tabColor theme="3" tint="0.59999389629810485"/>
    <pageSetUpPr fitToPage="1"/>
  </sheetPr>
  <dimension ref="A1:Y105"/>
  <sheetViews>
    <sheetView zoomScaleNormal="10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6.85546875" style="3064" customWidth="1"/>
    <col min="2" max="2" width="19.42578125" customWidth="1"/>
    <col min="3" max="3" width="39.7109375" customWidth="1"/>
    <col min="4" max="4" width="17.28515625" style="19" customWidth="1"/>
    <col min="5" max="6" width="17.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5.285156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5.285156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5.285156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5.285156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5.285156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5.285156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5.285156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5.285156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5.285156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5.285156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5.285156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5.285156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5.285156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5.285156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5.285156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5.285156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5.285156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5.285156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5.285156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5.285156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5.285156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5.285156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5.285156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5.285156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5.285156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5.285156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5.285156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5.285156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5.285156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5.285156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5.285156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5.285156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5.285156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5.285156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5.285156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5.285156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5.285156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5.285156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5.285156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5.285156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5.285156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5.285156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5.285156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5.285156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5.285156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5.285156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5.285156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5.285156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5.285156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5.285156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5.285156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5.285156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5.285156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5.285156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5.285156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5.285156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5.285156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5.285156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5.285156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5.285156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5.285156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5.285156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5.285156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6.5" customHeight="1" thickBot="1">
      <c r="B1" s="3461"/>
      <c r="F1" s="198"/>
      <c r="G1" s="198">
        <f>C3</f>
        <v>18230435</v>
      </c>
      <c r="H1" s="198" t="str">
        <f>C4</f>
        <v>Showerheads E</v>
      </c>
      <c r="I1" s="198"/>
    </row>
    <row r="2" spans="2:22" ht="16.5" thickBot="1">
      <c r="B2" s="198" t="s">
        <v>109</v>
      </c>
      <c r="C2" s="199" t="s">
        <v>227</v>
      </c>
      <c r="G2" s="200" t="s">
        <v>8</v>
      </c>
      <c r="Q2" s="5133"/>
      <c r="R2" s="5133"/>
      <c r="S2" s="5124" t="s">
        <v>110</v>
      </c>
      <c r="T2" s="5125"/>
      <c r="U2" s="5126"/>
      <c r="V2" s="5118" t="s">
        <v>111</v>
      </c>
    </row>
    <row r="3" spans="2:22" ht="16.5" thickBot="1">
      <c r="B3" s="199" t="s">
        <v>6</v>
      </c>
      <c r="C3" s="199">
        <v>18230435</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406</v>
      </c>
      <c r="F4" s="198">
        <v>2011</v>
      </c>
      <c r="G4" s="206">
        <f>B13</f>
        <v>9224</v>
      </c>
      <c r="H4" s="207">
        <f>B18</f>
        <v>5250</v>
      </c>
      <c r="I4" s="207">
        <f>B23</f>
        <v>9119</v>
      </c>
      <c r="J4" s="207">
        <f>B28</f>
        <v>24000</v>
      </c>
      <c r="K4" s="207">
        <f>B33</f>
        <v>1500</v>
      </c>
      <c r="L4" s="207">
        <f>B38</f>
        <v>91500</v>
      </c>
      <c r="M4" s="207">
        <f>B43</f>
        <v>500</v>
      </c>
      <c r="N4" s="207">
        <f>B48</f>
        <v>500</v>
      </c>
      <c r="O4" s="207">
        <f>B53</f>
        <v>197100</v>
      </c>
      <c r="P4" s="207">
        <f>B54</f>
        <v>0</v>
      </c>
      <c r="Q4" s="209">
        <f>B55</f>
        <v>338693</v>
      </c>
      <c r="R4" s="210">
        <f>T55</f>
        <v>0</v>
      </c>
      <c r="S4" s="316">
        <f>O4/Q4</f>
        <v>0.58194293947616282</v>
      </c>
      <c r="T4" s="316">
        <f>(J4+(H4*1.63))/Q4</f>
        <v>9.6126875961416391E-2</v>
      </c>
      <c r="U4" s="316">
        <f>L4/Q4</f>
        <v>0.27015615911754892</v>
      </c>
      <c r="V4" s="212" t="e">
        <f>Q4/R4</f>
        <v>#DIV/0!</v>
      </c>
    </row>
    <row r="5" spans="2:22" ht="16.5" thickBot="1">
      <c r="B5" s="198" t="s">
        <v>33</v>
      </c>
      <c r="F5" s="198">
        <v>2012</v>
      </c>
      <c r="G5" s="213">
        <f>D13</f>
        <v>16675.199999999997</v>
      </c>
      <c r="H5" s="214">
        <f>D18</f>
        <v>12000</v>
      </c>
      <c r="I5" s="214">
        <f>D23</f>
        <v>18065.375999999997</v>
      </c>
      <c r="J5" s="214">
        <f>D28</f>
        <v>33000</v>
      </c>
      <c r="K5" s="214">
        <f>D33</f>
        <v>1500</v>
      </c>
      <c r="L5" s="214">
        <f>D38</f>
        <v>30114</v>
      </c>
      <c r="M5" s="214">
        <f>D43</f>
        <v>500</v>
      </c>
      <c r="N5" s="214">
        <f>D48</f>
        <v>500</v>
      </c>
      <c r="O5" s="214">
        <f>D53</f>
        <v>0</v>
      </c>
      <c r="P5" s="214">
        <f>D54</f>
        <v>0</v>
      </c>
      <c r="Q5" s="215">
        <f>SUM(G5:P5)</f>
        <v>112354.576</v>
      </c>
      <c r="R5" s="216">
        <f>P55</f>
        <v>0</v>
      </c>
      <c r="S5" s="317">
        <f>O5/Q5</f>
        <v>0</v>
      </c>
      <c r="T5" s="317">
        <f>(J5+(H5*1.63))/Q5</f>
        <v>0.46780471139867058</v>
      </c>
      <c r="U5" s="317">
        <f>L5/Q5</f>
        <v>0.26802646649656708</v>
      </c>
      <c r="V5" s="218" t="e">
        <f>Q5/R5</f>
        <v>#DIV/0!</v>
      </c>
    </row>
    <row r="6" spans="2:22" s="3532" customFormat="1" ht="16.5" thickBot="1">
      <c r="B6" s="3536"/>
      <c r="D6" s="3533"/>
      <c r="F6" s="4249" t="s">
        <v>1168</v>
      </c>
      <c r="G6" s="4241">
        <v>17175.45</v>
      </c>
      <c r="H6" s="4242">
        <v>12300</v>
      </c>
      <c r="I6" s="4242">
        <v>18569.533500000001</v>
      </c>
      <c r="J6" s="4242">
        <v>27000</v>
      </c>
      <c r="K6" s="4242">
        <v>1500</v>
      </c>
      <c r="L6" s="4242">
        <v>31950</v>
      </c>
      <c r="M6" s="4242">
        <v>500</v>
      </c>
      <c r="N6" s="4242">
        <v>500</v>
      </c>
      <c r="O6" s="4242">
        <v>94500</v>
      </c>
      <c r="P6" s="4242">
        <v>0</v>
      </c>
      <c r="Q6" s="4243">
        <v>203994.9835</v>
      </c>
      <c r="R6" s="219">
        <v>1724400</v>
      </c>
      <c r="S6" s="3637">
        <v>0.46324668567156213</v>
      </c>
      <c r="T6" s="3637">
        <v>0.23063802448847964</v>
      </c>
      <c r="U6" s="3637">
        <v>0.15662149848895671</v>
      </c>
      <c r="V6" s="3498">
        <v>0.11829910896543726</v>
      </c>
    </row>
    <row r="7" spans="2:22" ht="16.5" thickBot="1">
      <c r="C7" s="198" t="s">
        <v>373</v>
      </c>
      <c r="F7" s="4191" t="s">
        <v>1169</v>
      </c>
      <c r="G7" s="4192">
        <f>E13</f>
        <v>15000</v>
      </c>
      <c r="H7" s="4193">
        <f>E18</f>
        <v>6000</v>
      </c>
      <c r="I7" s="4193">
        <f>E23</f>
        <v>14847</v>
      </c>
      <c r="J7" s="4193">
        <f>E28</f>
        <v>20000</v>
      </c>
      <c r="K7" s="4193">
        <f>E33</f>
        <v>1000</v>
      </c>
      <c r="L7" s="4193">
        <f>E38</f>
        <v>10000</v>
      </c>
      <c r="M7" s="4193">
        <f>E43</f>
        <v>500</v>
      </c>
      <c r="N7" s="4193">
        <f>E48</f>
        <v>500</v>
      </c>
      <c r="O7" s="4193">
        <f>E53</f>
        <v>157947.44999999998</v>
      </c>
      <c r="P7" s="4193">
        <f>E54</f>
        <v>0</v>
      </c>
      <c r="Q7" s="4244">
        <f>SUM(G7:P7)</f>
        <v>225794.44999999998</v>
      </c>
      <c r="R7" s="4245">
        <f>Q55</f>
        <v>3496457.56</v>
      </c>
      <c r="S7" s="317">
        <f>O7/Q7</f>
        <v>0.69951874370694234</v>
      </c>
      <c r="T7" s="317">
        <f>(J7+(H7*1.63))/Q7</f>
        <v>0.13188986708929296</v>
      </c>
      <c r="U7" s="317">
        <f>L7/Q7</f>
        <v>4.4288068196538938E-2</v>
      </c>
      <c r="V7" s="218">
        <f>Q7/R7</f>
        <v>6.4578061116234445E-2</v>
      </c>
    </row>
    <row r="8" spans="2:22" ht="16.5" thickBot="1">
      <c r="C8" s="220" t="s">
        <v>374</v>
      </c>
      <c r="F8" s="221" t="s">
        <v>1170</v>
      </c>
      <c r="G8" s="222">
        <f>SUM(G5+G7)</f>
        <v>31675.199999999997</v>
      </c>
      <c r="H8" s="222">
        <f t="shared" ref="H8:R8" si="0">SUM(H5+H7)</f>
        <v>18000</v>
      </c>
      <c r="I8" s="222">
        <f t="shared" si="0"/>
        <v>32912.375999999997</v>
      </c>
      <c r="J8" s="222">
        <f t="shared" si="0"/>
        <v>53000</v>
      </c>
      <c r="K8" s="222">
        <f t="shared" si="0"/>
        <v>2500</v>
      </c>
      <c r="L8" s="222">
        <f t="shared" si="0"/>
        <v>40114</v>
      </c>
      <c r="M8" s="222">
        <f t="shared" si="0"/>
        <v>1000</v>
      </c>
      <c r="N8" s="222">
        <f t="shared" si="0"/>
        <v>1000</v>
      </c>
      <c r="O8" s="222">
        <f t="shared" si="0"/>
        <v>157947.44999999998</v>
      </c>
      <c r="P8" s="222">
        <f t="shared" si="0"/>
        <v>0</v>
      </c>
      <c r="Q8" s="4248">
        <f t="shared" si="0"/>
        <v>338149.02599999995</v>
      </c>
      <c r="R8" s="223">
        <f t="shared" si="0"/>
        <v>3496457.56</v>
      </c>
      <c r="S8" s="317">
        <f>O8/Q8</f>
        <v>0.46709420360713977</v>
      </c>
      <c r="T8" s="317">
        <f>(J8+(H8*1.63))/Q8</f>
        <v>0.24350210608029377</v>
      </c>
      <c r="U8" s="317">
        <f>L8/Q8</f>
        <v>0.11862816958106515</v>
      </c>
      <c r="V8" s="218">
        <f>Q8/R8</f>
        <v>9.671189202136346E-2</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9224</v>
      </c>
      <c r="C13" s="236" t="s">
        <v>138</v>
      </c>
      <c r="D13" s="237">
        <f>SUM(D14:D17)</f>
        <v>16675.199999999997</v>
      </c>
      <c r="E13" s="237">
        <f>SUM(E14:E17)</f>
        <v>15000</v>
      </c>
      <c r="F13" s="238">
        <f>D13+E13</f>
        <v>31675.199999999997</v>
      </c>
      <c r="H13" s="132"/>
      <c r="I13" s="2386" t="s">
        <v>407</v>
      </c>
      <c r="J13" s="2387"/>
      <c r="K13" s="2388"/>
      <c r="L13" s="2390">
        <v>117</v>
      </c>
      <c r="M13" s="2382">
        <v>0</v>
      </c>
      <c r="N13" s="4451">
        <f>500*0.53</f>
        <v>265</v>
      </c>
      <c r="O13" s="4452">
        <f>M13+N13</f>
        <v>265</v>
      </c>
      <c r="P13" s="245">
        <f t="shared" ref="P13:Q21" si="1">M13*$D63</f>
        <v>0</v>
      </c>
      <c r="Q13" s="4135">
        <f t="shared" si="1"/>
        <v>31005</v>
      </c>
      <c r="R13" s="2389">
        <v>128700</v>
      </c>
      <c r="T13" s="4891"/>
    </row>
    <row r="14" spans="2:22">
      <c r="B14" s="247"/>
      <c r="C14" s="248" t="s">
        <v>239</v>
      </c>
      <c r="D14" s="249">
        <v>5558.4</v>
      </c>
      <c r="E14" s="4447">
        <v>0</v>
      </c>
      <c r="F14" s="249">
        <f>SUM(D14:E14)</f>
        <v>5558.4</v>
      </c>
      <c r="H14" s="132"/>
      <c r="I14" s="2383" t="s">
        <v>408</v>
      </c>
      <c r="J14" s="2384"/>
      <c r="K14" s="2385"/>
      <c r="L14" s="2390">
        <v>188</v>
      </c>
      <c r="M14" s="2382">
        <v>0</v>
      </c>
      <c r="N14" s="4451">
        <f>500*0.01</f>
        <v>5</v>
      </c>
      <c r="O14" s="4452">
        <f t="shared" ref="O14:O21" si="2">M14+N14</f>
        <v>5</v>
      </c>
      <c r="P14" s="245">
        <f t="shared" si="1"/>
        <v>0</v>
      </c>
      <c r="Q14" s="4135">
        <f t="shared" si="1"/>
        <v>940</v>
      </c>
      <c r="R14" s="2389">
        <v>470000</v>
      </c>
      <c r="T14" s="4891"/>
    </row>
    <row r="15" spans="2:22">
      <c r="B15" s="254"/>
      <c r="C15" s="248" t="s">
        <v>376</v>
      </c>
      <c r="D15" s="249">
        <v>2779.2</v>
      </c>
      <c r="E15" s="4447">
        <v>5000</v>
      </c>
      <c r="F15" s="249">
        <f t="shared" ref="F15:F25" si="3">SUM(D15:E15)</f>
        <v>7779.2</v>
      </c>
      <c r="H15" s="132"/>
      <c r="I15" s="2383" t="s">
        <v>409</v>
      </c>
      <c r="J15" s="2384"/>
      <c r="K15" s="2385"/>
      <c r="L15" s="2390">
        <v>261</v>
      </c>
      <c r="M15" s="2382">
        <v>0</v>
      </c>
      <c r="N15" s="4451">
        <f>500*0.46</f>
        <v>230</v>
      </c>
      <c r="O15" s="4452">
        <f t="shared" si="2"/>
        <v>230</v>
      </c>
      <c r="P15" s="245">
        <f t="shared" si="1"/>
        <v>0</v>
      </c>
      <c r="Q15" s="4135">
        <f t="shared" si="1"/>
        <v>60030</v>
      </c>
      <c r="R15" s="2389">
        <v>1200600</v>
      </c>
      <c r="T15" s="4891"/>
    </row>
    <row r="16" spans="2:22">
      <c r="B16" s="254"/>
      <c r="C16" s="255" t="s">
        <v>377</v>
      </c>
      <c r="D16" s="249">
        <v>2779.2</v>
      </c>
      <c r="E16" s="4447">
        <v>0</v>
      </c>
      <c r="F16" s="249">
        <f t="shared" si="3"/>
        <v>2779.2</v>
      </c>
      <c r="H16" s="132"/>
      <c r="I16" s="2383" t="s">
        <v>410</v>
      </c>
      <c r="J16" s="2384"/>
      <c r="K16" s="2385"/>
      <c r="L16" s="2390">
        <v>123</v>
      </c>
      <c r="M16" s="2382">
        <v>0</v>
      </c>
      <c r="N16" s="4451">
        <f>19557*0.01</f>
        <v>195.57</v>
      </c>
      <c r="O16" s="4452">
        <f t="shared" si="2"/>
        <v>195.57</v>
      </c>
      <c r="P16" s="245">
        <f t="shared" si="1"/>
        <v>0</v>
      </c>
      <c r="Q16" s="4135">
        <f t="shared" si="1"/>
        <v>24055.11</v>
      </c>
      <c r="R16" s="2389">
        <v>98892</v>
      </c>
      <c r="T16" s="4891"/>
    </row>
    <row r="17" spans="2:20" ht="13.5" thickBot="1">
      <c r="B17" s="254"/>
      <c r="C17" s="255" t="s">
        <v>378</v>
      </c>
      <c r="D17" s="249">
        <v>5558.4</v>
      </c>
      <c r="E17" s="4447">
        <v>10000</v>
      </c>
      <c r="F17" s="249">
        <f t="shared" si="3"/>
        <v>15558.4</v>
      </c>
      <c r="H17" s="132"/>
      <c r="I17" s="2383" t="s">
        <v>411</v>
      </c>
      <c r="J17" s="2384"/>
      <c r="K17" s="2385"/>
      <c r="L17" s="2390">
        <v>158</v>
      </c>
      <c r="M17" s="2382">
        <v>0</v>
      </c>
      <c r="N17" s="4451">
        <f>19557*0.06</f>
        <v>1173.4199999999998</v>
      </c>
      <c r="O17" s="4452">
        <f t="shared" si="2"/>
        <v>1173.4199999999998</v>
      </c>
      <c r="P17" s="245">
        <f t="shared" si="1"/>
        <v>0</v>
      </c>
      <c r="Q17" s="4135">
        <f t="shared" si="1"/>
        <v>185400.36</v>
      </c>
      <c r="R17" s="2389">
        <v>262280</v>
      </c>
      <c r="T17" s="4891"/>
    </row>
    <row r="18" spans="2:20" ht="13.5" thickBot="1">
      <c r="B18" s="262">
        <v>5250</v>
      </c>
      <c r="C18" s="236" t="s">
        <v>143</v>
      </c>
      <c r="D18" s="237">
        <f>SUM(D19:D22)</f>
        <v>12000</v>
      </c>
      <c r="E18" s="237">
        <f>SUM(E19:E22)</f>
        <v>6000</v>
      </c>
      <c r="F18" s="238">
        <f>D18+E18</f>
        <v>18000</v>
      </c>
      <c r="H18" s="132"/>
      <c r="I18" s="2383" t="s">
        <v>412</v>
      </c>
      <c r="J18" s="2384"/>
      <c r="K18" s="2385"/>
      <c r="L18" s="2390">
        <v>196</v>
      </c>
      <c r="M18" s="2382">
        <v>0</v>
      </c>
      <c r="N18" s="4451">
        <f>19557*0.52</f>
        <v>10169.640000000001</v>
      </c>
      <c r="O18" s="4452">
        <f t="shared" si="2"/>
        <v>10169.640000000001</v>
      </c>
      <c r="P18" s="245">
        <f t="shared" si="1"/>
        <v>0</v>
      </c>
      <c r="Q18" s="4135">
        <f t="shared" si="1"/>
        <v>1993249.4400000002</v>
      </c>
      <c r="R18" s="2389">
        <v>548800</v>
      </c>
      <c r="T18" s="4891"/>
    </row>
    <row r="19" spans="2:20">
      <c r="B19" s="247"/>
      <c r="C19" s="330" t="s">
        <v>379</v>
      </c>
      <c r="D19" s="334">
        <v>6000</v>
      </c>
      <c r="E19" s="4450">
        <v>0</v>
      </c>
      <c r="F19" s="249">
        <f t="shared" si="3"/>
        <v>6000</v>
      </c>
      <c r="H19" s="132"/>
      <c r="I19" s="2383" t="s">
        <v>943</v>
      </c>
      <c r="J19" s="2384"/>
      <c r="K19" s="2385"/>
      <c r="L19" s="2390">
        <v>81</v>
      </c>
      <c r="M19" s="2382">
        <v>0</v>
      </c>
      <c r="N19" s="4451">
        <f>19557*0.01</f>
        <v>195.57</v>
      </c>
      <c r="O19" s="4452">
        <f t="shared" si="2"/>
        <v>195.57</v>
      </c>
      <c r="P19" s="245">
        <f t="shared" si="1"/>
        <v>0</v>
      </c>
      <c r="Q19" s="4135">
        <f t="shared" si="1"/>
        <v>15841.17</v>
      </c>
      <c r="R19" s="2389">
        <v>64800</v>
      </c>
      <c r="T19" s="4891"/>
    </row>
    <row r="20" spans="2:20">
      <c r="B20" s="254"/>
      <c r="C20" s="332" t="s">
        <v>380</v>
      </c>
      <c r="D20" s="334">
        <v>6000</v>
      </c>
      <c r="E20" s="4450">
        <v>6000</v>
      </c>
      <c r="F20" s="249">
        <f t="shared" si="3"/>
        <v>12000</v>
      </c>
      <c r="H20" s="132"/>
      <c r="I20" s="2383" t="s">
        <v>944</v>
      </c>
      <c r="J20" s="2384"/>
      <c r="K20" s="2385"/>
      <c r="L20" s="2390">
        <v>103</v>
      </c>
      <c r="M20" s="2382">
        <v>0</v>
      </c>
      <c r="N20" s="4451">
        <f>19557*0.06</f>
        <v>1173.4199999999998</v>
      </c>
      <c r="O20" s="4452">
        <f t="shared" si="2"/>
        <v>1173.4199999999998</v>
      </c>
      <c r="P20" s="245">
        <f t="shared" si="1"/>
        <v>0</v>
      </c>
      <c r="Q20" s="4135">
        <f t="shared" si="1"/>
        <v>141983.81999999998</v>
      </c>
      <c r="R20" s="2389">
        <v>103000</v>
      </c>
      <c r="T20" s="4891"/>
    </row>
    <row r="21" spans="2:20">
      <c r="B21" s="254"/>
      <c r="C21" s="255" t="s">
        <v>141</v>
      </c>
      <c r="D21" s="258">
        <v>0</v>
      </c>
      <c r="E21" s="258"/>
      <c r="F21" s="249">
        <f t="shared" si="3"/>
        <v>0</v>
      </c>
      <c r="H21" s="132"/>
      <c r="I21" s="2383" t="s">
        <v>945</v>
      </c>
      <c r="J21" s="2384"/>
      <c r="K21" s="2385"/>
      <c r="L21" s="2390">
        <v>128</v>
      </c>
      <c r="M21" s="2382">
        <v>0</v>
      </c>
      <c r="N21" s="4451">
        <f>19557*0.34</f>
        <v>6649.38</v>
      </c>
      <c r="O21" s="4452">
        <f t="shared" si="2"/>
        <v>6649.38</v>
      </c>
      <c r="P21" s="245">
        <f t="shared" si="1"/>
        <v>0</v>
      </c>
      <c r="Q21" s="4135">
        <f t="shared" si="1"/>
        <v>1043952.66</v>
      </c>
      <c r="R21" s="2389">
        <v>230400</v>
      </c>
      <c r="T21" s="4891"/>
    </row>
    <row r="22" spans="2:20" ht="13.5" thickBot="1">
      <c r="B22" s="254"/>
      <c r="C22" s="255" t="s">
        <v>142</v>
      </c>
      <c r="D22" s="258">
        <v>0</v>
      </c>
      <c r="E22" s="258"/>
      <c r="F22" s="249">
        <f t="shared" si="3"/>
        <v>0</v>
      </c>
      <c r="H22" s="132"/>
      <c r="I22" s="250" t="str">
        <f t="shared" ref="I22:I54" si="4">C72</f>
        <v>Measure 10</v>
      </c>
      <c r="J22" s="251"/>
      <c r="K22" s="252"/>
      <c r="L22" s="242">
        <f t="shared" ref="L22:L54" si="5">D72</f>
        <v>0</v>
      </c>
      <c r="M22" s="257">
        <v>0</v>
      </c>
      <c r="N22" s="257">
        <v>0</v>
      </c>
      <c r="O22" s="244">
        <f t="shared" ref="O22:O54" si="6">M22+N22</f>
        <v>0</v>
      </c>
      <c r="P22" s="245">
        <f t="shared" ref="P22:R28" si="7">M22*$D72</f>
        <v>0</v>
      </c>
      <c r="Q22" s="245">
        <f t="shared" si="7"/>
        <v>0</v>
      </c>
      <c r="R22" s="246">
        <f t="shared" si="7"/>
        <v>0</v>
      </c>
      <c r="T22" s="4891"/>
    </row>
    <row r="23" spans="2:20" ht="13.5" thickBot="1">
      <c r="B23" s="262">
        <v>9119</v>
      </c>
      <c r="C23" s="236" t="s">
        <v>144</v>
      </c>
      <c r="D23" s="237">
        <f>SUM(D24:D27)</f>
        <v>18065.375999999997</v>
      </c>
      <c r="E23" s="237">
        <f>SUM(E24:E27)</f>
        <v>14847</v>
      </c>
      <c r="F23" s="238">
        <f>D23+E23</f>
        <v>32912.375999999997</v>
      </c>
      <c r="G23" s="53"/>
      <c r="H23" s="132"/>
      <c r="I23" s="250" t="str">
        <f t="shared" si="4"/>
        <v>Measure 11</v>
      </c>
      <c r="J23" s="251"/>
      <c r="K23" s="252"/>
      <c r="L23" s="242">
        <f t="shared" si="5"/>
        <v>0</v>
      </c>
      <c r="M23" s="257">
        <v>0</v>
      </c>
      <c r="N23" s="257">
        <v>0</v>
      </c>
      <c r="O23" s="244">
        <f t="shared" si="6"/>
        <v>0</v>
      </c>
      <c r="P23" s="245">
        <f t="shared" si="7"/>
        <v>0</v>
      </c>
      <c r="Q23" s="245">
        <f t="shared" si="7"/>
        <v>0</v>
      </c>
      <c r="R23" s="246">
        <f t="shared" si="7"/>
        <v>0</v>
      </c>
      <c r="T23" s="4891"/>
    </row>
    <row r="24" spans="2:20">
      <c r="B24" s="247"/>
      <c r="C24" s="3566" t="s">
        <v>1434</v>
      </c>
      <c r="D24" s="249">
        <f>0.63*D13</f>
        <v>10505.375999999998</v>
      </c>
      <c r="E24" s="4447">
        <f>0.707*E13</f>
        <v>10605</v>
      </c>
      <c r="F24" s="249">
        <f t="shared" si="3"/>
        <v>21110.375999999997</v>
      </c>
      <c r="H24" s="132"/>
      <c r="I24" s="250" t="str">
        <f t="shared" si="4"/>
        <v>Measure 12</v>
      </c>
      <c r="J24" s="251"/>
      <c r="K24" s="252"/>
      <c r="L24" s="242">
        <f t="shared" si="5"/>
        <v>0</v>
      </c>
      <c r="M24" s="257">
        <v>0</v>
      </c>
      <c r="N24" s="257">
        <v>0</v>
      </c>
      <c r="O24" s="244">
        <f t="shared" si="6"/>
        <v>0</v>
      </c>
      <c r="P24" s="245">
        <f t="shared" si="7"/>
        <v>0</v>
      </c>
      <c r="Q24" s="245">
        <f t="shared" si="7"/>
        <v>0</v>
      </c>
      <c r="R24" s="246">
        <f t="shared" si="7"/>
        <v>0</v>
      </c>
      <c r="T24" s="4891"/>
    </row>
    <row r="25" spans="2:20">
      <c r="B25" s="247"/>
      <c r="C25" s="3566" t="s">
        <v>1435</v>
      </c>
      <c r="D25" s="256">
        <f>0.63*D18</f>
        <v>7560</v>
      </c>
      <c r="E25" s="4449">
        <f>0.707*E18</f>
        <v>4242</v>
      </c>
      <c r="F25" s="249">
        <f t="shared" si="3"/>
        <v>11802</v>
      </c>
      <c r="H25" s="132"/>
      <c r="I25" s="250" t="str">
        <f t="shared" si="4"/>
        <v>Measure 13</v>
      </c>
      <c r="J25" s="251"/>
      <c r="K25" s="252"/>
      <c r="L25" s="242">
        <f t="shared" si="5"/>
        <v>0</v>
      </c>
      <c r="M25" s="257">
        <v>0</v>
      </c>
      <c r="N25" s="257">
        <v>0</v>
      </c>
      <c r="O25" s="244">
        <f t="shared" si="6"/>
        <v>0</v>
      </c>
      <c r="P25" s="245">
        <f t="shared" si="7"/>
        <v>0</v>
      </c>
      <c r="Q25" s="245">
        <f t="shared" si="7"/>
        <v>0</v>
      </c>
      <c r="R25" s="246">
        <f t="shared" si="7"/>
        <v>0</v>
      </c>
      <c r="T25" s="4891"/>
    </row>
    <row r="26" spans="2:20">
      <c r="B26" s="254"/>
      <c r="C26" s="255"/>
      <c r="D26" s="258"/>
      <c r="E26" s="258"/>
      <c r="F26" s="258"/>
      <c r="H26" s="132"/>
      <c r="I26" s="250" t="str">
        <f t="shared" si="4"/>
        <v>Measure 14</v>
      </c>
      <c r="J26" s="251"/>
      <c r="K26" s="252"/>
      <c r="L26" s="242">
        <f t="shared" si="5"/>
        <v>0</v>
      </c>
      <c r="M26" s="257">
        <v>0</v>
      </c>
      <c r="N26" s="257">
        <v>0</v>
      </c>
      <c r="O26" s="244">
        <f t="shared" si="6"/>
        <v>0</v>
      </c>
      <c r="P26" s="245">
        <f t="shared" si="7"/>
        <v>0</v>
      </c>
      <c r="Q26" s="245">
        <f t="shared" si="7"/>
        <v>0</v>
      </c>
      <c r="R26" s="246">
        <f t="shared" si="7"/>
        <v>0</v>
      </c>
      <c r="T26" s="4891"/>
    </row>
    <row r="27" spans="2:20" ht="13.5" thickBot="1">
      <c r="B27" s="254"/>
      <c r="C27" s="255"/>
      <c r="D27" s="258"/>
      <c r="E27" s="258"/>
      <c r="F27" s="258"/>
      <c r="H27" s="132"/>
      <c r="I27" s="250" t="str">
        <f t="shared" si="4"/>
        <v>Measure 15</v>
      </c>
      <c r="J27" s="251"/>
      <c r="K27" s="252"/>
      <c r="L27" s="242">
        <f t="shared" si="5"/>
        <v>0</v>
      </c>
      <c r="M27" s="257">
        <v>0</v>
      </c>
      <c r="N27" s="257">
        <v>0</v>
      </c>
      <c r="O27" s="244">
        <f t="shared" si="6"/>
        <v>0</v>
      </c>
      <c r="P27" s="245">
        <f t="shared" si="7"/>
        <v>0</v>
      </c>
      <c r="Q27" s="245">
        <f t="shared" si="7"/>
        <v>0</v>
      </c>
      <c r="R27" s="246">
        <f t="shared" si="7"/>
        <v>0</v>
      </c>
      <c r="T27" s="4891"/>
    </row>
    <row r="28" spans="2:20" ht="13.5" thickBot="1">
      <c r="B28" s="262">
        <v>24000</v>
      </c>
      <c r="C28" s="236" t="s">
        <v>145</v>
      </c>
      <c r="D28" s="237">
        <f>SUM(D29:D32)</f>
        <v>33000</v>
      </c>
      <c r="E28" s="237">
        <f>SUM(E29:E32)</f>
        <v>20000</v>
      </c>
      <c r="F28" s="238">
        <f>D28+E28</f>
        <v>53000</v>
      </c>
      <c r="H28" s="132"/>
      <c r="I28" s="250" t="str">
        <f t="shared" si="4"/>
        <v>Measure 16</v>
      </c>
      <c r="J28" s="251"/>
      <c r="K28" s="252"/>
      <c r="L28" s="242">
        <f t="shared" si="5"/>
        <v>0</v>
      </c>
      <c r="M28" s="257">
        <v>0</v>
      </c>
      <c r="N28" s="257">
        <v>0</v>
      </c>
      <c r="O28" s="244">
        <f t="shared" si="6"/>
        <v>0</v>
      </c>
      <c r="P28" s="245">
        <f t="shared" si="7"/>
        <v>0</v>
      </c>
      <c r="Q28" s="245">
        <f t="shared" si="7"/>
        <v>0</v>
      </c>
      <c r="R28" s="246">
        <f t="shared" si="7"/>
        <v>0</v>
      </c>
      <c r="T28" s="4891"/>
    </row>
    <row r="29" spans="2:20">
      <c r="B29" s="247"/>
      <c r="C29" s="248" t="s">
        <v>139</v>
      </c>
      <c r="D29" s="249">
        <v>33000</v>
      </c>
      <c r="E29" s="4447">
        <v>20000</v>
      </c>
      <c r="F29" s="249">
        <f t="shared" ref="F29:F37" si="8">SUM(D29:E29)</f>
        <v>53000</v>
      </c>
      <c r="H29" s="132"/>
      <c r="I29" s="250" t="str">
        <f t="shared" si="4"/>
        <v>Measure 17</v>
      </c>
      <c r="J29" s="251"/>
      <c r="K29" s="252"/>
      <c r="L29" s="242">
        <f t="shared" si="5"/>
        <v>0</v>
      </c>
      <c r="M29" s="257">
        <v>0</v>
      </c>
      <c r="N29" s="257">
        <v>0</v>
      </c>
      <c r="O29" s="244">
        <f t="shared" si="6"/>
        <v>0</v>
      </c>
      <c r="P29" s="245">
        <f t="shared" ref="P29:R44" si="9">M29*$D79</f>
        <v>0</v>
      </c>
      <c r="Q29" s="245">
        <f t="shared" si="9"/>
        <v>0</v>
      </c>
      <c r="R29" s="246">
        <f t="shared" si="9"/>
        <v>0</v>
      </c>
      <c r="T29" s="4891"/>
    </row>
    <row r="30" spans="2:20">
      <c r="B30" s="254"/>
      <c r="C30" s="255" t="s">
        <v>140</v>
      </c>
      <c r="D30" s="256">
        <v>0</v>
      </c>
      <c r="E30" s="256"/>
      <c r="F30" s="249">
        <f t="shared" si="8"/>
        <v>0</v>
      </c>
      <c r="H30" s="132"/>
      <c r="I30" s="250" t="str">
        <f t="shared" si="4"/>
        <v>Measure 18</v>
      </c>
      <c r="J30" s="251"/>
      <c r="K30" s="252"/>
      <c r="L30" s="242">
        <f t="shared" si="5"/>
        <v>0</v>
      </c>
      <c r="M30" s="257">
        <v>0</v>
      </c>
      <c r="N30" s="257">
        <v>0</v>
      </c>
      <c r="O30" s="244">
        <f t="shared" si="6"/>
        <v>0</v>
      </c>
      <c r="P30" s="245">
        <f t="shared" si="9"/>
        <v>0</v>
      </c>
      <c r="Q30" s="245">
        <f t="shared" si="9"/>
        <v>0</v>
      </c>
      <c r="R30" s="246">
        <f t="shared" si="9"/>
        <v>0</v>
      </c>
      <c r="T30" s="4891"/>
    </row>
    <row r="31" spans="2:20">
      <c r="B31" s="254"/>
      <c r="C31" s="255" t="s">
        <v>141</v>
      </c>
      <c r="D31" s="256">
        <v>0</v>
      </c>
      <c r="E31" s="256"/>
      <c r="F31" s="249">
        <f t="shared" si="8"/>
        <v>0</v>
      </c>
      <c r="H31" s="132"/>
      <c r="I31" s="250" t="str">
        <f t="shared" si="4"/>
        <v>Measure 19</v>
      </c>
      <c r="J31" s="251"/>
      <c r="K31" s="252"/>
      <c r="L31" s="242">
        <f t="shared" si="5"/>
        <v>0</v>
      </c>
      <c r="M31" s="257">
        <v>0</v>
      </c>
      <c r="N31" s="257">
        <v>0</v>
      </c>
      <c r="O31" s="244">
        <f t="shared" si="6"/>
        <v>0</v>
      </c>
      <c r="P31" s="245">
        <f t="shared" si="9"/>
        <v>0</v>
      </c>
      <c r="Q31" s="245">
        <f t="shared" si="9"/>
        <v>0</v>
      </c>
      <c r="R31" s="246">
        <f t="shared" si="9"/>
        <v>0</v>
      </c>
      <c r="T31" s="4891"/>
    </row>
    <row r="32" spans="2:20" ht="13.5" thickBot="1">
      <c r="B32" s="254"/>
      <c r="C32" s="255" t="s">
        <v>142</v>
      </c>
      <c r="D32" s="256">
        <v>0</v>
      </c>
      <c r="E32" s="256"/>
      <c r="F32" s="249">
        <f t="shared" si="8"/>
        <v>0</v>
      </c>
      <c r="H32" s="132"/>
      <c r="I32" s="250" t="str">
        <f t="shared" si="4"/>
        <v>Measure 20</v>
      </c>
      <c r="J32" s="251"/>
      <c r="K32" s="252"/>
      <c r="L32" s="242">
        <f t="shared" si="5"/>
        <v>0</v>
      </c>
      <c r="M32" s="257">
        <v>0</v>
      </c>
      <c r="N32" s="257">
        <v>0</v>
      </c>
      <c r="O32" s="244">
        <f t="shared" si="6"/>
        <v>0</v>
      </c>
      <c r="P32" s="245">
        <f t="shared" si="9"/>
        <v>0</v>
      </c>
      <c r="Q32" s="245">
        <f t="shared" si="9"/>
        <v>0</v>
      </c>
      <c r="R32" s="246">
        <f t="shared" si="9"/>
        <v>0</v>
      </c>
      <c r="T32" s="4891"/>
    </row>
    <row r="33" spans="2:20" ht="13.5" thickBot="1">
      <c r="B33" s="262">
        <v>1500</v>
      </c>
      <c r="C33" s="236" t="s">
        <v>146</v>
      </c>
      <c r="D33" s="237">
        <f>SUM(D34:D37)</f>
        <v>1500</v>
      </c>
      <c r="E33" s="237">
        <f>SUM(E34:E37)</f>
        <v>1000</v>
      </c>
      <c r="F33" s="238">
        <f>D33+E33</f>
        <v>2500</v>
      </c>
      <c r="H33" s="132"/>
      <c r="I33" s="250" t="str">
        <f t="shared" si="4"/>
        <v>Measure 21</v>
      </c>
      <c r="J33" s="251"/>
      <c r="K33" s="252"/>
      <c r="L33" s="242">
        <f t="shared" si="5"/>
        <v>0</v>
      </c>
      <c r="M33" s="257">
        <v>0</v>
      </c>
      <c r="N33" s="257">
        <v>0</v>
      </c>
      <c r="O33" s="244">
        <f t="shared" si="6"/>
        <v>0</v>
      </c>
      <c r="P33" s="245">
        <f t="shared" si="9"/>
        <v>0</v>
      </c>
      <c r="Q33" s="245">
        <f t="shared" si="9"/>
        <v>0</v>
      </c>
      <c r="R33" s="246">
        <f t="shared" si="9"/>
        <v>0</v>
      </c>
      <c r="T33" s="4891"/>
    </row>
    <row r="34" spans="2:20">
      <c r="B34" s="254"/>
      <c r="C34" s="255" t="s">
        <v>139</v>
      </c>
      <c r="D34" s="256">
        <v>1500</v>
      </c>
      <c r="E34" s="4449">
        <v>1000</v>
      </c>
      <c r="F34" s="249">
        <f t="shared" si="8"/>
        <v>2500</v>
      </c>
      <c r="H34" s="132"/>
      <c r="I34" s="250" t="str">
        <f t="shared" si="4"/>
        <v>Measure 22</v>
      </c>
      <c r="J34" s="251"/>
      <c r="K34" s="252"/>
      <c r="L34" s="242">
        <f t="shared" si="5"/>
        <v>0</v>
      </c>
      <c r="M34" s="257">
        <v>0</v>
      </c>
      <c r="N34" s="257">
        <v>0</v>
      </c>
      <c r="O34" s="244">
        <f t="shared" si="6"/>
        <v>0</v>
      </c>
      <c r="P34" s="245">
        <f t="shared" si="9"/>
        <v>0</v>
      </c>
      <c r="Q34" s="245">
        <f t="shared" si="9"/>
        <v>0</v>
      </c>
      <c r="R34" s="246">
        <f t="shared" si="9"/>
        <v>0</v>
      </c>
      <c r="T34" s="4891"/>
    </row>
    <row r="35" spans="2:20">
      <c r="B35" s="254"/>
      <c r="C35" s="255" t="s">
        <v>140</v>
      </c>
      <c r="D35" s="256">
        <v>0</v>
      </c>
      <c r="E35" s="256"/>
      <c r="F35" s="249">
        <f t="shared" si="8"/>
        <v>0</v>
      </c>
      <c r="H35" s="132"/>
      <c r="I35" s="250" t="str">
        <f t="shared" si="4"/>
        <v>Measure 23</v>
      </c>
      <c r="J35" s="251"/>
      <c r="K35" s="252"/>
      <c r="L35" s="242">
        <f t="shared" si="5"/>
        <v>0</v>
      </c>
      <c r="M35" s="257">
        <v>0</v>
      </c>
      <c r="N35" s="257">
        <v>0</v>
      </c>
      <c r="O35" s="244">
        <f t="shared" si="6"/>
        <v>0</v>
      </c>
      <c r="P35" s="245">
        <f t="shared" si="9"/>
        <v>0</v>
      </c>
      <c r="Q35" s="245">
        <f t="shared" si="9"/>
        <v>0</v>
      </c>
      <c r="R35" s="246">
        <f t="shared" si="9"/>
        <v>0</v>
      </c>
      <c r="T35" s="4891"/>
    </row>
    <row r="36" spans="2:20">
      <c r="B36" s="254"/>
      <c r="C36" s="255" t="s">
        <v>141</v>
      </c>
      <c r="D36" s="256">
        <v>0</v>
      </c>
      <c r="E36" s="256"/>
      <c r="F36" s="249">
        <f t="shared" si="8"/>
        <v>0</v>
      </c>
      <c r="H36" s="132"/>
      <c r="I36" s="250" t="str">
        <f t="shared" si="4"/>
        <v>Measure 24</v>
      </c>
      <c r="J36" s="251"/>
      <c r="K36" s="252"/>
      <c r="L36" s="242">
        <f t="shared" si="5"/>
        <v>0</v>
      </c>
      <c r="M36" s="257">
        <v>0</v>
      </c>
      <c r="N36" s="257">
        <v>0</v>
      </c>
      <c r="O36" s="244">
        <f t="shared" si="6"/>
        <v>0</v>
      </c>
      <c r="P36" s="245">
        <f t="shared" si="9"/>
        <v>0</v>
      </c>
      <c r="Q36" s="245">
        <f t="shared" si="9"/>
        <v>0</v>
      </c>
      <c r="R36" s="246">
        <f t="shared" si="9"/>
        <v>0</v>
      </c>
      <c r="T36" s="4891"/>
    </row>
    <row r="37" spans="2:20" ht="13.5" thickBot="1">
      <c r="B37" s="254"/>
      <c r="C37" s="255" t="s">
        <v>142</v>
      </c>
      <c r="D37" s="256">
        <v>0</v>
      </c>
      <c r="E37" s="256"/>
      <c r="F37" s="249">
        <f t="shared" si="8"/>
        <v>0</v>
      </c>
      <c r="H37" s="132"/>
      <c r="I37" s="250" t="str">
        <f t="shared" si="4"/>
        <v>Measure 25</v>
      </c>
      <c r="J37" s="251"/>
      <c r="K37" s="252"/>
      <c r="L37" s="242">
        <f t="shared" si="5"/>
        <v>0</v>
      </c>
      <c r="M37" s="257">
        <v>0</v>
      </c>
      <c r="N37" s="257">
        <v>0</v>
      </c>
      <c r="O37" s="244">
        <f t="shared" si="6"/>
        <v>0</v>
      </c>
      <c r="P37" s="245">
        <f t="shared" si="9"/>
        <v>0</v>
      </c>
      <c r="Q37" s="245">
        <f t="shared" si="9"/>
        <v>0</v>
      </c>
      <c r="R37" s="246">
        <f t="shared" si="9"/>
        <v>0</v>
      </c>
      <c r="T37" s="4891"/>
    </row>
    <row r="38" spans="2:20" ht="13.5" thickBot="1">
      <c r="B38" s="262">
        <v>91500</v>
      </c>
      <c r="C38" s="236" t="s">
        <v>147</v>
      </c>
      <c r="D38" s="237">
        <f>SUM(D39:D42)</f>
        <v>30114</v>
      </c>
      <c r="E38" s="237">
        <f>SUM(E39:E42)</f>
        <v>10000</v>
      </c>
      <c r="F38" s="238">
        <f>D38+E38</f>
        <v>40114</v>
      </c>
      <c r="H38" s="132"/>
      <c r="I38" s="250" t="str">
        <f t="shared" si="4"/>
        <v>Measure 26</v>
      </c>
      <c r="J38" s="251"/>
      <c r="K38" s="260"/>
      <c r="L38" s="242">
        <f t="shared" si="5"/>
        <v>0</v>
      </c>
      <c r="M38" s="257">
        <v>0</v>
      </c>
      <c r="N38" s="257">
        <v>0</v>
      </c>
      <c r="O38" s="244">
        <f t="shared" si="6"/>
        <v>0</v>
      </c>
      <c r="P38" s="245">
        <f t="shared" si="9"/>
        <v>0</v>
      </c>
      <c r="Q38" s="245">
        <f t="shared" si="9"/>
        <v>0</v>
      </c>
      <c r="R38" s="246">
        <f t="shared" si="9"/>
        <v>0</v>
      </c>
      <c r="T38" s="4891"/>
    </row>
    <row r="39" spans="2:20">
      <c r="B39" s="254"/>
      <c r="C39" s="255" t="s">
        <v>382</v>
      </c>
      <c r="D39" s="256">
        <v>22500</v>
      </c>
      <c r="E39" s="4449">
        <v>5000</v>
      </c>
      <c r="F39" s="249">
        <f t="shared" ref="F39:F52" si="10">SUM(D39:E39)</f>
        <v>27500</v>
      </c>
      <c r="H39" s="132"/>
      <c r="I39" s="250" t="str">
        <f t="shared" si="4"/>
        <v>Measure 27</v>
      </c>
      <c r="J39" s="251"/>
      <c r="K39" s="260"/>
      <c r="L39" s="242">
        <f t="shared" si="5"/>
        <v>0</v>
      </c>
      <c r="M39" s="257">
        <v>0</v>
      </c>
      <c r="N39" s="257">
        <v>0</v>
      </c>
      <c r="O39" s="244">
        <f t="shared" si="6"/>
        <v>0</v>
      </c>
      <c r="P39" s="245">
        <f t="shared" si="9"/>
        <v>0</v>
      </c>
      <c r="Q39" s="245">
        <f t="shared" si="9"/>
        <v>0</v>
      </c>
      <c r="R39" s="246">
        <f t="shared" si="9"/>
        <v>0</v>
      </c>
      <c r="T39" s="4891"/>
    </row>
    <row r="40" spans="2:20">
      <c r="B40" s="254"/>
      <c r="C40" s="255" t="s">
        <v>381</v>
      </c>
      <c r="D40" s="333">
        <v>7614</v>
      </c>
      <c r="E40" s="4449">
        <v>5000</v>
      </c>
      <c r="F40" s="249">
        <f t="shared" si="10"/>
        <v>12614</v>
      </c>
      <c r="H40" s="132"/>
      <c r="I40" s="250" t="str">
        <f t="shared" si="4"/>
        <v>Measure 28</v>
      </c>
      <c r="J40" s="251"/>
      <c r="K40" s="260"/>
      <c r="L40" s="242">
        <f t="shared" si="5"/>
        <v>0</v>
      </c>
      <c r="M40" s="257">
        <v>0</v>
      </c>
      <c r="N40" s="257">
        <v>0</v>
      </c>
      <c r="O40" s="244">
        <f t="shared" si="6"/>
        <v>0</v>
      </c>
      <c r="P40" s="245">
        <f t="shared" si="9"/>
        <v>0</v>
      </c>
      <c r="Q40" s="245">
        <f t="shared" si="9"/>
        <v>0</v>
      </c>
      <c r="R40" s="246">
        <f t="shared" si="9"/>
        <v>0</v>
      </c>
      <c r="T40" s="4891"/>
    </row>
    <row r="41" spans="2:20">
      <c r="B41" s="254"/>
      <c r="C41" s="255" t="s">
        <v>141</v>
      </c>
      <c r="D41" s="256">
        <v>0</v>
      </c>
      <c r="E41" s="256"/>
      <c r="F41" s="249">
        <f t="shared" si="10"/>
        <v>0</v>
      </c>
      <c r="H41" s="132"/>
      <c r="I41" s="250" t="str">
        <f t="shared" si="4"/>
        <v>Measure 29</v>
      </c>
      <c r="J41" s="251"/>
      <c r="K41" s="260"/>
      <c r="L41" s="242">
        <f t="shared" si="5"/>
        <v>0</v>
      </c>
      <c r="M41" s="257">
        <v>0</v>
      </c>
      <c r="N41" s="257">
        <v>0</v>
      </c>
      <c r="O41" s="244">
        <f t="shared" si="6"/>
        <v>0</v>
      </c>
      <c r="P41" s="245">
        <f t="shared" si="9"/>
        <v>0</v>
      </c>
      <c r="Q41" s="245">
        <f t="shared" si="9"/>
        <v>0</v>
      </c>
      <c r="R41" s="246">
        <f t="shared" si="9"/>
        <v>0</v>
      </c>
      <c r="T41" s="4891"/>
    </row>
    <row r="42" spans="2:20" ht="13.5" thickBot="1">
      <c r="B42" s="254"/>
      <c r="C42" s="255" t="s">
        <v>142</v>
      </c>
      <c r="D42" s="256">
        <v>0</v>
      </c>
      <c r="E42" s="256"/>
      <c r="F42" s="249">
        <f t="shared" si="10"/>
        <v>0</v>
      </c>
      <c r="H42" s="132"/>
      <c r="I42" s="250" t="str">
        <f t="shared" si="4"/>
        <v>Measure 30</v>
      </c>
      <c r="J42" s="251"/>
      <c r="K42" s="260"/>
      <c r="L42" s="242">
        <f t="shared" si="5"/>
        <v>0</v>
      </c>
      <c r="M42" s="257">
        <v>0</v>
      </c>
      <c r="N42" s="257">
        <v>0</v>
      </c>
      <c r="O42" s="244">
        <f t="shared" si="6"/>
        <v>0</v>
      </c>
      <c r="P42" s="245">
        <f t="shared" si="9"/>
        <v>0</v>
      </c>
      <c r="Q42" s="245">
        <f t="shared" si="9"/>
        <v>0</v>
      </c>
      <c r="R42" s="246">
        <f t="shared" si="9"/>
        <v>0</v>
      </c>
      <c r="T42" s="4891"/>
    </row>
    <row r="43" spans="2:20" ht="13.5" thickBot="1">
      <c r="B43" s="262">
        <v>500</v>
      </c>
      <c r="C43" s="236" t="s">
        <v>148</v>
      </c>
      <c r="D43" s="237">
        <f>SUM(D44:D47)</f>
        <v>500</v>
      </c>
      <c r="E43" s="237">
        <f>SUM(E44:E47)</f>
        <v>500</v>
      </c>
      <c r="F43" s="238">
        <f>D43+E43</f>
        <v>1000</v>
      </c>
      <c r="H43" s="132"/>
      <c r="I43" s="250" t="str">
        <f t="shared" si="4"/>
        <v>Measure 31</v>
      </c>
      <c r="J43" s="251"/>
      <c r="K43" s="260"/>
      <c r="L43" s="242">
        <f t="shared" si="5"/>
        <v>0</v>
      </c>
      <c r="M43" s="257">
        <v>0</v>
      </c>
      <c r="N43" s="257">
        <v>0</v>
      </c>
      <c r="O43" s="244">
        <f t="shared" si="6"/>
        <v>0</v>
      </c>
      <c r="P43" s="245">
        <f t="shared" si="9"/>
        <v>0</v>
      </c>
      <c r="Q43" s="245">
        <f t="shared" si="9"/>
        <v>0</v>
      </c>
      <c r="R43" s="246">
        <f t="shared" si="9"/>
        <v>0</v>
      </c>
      <c r="T43" s="4891"/>
    </row>
    <row r="44" spans="2:20">
      <c r="B44" s="254"/>
      <c r="C44" s="255" t="s">
        <v>139</v>
      </c>
      <c r="D44" s="256">
        <v>500</v>
      </c>
      <c r="E44" s="256">
        <v>500</v>
      </c>
      <c r="F44" s="249">
        <f t="shared" si="10"/>
        <v>1000</v>
      </c>
      <c r="H44" s="132"/>
      <c r="I44" s="250" t="str">
        <f t="shared" si="4"/>
        <v>Measure 32</v>
      </c>
      <c r="J44" s="251"/>
      <c r="K44" s="260"/>
      <c r="L44" s="242">
        <f t="shared" si="5"/>
        <v>0</v>
      </c>
      <c r="M44" s="257">
        <v>0</v>
      </c>
      <c r="N44" s="257">
        <v>0</v>
      </c>
      <c r="O44" s="244">
        <f t="shared" si="6"/>
        <v>0</v>
      </c>
      <c r="P44" s="245">
        <f t="shared" si="9"/>
        <v>0</v>
      </c>
      <c r="Q44" s="245">
        <f t="shared" si="9"/>
        <v>0</v>
      </c>
      <c r="R44" s="246">
        <f t="shared" si="9"/>
        <v>0</v>
      </c>
      <c r="T44" s="4891"/>
    </row>
    <row r="45" spans="2:20">
      <c r="B45" s="254"/>
      <c r="C45" s="255" t="s">
        <v>140</v>
      </c>
      <c r="D45" s="256">
        <v>0</v>
      </c>
      <c r="E45" s="256"/>
      <c r="F45" s="249">
        <f t="shared" si="10"/>
        <v>0</v>
      </c>
      <c r="H45" s="132"/>
      <c r="I45" s="250" t="str">
        <f t="shared" si="4"/>
        <v>Measure 33</v>
      </c>
      <c r="J45" s="251"/>
      <c r="K45" s="260"/>
      <c r="L45" s="242">
        <f t="shared" si="5"/>
        <v>0</v>
      </c>
      <c r="M45" s="257">
        <v>0</v>
      </c>
      <c r="N45" s="257">
        <v>0</v>
      </c>
      <c r="O45" s="244">
        <f t="shared" si="6"/>
        <v>0</v>
      </c>
      <c r="P45" s="245">
        <f t="shared" ref="P45:R54" si="11">M45*$D95</f>
        <v>0</v>
      </c>
      <c r="Q45" s="245">
        <f t="shared" si="11"/>
        <v>0</v>
      </c>
      <c r="R45" s="246">
        <f t="shared" si="11"/>
        <v>0</v>
      </c>
      <c r="T45" s="4891"/>
    </row>
    <row r="46" spans="2:20">
      <c r="B46" s="254"/>
      <c r="C46" s="255" t="s">
        <v>141</v>
      </c>
      <c r="D46" s="256">
        <v>0</v>
      </c>
      <c r="E46" s="256"/>
      <c r="F46" s="249">
        <f t="shared" si="10"/>
        <v>0</v>
      </c>
      <c r="H46" s="132"/>
      <c r="I46" s="250" t="str">
        <f t="shared" si="4"/>
        <v>Measure 34</v>
      </c>
      <c r="J46" s="251"/>
      <c r="K46" s="260"/>
      <c r="L46" s="242">
        <f t="shared" si="5"/>
        <v>0</v>
      </c>
      <c r="M46" s="257">
        <v>0</v>
      </c>
      <c r="N46" s="257">
        <v>0</v>
      </c>
      <c r="O46" s="244">
        <f t="shared" si="6"/>
        <v>0</v>
      </c>
      <c r="P46" s="245">
        <f t="shared" si="11"/>
        <v>0</v>
      </c>
      <c r="Q46" s="245">
        <f t="shared" si="11"/>
        <v>0</v>
      </c>
      <c r="R46" s="246">
        <f t="shared" si="11"/>
        <v>0</v>
      </c>
      <c r="T46" s="4891"/>
    </row>
    <row r="47" spans="2:20" ht="13.5" thickBot="1">
      <c r="B47" s="254"/>
      <c r="C47" s="255" t="s">
        <v>142</v>
      </c>
      <c r="D47" s="256">
        <v>0</v>
      </c>
      <c r="E47" s="256"/>
      <c r="F47" s="249">
        <f t="shared" si="10"/>
        <v>0</v>
      </c>
      <c r="H47" s="132"/>
      <c r="I47" s="250" t="str">
        <f t="shared" si="4"/>
        <v>Measure 35</v>
      </c>
      <c r="J47" s="251"/>
      <c r="K47" s="260"/>
      <c r="L47" s="242">
        <f t="shared" si="5"/>
        <v>0</v>
      </c>
      <c r="M47" s="257">
        <v>0</v>
      </c>
      <c r="N47" s="257">
        <v>0</v>
      </c>
      <c r="O47" s="244">
        <f t="shared" si="6"/>
        <v>0</v>
      </c>
      <c r="P47" s="245">
        <f t="shared" si="11"/>
        <v>0</v>
      </c>
      <c r="Q47" s="245">
        <f t="shared" si="11"/>
        <v>0</v>
      </c>
      <c r="R47" s="246">
        <f t="shared" si="11"/>
        <v>0</v>
      </c>
      <c r="T47" s="4891"/>
    </row>
    <row r="48" spans="2:20" ht="13.5" thickBot="1">
      <c r="B48" s="262">
        <v>500</v>
      </c>
      <c r="C48" s="236" t="s">
        <v>149</v>
      </c>
      <c r="D48" s="237">
        <f>SUM(D49:D52)</f>
        <v>500</v>
      </c>
      <c r="E48" s="237">
        <f>SUM(E49:E52)</f>
        <v>500</v>
      </c>
      <c r="F48" s="238">
        <f>D48+E48</f>
        <v>1000</v>
      </c>
      <c r="H48" s="132"/>
      <c r="I48" s="250" t="str">
        <f t="shared" si="4"/>
        <v>Measure 36</v>
      </c>
      <c r="J48" s="251"/>
      <c r="K48" s="260"/>
      <c r="L48" s="242">
        <f t="shared" si="5"/>
        <v>0</v>
      </c>
      <c r="M48" s="257">
        <v>0</v>
      </c>
      <c r="N48" s="257">
        <v>0</v>
      </c>
      <c r="O48" s="244">
        <f t="shared" si="6"/>
        <v>0</v>
      </c>
      <c r="P48" s="245">
        <f t="shared" si="11"/>
        <v>0</v>
      </c>
      <c r="Q48" s="245">
        <f t="shared" si="11"/>
        <v>0</v>
      </c>
      <c r="R48" s="246">
        <f t="shared" si="11"/>
        <v>0</v>
      </c>
      <c r="T48" s="4891"/>
    </row>
    <row r="49" spans="2:25">
      <c r="B49" s="254"/>
      <c r="C49" s="255" t="s">
        <v>139</v>
      </c>
      <c r="D49" s="256">
        <v>500</v>
      </c>
      <c r="E49" s="256">
        <v>500</v>
      </c>
      <c r="F49" s="249">
        <f t="shared" si="10"/>
        <v>1000</v>
      </c>
      <c r="H49" s="132"/>
      <c r="I49" s="250" t="str">
        <f t="shared" si="4"/>
        <v>Measure 37</v>
      </c>
      <c r="J49" s="251"/>
      <c r="K49" s="260"/>
      <c r="L49" s="242">
        <f t="shared" si="5"/>
        <v>0</v>
      </c>
      <c r="M49" s="257">
        <v>0</v>
      </c>
      <c r="N49" s="257">
        <v>0</v>
      </c>
      <c r="O49" s="244">
        <f t="shared" si="6"/>
        <v>0</v>
      </c>
      <c r="P49" s="245">
        <f t="shared" si="11"/>
        <v>0</v>
      </c>
      <c r="Q49" s="245">
        <f t="shared" si="11"/>
        <v>0</v>
      </c>
      <c r="R49" s="246">
        <f t="shared" si="11"/>
        <v>0</v>
      </c>
      <c r="T49" s="4891"/>
    </row>
    <row r="50" spans="2:25">
      <c r="B50" s="254"/>
      <c r="C50" s="255" t="s">
        <v>140</v>
      </c>
      <c r="D50" s="256">
        <v>0</v>
      </c>
      <c r="E50" s="256"/>
      <c r="F50" s="249">
        <f t="shared" si="10"/>
        <v>0</v>
      </c>
      <c r="I50" s="250" t="str">
        <f t="shared" si="4"/>
        <v>Measure 38</v>
      </c>
      <c r="J50" s="251"/>
      <c r="K50" s="252"/>
      <c r="L50" s="242">
        <f t="shared" si="5"/>
        <v>0</v>
      </c>
      <c r="M50" s="257">
        <v>0</v>
      </c>
      <c r="N50" s="257">
        <v>0</v>
      </c>
      <c r="O50" s="244">
        <f t="shared" si="6"/>
        <v>0</v>
      </c>
      <c r="P50" s="245">
        <f t="shared" si="11"/>
        <v>0</v>
      </c>
      <c r="Q50" s="245">
        <f t="shared" si="11"/>
        <v>0</v>
      </c>
      <c r="R50" s="246">
        <f t="shared" si="11"/>
        <v>0</v>
      </c>
      <c r="T50" s="4891"/>
    </row>
    <row r="51" spans="2:25">
      <c r="B51" s="254"/>
      <c r="C51" s="255" t="s">
        <v>141</v>
      </c>
      <c r="D51" s="256">
        <v>0</v>
      </c>
      <c r="E51" s="256"/>
      <c r="F51" s="249">
        <f t="shared" si="10"/>
        <v>0</v>
      </c>
      <c r="I51" s="250" t="str">
        <f t="shared" si="4"/>
        <v>Measure 39</v>
      </c>
      <c r="J51" s="251"/>
      <c r="K51" s="252"/>
      <c r="L51" s="242">
        <f t="shared" si="5"/>
        <v>0</v>
      </c>
      <c r="M51" s="257">
        <v>0</v>
      </c>
      <c r="N51" s="257">
        <v>0</v>
      </c>
      <c r="O51" s="244">
        <f t="shared" si="6"/>
        <v>0</v>
      </c>
      <c r="P51" s="245">
        <f t="shared" si="11"/>
        <v>0</v>
      </c>
      <c r="Q51" s="245">
        <f t="shared" si="11"/>
        <v>0</v>
      </c>
      <c r="R51" s="246">
        <f t="shared" si="11"/>
        <v>0</v>
      </c>
      <c r="T51" s="4891"/>
    </row>
    <row r="52" spans="2:25" ht="13.5" thickBot="1">
      <c r="B52" s="254"/>
      <c r="C52" s="255" t="s">
        <v>142</v>
      </c>
      <c r="D52" s="256">
        <v>0</v>
      </c>
      <c r="E52" s="256"/>
      <c r="F52" s="249">
        <f t="shared" si="10"/>
        <v>0</v>
      </c>
      <c r="I52" s="250" t="str">
        <f t="shared" si="4"/>
        <v>Measure 40</v>
      </c>
      <c r="J52" s="251"/>
      <c r="K52" s="252"/>
      <c r="L52" s="242">
        <f t="shared" si="5"/>
        <v>0</v>
      </c>
      <c r="M52" s="257">
        <v>0</v>
      </c>
      <c r="N52" s="257">
        <v>0</v>
      </c>
      <c r="O52" s="244">
        <f t="shared" si="6"/>
        <v>0</v>
      </c>
      <c r="P52" s="245">
        <f t="shared" si="11"/>
        <v>0</v>
      </c>
      <c r="Q52" s="245">
        <f t="shared" si="11"/>
        <v>0</v>
      </c>
      <c r="R52" s="246">
        <f t="shared" si="11"/>
        <v>0</v>
      </c>
      <c r="T52" s="4891"/>
    </row>
    <row r="53" spans="2:25" ht="13.5" thickBot="1">
      <c r="B53" s="262">
        <v>197100</v>
      </c>
      <c r="C53" s="236" t="s">
        <v>150</v>
      </c>
      <c r="D53" s="237">
        <f>T105</f>
        <v>0</v>
      </c>
      <c r="E53" s="237">
        <f>U105</f>
        <v>157947.44999999998</v>
      </c>
      <c r="F53" s="238">
        <f>V105</f>
        <v>157947.44999999998</v>
      </c>
      <c r="G53" s="261" t="s">
        <v>151</v>
      </c>
      <c r="I53" s="250" t="str">
        <f t="shared" si="4"/>
        <v>Measure 41</v>
      </c>
      <c r="J53" s="251"/>
      <c r="K53" s="252"/>
      <c r="L53" s="242">
        <f t="shared" si="5"/>
        <v>0</v>
      </c>
      <c r="M53" s="257">
        <v>0</v>
      </c>
      <c r="N53" s="257">
        <v>0</v>
      </c>
      <c r="O53" s="244">
        <f t="shared" si="6"/>
        <v>0</v>
      </c>
      <c r="P53" s="245">
        <f t="shared" si="11"/>
        <v>0</v>
      </c>
      <c r="Q53" s="245">
        <f t="shared" si="11"/>
        <v>0</v>
      </c>
      <c r="R53" s="246">
        <f t="shared" si="11"/>
        <v>0</v>
      </c>
      <c r="T53" s="4891"/>
    </row>
    <row r="54" spans="2:25" ht="13.5" thickBot="1">
      <c r="B54" s="262">
        <v>0</v>
      </c>
      <c r="C54" s="236" t="s">
        <v>152</v>
      </c>
      <c r="D54" s="237">
        <v>0</v>
      </c>
      <c r="E54" s="237">
        <v>0</v>
      </c>
      <c r="F54" s="238">
        <v>0</v>
      </c>
      <c r="I54" s="250" t="str">
        <f t="shared" si="4"/>
        <v>Measure 42</v>
      </c>
      <c r="J54" s="251"/>
      <c r="K54" s="252"/>
      <c r="L54" s="242">
        <f t="shared" si="5"/>
        <v>0</v>
      </c>
      <c r="M54" s="257">
        <v>0</v>
      </c>
      <c r="N54" s="257">
        <v>0</v>
      </c>
      <c r="O54" s="244">
        <f t="shared" si="6"/>
        <v>0</v>
      </c>
      <c r="P54" s="245">
        <f t="shared" si="11"/>
        <v>0</v>
      </c>
      <c r="Q54" s="245">
        <f t="shared" si="11"/>
        <v>0</v>
      </c>
      <c r="R54" s="246">
        <f t="shared" si="11"/>
        <v>0</v>
      </c>
      <c r="T54" s="4891"/>
    </row>
    <row r="55" spans="2:25">
      <c r="B55" s="263">
        <f>B13+B18+B23+B28+B33+B38+B43+B48+B53+B54</f>
        <v>338693</v>
      </c>
      <c r="C55" s="264" t="s">
        <v>153</v>
      </c>
      <c r="D55" s="263">
        <f>D13+D18+D23+D28+D33+D38+D43+D48+D53+D54</f>
        <v>112354.576</v>
      </c>
      <c r="E55" s="263">
        <f>E13+E18+E23+E28+E33+E38+E43+E48+E53+E54</f>
        <v>225794.44999999998</v>
      </c>
      <c r="F55" s="263">
        <f>F13+F18+F23+F28+F33+F38+F43+F48+F53+F54</f>
        <v>338149.02599999995</v>
      </c>
      <c r="P55" s="265">
        <f>SUM(P13:P54)</f>
        <v>0</v>
      </c>
      <c r="Q55" s="265">
        <f>SUM(Q13:Q54)</f>
        <v>3496457.56</v>
      </c>
      <c r="R55" s="265">
        <f>SUM(R13:R54)</f>
        <v>3107472</v>
      </c>
      <c r="T55" s="4892"/>
    </row>
    <row r="56" spans="2:25">
      <c r="C56" s="264"/>
      <c r="D56" s="263"/>
      <c r="E56" s="263"/>
      <c r="F56" s="263"/>
      <c r="T56" s="3535"/>
    </row>
    <row r="57" spans="2:25">
      <c r="C57" s="264" t="s">
        <v>154</v>
      </c>
      <c r="D57" s="263">
        <f>D55-D53</f>
        <v>112354.576</v>
      </c>
      <c r="E57" s="263">
        <f>E55-E53</f>
        <v>67847</v>
      </c>
      <c r="F57" s="263">
        <f>F55-F53</f>
        <v>180201.57599999997</v>
      </c>
    </row>
    <row r="58" spans="2:25">
      <c r="C58" s="264" t="s">
        <v>155</v>
      </c>
      <c r="D58" s="266">
        <f>D53</f>
        <v>0</v>
      </c>
      <c r="E58" s="266">
        <f>E53</f>
        <v>157947.44999999998</v>
      </c>
      <c r="F58" s="266">
        <f>F53</f>
        <v>157947.44999999998</v>
      </c>
      <c r="G58" s="319">
        <f>F58/(F57+F58)</f>
        <v>0.46709420360713977</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2374" t="s">
        <v>407</v>
      </c>
      <c r="D63" s="2375">
        <v>117</v>
      </c>
      <c r="E63" s="2375" t="s">
        <v>181</v>
      </c>
      <c r="F63" s="2375" t="s">
        <v>186</v>
      </c>
      <c r="G63" s="2376">
        <v>24</v>
      </c>
      <c r="H63" s="2376">
        <v>10</v>
      </c>
      <c r="I63" s="2381">
        <v>0.01</v>
      </c>
      <c r="J63" s="2375">
        <v>10</v>
      </c>
      <c r="K63" s="2375" t="s">
        <v>233</v>
      </c>
      <c r="L63" s="4157"/>
      <c r="M63" s="2379">
        <v>3.6819203107706691</v>
      </c>
      <c r="N63" s="2379">
        <v>2.5627807163560004</v>
      </c>
      <c r="O63" s="3548">
        <f t="shared" ref="O63:O71" si="12">(($I63*$F$57)+$V63)/$S63</f>
        <v>4118.4234597594823</v>
      </c>
      <c r="P63" s="3548">
        <f t="shared" ref="P63:P71" si="13">(($I63*$F$57)+($G63*$O13))/$S63</f>
        <v>7550.4308603145237</v>
      </c>
      <c r="Q63" s="2380">
        <v>90380.147650615007</v>
      </c>
      <c r="R63" s="2380">
        <v>99418.162415676517</v>
      </c>
      <c r="S63" s="2378">
        <v>1.081</v>
      </c>
      <c r="T63" s="280">
        <f t="shared" ref="T63:T104" si="14">M13*$H63</f>
        <v>0</v>
      </c>
      <c r="U63" s="280">
        <f t="shared" ref="U63:U104" si="15">N13*$H63</f>
        <v>2650</v>
      </c>
      <c r="V63" s="280">
        <f t="shared" ref="V63:V104" si="16">O13*$H63</f>
        <v>2650</v>
      </c>
      <c r="W63" s="322">
        <f t="shared" ref="W63:W81" si="17">V63/(V63+(I63*F$57))</f>
        <v>0.5952359881133934</v>
      </c>
      <c r="X63" s="322">
        <f t="shared" ref="X63:X81" si="18">(I63*((F$18*1.63)+F$28))/(V63+(I63*F$57))</f>
        <v>0.18494992928776155</v>
      </c>
      <c r="Y63" s="322">
        <f t="shared" ref="Y63:Y81" si="19">(I63*F$38)/(V63+(I63*F$57))</f>
        <v>9.0103005385587395E-2</v>
      </c>
    </row>
    <row r="64" spans="2:25">
      <c r="B64" s="282"/>
      <c r="C64" s="2374" t="s">
        <v>408</v>
      </c>
      <c r="D64" s="2374">
        <v>188</v>
      </c>
      <c r="E64" s="2374" t="s">
        <v>181</v>
      </c>
      <c r="F64" s="2375" t="s">
        <v>186</v>
      </c>
      <c r="G64" s="2376">
        <v>24</v>
      </c>
      <c r="H64" s="2376">
        <v>10</v>
      </c>
      <c r="I64" s="2381">
        <v>0</v>
      </c>
      <c r="J64" s="2375">
        <v>10</v>
      </c>
      <c r="K64" s="2375" t="s">
        <v>233</v>
      </c>
      <c r="L64" s="4157"/>
      <c r="M64" s="2379">
        <v>5.9162480207255204</v>
      </c>
      <c r="N64" s="2379">
        <v>4.1179724331190437</v>
      </c>
      <c r="O64" s="3548">
        <f t="shared" si="12"/>
        <v>46.253469010175763</v>
      </c>
      <c r="P64" s="3548">
        <f t="shared" si="13"/>
        <v>111.00832562442183</v>
      </c>
      <c r="Q64" s="2380">
        <v>330059.59126487223</v>
      </c>
      <c r="R64" s="2380">
        <v>363065.55039135949</v>
      </c>
      <c r="S64" s="2378">
        <v>1.081</v>
      </c>
      <c r="T64" s="280">
        <f t="shared" si="14"/>
        <v>0</v>
      </c>
      <c r="U64" s="280">
        <f t="shared" si="15"/>
        <v>50</v>
      </c>
      <c r="V64" s="280">
        <f t="shared" si="16"/>
        <v>50</v>
      </c>
      <c r="W64" s="322">
        <f t="shared" si="17"/>
        <v>1</v>
      </c>
      <c r="X64" s="322">
        <f t="shared" si="18"/>
        <v>0</v>
      </c>
      <c r="Y64" s="322">
        <f t="shared" si="19"/>
        <v>0</v>
      </c>
    </row>
    <row r="65" spans="2:25">
      <c r="B65" s="282"/>
      <c r="C65" s="2374" t="s">
        <v>409</v>
      </c>
      <c r="D65" s="2375">
        <v>261</v>
      </c>
      <c r="E65" s="2374" t="s">
        <v>181</v>
      </c>
      <c r="F65" s="2375" t="s">
        <v>186</v>
      </c>
      <c r="G65" s="2376">
        <v>24</v>
      </c>
      <c r="H65" s="2376">
        <v>7.5</v>
      </c>
      <c r="I65" s="2381">
        <v>0.02</v>
      </c>
      <c r="J65" s="2375">
        <v>10</v>
      </c>
      <c r="K65" s="2375" t="s">
        <v>233</v>
      </c>
      <c r="L65" s="4157"/>
      <c r="M65" s="2379">
        <v>8.2135145394114932</v>
      </c>
      <c r="N65" s="2379">
        <v>5.7169723672556927</v>
      </c>
      <c r="O65" s="3548">
        <f t="shared" si="12"/>
        <v>4929.723885291397</v>
      </c>
      <c r="P65" s="3548">
        <f t="shared" si="13"/>
        <v>8440.3621831637374</v>
      </c>
      <c r="Q65" s="2380">
        <v>843126.69206937368</v>
      </c>
      <c r="R65" s="2380">
        <v>927439.36127631098</v>
      </c>
      <c r="S65" s="2378">
        <v>1.081</v>
      </c>
      <c r="T65" s="280">
        <f t="shared" si="14"/>
        <v>0</v>
      </c>
      <c r="U65" s="280">
        <f t="shared" si="15"/>
        <v>1725</v>
      </c>
      <c r="V65" s="280">
        <f t="shared" si="16"/>
        <v>1725</v>
      </c>
      <c r="W65" s="322">
        <f t="shared" si="17"/>
        <v>0.32369859204735951</v>
      </c>
      <c r="X65" s="322">
        <f t="shared" si="18"/>
        <v>0.30902425587454585</v>
      </c>
      <c r="Y65" s="322">
        <f t="shared" si="19"/>
        <v>0.15054893126246699</v>
      </c>
    </row>
    <row r="66" spans="2:25">
      <c r="B66" s="282"/>
      <c r="C66" s="2374" t="s">
        <v>410</v>
      </c>
      <c r="D66" s="2374">
        <v>123</v>
      </c>
      <c r="E66" s="2374" t="s">
        <v>181</v>
      </c>
      <c r="F66" s="2375" t="s">
        <v>186</v>
      </c>
      <c r="G66" s="2376">
        <v>24</v>
      </c>
      <c r="H66" s="2376">
        <v>10</v>
      </c>
      <c r="I66" s="2381">
        <v>0.01</v>
      </c>
      <c r="J66" s="2375">
        <v>10</v>
      </c>
      <c r="K66" s="2375" t="s">
        <v>233</v>
      </c>
      <c r="L66" s="4157"/>
      <c r="M66" s="2379">
        <v>3.8707367369640364</v>
      </c>
      <c r="N66" s="2379">
        <v>2.6942053684768212</v>
      </c>
      <c r="O66" s="3548">
        <f t="shared" si="12"/>
        <v>3476.1477890841811</v>
      </c>
      <c r="P66" s="3548">
        <f t="shared" si="13"/>
        <v>6008.9692506938027</v>
      </c>
      <c r="Q66" s="2380">
        <v>69447.347019927111</v>
      </c>
      <c r="R66" s="2380">
        <v>76392.081721919836</v>
      </c>
      <c r="S66" s="2378">
        <v>1.081</v>
      </c>
      <c r="T66" s="280">
        <f t="shared" si="14"/>
        <v>0</v>
      </c>
      <c r="U66" s="280">
        <f t="shared" si="15"/>
        <v>1955.6999999999998</v>
      </c>
      <c r="V66" s="280">
        <f t="shared" si="16"/>
        <v>1955.6999999999998</v>
      </c>
      <c r="W66" s="322">
        <f t="shared" si="17"/>
        <v>0.52044915712304962</v>
      </c>
      <c r="X66" s="322">
        <f t="shared" si="18"/>
        <v>0.21912248094038919</v>
      </c>
      <c r="Y66" s="322">
        <f t="shared" si="19"/>
        <v>0.10675102259464139</v>
      </c>
    </row>
    <row r="67" spans="2:25">
      <c r="B67" s="282"/>
      <c r="C67" s="2374" t="s">
        <v>411</v>
      </c>
      <c r="D67" s="2375">
        <v>158</v>
      </c>
      <c r="E67" s="2374" t="s">
        <v>181</v>
      </c>
      <c r="F67" s="2375" t="s">
        <v>186</v>
      </c>
      <c r="G67" s="2376">
        <v>24</v>
      </c>
      <c r="H67" s="2376">
        <v>10</v>
      </c>
      <c r="I67" s="2381">
        <v>0.05</v>
      </c>
      <c r="J67" s="2375">
        <v>10</v>
      </c>
      <c r="K67" s="2375" t="s">
        <v>233</v>
      </c>
      <c r="L67" s="4157"/>
      <c r="M67" s="2379">
        <v>4.9721658897586813</v>
      </c>
      <c r="N67" s="2379">
        <v>3.4608491725149406</v>
      </c>
      <c r="O67" s="3548">
        <f t="shared" si="12"/>
        <v>19189.897132284921</v>
      </c>
      <c r="P67" s="3548">
        <f t="shared" si="13"/>
        <v>34386.82590194264</v>
      </c>
      <c r="Q67" s="2380">
        <v>184187.2970147887</v>
      </c>
      <c r="R67" s="2380">
        <v>202606.02671626757</v>
      </c>
      <c r="S67" s="2378">
        <v>1.081</v>
      </c>
      <c r="T67" s="280">
        <f t="shared" si="14"/>
        <v>0</v>
      </c>
      <c r="U67" s="280">
        <f t="shared" si="15"/>
        <v>11734.199999999999</v>
      </c>
      <c r="V67" s="280">
        <f t="shared" si="16"/>
        <v>11734.199999999999</v>
      </c>
      <c r="W67" s="322">
        <f t="shared" si="17"/>
        <v>0.56565957838939185</v>
      </c>
      <c r="X67" s="322">
        <f t="shared" si="18"/>
        <v>0.19846435924299283</v>
      </c>
      <c r="Y67" s="322">
        <f t="shared" si="19"/>
        <v>9.6686899522387834E-2</v>
      </c>
    </row>
    <row r="68" spans="2:25">
      <c r="B68" s="282"/>
      <c r="C68" s="2374" t="s">
        <v>412</v>
      </c>
      <c r="D68" s="2374">
        <v>196</v>
      </c>
      <c r="E68" s="2374" t="s">
        <v>181</v>
      </c>
      <c r="F68" s="2375" t="s">
        <v>186</v>
      </c>
      <c r="G68" s="2376">
        <v>24</v>
      </c>
      <c r="H68" s="2376">
        <v>7.5</v>
      </c>
      <c r="I68" s="2381">
        <v>0.56999999999999995</v>
      </c>
      <c r="J68" s="2375">
        <v>10</v>
      </c>
      <c r="K68" s="2375" t="s">
        <v>233</v>
      </c>
      <c r="L68" s="4157"/>
      <c r="M68" s="2379">
        <v>6.1680032556500093</v>
      </c>
      <c r="N68" s="2379">
        <v>4.2932053026134707</v>
      </c>
      <c r="O68" s="3548">
        <f t="shared" si="12"/>
        <v>165575.57661424603</v>
      </c>
      <c r="P68" s="3548">
        <f t="shared" si="13"/>
        <v>320801.34904717858</v>
      </c>
      <c r="Q68" s="2380">
        <v>385397.24188545079</v>
      </c>
      <c r="R68" s="2380">
        <v>423936.96607399592</v>
      </c>
      <c r="S68" s="2378">
        <v>1.081</v>
      </c>
      <c r="T68" s="280">
        <f t="shared" si="14"/>
        <v>0</v>
      </c>
      <c r="U68" s="280">
        <f t="shared" si="15"/>
        <v>76272.3</v>
      </c>
      <c r="V68" s="280">
        <f t="shared" si="16"/>
        <v>76272.3</v>
      </c>
      <c r="W68" s="322">
        <f t="shared" si="17"/>
        <v>0.42613271069608871</v>
      </c>
      <c r="X68" s="322">
        <f t="shared" si="18"/>
        <v>0.2622187532992723</v>
      </c>
      <c r="Y68" s="322">
        <f t="shared" si="19"/>
        <v>0.1277464545767186</v>
      </c>
    </row>
    <row r="69" spans="2:25">
      <c r="B69" s="282"/>
      <c r="C69" s="2374" t="s">
        <v>943</v>
      </c>
      <c r="D69" s="2374">
        <v>81</v>
      </c>
      <c r="E69" s="2374" t="s">
        <v>181</v>
      </c>
      <c r="F69" s="2374" t="s">
        <v>186</v>
      </c>
      <c r="G69" s="2376">
        <v>24</v>
      </c>
      <c r="H69" s="2376">
        <v>10</v>
      </c>
      <c r="I69" s="2377">
        <v>0</v>
      </c>
      <c r="J69" s="2375">
        <v>10</v>
      </c>
      <c r="K69" s="2375" t="s">
        <v>233</v>
      </c>
      <c r="L69" s="4157"/>
      <c r="M69" s="2379">
        <v>6.1490101852645704</v>
      </c>
      <c r="N69" s="2379">
        <v>2.8182963349129282</v>
      </c>
      <c r="O69" s="3548">
        <f t="shared" si="12"/>
        <v>1809.1581868640146</v>
      </c>
      <c r="P69" s="3548">
        <f t="shared" si="13"/>
        <v>4341.9796484736362</v>
      </c>
      <c r="Q69" s="2380">
        <v>45506.088327582387</v>
      </c>
      <c r="R69" s="2380">
        <v>50056.697160340627</v>
      </c>
      <c r="S69" s="2378">
        <v>1.081</v>
      </c>
      <c r="T69" s="280">
        <f t="shared" si="14"/>
        <v>0</v>
      </c>
      <c r="U69" s="280">
        <f t="shared" si="15"/>
        <v>1955.6999999999998</v>
      </c>
      <c r="V69" s="280">
        <f t="shared" si="16"/>
        <v>1955.6999999999998</v>
      </c>
      <c r="W69" s="322">
        <f t="shared" si="17"/>
        <v>1</v>
      </c>
      <c r="X69" s="322">
        <f t="shared" si="18"/>
        <v>0</v>
      </c>
      <c r="Y69" s="322">
        <f t="shared" si="19"/>
        <v>0</v>
      </c>
    </row>
    <row r="70" spans="2:25">
      <c r="B70" s="282"/>
      <c r="C70" s="2374" t="s">
        <v>944</v>
      </c>
      <c r="D70" s="2374">
        <v>121</v>
      </c>
      <c r="E70" s="2374" t="s">
        <v>181</v>
      </c>
      <c r="F70" s="2374" t="s">
        <v>186</v>
      </c>
      <c r="G70" s="2376">
        <v>24</v>
      </c>
      <c r="H70" s="2376">
        <v>10</v>
      </c>
      <c r="I70" s="2377">
        <v>0.04</v>
      </c>
      <c r="J70" s="2375">
        <v>10</v>
      </c>
      <c r="K70" s="2375" t="s">
        <v>233</v>
      </c>
      <c r="L70" s="4157"/>
      <c r="M70" s="2379">
        <v>7.819111717064823</v>
      </c>
      <c r="N70" s="2379">
        <v>3.5837595369880439</v>
      </c>
      <c r="O70" s="3548">
        <f t="shared" si="12"/>
        <v>17522.907530064753</v>
      </c>
      <c r="P70" s="3548">
        <f t="shared" si="13"/>
        <v>32719.836299722476</v>
      </c>
      <c r="Q70" s="2380">
        <v>72332.208298472004</v>
      </c>
      <c r="R70" s="2380">
        <v>79565.4291283192</v>
      </c>
      <c r="S70" s="2378">
        <v>1.081</v>
      </c>
      <c r="T70" s="280">
        <f t="shared" si="14"/>
        <v>0</v>
      </c>
      <c r="U70" s="280">
        <f t="shared" si="15"/>
        <v>11734.199999999999</v>
      </c>
      <c r="V70" s="280">
        <f t="shared" si="16"/>
        <v>11734.199999999999</v>
      </c>
      <c r="W70" s="322">
        <f t="shared" si="17"/>
        <v>0.61947191712104954</v>
      </c>
      <c r="X70" s="322">
        <f t="shared" si="18"/>
        <v>0.17387573982290133</v>
      </c>
      <c r="Y70" s="322">
        <f t="shared" si="19"/>
        <v>8.4707935720863062E-2</v>
      </c>
    </row>
    <row r="71" spans="2:25">
      <c r="B71" s="282"/>
      <c r="C71" s="2374" t="s">
        <v>945</v>
      </c>
      <c r="D71" s="2374">
        <v>157</v>
      </c>
      <c r="E71" s="2374" t="s">
        <v>181</v>
      </c>
      <c r="F71" s="2374" t="s">
        <v>186</v>
      </c>
      <c r="G71" s="2376">
        <v>24</v>
      </c>
      <c r="H71" s="2376">
        <v>7.5</v>
      </c>
      <c r="I71" s="2377">
        <v>0.3</v>
      </c>
      <c r="J71" s="2375">
        <v>10</v>
      </c>
      <c r="K71" s="2375" t="s">
        <v>233</v>
      </c>
      <c r="L71" s="4157"/>
      <c r="M71" s="2379">
        <v>9.7169543668378395</v>
      </c>
      <c r="N71" s="2379">
        <v>4.4536040848006762</v>
      </c>
      <c r="O71" s="3548">
        <f t="shared" si="12"/>
        <v>96143.221831637376</v>
      </c>
      <c r="P71" s="3548">
        <f t="shared" si="13"/>
        <v>197636.9961147086</v>
      </c>
      <c r="Q71" s="2380">
        <v>161799.42516473736</v>
      </c>
      <c r="R71" s="2380">
        <v>177979.36768121112</v>
      </c>
      <c r="S71" s="2378">
        <v>1.081</v>
      </c>
      <c r="T71" s="280">
        <f t="shared" si="14"/>
        <v>0</v>
      </c>
      <c r="U71" s="280">
        <f t="shared" si="15"/>
        <v>49870.35</v>
      </c>
      <c r="V71" s="280">
        <f t="shared" si="16"/>
        <v>49870.35</v>
      </c>
      <c r="W71" s="322">
        <f t="shared" si="17"/>
        <v>0.47984177028953534</v>
      </c>
      <c r="X71" s="322">
        <f t="shared" si="18"/>
        <v>0.23767732549886059</v>
      </c>
      <c r="Y71" s="322">
        <f t="shared" si="19"/>
        <v>0.11579048135852918</v>
      </c>
    </row>
    <row r="72" spans="2:25">
      <c r="B72" s="282"/>
      <c r="C72" s="282" t="s">
        <v>194</v>
      </c>
      <c r="D72" s="282">
        <v>0</v>
      </c>
      <c r="E72" s="282" t="s">
        <v>181</v>
      </c>
      <c r="F72" s="282" t="s">
        <v>186</v>
      </c>
      <c r="G72" s="283"/>
      <c r="H72" s="283"/>
      <c r="I72" s="311">
        <v>0</v>
      </c>
      <c r="J72" s="257"/>
      <c r="K72" s="257"/>
      <c r="L72" s="3574"/>
      <c r="M72" s="278" t="e">
        <f t="shared" ref="M72:N104" si="20">Q72/O72</f>
        <v>#DIV/0!</v>
      </c>
      <c r="N72" s="278" t="e">
        <f t="shared" si="20"/>
        <v>#DIV/0!</v>
      </c>
      <c r="O72" s="214">
        <f t="shared" ref="O72:O104" si="21">(($I72*$F$57)+$V72)/$S72</f>
        <v>0</v>
      </c>
      <c r="P72" s="214">
        <f t="shared" ref="P72:P104" si="22">(($I72*$F$57)+($G72*$O22))/$S72</f>
        <v>0</v>
      </c>
      <c r="Q72" s="214">
        <f>IF(K72=0, 0, (HLOOKUP(K72,'[1]E-CESTDWO'!$A$5:$O$35,J72+1,FALSE)*R22))</f>
        <v>0</v>
      </c>
      <c r="R72" s="214">
        <f>IF(K72=0, 0, (HLOOKUP(K72,'[1]E-CESTD'!$A$5:$O$35,J72+1,FALSE)*R22))</f>
        <v>0</v>
      </c>
      <c r="S72" s="279">
        <v>1.081</v>
      </c>
      <c r="T72" s="280">
        <f t="shared" si="14"/>
        <v>0</v>
      </c>
      <c r="U72" s="280">
        <f t="shared" si="15"/>
        <v>0</v>
      </c>
      <c r="V72" s="280">
        <f t="shared" si="16"/>
        <v>0</v>
      </c>
      <c r="W72" s="322" t="e">
        <f t="shared" si="17"/>
        <v>#DIV/0!</v>
      </c>
      <c r="X72" s="322" t="e">
        <f t="shared" si="18"/>
        <v>#DIV/0!</v>
      </c>
      <c r="Y72" s="322" t="e">
        <f t="shared" si="19"/>
        <v>#DIV/0!</v>
      </c>
    </row>
    <row r="73" spans="2:25">
      <c r="B73" s="282"/>
      <c r="C73" s="282" t="s">
        <v>195</v>
      </c>
      <c r="D73" s="282">
        <v>0</v>
      </c>
      <c r="E73" s="282" t="s">
        <v>181</v>
      </c>
      <c r="F73" s="282" t="s">
        <v>186</v>
      </c>
      <c r="G73" s="283"/>
      <c r="H73" s="283"/>
      <c r="I73" s="311">
        <v>0</v>
      </c>
      <c r="J73" s="257"/>
      <c r="K73" s="257"/>
      <c r="L73" s="3574"/>
      <c r="M73" s="278" t="e">
        <f t="shared" si="20"/>
        <v>#DIV/0!</v>
      </c>
      <c r="N73" s="278" t="e">
        <f t="shared" si="20"/>
        <v>#DIV/0!</v>
      </c>
      <c r="O73" s="214">
        <f t="shared" si="21"/>
        <v>0</v>
      </c>
      <c r="P73" s="214">
        <f t="shared" si="22"/>
        <v>0</v>
      </c>
      <c r="Q73" s="214">
        <f>IF(K73=0, 0, (HLOOKUP(K73,'[1]E-CESTDWO'!$A$5:$O$35,J73+1,FALSE)*R23))</f>
        <v>0</v>
      </c>
      <c r="R73" s="214">
        <f>IF(K73=0, 0, (HLOOKUP(K73,'[1]E-CESTD'!$A$5:$O$35,J73+1,FALSE)*R23))</f>
        <v>0</v>
      </c>
      <c r="S73" s="279">
        <v>1.081</v>
      </c>
      <c r="T73" s="280">
        <f t="shared" si="14"/>
        <v>0</v>
      </c>
      <c r="U73" s="280">
        <f t="shared" si="15"/>
        <v>0</v>
      </c>
      <c r="V73" s="280">
        <f t="shared" si="16"/>
        <v>0</v>
      </c>
      <c r="W73" s="322" t="e">
        <f t="shared" si="17"/>
        <v>#DIV/0!</v>
      </c>
      <c r="X73" s="322" t="e">
        <f t="shared" si="18"/>
        <v>#DIV/0!</v>
      </c>
      <c r="Y73" s="322" t="e">
        <f t="shared" si="19"/>
        <v>#DIV/0!</v>
      </c>
    </row>
    <row r="74" spans="2:25">
      <c r="B74" s="282"/>
      <c r="C74" s="282" t="s">
        <v>196</v>
      </c>
      <c r="D74" s="282">
        <v>0</v>
      </c>
      <c r="E74" s="282" t="s">
        <v>181</v>
      </c>
      <c r="F74" s="282" t="s">
        <v>186</v>
      </c>
      <c r="G74" s="283"/>
      <c r="H74" s="283"/>
      <c r="I74" s="311">
        <v>0</v>
      </c>
      <c r="J74" s="257"/>
      <c r="K74" s="257"/>
      <c r="L74" s="3574"/>
      <c r="M74" s="278" t="e">
        <f t="shared" si="20"/>
        <v>#DIV/0!</v>
      </c>
      <c r="N74" s="278" t="e">
        <f t="shared" si="20"/>
        <v>#DIV/0!</v>
      </c>
      <c r="O74" s="214">
        <f t="shared" si="21"/>
        <v>0</v>
      </c>
      <c r="P74" s="214">
        <f t="shared" si="22"/>
        <v>0</v>
      </c>
      <c r="Q74" s="214">
        <f>IF(K74=0, 0, (HLOOKUP(K74,'[1]E-CESTDWO'!$A$5:$O$35,J74+1,FALSE)*R24))</f>
        <v>0</v>
      </c>
      <c r="R74" s="214">
        <f>IF(K74=0, 0, (HLOOKUP(K74,'[1]E-CESTD'!$A$5:$O$35,J74+1,FALSE)*R24))</f>
        <v>0</v>
      </c>
      <c r="S74" s="279">
        <v>1.081</v>
      </c>
      <c r="T74" s="280">
        <f t="shared" si="14"/>
        <v>0</v>
      </c>
      <c r="U74" s="280">
        <f t="shared" si="15"/>
        <v>0</v>
      </c>
      <c r="V74" s="280">
        <f t="shared" si="16"/>
        <v>0</v>
      </c>
      <c r="W74" s="322" t="e">
        <f t="shared" si="17"/>
        <v>#DIV/0!</v>
      </c>
      <c r="X74" s="322" t="e">
        <f t="shared" si="18"/>
        <v>#DIV/0!</v>
      </c>
      <c r="Y74" s="322" t="e">
        <f t="shared" si="19"/>
        <v>#DIV/0!</v>
      </c>
    </row>
    <row r="75" spans="2:25">
      <c r="B75" s="282"/>
      <c r="C75" s="282" t="s">
        <v>197</v>
      </c>
      <c r="D75" s="282">
        <v>0</v>
      </c>
      <c r="E75" s="282" t="s">
        <v>181</v>
      </c>
      <c r="F75" s="282" t="s">
        <v>186</v>
      </c>
      <c r="G75" s="283"/>
      <c r="H75" s="283"/>
      <c r="I75" s="311">
        <v>0</v>
      </c>
      <c r="J75" s="257"/>
      <c r="K75" s="257"/>
      <c r="L75" s="3574"/>
      <c r="M75" s="278" t="e">
        <f t="shared" si="20"/>
        <v>#DIV/0!</v>
      </c>
      <c r="N75" s="278" t="e">
        <f t="shared" si="20"/>
        <v>#DIV/0!</v>
      </c>
      <c r="O75" s="214">
        <f t="shared" si="21"/>
        <v>0</v>
      </c>
      <c r="P75" s="214">
        <f t="shared" si="22"/>
        <v>0</v>
      </c>
      <c r="Q75" s="214">
        <f>IF(K75=0, 0, (HLOOKUP(K75,'[1]E-CESTDWO'!$A$5:$O$35,J75+1,FALSE)*R25))</f>
        <v>0</v>
      </c>
      <c r="R75" s="214">
        <f>IF(K75=0, 0, (HLOOKUP(K75,'[1]E-CESTD'!$A$5:$O$35,J75+1,FALSE)*R25))</f>
        <v>0</v>
      </c>
      <c r="S75" s="279">
        <v>1.081</v>
      </c>
      <c r="T75" s="280">
        <f t="shared" si="14"/>
        <v>0</v>
      </c>
      <c r="U75" s="280">
        <f t="shared" si="15"/>
        <v>0</v>
      </c>
      <c r="V75" s="280">
        <f t="shared" si="16"/>
        <v>0</v>
      </c>
      <c r="W75" s="322" t="e">
        <f t="shared" si="17"/>
        <v>#DIV/0!</v>
      </c>
      <c r="X75" s="322" t="e">
        <f t="shared" si="18"/>
        <v>#DIV/0!</v>
      </c>
      <c r="Y75" s="322" t="e">
        <f t="shared" si="19"/>
        <v>#DIV/0!</v>
      </c>
    </row>
    <row r="76" spans="2:25">
      <c r="B76" s="282"/>
      <c r="C76" s="282" t="s">
        <v>198</v>
      </c>
      <c r="D76" s="282">
        <v>0</v>
      </c>
      <c r="E76" s="282" t="s">
        <v>181</v>
      </c>
      <c r="F76" s="282" t="s">
        <v>186</v>
      </c>
      <c r="G76" s="283"/>
      <c r="H76" s="283"/>
      <c r="I76" s="311">
        <v>0</v>
      </c>
      <c r="J76" s="257"/>
      <c r="K76" s="257"/>
      <c r="L76" s="3574"/>
      <c r="M76" s="278" t="e">
        <f t="shared" si="20"/>
        <v>#DIV/0!</v>
      </c>
      <c r="N76" s="278" t="e">
        <f t="shared" si="20"/>
        <v>#DIV/0!</v>
      </c>
      <c r="O76" s="214">
        <f t="shared" si="21"/>
        <v>0</v>
      </c>
      <c r="P76" s="214">
        <f t="shared" si="22"/>
        <v>0</v>
      </c>
      <c r="Q76" s="214">
        <f>IF(K76=0, 0, (HLOOKUP(K76,'[1]E-CESTDWO'!$A$5:$O$35,J76+1,FALSE)*R26))</f>
        <v>0</v>
      </c>
      <c r="R76" s="214">
        <f>IF(K76=0, 0, (HLOOKUP(K76,'[1]E-CESTD'!$A$5:$O$35,J76+1,FALSE)*R26))</f>
        <v>0</v>
      </c>
      <c r="S76" s="279">
        <v>1.081</v>
      </c>
      <c r="T76" s="280">
        <f t="shared" si="14"/>
        <v>0</v>
      </c>
      <c r="U76" s="280">
        <f t="shared" si="15"/>
        <v>0</v>
      </c>
      <c r="V76" s="280">
        <f t="shared" si="16"/>
        <v>0</v>
      </c>
      <c r="W76" s="322" t="e">
        <f t="shared" si="17"/>
        <v>#DIV/0!</v>
      </c>
      <c r="X76" s="322" t="e">
        <f t="shared" si="18"/>
        <v>#DIV/0!</v>
      </c>
      <c r="Y76" s="322" t="e">
        <f t="shared" si="19"/>
        <v>#DIV/0!</v>
      </c>
    </row>
    <row r="77" spans="2:25">
      <c r="B77" s="282"/>
      <c r="C77" s="282" t="s">
        <v>199</v>
      </c>
      <c r="D77" s="282">
        <v>0</v>
      </c>
      <c r="E77" s="282" t="s">
        <v>181</v>
      </c>
      <c r="F77" s="282" t="s">
        <v>186</v>
      </c>
      <c r="G77" s="283"/>
      <c r="H77" s="283"/>
      <c r="I77" s="311">
        <v>0</v>
      </c>
      <c r="J77" s="257"/>
      <c r="K77" s="257"/>
      <c r="L77" s="3574"/>
      <c r="M77" s="278" t="e">
        <f t="shared" si="20"/>
        <v>#DIV/0!</v>
      </c>
      <c r="N77" s="278" t="e">
        <f t="shared" si="20"/>
        <v>#DIV/0!</v>
      </c>
      <c r="O77" s="214">
        <f t="shared" si="21"/>
        <v>0</v>
      </c>
      <c r="P77" s="214">
        <f t="shared" si="22"/>
        <v>0</v>
      </c>
      <c r="Q77" s="214">
        <f>IF(K77=0, 0, (HLOOKUP(K77,'[1]E-CESTDWO'!$A$5:$O$35,J77+1,FALSE)*R27))</f>
        <v>0</v>
      </c>
      <c r="R77" s="214">
        <f>IF(K77=0, 0, (HLOOKUP(K77,'[1]E-CESTD'!$A$5:$O$35,J77+1,FALSE)*R27))</f>
        <v>0</v>
      </c>
      <c r="S77" s="279">
        <v>1.081</v>
      </c>
      <c r="T77" s="280">
        <f t="shared" si="14"/>
        <v>0</v>
      </c>
      <c r="U77" s="280">
        <f t="shared" si="15"/>
        <v>0</v>
      </c>
      <c r="V77" s="280">
        <f t="shared" si="16"/>
        <v>0</v>
      </c>
      <c r="W77" s="322" t="e">
        <f t="shared" si="17"/>
        <v>#DIV/0!</v>
      </c>
      <c r="X77" s="322" t="e">
        <f t="shared" si="18"/>
        <v>#DIV/0!</v>
      </c>
      <c r="Y77" s="322" t="e">
        <f t="shared" si="19"/>
        <v>#DIV/0!</v>
      </c>
    </row>
    <row r="78" spans="2:25">
      <c r="B78" s="282"/>
      <c r="C78" s="282" t="s">
        <v>200</v>
      </c>
      <c r="D78" s="282">
        <v>0</v>
      </c>
      <c r="E78" s="282" t="s">
        <v>181</v>
      </c>
      <c r="F78" s="282" t="s">
        <v>186</v>
      </c>
      <c r="G78" s="283"/>
      <c r="H78" s="283"/>
      <c r="I78" s="311">
        <v>0</v>
      </c>
      <c r="J78" s="257"/>
      <c r="K78" s="257"/>
      <c r="L78" s="3574"/>
      <c r="M78" s="278" t="e">
        <f t="shared" si="20"/>
        <v>#DIV/0!</v>
      </c>
      <c r="N78" s="278" t="e">
        <f t="shared" si="20"/>
        <v>#DIV/0!</v>
      </c>
      <c r="O78" s="214">
        <f t="shared" si="21"/>
        <v>0</v>
      </c>
      <c r="P78" s="214">
        <f t="shared" si="22"/>
        <v>0</v>
      </c>
      <c r="Q78" s="214">
        <f>IF(K78=0, 0, (HLOOKUP(K78,'[1]E-CESTDWO'!$A$5:$O$35,J78+1,FALSE)*R28))</f>
        <v>0</v>
      </c>
      <c r="R78" s="214">
        <f>IF(K78=0, 0, (HLOOKUP(K78,'[1]E-CESTD'!$A$5:$O$35,J78+1,FALSE)*R28))</f>
        <v>0</v>
      </c>
      <c r="S78" s="279">
        <v>1.081</v>
      </c>
      <c r="T78" s="280">
        <f t="shared" si="14"/>
        <v>0</v>
      </c>
      <c r="U78" s="280">
        <f t="shared" si="15"/>
        <v>0</v>
      </c>
      <c r="V78" s="280">
        <f t="shared" si="16"/>
        <v>0</v>
      </c>
      <c r="W78" s="322" t="e">
        <f t="shared" si="17"/>
        <v>#DIV/0!</v>
      </c>
      <c r="X78" s="322" t="e">
        <f t="shared" si="18"/>
        <v>#DIV/0!</v>
      </c>
      <c r="Y78" s="322" t="e">
        <f t="shared" si="19"/>
        <v>#DIV/0!</v>
      </c>
    </row>
    <row r="79" spans="2:25">
      <c r="B79" s="282"/>
      <c r="C79" s="282" t="s">
        <v>201</v>
      </c>
      <c r="D79" s="282">
        <v>0</v>
      </c>
      <c r="E79" s="282" t="s">
        <v>181</v>
      </c>
      <c r="F79" s="282" t="s">
        <v>186</v>
      </c>
      <c r="G79" s="283"/>
      <c r="H79" s="283"/>
      <c r="I79" s="311">
        <v>0</v>
      </c>
      <c r="J79" s="257"/>
      <c r="K79" s="257"/>
      <c r="L79" s="3574"/>
      <c r="M79" s="278" t="e">
        <f t="shared" si="20"/>
        <v>#DIV/0!</v>
      </c>
      <c r="N79" s="278" t="e">
        <f t="shared" si="20"/>
        <v>#DIV/0!</v>
      </c>
      <c r="O79" s="214">
        <f t="shared" si="21"/>
        <v>0</v>
      </c>
      <c r="P79" s="214">
        <f t="shared" si="22"/>
        <v>0</v>
      </c>
      <c r="Q79" s="214">
        <f>IF(K79=0, 0, (HLOOKUP(K79,'[1]E-CESTDWO'!$A$5:$O$35,J79+1,FALSE)*R29))</f>
        <v>0</v>
      </c>
      <c r="R79" s="214">
        <f>IF(K79=0, 0, (HLOOKUP(K79,'[1]E-CESTD'!$A$5:$O$35,J79+1,FALSE)*R29))</f>
        <v>0</v>
      </c>
      <c r="S79" s="279">
        <v>1.081</v>
      </c>
      <c r="T79" s="280">
        <f t="shared" si="14"/>
        <v>0</v>
      </c>
      <c r="U79" s="280">
        <f t="shared" si="15"/>
        <v>0</v>
      </c>
      <c r="V79" s="280">
        <f t="shared" si="16"/>
        <v>0</v>
      </c>
      <c r="W79" s="322" t="e">
        <f t="shared" si="17"/>
        <v>#DIV/0!</v>
      </c>
      <c r="X79" s="322" t="e">
        <f t="shared" si="18"/>
        <v>#DIV/0!</v>
      </c>
      <c r="Y79" s="322" t="e">
        <f t="shared" si="19"/>
        <v>#DIV/0!</v>
      </c>
    </row>
    <row r="80" spans="2:25">
      <c r="B80" s="282"/>
      <c r="C80" s="282" t="s">
        <v>202</v>
      </c>
      <c r="D80" s="282">
        <v>0</v>
      </c>
      <c r="E80" s="282" t="s">
        <v>181</v>
      </c>
      <c r="F80" s="282" t="s">
        <v>186</v>
      </c>
      <c r="G80" s="283"/>
      <c r="H80" s="283"/>
      <c r="I80" s="311">
        <v>0</v>
      </c>
      <c r="J80" s="257"/>
      <c r="K80" s="257"/>
      <c r="L80" s="3574"/>
      <c r="M80" s="278" t="e">
        <f t="shared" si="20"/>
        <v>#DIV/0!</v>
      </c>
      <c r="N80" s="278" t="e">
        <f t="shared" si="20"/>
        <v>#DIV/0!</v>
      </c>
      <c r="O80" s="214">
        <f t="shared" si="21"/>
        <v>0</v>
      </c>
      <c r="P80" s="214">
        <f t="shared" si="22"/>
        <v>0</v>
      </c>
      <c r="Q80" s="214">
        <f>IF(K80=0, 0, (HLOOKUP(K80,'[1]E-CESTDWO'!$A$5:$O$35,J80+1,FALSE)*R30))</f>
        <v>0</v>
      </c>
      <c r="R80" s="214">
        <f>IF(K80=0, 0, (HLOOKUP(K80,'[1]E-CESTD'!$A$5:$O$35,J80+1,FALSE)*R30))</f>
        <v>0</v>
      </c>
      <c r="S80" s="279">
        <v>1.081</v>
      </c>
      <c r="T80" s="280">
        <f t="shared" si="14"/>
        <v>0</v>
      </c>
      <c r="U80" s="280">
        <f t="shared" si="15"/>
        <v>0</v>
      </c>
      <c r="V80" s="280">
        <f t="shared" si="16"/>
        <v>0</v>
      </c>
      <c r="W80" s="322" t="e">
        <f t="shared" si="17"/>
        <v>#DIV/0!</v>
      </c>
      <c r="X80" s="322" t="e">
        <f t="shared" si="18"/>
        <v>#DIV/0!</v>
      </c>
      <c r="Y80" s="322" t="e">
        <f t="shared" si="19"/>
        <v>#DIV/0!</v>
      </c>
    </row>
    <row r="81" spans="2:25">
      <c r="B81" s="282"/>
      <c r="C81" s="282" t="s">
        <v>203</v>
      </c>
      <c r="D81" s="282">
        <v>0</v>
      </c>
      <c r="E81" s="282" t="s">
        <v>181</v>
      </c>
      <c r="F81" s="282" t="s">
        <v>186</v>
      </c>
      <c r="G81" s="283"/>
      <c r="H81" s="283"/>
      <c r="I81" s="311">
        <v>0</v>
      </c>
      <c r="J81" s="257"/>
      <c r="K81" s="257"/>
      <c r="L81" s="3574"/>
      <c r="M81" s="278" t="e">
        <f t="shared" si="20"/>
        <v>#DIV/0!</v>
      </c>
      <c r="N81" s="278" t="e">
        <f t="shared" si="20"/>
        <v>#DIV/0!</v>
      </c>
      <c r="O81" s="214">
        <f t="shared" si="21"/>
        <v>0</v>
      </c>
      <c r="P81" s="214">
        <f t="shared" si="22"/>
        <v>0</v>
      </c>
      <c r="Q81" s="214">
        <f>IF(K81=0, 0, (HLOOKUP(K81,'[1]E-CESTDWO'!$A$5:$O$35,J81+1,FALSE)*R31))</f>
        <v>0</v>
      </c>
      <c r="R81" s="214">
        <f>IF(K81=0, 0, (HLOOKUP(K81,'[1]E-CESTD'!$A$5:$O$35,J81+1,FALSE)*R31))</f>
        <v>0</v>
      </c>
      <c r="S81" s="279">
        <v>1.081</v>
      </c>
      <c r="T81" s="280">
        <f t="shared" si="14"/>
        <v>0</v>
      </c>
      <c r="U81" s="280">
        <f t="shared" si="15"/>
        <v>0</v>
      </c>
      <c r="V81" s="280">
        <f t="shared" si="16"/>
        <v>0</v>
      </c>
      <c r="W81" s="322" t="e">
        <f t="shared" si="17"/>
        <v>#DIV/0!</v>
      </c>
      <c r="X81" s="322" t="e">
        <f t="shared" si="18"/>
        <v>#DIV/0!</v>
      </c>
      <c r="Y81" s="322" t="e">
        <f t="shared" si="19"/>
        <v>#DIV/0!</v>
      </c>
    </row>
    <row r="82" spans="2:25">
      <c r="B82" s="282"/>
      <c r="C82" s="282" t="s">
        <v>204</v>
      </c>
      <c r="D82" s="282">
        <v>0</v>
      </c>
      <c r="E82" s="282" t="s">
        <v>181</v>
      </c>
      <c r="F82" s="282" t="s">
        <v>186</v>
      </c>
      <c r="G82" s="283"/>
      <c r="H82" s="283"/>
      <c r="I82" s="311">
        <v>0</v>
      </c>
      <c r="J82" s="257"/>
      <c r="K82" s="257"/>
      <c r="L82" s="3574"/>
      <c r="M82" s="278" t="e">
        <f t="shared" si="20"/>
        <v>#DIV/0!</v>
      </c>
      <c r="N82" s="278" t="e">
        <f t="shared" si="20"/>
        <v>#DIV/0!</v>
      </c>
      <c r="O82" s="214">
        <f t="shared" si="21"/>
        <v>0</v>
      </c>
      <c r="P82" s="214">
        <f t="shared" si="22"/>
        <v>0</v>
      </c>
      <c r="Q82" s="214">
        <f>IF(K82=0, 0, (HLOOKUP(K82,'[1]E-CESTDWO'!$A$5:$O$35,J82+1,FALSE)*R32))</f>
        <v>0</v>
      </c>
      <c r="R82" s="214">
        <f>IF(K82=0, 0, (HLOOKUP(K82,'[1]E-CESTD'!$A$5:$O$35,J82+1,FALSE)*R32))</f>
        <v>0</v>
      </c>
      <c r="S82" s="279">
        <v>1.081</v>
      </c>
      <c r="T82" s="280">
        <f t="shared" si="14"/>
        <v>0</v>
      </c>
      <c r="U82" s="280">
        <f t="shared" si="15"/>
        <v>0</v>
      </c>
      <c r="V82" s="280">
        <f t="shared" si="16"/>
        <v>0</v>
      </c>
    </row>
    <row r="83" spans="2:25">
      <c r="B83" s="282"/>
      <c r="C83" s="282" t="s">
        <v>205</v>
      </c>
      <c r="D83" s="285">
        <v>0</v>
      </c>
      <c r="E83" s="282" t="s">
        <v>181</v>
      </c>
      <c r="F83" s="282" t="s">
        <v>186</v>
      </c>
      <c r="G83" s="283"/>
      <c r="H83" s="283"/>
      <c r="I83" s="311">
        <v>0</v>
      </c>
      <c r="J83" s="257"/>
      <c r="K83" s="257"/>
      <c r="L83" s="3574"/>
      <c r="M83" s="278" t="e">
        <f t="shared" si="20"/>
        <v>#DIV/0!</v>
      </c>
      <c r="N83" s="278" t="e">
        <f t="shared" si="20"/>
        <v>#DIV/0!</v>
      </c>
      <c r="O83" s="214">
        <f t="shared" si="21"/>
        <v>0</v>
      </c>
      <c r="P83" s="214">
        <f t="shared" si="22"/>
        <v>0</v>
      </c>
      <c r="Q83" s="214">
        <f>IF(K83=0, 0, (HLOOKUP(K83,'[1]E-CESTDWO'!$A$5:$O$35,J83+1,FALSE)*R33))</f>
        <v>0</v>
      </c>
      <c r="R83" s="214">
        <f>IF(K83=0, 0, (HLOOKUP(K83,'[1]E-CESTD'!$A$5:$O$35,J83+1,FALSE)*R33))</f>
        <v>0</v>
      </c>
      <c r="S83" s="279">
        <v>1.081</v>
      </c>
      <c r="T83" s="280">
        <f t="shared" si="14"/>
        <v>0</v>
      </c>
      <c r="U83" s="280">
        <f t="shared" si="15"/>
        <v>0</v>
      </c>
      <c r="V83" s="280">
        <f t="shared" si="16"/>
        <v>0</v>
      </c>
    </row>
    <row r="84" spans="2:25">
      <c r="B84" s="282"/>
      <c r="C84" s="282" t="s">
        <v>206</v>
      </c>
      <c r="D84" s="285">
        <v>0</v>
      </c>
      <c r="E84" s="282" t="s">
        <v>181</v>
      </c>
      <c r="F84" s="282" t="s">
        <v>186</v>
      </c>
      <c r="G84" s="283"/>
      <c r="H84" s="283"/>
      <c r="I84" s="311">
        <v>0</v>
      </c>
      <c r="J84" s="257"/>
      <c r="K84" s="257"/>
      <c r="L84" s="3574"/>
      <c r="M84" s="278" t="e">
        <f t="shared" si="20"/>
        <v>#DIV/0!</v>
      </c>
      <c r="N84" s="278" t="e">
        <f t="shared" si="20"/>
        <v>#DIV/0!</v>
      </c>
      <c r="O84" s="214">
        <f t="shared" si="21"/>
        <v>0</v>
      </c>
      <c r="P84" s="214">
        <f t="shared" si="22"/>
        <v>0</v>
      </c>
      <c r="Q84" s="214">
        <f>IF(K84=0, 0, (HLOOKUP(K84,'[1]E-CESTDWO'!$A$5:$O$35,J84+1,FALSE)*R34))</f>
        <v>0</v>
      </c>
      <c r="R84" s="214">
        <f>IF(K84=0, 0, (HLOOKUP(K84,'[1]E-CESTD'!$A$5:$O$35,J84+1,FALSE)*R34))</f>
        <v>0</v>
      </c>
      <c r="S84" s="279">
        <v>1.081</v>
      </c>
      <c r="T84" s="280">
        <f t="shared" si="14"/>
        <v>0</v>
      </c>
      <c r="U84" s="280">
        <f t="shared" si="15"/>
        <v>0</v>
      </c>
      <c r="V84" s="280">
        <f t="shared" si="16"/>
        <v>0</v>
      </c>
    </row>
    <row r="85" spans="2:25">
      <c r="B85" s="282"/>
      <c r="C85" s="282" t="s">
        <v>207</v>
      </c>
      <c r="D85" s="285">
        <v>0</v>
      </c>
      <c r="E85" s="282" t="s">
        <v>181</v>
      </c>
      <c r="F85" s="282" t="s">
        <v>186</v>
      </c>
      <c r="G85" s="283"/>
      <c r="H85" s="283"/>
      <c r="I85" s="311">
        <v>0</v>
      </c>
      <c r="J85" s="257"/>
      <c r="K85" s="257"/>
      <c r="L85" s="3574"/>
      <c r="M85" s="278" t="e">
        <f t="shared" si="20"/>
        <v>#DIV/0!</v>
      </c>
      <c r="N85" s="278" t="e">
        <f t="shared" si="20"/>
        <v>#DIV/0!</v>
      </c>
      <c r="O85" s="214">
        <f t="shared" si="21"/>
        <v>0</v>
      </c>
      <c r="P85" s="214">
        <f t="shared" si="22"/>
        <v>0</v>
      </c>
      <c r="Q85" s="214">
        <f>IF(K85=0, 0, (HLOOKUP(K85,'[1]E-CESTDWO'!$A$5:$O$35,J85+1,FALSE)*R35))</f>
        <v>0</v>
      </c>
      <c r="R85" s="214">
        <f>IF(K85=0, 0, (HLOOKUP(K85,'[1]E-CESTD'!$A$5:$O$35,J85+1,FALSE)*R35))</f>
        <v>0</v>
      </c>
      <c r="S85" s="279">
        <v>1.081</v>
      </c>
      <c r="T85" s="280">
        <f t="shared" si="14"/>
        <v>0</v>
      </c>
      <c r="U85" s="280">
        <f t="shared" si="15"/>
        <v>0</v>
      </c>
      <c r="V85" s="280">
        <f t="shared" si="16"/>
        <v>0</v>
      </c>
    </row>
    <row r="86" spans="2:25">
      <c r="B86" s="282"/>
      <c r="C86" s="282" t="s">
        <v>208</v>
      </c>
      <c r="D86" s="285">
        <v>0</v>
      </c>
      <c r="E86" s="282" t="s">
        <v>181</v>
      </c>
      <c r="F86" s="282" t="s">
        <v>186</v>
      </c>
      <c r="G86" s="283"/>
      <c r="H86" s="283"/>
      <c r="I86" s="311">
        <v>0</v>
      </c>
      <c r="J86" s="257"/>
      <c r="K86" s="257"/>
      <c r="L86" s="3574"/>
      <c r="M86" s="278" t="e">
        <f t="shared" si="20"/>
        <v>#DIV/0!</v>
      </c>
      <c r="N86" s="278" t="e">
        <f t="shared" si="20"/>
        <v>#DIV/0!</v>
      </c>
      <c r="O86" s="214">
        <f t="shared" si="21"/>
        <v>0</v>
      </c>
      <c r="P86" s="214">
        <f t="shared" si="22"/>
        <v>0</v>
      </c>
      <c r="Q86" s="214">
        <f>IF(K86=0, 0, (HLOOKUP(K86,'[1]E-CESTDWO'!$A$5:$O$35,J86+1,FALSE)*R36))</f>
        <v>0</v>
      </c>
      <c r="R86" s="214">
        <f>IF(K86=0, 0, (HLOOKUP(K86,'[1]E-CESTD'!$A$5:$O$35,J86+1,FALSE)*R36))</f>
        <v>0</v>
      </c>
      <c r="S86" s="279">
        <v>1.081</v>
      </c>
      <c r="T86" s="280">
        <f t="shared" si="14"/>
        <v>0</v>
      </c>
      <c r="U86" s="280">
        <f t="shared" si="15"/>
        <v>0</v>
      </c>
      <c r="V86" s="280">
        <f t="shared" si="16"/>
        <v>0</v>
      </c>
    </row>
    <row r="87" spans="2:25">
      <c r="B87" s="282"/>
      <c r="C87" s="282" t="s">
        <v>209</v>
      </c>
      <c r="D87" s="285">
        <v>0</v>
      </c>
      <c r="E87" s="282" t="s">
        <v>181</v>
      </c>
      <c r="F87" s="282" t="s">
        <v>186</v>
      </c>
      <c r="G87" s="283"/>
      <c r="H87" s="283"/>
      <c r="I87" s="311">
        <v>0</v>
      </c>
      <c r="J87" s="257"/>
      <c r="K87" s="257"/>
      <c r="L87" s="3574"/>
      <c r="M87" s="278" t="e">
        <f t="shared" si="20"/>
        <v>#DIV/0!</v>
      </c>
      <c r="N87" s="278" t="e">
        <f t="shared" si="20"/>
        <v>#DIV/0!</v>
      </c>
      <c r="O87" s="214">
        <f t="shared" si="21"/>
        <v>0</v>
      </c>
      <c r="P87" s="214">
        <f t="shared" si="22"/>
        <v>0</v>
      </c>
      <c r="Q87" s="214">
        <f>IF(K87=0, 0, (HLOOKUP(K87,'[1]E-CESTDWO'!$A$5:$O$35,J87+1,FALSE)*R37))</f>
        <v>0</v>
      </c>
      <c r="R87" s="214">
        <f>IF(K87=0, 0, (HLOOKUP(K87,'[1]E-CESTD'!$A$5:$O$35,J87+1,FALSE)*R37))</f>
        <v>0</v>
      </c>
      <c r="S87" s="279">
        <v>1.081</v>
      </c>
      <c r="T87" s="280">
        <f t="shared" si="14"/>
        <v>0</v>
      </c>
      <c r="U87" s="280">
        <f t="shared" si="15"/>
        <v>0</v>
      </c>
      <c r="V87" s="280">
        <f t="shared" si="16"/>
        <v>0</v>
      </c>
    </row>
    <row r="88" spans="2:25">
      <c r="B88" s="282"/>
      <c r="C88" s="282" t="s">
        <v>210</v>
      </c>
      <c r="D88" s="285">
        <v>0</v>
      </c>
      <c r="E88" s="282" t="s">
        <v>181</v>
      </c>
      <c r="F88" s="282" t="s">
        <v>186</v>
      </c>
      <c r="G88" s="283"/>
      <c r="H88" s="283"/>
      <c r="I88" s="311">
        <v>0</v>
      </c>
      <c r="J88" s="257"/>
      <c r="K88" s="257"/>
      <c r="L88" s="3574"/>
      <c r="M88" s="278" t="e">
        <f t="shared" si="20"/>
        <v>#DIV/0!</v>
      </c>
      <c r="N88" s="278" t="e">
        <f t="shared" si="20"/>
        <v>#DIV/0!</v>
      </c>
      <c r="O88" s="214">
        <f t="shared" si="21"/>
        <v>0</v>
      </c>
      <c r="P88" s="214">
        <f t="shared" si="22"/>
        <v>0</v>
      </c>
      <c r="Q88" s="214">
        <f>IF(K88=0, 0, (HLOOKUP(K88,'[1]E-CESTDWO'!$A$5:$O$35,J88+1,FALSE)*R38))</f>
        <v>0</v>
      </c>
      <c r="R88" s="214">
        <f>IF(K88=0, 0, (HLOOKUP(K88,'[1]E-CESTD'!$A$5:$O$35,J88+1,FALSE)*R38))</f>
        <v>0</v>
      </c>
      <c r="S88" s="279">
        <v>1.081</v>
      </c>
      <c r="T88" s="280">
        <f t="shared" si="14"/>
        <v>0</v>
      </c>
      <c r="U88" s="280">
        <f t="shared" si="15"/>
        <v>0</v>
      </c>
      <c r="V88" s="280">
        <f t="shared" si="16"/>
        <v>0</v>
      </c>
    </row>
    <row r="89" spans="2:25">
      <c r="B89" s="282"/>
      <c r="C89" s="282" t="s">
        <v>211</v>
      </c>
      <c r="D89" s="285">
        <v>0</v>
      </c>
      <c r="E89" s="282" t="s">
        <v>181</v>
      </c>
      <c r="F89" s="282" t="s">
        <v>186</v>
      </c>
      <c r="G89" s="283"/>
      <c r="H89" s="283"/>
      <c r="I89" s="311">
        <v>0</v>
      </c>
      <c r="J89" s="257"/>
      <c r="K89" s="257"/>
      <c r="L89" s="3574"/>
      <c r="M89" s="278" t="e">
        <f t="shared" si="20"/>
        <v>#DIV/0!</v>
      </c>
      <c r="N89" s="278" t="e">
        <f t="shared" si="20"/>
        <v>#DIV/0!</v>
      </c>
      <c r="O89" s="214">
        <f t="shared" si="21"/>
        <v>0</v>
      </c>
      <c r="P89" s="214">
        <f t="shared" si="22"/>
        <v>0</v>
      </c>
      <c r="Q89" s="214">
        <f>IF(K89=0, 0, (HLOOKUP(K89,'[1]E-CESTDWO'!$A$5:$O$35,J89+1,FALSE)*R39))</f>
        <v>0</v>
      </c>
      <c r="R89" s="214">
        <f>IF(K89=0, 0, (HLOOKUP(K89,'[1]E-CESTD'!$A$5:$O$35,J89+1,FALSE)*R39))</f>
        <v>0</v>
      </c>
      <c r="S89" s="279">
        <v>1.081</v>
      </c>
      <c r="T89" s="280">
        <f t="shared" si="14"/>
        <v>0</v>
      </c>
      <c r="U89" s="280">
        <f t="shared" si="15"/>
        <v>0</v>
      </c>
      <c r="V89" s="280">
        <f t="shared" si="16"/>
        <v>0</v>
      </c>
    </row>
    <row r="90" spans="2:25">
      <c r="B90" s="282"/>
      <c r="C90" s="282" t="s">
        <v>212</v>
      </c>
      <c r="D90" s="285">
        <v>0</v>
      </c>
      <c r="E90" s="282" t="s">
        <v>181</v>
      </c>
      <c r="F90" s="282" t="s">
        <v>186</v>
      </c>
      <c r="G90" s="283"/>
      <c r="H90" s="283"/>
      <c r="I90" s="311">
        <v>0</v>
      </c>
      <c r="J90" s="257"/>
      <c r="K90" s="257"/>
      <c r="L90" s="3574"/>
      <c r="M90" s="278" t="e">
        <f t="shared" si="20"/>
        <v>#DIV/0!</v>
      </c>
      <c r="N90" s="278" t="e">
        <f t="shared" si="20"/>
        <v>#DIV/0!</v>
      </c>
      <c r="O90" s="214">
        <f t="shared" si="21"/>
        <v>0</v>
      </c>
      <c r="P90" s="214">
        <f t="shared" si="22"/>
        <v>0</v>
      </c>
      <c r="Q90" s="214">
        <f>IF(K90=0, 0, (HLOOKUP(K90,'[1]E-CESTDWO'!$A$5:$O$35,J90+1,FALSE)*R40))</f>
        <v>0</v>
      </c>
      <c r="R90" s="214">
        <f>IF(K90=0, 0, (HLOOKUP(K90,'[1]E-CESTD'!$A$5:$O$35,J90+1,FALSE)*R40))</f>
        <v>0</v>
      </c>
      <c r="S90" s="279">
        <v>1.081</v>
      </c>
      <c r="T90" s="280">
        <f t="shared" si="14"/>
        <v>0</v>
      </c>
      <c r="U90" s="280">
        <f t="shared" si="15"/>
        <v>0</v>
      </c>
      <c r="V90" s="280">
        <f t="shared" si="16"/>
        <v>0</v>
      </c>
    </row>
    <row r="91" spans="2:25">
      <c r="B91" s="282"/>
      <c r="C91" s="282" t="s">
        <v>213</v>
      </c>
      <c r="D91" s="285">
        <v>0</v>
      </c>
      <c r="E91" s="282" t="s">
        <v>181</v>
      </c>
      <c r="F91" s="282" t="s">
        <v>186</v>
      </c>
      <c r="G91" s="283"/>
      <c r="H91" s="283"/>
      <c r="I91" s="311">
        <v>0</v>
      </c>
      <c r="J91" s="257"/>
      <c r="K91" s="257"/>
      <c r="L91" s="3574"/>
      <c r="M91" s="278" t="e">
        <f t="shared" si="20"/>
        <v>#DIV/0!</v>
      </c>
      <c r="N91" s="278" t="e">
        <f t="shared" si="20"/>
        <v>#DIV/0!</v>
      </c>
      <c r="O91" s="214">
        <f t="shared" si="21"/>
        <v>0</v>
      </c>
      <c r="P91" s="214">
        <f t="shared" si="22"/>
        <v>0</v>
      </c>
      <c r="Q91" s="214">
        <f>IF(K91=0, 0, (HLOOKUP(K91,'[1]E-CESTDWO'!$A$5:$O$35,J91+1,FALSE)*R41))</f>
        <v>0</v>
      </c>
      <c r="R91" s="214">
        <f>IF(K91=0, 0, (HLOOKUP(K91,'[1]E-CESTD'!$A$5:$O$35,J91+1,FALSE)*R41))</f>
        <v>0</v>
      </c>
      <c r="S91" s="279">
        <v>1.081</v>
      </c>
      <c r="T91" s="280">
        <f t="shared" si="14"/>
        <v>0</v>
      </c>
      <c r="U91" s="280">
        <f t="shared" si="15"/>
        <v>0</v>
      </c>
      <c r="V91" s="280">
        <f t="shared" si="16"/>
        <v>0</v>
      </c>
    </row>
    <row r="92" spans="2:25">
      <c r="B92" s="282"/>
      <c r="C92" s="282" t="s">
        <v>214</v>
      </c>
      <c r="D92" s="285">
        <v>0</v>
      </c>
      <c r="E92" s="282" t="s">
        <v>181</v>
      </c>
      <c r="F92" s="282" t="s">
        <v>186</v>
      </c>
      <c r="G92" s="283"/>
      <c r="H92" s="283"/>
      <c r="I92" s="311">
        <v>0</v>
      </c>
      <c r="J92" s="257"/>
      <c r="K92" s="257"/>
      <c r="L92" s="3574"/>
      <c r="M92" s="278" t="e">
        <f t="shared" si="20"/>
        <v>#DIV/0!</v>
      </c>
      <c r="N92" s="278" t="e">
        <f t="shared" si="20"/>
        <v>#DIV/0!</v>
      </c>
      <c r="O92" s="214">
        <f t="shared" si="21"/>
        <v>0</v>
      </c>
      <c r="P92" s="214">
        <f t="shared" si="22"/>
        <v>0</v>
      </c>
      <c r="Q92" s="214">
        <f>IF(K92=0, 0, (HLOOKUP(K92,'[1]E-CESTDWO'!$A$5:$O$35,J92+1,FALSE)*R42))</f>
        <v>0</v>
      </c>
      <c r="R92" s="214">
        <f>IF(K92=0, 0, (HLOOKUP(K92,'[1]E-CESTD'!$A$5:$O$35,J92+1,FALSE)*R42))</f>
        <v>0</v>
      </c>
      <c r="S92" s="279">
        <v>1.081</v>
      </c>
      <c r="T92" s="280">
        <f t="shared" si="14"/>
        <v>0</v>
      </c>
      <c r="U92" s="280">
        <f t="shared" si="15"/>
        <v>0</v>
      </c>
      <c r="V92" s="280">
        <f t="shared" si="16"/>
        <v>0</v>
      </c>
    </row>
    <row r="93" spans="2:25">
      <c r="B93" s="282"/>
      <c r="C93" s="282" t="s">
        <v>215</v>
      </c>
      <c r="D93" s="285">
        <v>0</v>
      </c>
      <c r="E93" s="282" t="s">
        <v>181</v>
      </c>
      <c r="F93" s="282" t="s">
        <v>186</v>
      </c>
      <c r="G93" s="283"/>
      <c r="H93" s="283"/>
      <c r="I93" s="311">
        <v>0</v>
      </c>
      <c r="J93" s="257"/>
      <c r="K93" s="257"/>
      <c r="L93" s="3574"/>
      <c r="M93" s="278" t="e">
        <f t="shared" si="20"/>
        <v>#DIV/0!</v>
      </c>
      <c r="N93" s="278" t="e">
        <f t="shared" si="20"/>
        <v>#DIV/0!</v>
      </c>
      <c r="O93" s="214">
        <f t="shared" si="21"/>
        <v>0</v>
      </c>
      <c r="P93" s="214">
        <f t="shared" si="22"/>
        <v>0</v>
      </c>
      <c r="Q93" s="214">
        <f>IF(K93=0, 0, (HLOOKUP(K93,'[1]E-CESTDWO'!$A$5:$O$35,J93+1,FALSE)*R43))</f>
        <v>0</v>
      </c>
      <c r="R93" s="214">
        <f>IF(K93=0, 0, (HLOOKUP(K93,'[1]E-CESTD'!$A$5:$O$35,J93+1,FALSE)*R43))</f>
        <v>0</v>
      </c>
      <c r="S93" s="279">
        <v>1.081</v>
      </c>
      <c r="T93" s="280">
        <f t="shared" si="14"/>
        <v>0</v>
      </c>
      <c r="U93" s="280">
        <f t="shared" si="15"/>
        <v>0</v>
      </c>
      <c r="V93" s="280">
        <f t="shared" si="16"/>
        <v>0</v>
      </c>
    </row>
    <row r="94" spans="2:25">
      <c r="B94" s="282"/>
      <c r="C94" s="282" t="s">
        <v>216</v>
      </c>
      <c r="D94" s="285">
        <v>0</v>
      </c>
      <c r="E94" s="282" t="s">
        <v>181</v>
      </c>
      <c r="F94" s="282" t="s">
        <v>186</v>
      </c>
      <c r="G94" s="283"/>
      <c r="H94" s="283"/>
      <c r="I94" s="311">
        <v>0</v>
      </c>
      <c r="J94" s="257"/>
      <c r="K94" s="257"/>
      <c r="L94" s="3574"/>
      <c r="M94" s="278" t="e">
        <f t="shared" si="20"/>
        <v>#DIV/0!</v>
      </c>
      <c r="N94" s="278" t="e">
        <f t="shared" si="20"/>
        <v>#DIV/0!</v>
      </c>
      <c r="O94" s="214">
        <f t="shared" si="21"/>
        <v>0</v>
      </c>
      <c r="P94" s="214">
        <f t="shared" si="22"/>
        <v>0</v>
      </c>
      <c r="Q94" s="214">
        <f>IF(K94=0, 0, (HLOOKUP(K94,'[1]E-CESTDWO'!$A$5:$O$35,J94+1,FALSE)*R44))</f>
        <v>0</v>
      </c>
      <c r="R94" s="214">
        <f>IF(K94=0, 0, (HLOOKUP(K94,'[1]E-CESTD'!$A$5:$O$35,J94+1,FALSE)*R44))</f>
        <v>0</v>
      </c>
      <c r="S94" s="279">
        <v>1.081</v>
      </c>
      <c r="T94" s="280">
        <f t="shared" si="14"/>
        <v>0</v>
      </c>
      <c r="U94" s="280">
        <f t="shared" si="15"/>
        <v>0</v>
      </c>
      <c r="V94" s="280">
        <f t="shared" si="16"/>
        <v>0</v>
      </c>
    </row>
    <row r="95" spans="2:25">
      <c r="B95" s="282"/>
      <c r="C95" s="282" t="s">
        <v>217</v>
      </c>
      <c r="D95" s="285">
        <v>0</v>
      </c>
      <c r="E95" s="282" t="s">
        <v>181</v>
      </c>
      <c r="F95" s="282" t="s">
        <v>186</v>
      </c>
      <c r="G95" s="283"/>
      <c r="H95" s="283"/>
      <c r="I95" s="311">
        <v>0</v>
      </c>
      <c r="J95" s="257"/>
      <c r="K95" s="257"/>
      <c r="L95" s="3574"/>
      <c r="M95" s="278" t="e">
        <f t="shared" si="20"/>
        <v>#DIV/0!</v>
      </c>
      <c r="N95" s="278" t="e">
        <f t="shared" si="20"/>
        <v>#DIV/0!</v>
      </c>
      <c r="O95" s="214">
        <f t="shared" si="21"/>
        <v>0</v>
      </c>
      <c r="P95" s="214">
        <f t="shared" si="22"/>
        <v>0</v>
      </c>
      <c r="Q95" s="214">
        <f>IF(K95=0, 0, (HLOOKUP(K95,'[1]E-CESTDWO'!$A$5:$O$35,J95+1,FALSE)*R45))</f>
        <v>0</v>
      </c>
      <c r="R95" s="214">
        <f>IF(K95=0, 0, (HLOOKUP(K95,'[1]E-CESTD'!$A$5:$O$35,J95+1,FALSE)*R45))</f>
        <v>0</v>
      </c>
      <c r="S95" s="279">
        <v>1.081</v>
      </c>
      <c r="T95" s="280">
        <f t="shared" si="14"/>
        <v>0</v>
      </c>
      <c r="U95" s="280">
        <f t="shared" si="15"/>
        <v>0</v>
      </c>
      <c r="V95" s="280">
        <f t="shared" si="16"/>
        <v>0</v>
      </c>
    </row>
    <row r="96" spans="2:25">
      <c r="B96" s="282"/>
      <c r="C96" s="282" t="s">
        <v>218</v>
      </c>
      <c r="D96" s="285">
        <v>0</v>
      </c>
      <c r="E96" s="282" t="s">
        <v>181</v>
      </c>
      <c r="F96" s="282" t="s">
        <v>186</v>
      </c>
      <c r="G96" s="283"/>
      <c r="H96" s="283"/>
      <c r="I96" s="311">
        <v>0</v>
      </c>
      <c r="J96" s="257"/>
      <c r="K96" s="257"/>
      <c r="L96" s="3574"/>
      <c r="M96" s="278" t="e">
        <f t="shared" si="20"/>
        <v>#DIV/0!</v>
      </c>
      <c r="N96" s="278" t="e">
        <f t="shared" si="20"/>
        <v>#DIV/0!</v>
      </c>
      <c r="O96" s="214">
        <f t="shared" si="21"/>
        <v>0</v>
      </c>
      <c r="P96" s="214">
        <f t="shared" si="22"/>
        <v>0</v>
      </c>
      <c r="Q96" s="214">
        <f>IF(K96=0, 0, (HLOOKUP(K96,'[1]E-CESTDWO'!$A$5:$O$35,J96+1,FALSE)*R46))</f>
        <v>0</v>
      </c>
      <c r="R96" s="214">
        <f>IF(K96=0, 0, (HLOOKUP(K96,'[1]E-CESTD'!$A$5:$O$35,J96+1,FALSE)*R46))</f>
        <v>0</v>
      </c>
      <c r="S96" s="279">
        <v>1.081</v>
      </c>
      <c r="T96" s="280">
        <f t="shared" si="14"/>
        <v>0</v>
      </c>
      <c r="U96" s="280">
        <f t="shared" si="15"/>
        <v>0</v>
      </c>
      <c r="V96" s="280">
        <f t="shared" si="16"/>
        <v>0</v>
      </c>
    </row>
    <row r="97" spans="2:22">
      <c r="B97" s="282"/>
      <c r="C97" s="282" t="s">
        <v>219</v>
      </c>
      <c r="D97" s="285">
        <v>0</v>
      </c>
      <c r="E97" s="282" t="s">
        <v>181</v>
      </c>
      <c r="F97" s="282" t="s">
        <v>186</v>
      </c>
      <c r="G97" s="283"/>
      <c r="H97" s="283"/>
      <c r="I97" s="311">
        <v>0</v>
      </c>
      <c r="J97" s="257"/>
      <c r="K97" s="257"/>
      <c r="L97" s="3574"/>
      <c r="M97" s="278" t="e">
        <f t="shared" si="20"/>
        <v>#DIV/0!</v>
      </c>
      <c r="N97" s="278" t="e">
        <f t="shared" si="20"/>
        <v>#DIV/0!</v>
      </c>
      <c r="O97" s="214">
        <f t="shared" si="21"/>
        <v>0</v>
      </c>
      <c r="P97" s="214">
        <f t="shared" si="22"/>
        <v>0</v>
      </c>
      <c r="Q97" s="214">
        <f>IF(K97=0, 0, (HLOOKUP(K97,'[1]E-CESTDWO'!$A$5:$O$35,J97+1,FALSE)*R47))</f>
        <v>0</v>
      </c>
      <c r="R97" s="214">
        <f>IF(K97=0, 0, (HLOOKUP(K97,'[1]E-CESTD'!$A$5:$O$35,J97+1,FALSE)*R47))</f>
        <v>0</v>
      </c>
      <c r="S97" s="279">
        <v>1.081</v>
      </c>
      <c r="T97" s="280">
        <f t="shared" si="14"/>
        <v>0</v>
      </c>
      <c r="U97" s="280">
        <f t="shared" si="15"/>
        <v>0</v>
      </c>
      <c r="V97" s="280">
        <f t="shared" si="16"/>
        <v>0</v>
      </c>
    </row>
    <row r="98" spans="2:22">
      <c r="B98" s="282"/>
      <c r="C98" s="282" t="s">
        <v>220</v>
      </c>
      <c r="D98" s="285">
        <v>0</v>
      </c>
      <c r="E98" s="282" t="s">
        <v>181</v>
      </c>
      <c r="F98" s="282" t="s">
        <v>186</v>
      </c>
      <c r="G98" s="283"/>
      <c r="H98" s="283"/>
      <c r="I98" s="311">
        <v>0</v>
      </c>
      <c r="J98" s="257"/>
      <c r="K98" s="257"/>
      <c r="L98" s="3574"/>
      <c r="M98" s="278" t="e">
        <f t="shared" si="20"/>
        <v>#DIV/0!</v>
      </c>
      <c r="N98" s="278" t="e">
        <f t="shared" si="20"/>
        <v>#DIV/0!</v>
      </c>
      <c r="O98" s="214">
        <f t="shared" si="21"/>
        <v>0</v>
      </c>
      <c r="P98" s="214">
        <f t="shared" si="22"/>
        <v>0</v>
      </c>
      <c r="Q98" s="214">
        <f>IF(K98=0, 0, (HLOOKUP(K98,'[1]E-CESTDWO'!$A$5:$O$35,J98+1,FALSE)*R48))</f>
        <v>0</v>
      </c>
      <c r="R98" s="214">
        <f>IF(K98=0, 0, (HLOOKUP(K98,'[1]E-CESTD'!$A$5:$O$35,J98+1,FALSE)*R48))</f>
        <v>0</v>
      </c>
      <c r="S98" s="279">
        <v>1.081</v>
      </c>
      <c r="T98" s="280">
        <f t="shared" si="14"/>
        <v>0</v>
      </c>
      <c r="U98" s="280">
        <f t="shared" si="15"/>
        <v>0</v>
      </c>
      <c r="V98" s="280">
        <f t="shared" si="16"/>
        <v>0</v>
      </c>
    </row>
    <row r="99" spans="2:22">
      <c r="B99" s="282"/>
      <c r="C99" s="282" t="s">
        <v>221</v>
      </c>
      <c r="D99" s="285">
        <v>0</v>
      </c>
      <c r="E99" s="282" t="s">
        <v>181</v>
      </c>
      <c r="F99" s="282" t="s">
        <v>186</v>
      </c>
      <c r="G99" s="283"/>
      <c r="H99" s="283"/>
      <c r="I99" s="311">
        <v>0</v>
      </c>
      <c r="J99" s="257"/>
      <c r="K99" s="257"/>
      <c r="L99" s="3574"/>
      <c r="M99" s="278" t="e">
        <f t="shared" si="20"/>
        <v>#DIV/0!</v>
      </c>
      <c r="N99" s="278" t="e">
        <f t="shared" si="20"/>
        <v>#DIV/0!</v>
      </c>
      <c r="O99" s="214">
        <f t="shared" si="21"/>
        <v>0</v>
      </c>
      <c r="P99" s="214">
        <f t="shared" si="22"/>
        <v>0</v>
      </c>
      <c r="Q99" s="214">
        <f>IF(K99=0, 0, (HLOOKUP(K99,'[1]E-CESTDWO'!$A$5:$O$35,J99+1,FALSE)*R49))</f>
        <v>0</v>
      </c>
      <c r="R99" s="214">
        <f>IF(K99=0, 0, (HLOOKUP(K99,'[1]E-CESTD'!$A$5:$O$35,J99+1,FALSE)*R49))</f>
        <v>0</v>
      </c>
      <c r="S99" s="279">
        <v>1.081</v>
      </c>
      <c r="T99" s="280">
        <f t="shared" si="14"/>
        <v>0</v>
      </c>
      <c r="U99" s="280">
        <f t="shared" si="15"/>
        <v>0</v>
      </c>
      <c r="V99" s="280">
        <f t="shared" si="16"/>
        <v>0</v>
      </c>
    </row>
    <row r="100" spans="2:22">
      <c r="B100" s="282"/>
      <c r="C100" s="282" t="s">
        <v>222</v>
      </c>
      <c r="D100" s="285">
        <v>0</v>
      </c>
      <c r="E100" s="282" t="s">
        <v>181</v>
      </c>
      <c r="F100" s="282" t="s">
        <v>186</v>
      </c>
      <c r="G100" s="283"/>
      <c r="H100" s="283"/>
      <c r="I100" s="311">
        <v>0</v>
      </c>
      <c r="J100" s="257"/>
      <c r="K100" s="257"/>
      <c r="L100" s="3574"/>
      <c r="M100" s="278" t="e">
        <f t="shared" si="20"/>
        <v>#DIV/0!</v>
      </c>
      <c r="N100" s="278" t="e">
        <f t="shared" si="20"/>
        <v>#DIV/0!</v>
      </c>
      <c r="O100" s="214">
        <f t="shared" si="21"/>
        <v>0</v>
      </c>
      <c r="P100" s="214">
        <f t="shared" si="22"/>
        <v>0</v>
      </c>
      <c r="Q100" s="214">
        <f>IF(K100=0, 0, (HLOOKUP(K100,'[1]E-CESTDWO'!$A$5:$O$35,J100+1,FALSE)*R50))</f>
        <v>0</v>
      </c>
      <c r="R100" s="214">
        <f>IF(K100=0, 0, (HLOOKUP(K100,'[1]E-CESTD'!$A$5:$O$35,J100+1,FALSE)*R50))</f>
        <v>0</v>
      </c>
      <c r="S100" s="279">
        <v>1.081</v>
      </c>
      <c r="T100" s="280">
        <f t="shared" si="14"/>
        <v>0</v>
      </c>
      <c r="U100" s="280">
        <f t="shared" si="15"/>
        <v>0</v>
      </c>
      <c r="V100" s="280">
        <f t="shared" si="16"/>
        <v>0</v>
      </c>
    </row>
    <row r="101" spans="2:22">
      <c r="B101" s="282"/>
      <c r="C101" s="282" t="s">
        <v>223</v>
      </c>
      <c r="D101" s="285">
        <v>0</v>
      </c>
      <c r="E101" s="282" t="s">
        <v>181</v>
      </c>
      <c r="F101" s="282" t="s">
        <v>186</v>
      </c>
      <c r="G101" s="283"/>
      <c r="H101" s="283"/>
      <c r="I101" s="311">
        <v>0</v>
      </c>
      <c r="J101" s="257"/>
      <c r="K101" s="257"/>
      <c r="L101" s="3574"/>
      <c r="M101" s="278" t="e">
        <f t="shared" si="20"/>
        <v>#DIV/0!</v>
      </c>
      <c r="N101" s="278" t="e">
        <f t="shared" si="20"/>
        <v>#DIV/0!</v>
      </c>
      <c r="O101" s="214">
        <f t="shared" si="21"/>
        <v>0</v>
      </c>
      <c r="P101" s="214">
        <f t="shared" si="22"/>
        <v>0</v>
      </c>
      <c r="Q101" s="214">
        <f>IF(K101=0, 0, (HLOOKUP(K101,'[1]E-CESTDWO'!$A$5:$O$35,J101+1,FALSE)*R51))</f>
        <v>0</v>
      </c>
      <c r="R101" s="214">
        <f>IF(K101=0, 0, (HLOOKUP(K101,'[1]E-CESTD'!$A$5:$O$35,J101+1,FALSE)*R51))</f>
        <v>0</v>
      </c>
      <c r="S101" s="279">
        <v>1.081</v>
      </c>
      <c r="T101" s="280">
        <f t="shared" si="14"/>
        <v>0</v>
      </c>
      <c r="U101" s="280">
        <f t="shared" si="15"/>
        <v>0</v>
      </c>
      <c r="V101" s="280">
        <f t="shared" si="16"/>
        <v>0</v>
      </c>
    </row>
    <row r="102" spans="2:22">
      <c r="B102" s="282"/>
      <c r="C102" s="282" t="s">
        <v>224</v>
      </c>
      <c r="D102" s="285">
        <v>0</v>
      </c>
      <c r="E102" s="282" t="s">
        <v>181</v>
      </c>
      <c r="F102" s="282" t="s">
        <v>186</v>
      </c>
      <c r="G102" s="283"/>
      <c r="H102" s="283"/>
      <c r="I102" s="311">
        <v>0</v>
      </c>
      <c r="J102" s="257"/>
      <c r="K102" s="257"/>
      <c r="L102" s="3574"/>
      <c r="M102" s="278" t="e">
        <f t="shared" si="20"/>
        <v>#DIV/0!</v>
      </c>
      <c r="N102" s="278" t="e">
        <f t="shared" si="20"/>
        <v>#DIV/0!</v>
      </c>
      <c r="O102" s="214">
        <f t="shared" si="21"/>
        <v>0</v>
      </c>
      <c r="P102" s="214">
        <f t="shared" si="22"/>
        <v>0</v>
      </c>
      <c r="Q102" s="214">
        <f>IF(K102=0, 0, (HLOOKUP(K102,'[1]E-CESTDWO'!$A$5:$O$35,J102+1,FALSE)*R52))</f>
        <v>0</v>
      </c>
      <c r="R102" s="214">
        <f>IF(K102=0, 0, (HLOOKUP(K102,'[1]E-CESTD'!$A$5:$O$35,J102+1,FALSE)*R52))</f>
        <v>0</v>
      </c>
      <c r="S102" s="279">
        <v>1.081</v>
      </c>
      <c r="T102" s="280">
        <f t="shared" si="14"/>
        <v>0</v>
      </c>
      <c r="U102" s="280">
        <f t="shared" si="15"/>
        <v>0</v>
      </c>
      <c r="V102" s="280">
        <f t="shared" si="16"/>
        <v>0</v>
      </c>
    </row>
    <row r="103" spans="2:22">
      <c r="B103" s="282"/>
      <c r="C103" s="282" t="s">
        <v>225</v>
      </c>
      <c r="D103" s="285">
        <v>0</v>
      </c>
      <c r="E103" s="282" t="s">
        <v>181</v>
      </c>
      <c r="F103" s="282" t="s">
        <v>186</v>
      </c>
      <c r="G103" s="283"/>
      <c r="H103" s="283"/>
      <c r="I103" s="311">
        <v>0</v>
      </c>
      <c r="J103" s="257"/>
      <c r="K103" s="257"/>
      <c r="L103" s="3574"/>
      <c r="M103" s="278" t="e">
        <f t="shared" si="20"/>
        <v>#DIV/0!</v>
      </c>
      <c r="N103" s="278" t="e">
        <f t="shared" si="20"/>
        <v>#DIV/0!</v>
      </c>
      <c r="O103" s="214">
        <f t="shared" si="21"/>
        <v>0</v>
      </c>
      <c r="P103" s="214">
        <f t="shared" si="22"/>
        <v>0</v>
      </c>
      <c r="Q103" s="214">
        <f>IF(K103=0, 0, (HLOOKUP(K103,'[1]E-CESTDWO'!$A$5:$O$35,J103+1,FALSE)*R53))</f>
        <v>0</v>
      </c>
      <c r="R103" s="214">
        <f>IF(K103=0, 0, (HLOOKUP(K103,'[1]E-CESTD'!$A$5:$O$35,J103+1,FALSE)*R53))</f>
        <v>0</v>
      </c>
      <c r="S103" s="279">
        <v>1.081</v>
      </c>
      <c r="T103" s="280">
        <f t="shared" si="14"/>
        <v>0</v>
      </c>
      <c r="U103" s="280">
        <f t="shared" si="15"/>
        <v>0</v>
      </c>
      <c r="V103" s="280">
        <f t="shared" si="16"/>
        <v>0</v>
      </c>
    </row>
    <row r="104" spans="2:22" ht="13.5" thickBot="1">
      <c r="B104" s="282"/>
      <c r="C104" s="282" t="s">
        <v>226</v>
      </c>
      <c r="D104" s="285">
        <v>0</v>
      </c>
      <c r="E104" s="282" t="s">
        <v>181</v>
      </c>
      <c r="F104" s="282" t="s">
        <v>186</v>
      </c>
      <c r="G104" s="283"/>
      <c r="H104" s="283"/>
      <c r="I104" s="311">
        <v>0</v>
      </c>
      <c r="J104" s="257"/>
      <c r="K104" s="257"/>
      <c r="L104" s="3574"/>
      <c r="M104" s="278" t="e">
        <f t="shared" si="20"/>
        <v>#DIV/0!</v>
      </c>
      <c r="N104" s="278" t="e">
        <f t="shared" si="20"/>
        <v>#DIV/0!</v>
      </c>
      <c r="O104" s="214">
        <f t="shared" si="21"/>
        <v>0</v>
      </c>
      <c r="P104" s="214">
        <f t="shared" si="22"/>
        <v>0</v>
      </c>
      <c r="Q104" s="214">
        <f>IF(K104=0, 0, (HLOOKUP(K104,'[1]E-CESTDWO'!$A$5:$O$35,J104+1,FALSE)*R54))</f>
        <v>0</v>
      </c>
      <c r="R104" s="214">
        <f>IF(K104=0, 0, (HLOOKUP(K104,'[1]E-CESTD'!$A$5:$O$35,J104+1,FALSE)*R54))</f>
        <v>0</v>
      </c>
      <c r="S104" s="279">
        <v>1.081</v>
      </c>
      <c r="T104" s="280">
        <f t="shared" si="14"/>
        <v>0</v>
      </c>
      <c r="U104" s="280">
        <f t="shared" si="15"/>
        <v>0</v>
      </c>
      <c r="V104" s="280">
        <f t="shared" si="16"/>
        <v>0</v>
      </c>
    </row>
    <row r="105" spans="2:22" ht="13.5" thickBot="1">
      <c r="G105" s="286">
        <f>SUMPRODUCT(G63:G104,O13:O54)</f>
        <v>481368.00000000006</v>
      </c>
      <c r="H105" s="287">
        <f>V105</f>
        <v>157947.44999999998</v>
      </c>
      <c r="I105" s="288">
        <f>SUM(I63:I104)</f>
        <v>1</v>
      </c>
      <c r="J105" s="289">
        <f>ROUND(SUMPRODUCT(J63:J104,R13:R54)/R55,0)</f>
        <v>10</v>
      </c>
      <c r="K105" s="264"/>
      <c r="L105" s="3580"/>
      <c r="M105" s="290">
        <f>Q105/O105</f>
        <v>6.976205685803694</v>
      </c>
      <c r="N105" s="291">
        <f>R105/P105</f>
        <v>3.9223340488275391</v>
      </c>
      <c r="O105" s="292">
        <f>SUM(O63:O104)</f>
        <v>312811.30989824235</v>
      </c>
      <c r="P105" s="292">
        <f>SUM(P63:P104)</f>
        <v>611997.75763182249</v>
      </c>
      <c r="Q105" s="292">
        <f>SUM(Q63:Q104)</f>
        <v>2182236.0386958197</v>
      </c>
      <c r="R105" s="292">
        <f>SUM(R63:R104)</f>
        <v>2400459.6425654013</v>
      </c>
      <c r="S105" s="293"/>
      <c r="T105" s="294">
        <f>SUM(T63:T104)</f>
        <v>0</v>
      </c>
      <c r="U105" s="294">
        <f>SUM(U63:U104)</f>
        <v>157947.44999999998</v>
      </c>
      <c r="V105" s="294">
        <f>SUM(V63:V104)</f>
        <v>157947.44999999998</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8" right="0.26" top="0.4" bottom="0.33" header="0.3" footer="0.3"/>
      <pageSetup paperSize="17" scale="52" orientation="landscape" r:id="rId1"/>
    </customSheetView>
    <customSheetView guid="{AF9F1D33-B8C2-423F-86A1-47612B8F532C}" fitToPage="1">
      <pane xSplit="1" ySplit="1" topLeftCell="I2" activePane="bottomRight" state="frozenSplit"/>
      <selection pane="bottomRight" activeCell="S63" sqref="S63"/>
      <pageMargins left="0.7" right="0.7" top="0.75" bottom="0.75" header="0.3" footer="0.3"/>
      <pageSetup paperSize="17" scale="52"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8" right="0.26" top="0.4" bottom="0.33" header="0.3" footer="0.3"/>
  <pageSetup paperSize="17" scale="52" orientation="landscape" r:id="rId2"/>
  <drawing r:id="rId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enableFormatConditionsCalculation="0">
    <tabColor theme="3" tint="0.59999389629810485"/>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28515625" style="3064" customWidth="1"/>
    <col min="2" max="2" width="18.140625" customWidth="1"/>
    <col min="3" max="3" width="38.28515625" customWidth="1"/>
    <col min="4" max="4" width="15.85546875" style="19" customWidth="1"/>
    <col min="5" max="5" width="15.85546875" customWidth="1"/>
    <col min="6" max="6" width="15.855468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9.7109375" bestFit="1" customWidth="1"/>
    <col min="17" max="17" width="21.42578125" bestFit="1" customWidth="1"/>
    <col min="18" max="18" width="23.28515625" bestFit="1" customWidth="1"/>
    <col min="19" max="19" width="15.42578125" bestFit="1" customWidth="1"/>
    <col min="20" max="20" width="20.42578125" bestFit="1" customWidth="1"/>
    <col min="21" max="21" width="23.42578125" bestFit="1" customWidth="1"/>
    <col min="22" max="22" width="18.425781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28515625" customWidth="1"/>
    <col min="261" max="261" width="15.28515625" bestFit="1" customWidth="1"/>
    <col min="262" max="262" width="15.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9.7109375" bestFit="1" customWidth="1"/>
    <col min="273" max="273" width="21.42578125" bestFit="1" customWidth="1"/>
    <col min="274" max="274" width="23.28515625" bestFit="1" customWidth="1"/>
    <col min="275" max="275" width="15.42578125" bestFit="1" customWidth="1"/>
    <col min="276" max="276" width="20.42578125" bestFit="1" customWidth="1"/>
    <col min="277" max="277" width="23.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28515625" customWidth="1"/>
    <col min="517" max="517" width="15.28515625" bestFit="1" customWidth="1"/>
    <col min="518" max="518" width="15.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9.7109375" bestFit="1" customWidth="1"/>
    <col min="529" max="529" width="21.42578125" bestFit="1" customWidth="1"/>
    <col min="530" max="530" width="23.28515625" bestFit="1" customWidth="1"/>
    <col min="531" max="531" width="15.42578125" bestFit="1" customWidth="1"/>
    <col min="532" max="532" width="20.42578125" bestFit="1" customWidth="1"/>
    <col min="533" max="533" width="23.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28515625" customWidth="1"/>
    <col min="773" max="773" width="15.28515625" bestFit="1" customWidth="1"/>
    <col min="774" max="774" width="15.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9.7109375" bestFit="1" customWidth="1"/>
    <col min="785" max="785" width="21.42578125" bestFit="1" customWidth="1"/>
    <col min="786" max="786" width="23.28515625" bestFit="1" customWidth="1"/>
    <col min="787" max="787" width="15.42578125" bestFit="1" customWidth="1"/>
    <col min="788" max="788" width="20.42578125" bestFit="1" customWidth="1"/>
    <col min="789" max="789" width="23.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28515625" customWidth="1"/>
    <col min="1029" max="1029" width="15.28515625" bestFit="1" customWidth="1"/>
    <col min="1030" max="1030" width="15.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9.7109375" bestFit="1" customWidth="1"/>
    <col min="1041" max="1041" width="21.42578125" bestFit="1" customWidth="1"/>
    <col min="1042" max="1042" width="23.28515625" bestFit="1" customWidth="1"/>
    <col min="1043" max="1043" width="15.42578125" bestFit="1" customWidth="1"/>
    <col min="1044" max="1044" width="20.42578125" bestFit="1" customWidth="1"/>
    <col min="1045" max="1045" width="23.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28515625" customWidth="1"/>
    <col min="1285" max="1285" width="15.28515625" bestFit="1" customWidth="1"/>
    <col min="1286" max="1286" width="15.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9.7109375" bestFit="1" customWidth="1"/>
    <col min="1297" max="1297" width="21.42578125" bestFit="1" customWidth="1"/>
    <col min="1298" max="1298" width="23.28515625" bestFit="1" customWidth="1"/>
    <col min="1299" max="1299" width="15.42578125" bestFit="1" customWidth="1"/>
    <col min="1300" max="1300" width="20.42578125" bestFit="1" customWidth="1"/>
    <col min="1301" max="1301" width="23.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28515625" customWidth="1"/>
    <col min="1541" max="1541" width="15.28515625" bestFit="1" customWidth="1"/>
    <col min="1542" max="1542" width="15.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9.7109375" bestFit="1" customWidth="1"/>
    <col min="1553" max="1553" width="21.42578125" bestFit="1" customWidth="1"/>
    <col min="1554" max="1554" width="23.28515625" bestFit="1" customWidth="1"/>
    <col min="1555" max="1555" width="15.42578125" bestFit="1" customWidth="1"/>
    <col min="1556" max="1556" width="20.42578125" bestFit="1" customWidth="1"/>
    <col min="1557" max="1557" width="23.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28515625" customWidth="1"/>
    <col min="1797" max="1797" width="15.28515625" bestFit="1" customWidth="1"/>
    <col min="1798" max="1798" width="15.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9.7109375" bestFit="1" customWidth="1"/>
    <col min="1809" max="1809" width="21.42578125" bestFit="1" customWidth="1"/>
    <col min="1810" max="1810" width="23.28515625" bestFit="1" customWidth="1"/>
    <col min="1811" max="1811" width="15.42578125" bestFit="1" customWidth="1"/>
    <col min="1812" max="1812" width="20.42578125" bestFit="1" customWidth="1"/>
    <col min="1813" max="1813" width="23.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28515625" customWidth="1"/>
    <col min="2053" max="2053" width="15.28515625" bestFit="1" customWidth="1"/>
    <col min="2054" max="2054" width="15.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9.7109375" bestFit="1" customWidth="1"/>
    <col min="2065" max="2065" width="21.42578125" bestFit="1" customWidth="1"/>
    <col min="2066" max="2066" width="23.28515625" bestFit="1" customWidth="1"/>
    <col min="2067" max="2067" width="15.42578125" bestFit="1" customWidth="1"/>
    <col min="2068" max="2068" width="20.42578125" bestFit="1" customWidth="1"/>
    <col min="2069" max="2069" width="23.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28515625" customWidth="1"/>
    <col min="2309" max="2309" width="15.28515625" bestFit="1" customWidth="1"/>
    <col min="2310" max="2310" width="15.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9.7109375" bestFit="1" customWidth="1"/>
    <col min="2321" max="2321" width="21.42578125" bestFit="1" customWidth="1"/>
    <col min="2322" max="2322" width="23.28515625" bestFit="1" customWidth="1"/>
    <col min="2323" max="2323" width="15.42578125" bestFit="1" customWidth="1"/>
    <col min="2324" max="2324" width="20.42578125" bestFit="1" customWidth="1"/>
    <col min="2325" max="2325" width="23.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28515625" customWidth="1"/>
    <col min="2565" max="2565" width="15.28515625" bestFit="1" customWidth="1"/>
    <col min="2566" max="2566" width="15.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9.7109375" bestFit="1" customWidth="1"/>
    <col min="2577" max="2577" width="21.42578125" bestFit="1" customWidth="1"/>
    <col min="2578" max="2578" width="23.28515625" bestFit="1" customWidth="1"/>
    <col min="2579" max="2579" width="15.42578125" bestFit="1" customWidth="1"/>
    <col min="2580" max="2580" width="20.42578125" bestFit="1" customWidth="1"/>
    <col min="2581" max="2581" width="23.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28515625" customWidth="1"/>
    <col min="2821" max="2821" width="15.28515625" bestFit="1" customWidth="1"/>
    <col min="2822" max="2822" width="15.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9.7109375" bestFit="1" customWidth="1"/>
    <col min="2833" max="2833" width="21.42578125" bestFit="1" customWidth="1"/>
    <col min="2834" max="2834" width="23.28515625" bestFit="1" customWidth="1"/>
    <col min="2835" max="2835" width="15.42578125" bestFit="1" customWidth="1"/>
    <col min="2836" max="2836" width="20.42578125" bestFit="1" customWidth="1"/>
    <col min="2837" max="2837" width="23.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28515625" customWidth="1"/>
    <col min="3077" max="3077" width="15.28515625" bestFit="1" customWidth="1"/>
    <col min="3078" max="3078" width="15.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9.7109375" bestFit="1" customWidth="1"/>
    <col min="3089" max="3089" width="21.42578125" bestFit="1" customWidth="1"/>
    <col min="3090" max="3090" width="23.28515625" bestFit="1" customWidth="1"/>
    <col min="3091" max="3091" width="15.42578125" bestFit="1" customWidth="1"/>
    <col min="3092" max="3092" width="20.42578125" bestFit="1" customWidth="1"/>
    <col min="3093" max="3093" width="23.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28515625" customWidth="1"/>
    <col min="3333" max="3333" width="15.28515625" bestFit="1" customWidth="1"/>
    <col min="3334" max="3334" width="15.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9.7109375" bestFit="1" customWidth="1"/>
    <col min="3345" max="3345" width="21.42578125" bestFit="1" customWidth="1"/>
    <col min="3346" max="3346" width="23.28515625" bestFit="1" customWidth="1"/>
    <col min="3347" max="3347" width="15.42578125" bestFit="1" customWidth="1"/>
    <col min="3348" max="3348" width="20.42578125" bestFit="1" customWidth="1"/>
    <col min="3349" max="3349" width="23.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28515625" customWidth="1"/>
    <col min="3589" max="3589" width="15.28515625" bestFit="1" customWidth="1"/>
    <col min="3590" max="3590" width="15.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9.7109375" bestFit="1" customWidth="1"/>
    <col min="3601" max="3601" width="21.42578125" bestFit="1" customWidth="1"/>
    <col min="3602" max="3602" width="23.28515625" bestFit="1" customWidth="1"/>
    <col min="3603" max="3603" width="15.42578125" bestFit="1" customWidth="1"/>
    <col min="3604" max="3604" width="20.42578125" bestFit="1" customWidth="1"/>
    <col min="3605" max="3605" width="23.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28515625" customWidth="1"/>
    <col min="3845" max="3845" width="15.28515625" bestFit="1" customWidth="1"/>
    <col min="3846" max="3846" width="15.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9.7109375" bestFit="1" customWidth="1"/>
    <col min="3857" max="3857" width="21.42578125" bestFit="1" customWidth="1"/>
    <col min="3858" max="3858" width="23.28515625" bestFit="1" customWidth="1"/>
    <col min="3859" max="3859" width="15.42578125" bestFit="1" customWidth="1"/>
    <col min="3860" max="3860" width="20.42578125" bestFit="1" customWidth="1"/>
    <col min="3861" max="3861" width="23.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28515625" customWidth="1"/>
    <col min="4101" max="4101" width="15.28515625" bestFit="1" customWidth="1"/>
    <col min="4102" max="4102" width="15.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9.7109375" bestFit="1" customWidth="1"/>
    <col min="4113" max="4113" width="21.42578125" bestFit="1" customWidth="1"/>
    <col min="4114" max="4114" width="23.28515625" bestFit="1" customWidth="1"/>
    <col min="4115" max="4115" width="15.42578125" bestFit="1" customWidth="1"/>
    <col min="4116" max="4116" width="20.42578125" bestFit="1" customWidth="1"/>
    <col min="4117" max="4117" width="23.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28515625" customWidth="1"/>
    <col min="4357" max="4357" width="15.28515625" bestFit="1" customWidth="1"/>
    <col min="4358" max="4358" width="15.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9.7109375" bestFit="1" customWidth="1"/>
    <col min="4369" max="4369" width="21.42578125" bestFit="1" customWidth="1"/>
    <col min="4370" max="4370" width="23.28515625" bestFit="1" customWidth="1"/>
    <col min="4371" max="4371" width="15.42578125" bestFit="1" customWidth="1"/>
    <col min="4372" max="4372" width="20.42578125" bestFit="1" customWidth="1"/>
    <col min="4373" max="4373" width="23.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28515625" customWidth="1"/>
    <col min="4613" max="4613" width="15.28515625" bestFit="1" customWidth="1"/>
    <col min="4614" max="4614" width="15.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9.7109375" bestFit="1" customWidth="1"/>
    <col min="4625" max="4625" width="21.42578125" bestFit="1" customWidth="1"/>
    <col min="4626" max="4626" width="23.28515625" bestFit="1" customWidth="1"/>
    <col min="4627" max="4627" width="15.42578125" bestFit="1" customWidth="1"/>
    <col min="4628" max="4628" width="20.42578125" bestFit="1" customWidth="1"/>
    <col min="4629" max="4629" width="23.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28515625" customWidth="1"/>
    <col min="4869" max="4869" width="15.28515625" bestFit="1" customWidth="1"/>
    <col min="4870" max="4870" width="15.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9.7109375" bestFit="1" customWidth="1"/>
    <col min="4881" max="4881" width="21.42578125" bestFit="1" customWidth="1"/>
    <col min="4882" max="4882" width="23.28515625" bestFit="1" customWidth="1"/>
    <col min="4883" max="4883" width="15.42578125" bestFit="1" customWidth="1"/>
    <col min="4884" max="4884" width="20.42578125" bestFit="1" customWidth="1"/>
    <col min="4885" max="4885" width="23.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28515625" customWidth="1"/>
    <col min="5125" max="5125" width="15.28515625" bestFit="1" customWidth="1"/>
    <col min="5126" max="5126" width="15.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9.7109375" bestFit="1" customWidth="1"/>
    <col min="5137" max="5137" width="21.42578125" bestFit="1" customWidth="1"/>
    <col min="5138" max="5138" width="23.28515625" bestFit="1" customWidth="1"/>
    <col min="5139" max="5139" width="15.42578125" bestFit="1" customWidth="1"/>
    <col min="5140" max="5140" width="20.42578125" bestFit="1" customWidth="1"/>
    <col min="5141" max="5141" width="23.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28515625" customWidth="1"/>
    <col min="5381" max="5381" width="15.28515625" bestFit="1" customWidth="1"/>
    <col min="5382" max="5382" width="15.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9.7109375" bestFit="1" customWidth="1"/>
    <col min="5393" max="5393" width="21.42578125" bestFit="1" customWidth="1"/>
    <col min="5394" max="5394" width="23.28515625" bestFit="1" customWidth="1"/>
    <col min="5395" max="5395" width="15.42578125" bestFit="1" customWidth="1"/>
    <col min="5396" max="5396" width="20.42578125" bestFit="1" customWidth="1"/>
    <col min="5397" max="5397" width="23.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28515625" customWidth="1"/>
    <col min="5637" max="5637" width="15.28515625" bestFit="1" customWidth="1"/>
    <col min="5638" max="5638" width="15.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9.7109375" bestFit="1" customWidth="1"/>
    <col min="5649" max="5649" width="21.42578125" bestFit="1" customWidth="1"/>
    <col min="5650" max="5650" width="23.28515625" bestFit="1" customWidth="1"/>
    <col min="5651" max="5651" width="15.42578125" bestFit="1" customWidth="1"/>
    <col min="5652" max="5652" width="20.42578125" bestFit="1" customWidth="1"/>
    <col min="5653" max="5653" width="23.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28515625" customWidth="1"/>
    <col min="5893" max="5893" width="15.28515625" bestFit="1" customWidth="1"/>
    <col min="5894" max="5894" width="15.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9.7109375" bestFit="1" customWidth="1"/>
    <col min="5905" max="5905" width="21.42578125" bestFit="1" customWidth="1"/>
    <col min="5906" max="5906" width="23.28515625" bestFit="1" customWidth="1"/>
    <col min="5907" max="5907" width="15.42578125" bestFit="1" customWidth="1"/>
    <col min="5908" max="5908" width="20.42578125" bestFit="1" customWidth="1"/>
    <col min="5909" max="5909" width="23.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28515625" customWidth="1"/>
    <col min="6149" max="6149" width="15.28515625" bestFit="1" customWidth="1"/>
    <col min="6150" max="6150" width="15.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9.7109375" bestFit="1" customWidth="1"/>
    <col min="6161" max="6161" width="21.42578125" bestFit="1" customWidth="1"/>
    <col min="6162" max="6162" width="23.28515625" bestFit="1" customWidth="1"/>
    <col min="6163" max="6163" width="15.42578125" bestFit="1" customWidth="1"/>
    <col min="6164" max="6164" width="20.42578125" bestFit="1" customWidth="1"/>
    <col min="6165" max="6165" width="23.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28515625" customWidth="1"/>
    <col min="6405" max="6405" width="15.28515625" bestFit="1" customWidth="1"/>
    <col min="6406" max="6406" width="15.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9.7109375" bestFit="1" customWidth="1"/>
    <col min="6417" max="6417" width="21.42578125" bestFit="1" customWidth="1"/>
    <col min="6418" max="6418" width="23.28515625" bestFit="1" customWidth="1"/>
    <col min="6419" max="6419" width="15.42578125" bestFit="1" customWidth="1"/>
    <col min="6420" max="6420" width="20.42578125" bestFit="1" customWidth="1"/>
    <col min="6421" max="6421" width="23.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28515625" customWidth="1"/>
    <col min="6661" max="6661" width="15.28515625" bestFit="1" customWidth="1"/>
    <col min="6662" max="6662" width="15.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9.7109375" bestFit="1" customWidth="1"/>
    <col min="6673" max="6673" width="21.42578125" bestFit="1" customWidth="1"/>
    <col min="6674" max="6674" width="23.28515625" bestFit="1" customWidth="1"/>
    <col min="6675" max="6675" width="15.42578125" bestFit="1" customWidth="1"/>
    <col min="6676" max="6676" width="20.42578125" bestFit="1" customWidth="1"/>
    <col min="6677" max="6677" width="23.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28515625" customWidth="1"/>
    <col min="6917" max="6917" width="15.28515625" bestFit="1" customWidth="1"/>
    <col min="6918" max="6918" width="15.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9.7109375" bestFit="1" customWidth="1"/>
    <col min="6929" max="6929" width="21.42578125" bestFit="1" customWidth="1"/>
    <col min="6930" max="6930" width="23.28515625" bestFit="1" customWidth="1"/>
    <col min="6931" max="6931" width="15.42578125" bestFit="1" customWidth="1"/>
    <col min="6932" max="6932" width="20.42578125" bestFit="1" customWidth="1"/>
    <col min="6933" max="6933" width="23.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28515625" customWidth="1"/>
    <col min="7173" max="7173" width="15.28515625" bestFit="1" customWidth="1"/>
    <col min="7174" max="7174" width="15.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9.7109375" bestFit="1" customWidth="1"/>
    <col min="7185" max="7185" width="21.42578125" bestFit="1" customWidth="1"/>
    <col min="7186" max="7186" width="23.28515625" bestFit="1" customWidth="1"/>
    <col min="7187" max="7187" width="15.42578125" bestFit="1" customWidth="1"/>
    <col min="7188" max="7188" width="20.42578125" bestFit="1" customWidth="1"/>
    <col min="7189" max="7189" width="23.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28515625" customWidth="1"/>
    <col min="7429" max="7429" width="15.28515625" bestFit="1" customWidth="1"/>
    <col min="7430" max="7430" width="15.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9.7109375" bestFit="1" customWidth="1"/>
    <col min="7441" max="7441" width="21.42578125" bestFit="1" customWidth="1"/>
    <col min="7442" max="7442" width="23.28515625" bestFit="1" customWidth="1"/>
    <col min="7443" max="7443" width="15.42578125" bestFit="1" customWidth="1"/>
    <col min="7444" max="7444" width="20.42578125" bestFit="1" customWidth="1"/>
    <col min="7445" max="7445" width="23.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28515625" customWidth="1"/>
    <col min="7685" max="7685" width="15.28515625" bestFit="1" customWidth="1"/>
    <col min="7686" max="7686" width="15.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9.7109375" bestFit="1" customWidth="1"/>
    <col min="7697" max="7697" width="21.42578125" bestFit="1" customWidth="1"/>
    <col min="7698" max="7698" width="23.28515625" bestFit="1" customWidth="1"/>
    <col min="7699" max="7699" width="15.42578125" bestFit="1" customWidth="1"/>
    <col min="7700" max="7700" width="20.42578125" bestFit="1" customWidth="1"/>
    <col min="7701" max="7701" width="23.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28515625" customWidth="1"/>
    <col min="7941" max="7941" width="15.28515625" bestFit="1" customWidth="1"/>
    <col min="7942" max="7942" width="15.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9.7109375" bestFit="1" customWidth="1"/>
    <col min="7953" max="7953" width="21.42578125" bestFit="1" customWidth="1"/>
    <col min="7954" max="7954" width="23.28515625" bestFit="1" customWidth="1"/>
    <col min="7955" max="7955" width="15.42578125" bestFit="1" customWidth="1"/>
    <col min="7956" max="7956" width="20.42578125" bestFit="1" customWidth="1"/>
    <col min="7957" max="7957" width="23.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28515625" customWidth="1"/>
    <col min="8197" max="8197" width="15.28515625" bestFit="1" customWidth="1"/>
    <col min="8198" max="8198" width="15.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9.7109375" bestFit="1" customWidth="1"/>
    <col min="8209" max="8209" width="21.42578125" bestFit="1" customWidth="1"/>
    <col min="8210" max="8210" width="23.28515625" bestFit="1" customWidth="1"/>
    <col min="8211" max="8211" width="15.42578125" bestFit="1" customWidth="1"/>
    <col min="8212" max="8212" width="20.42578125" bestFit="1" customWidth="1"/>
    <col min="8213" max="8213" width="23.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28515625" customWidth="1"/>
    <col min="8453" max="8453" width="15.28515625" bestFit="1" customWidth="1"/>
    <col min="8454" max="8454" width="15.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9.7109375" bestFit="1" customWidth="1"/>
    <col min="8465" max="8465" width="21.42578125" bestFit="1" customWidth="1"/>
    <col min="8466" max="8466" width="23.28515625" bestFit="1" customWidth="1"/>
    <col min="8467" max="8467" width="15.42578125" bestFit="1" customWidth="1"/>
    <col min="8468" max="8468" width="20.42578125" bestFit="1" customWidth="1"/>
    <col min="8469" max="8469" width="23.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28515625" customWidth="1"/>
    <col min="8709" max="8709" width="15.28515625" bestFit="1" customWidth="1"/>
    <col min="8710" max="8710" width="15.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9.7109375" bestFit="1" customWidth="1"/>
    <col min="8721" max="8721" width="21.42578125" bestFit="1" customWidth="1"/>
    <col min="8722" max="8722" width="23.28515625" bestFit="1" customWidth="1"/>
    <col min="8723" max="8723" width="15.42578125" bestFit="1" customWidth="1"/>
    <col min="8724" max="8724" width="20.42578125" bestFit="1" customWidth="1"/>
    <col min="8725" max="8725" width="23.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28515625" customWidth="1"/>
    <col min="8965" max="8965" width="15.28515625" bestFit="1" customWidth="1"/>
    <col min="8966" max="8966" width="15.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9.7109375" bestFit="1" customWidth="1"/>
    <col min="8977" max="8977" width="21.42578125" bestFit="1" customWidth="1"/>
    <col min="8978" max="8978" width="23.28515625" bestFit="1" customWidth="1"/>
    <col min="8979" max="8979" width="15.42578125" bestFit="1" customWidth="1"/>
    <col min="8980" max="8980" width="20.42578125" bestFit="1" customWidth="1"/>
    <col min="8981" max="8981" width="23.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28515625" customWidth="1"/>
    <col min="9221" max="9221" width="15.28515625" bestFit="1" customWidth="1"/>
    <col min="9222" max="9222" width="15.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9.7109375" bestFit="1" customWidth="1"/>
    <col min="9233" max="9233" width="21.42578125" bestFit="1" customWidth="1"/>
    <col min="9234" max="9234" width="23.28515625" bestFit="1" customWidth="1"/>
    <col min="9235" max="9235" width="15.42578125" bestFit="1" customWidth="1"/>
    <col min="9236" max="9236" width="20.42578125" bestFit="1" customWidth="1"/>
    <col min="9237" max="9237" width="23.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28515625" customWidth="1"/>
    <col min="9477" max="9477" width="15.28515625" bestFit="1" customWidth="1"/>
    <col min="9478" max="9478" width="15.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9.7109375" bestFit="1" customWidth="1"/>
    <col min="9489" max="9489" width="21.42578125" bestFit="1" customWidth="1"/>
    <col min="9490" max="9490" width="23.28515625" bestFit="1" customWidth="1"/>
    <col min="9491" max="9491" width="15.42578125" bestFit="1" customWidth="1"/>
    <col min="9492" max="9492" width="20.42578125" bestFit="1" customWidth="1"/>
    <col min="9493" max="9493" width="23.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28515625" customWidth="1"/>
    <col min="9733" max="9733" width="15.28515625" bestFit="1" customWidth="1"/>
    <col min="9734" max="9734" width="15.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9.7109375" bestFit="1" customWidth="1"/>
    <col min="9745" max="9745" width="21.42578125" bestFit="1" customWidth="1"/>
    <col min="9746" max="9746" width="23.28515625" bestFit="1" customWidth="1"/>
    <col min="9747" max="9747" width="15.42578125" bestFit="1" customWidth="1"/>
    <col min="9748" max="9748" width="20.42578125" bestFit="1" customWidth="1"/>
    <col min="9749" max="9749" width="23.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28515625" customWidth="1"/>
    <col min="9989" max="9989" width="15.28515625" bestFit="1" customWidth="1"/>
    <col min="9990" max="9990" width="15.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9.7109375" bestFit="1" customWidth="1"/>
    <col min="10001" max="10001" width="21.42578125" bestFit="1" customWidth="1"/>
    <col min="10002" max="10002" width="23.28515625" bestFit="1" customWidth="1"/>
    <col min="10003" max="10003" width="15.42578125" bestFit="1" customWidth="1"/>
    <col min="10004" max="10004" width="20.42578125" bestFit="1" customWidth="1"/>
    <col min="10005" max="10005" width="23.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28515625" customWidth="1"/>
    <col min="10245" max="10245" width="15.28515625" bestFit="1" customWidth="1"/>
    <col min="10246" max="10246" width="15.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9.7109375" bestFit="1" customWidth="1"/>
    <col min="10257" max="10257" width="21.42578125" bestFit="1" customWidth="1"/>
    <col min="10258" max="10258" width="23.28515625" bestFit="1" customWidth="1"/>
    <col min="10259" max="10259" width="15.42578125" bestFit="1" customWidth="1"/>
    <col min="10260" max="10260" width="20.42578125" bestFit="1" customWidth="1"/>
    <col min="10261" max="10261" width="23.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28515625" customWidth="1"/>
    <col min="10501" max="10501" width="15.28515625" bestFit="1" customWidth="1"/>
    <col min="10502" max="10502" width="15.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9.7109375" bestFit="1" customWidth="1"/>
    <col min="10513" max="10513" width="21.42578125" bestFit="1" customWidth="1"/>
    <col min="10514" max="10514" width="23.28515625" bestFit="1" customWidth="1"/>
    <col min="10515" max="10515" width="15.42578125" bestFit="1" customWidth="1"/>
    <col min="10516" max="10516" width="20.42578125" bestFit="1" customWidth="1"/>
    <col min="10517" max="10517" width="23.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28515625" customWidth="1"/>
    <col min="10757" max="10757" width="15.28515625" bestFit="1" customWidth="1"/>
    <col min="10758" max="10758" width="15.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9.7109375" bestFit="1" customWidth="1"/>
    <col min="10769" max="10769" width="21.42578125" bestFit="1" customWidth="1"/>
    <col min="10770" max="10770" width="23.28515625" bestFit="1" customWidth="1"/>
    <col min="10771" max="10771" width="15.42578125" bestFit="1" customWidth="1"/>
    <col min="10772" max="10772" width="20.42578125" bestFit="1" customWidth="1"/>
    <col min="10773" max="10773" width="23.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28515625" customWidth="1"/>
    <col min="11013" max="11013" width="15.28515625" bestFit="1" customWidth="1"/>
    <col min="11014" max="11014" width="15.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9.7109375" bestFit="1" customWidth="1"/>
    <col min="11025" max="11025" width="21.42578125" bestFit="1" customWidth="1"/>
    <col min="11026" max="11026" width="23.28515625" bestFit="1" customWidth="1"/>
    <col min="11027" max="11027" width="15.42578125" bestFit="1" customWidth="1"/>
    <col min="11028" max="11028" width="20.42578125" bestFit="1" customWidth="1"/>
    <col min="11029" max="11029" width="23.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28515625" customWidth="1"/>
    <col min="11269" max="11269" width="15.28515625" bestFit="1" customWidth="1"/>
    <col min="11270" max="11270" width="15.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9.7109375" bestFit="1" customWidth="1"/>
    <col min="11281" max="11281" width="21.42578125" bestFit="1" customWidth="1"/>
    <col min="11282" max="11282" width="23.28515625" bestFit="1" customWidth="1"/>
    <col min="11283" max="11283" width="15.42578125" bestFit="1" customWidth="1"/>
    <col min="11284" max="11284" width="20.42578125" bestFit="1" customWidth="1"/>
    <col min="11285" max="11285" width="23.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28515625" customWidth="1"/>
    <col min="11525" max="11525" width="15.28515625" bestFit="1" customWidth="1"/>
    <col min="11526" max="11526" width="15.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9.7109375" bestFit="1" customWidth="1"/>
    <col min="11537" max="11537" width="21.42578125" bestFit="1" customWidth="1"/>
    <col min="11538" max="11538" width="23.28515625" bestFit="1" customWidth="1"/>
    <col min="11539" max="11539" width="15.42578125" bestFit="1" customWidth="1"/>
    <col min="11540" max="11540" width="20.42578125" bestFit="1" customWidth="1"/>
    <col min="11541" max="11541" width="23.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28515625" customWidth="1"/>
    <col min="11781" max="11781" width="15.28515625" bestFit="1" customWidth="1"/>
    <col min="11782" max="11782" width="15.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9.7109375" bestFit="1" customWidth="1"/>
    <col min="11793" max="11793" width="21.42578125" bestFit="1" customWidth="1"/>
    <col min="11794" max="11794" width="23.28515625" bestFit="1" customWidth="1"/>
    <col min="11795" max="11795" width="15.42578125" bestFit="1" customWidth="1"/>
    <col min="11796" max="11796" width="20.42578125" bestFit="1" customWidth="1"/>
    <col min="11797" max="11797" width="23.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28515625" customWidth="1"/>
    <col min="12037" max="12037" width="15.28515625" bestFit="1" customWidth="1"/>
    <col min="12038" max="12038" width="15.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9.7109375" bestFit="1" customWidth="1"/>
    <col min="12049" max="12049" width="21.42578125" bestFit="1" customWidth="1"/>
    <col min="12050" max="12050" width="23.28515625" bestFit="1" customWidth="1"/>
    <col min="12051" max="12051" width="15.42578125" bestFit="1" customWidth="1"/>
    <col min="12052" max="12052" width="20.42578125" bestFit="1" customWidth="1"/>
    <col min="12053" max="12053" width="23.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28515625" customWidth="1"/>
    <col min="12293" max="12293" width="15.28515625" bestFit="1" customWidth="1"/>
    <col min="12294" max="12294" width="15.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9.7109375" bestFit="1" customWidth="1"/>
    <col min="12305" max="12305" width="21.42578125" bestFit="1" customWidth="1"/>
    <col min="12306" max="12306" width="23.28515625" bestFit="1" customWidth="1"/>
    <col min="12307" max="12307" width="15.42578125" bestFit="1" customWidth="1"/>
    <col min="12308" max="12308" width="20.42578125" bestFit="1" customWidth="1"/>
    <col min="12309" max="12309" width="23.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28515625" customWidth="1"/>
    <col min="12549" max="12549" width="15.28515625" bestFit="1" customWidth="1"/>
    <col min="12550" max="12550" width="15.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9.7109375" bestFit="1" customWidth="1"/>
    <col min="12561" max="12561" width="21.42578125" bestFit="1" customWidth="1"/>
    <col min="12562" max="12562" width="23.28515625" bestFit="1" customWidth="1"/>
    <col min="12563" max="12563" width="15.42578125" bestFit="1" customWidth="1"/>
    <col min="12564" max="12564" width="20.42578125" bestFit="1" customWidth="1"/>
    <col min="12565" max="12565" width="23.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28515625" customWidth="1"/>
    <col min="12805" max="12805" width="15.28515625" bestFit="1" customWidth="1"/>
    <col min="12806" max="12806" width="15.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9.7109375" bestFit="1" customWidth="1"/>
    <col min="12817" max="12817" width="21.42578125" bestFit="1" customWidth="1"/>
    <col min="12818" max="12818" width="23.28515625" bestFit="1" customWidth="1"/>
    <col min="12819" max="12819" width="15.42578125" bestFit="1" customWidth="1"/>
    <col min="12820" max="12820" width="20.42578125" bestFit="1" customWidth="1"/>
    <col min="12821" max="12821" width="23.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28515625" customWidth="1"/>
    <col min="13061" max="13061" width="15.28515625" bestFit="1" customWidth="1"/>
    <col min="13062" max="13062" width="15.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9.7109375" bestFit="1" customWidth="1"/>
    <col min="13073" max="13073" width="21.42578125" bestFit="1" customWidth="1"/>
    <col min="13074" max="13074" width="23.28515625" bestFit="1" customWidth="1"/>
    <col min="13075" max="13075" width="15.42578125" bestFit="1" customWidth="1"/>
    <col min="13076" max="13076" width="20.42578125" bestFit="1" customWidth="1"/>
    <col min="13077" max="13077" width="23.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28515625" customWidth="1"/>
    <col min="13317" max="13317" width="15.28515625" bestFit="1" customWidth="1"/>
    <col min="13318" max="13318" width="15.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9.7109375" bestFit="1" customWidth="1"/>
    <col min="13329" max="13329" width="21.42578125" bestFit="1" customWidth="1"/>
    <col min="13330" max="13330" width="23.28515625" bestFit="1" customWidth="1"/>
    <col min="13331" max="13331" width="15.42578125" bestFit="1" customWidth="1"/>
    <col min="13332" max="13332" width="20.42578125" bestFit="1" customWidth="1"/>
    <col min="13333" max="13333" width="23.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28515625" customWidth="1"/>
    <col min="13573" max="13573" width="15.28515625" bestFit="1" customWidth="1"/>
    <col min="13574" max="13574" width="15.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9.7109375" bestFit="1" customWidth="1"/>
    <col min="13585" max="13585" width="21.42578125" bestFit="1" customWidth="1"/>
    <col min="13586" max="13586" width="23.28515625" bestFit="1" customWidth="1"/>
    <col min="13587" max="13587" width="15.42578125" bestFit="1" customWidth="1"/>
    <col min="13588" max="13588" width="20.42578125" bestFit="1" customWidth="1"/>
    <col min="13589" max="13589" width="23.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28515625" customWidth="1"/>
    <col min="13829" max="13829" width="15.28515625" bestFit="1" customWidth="1"/>
    <col min="13830" max="13830" width="15.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9.7109375" bestFit="1" customWidth="1"/>
    <col min="13841" max="13841" width="21.42578125" bestFit="1" customWidth="1"/>
    <col min="13842" max="13842" width="23.28515625" bestFit="1" customWidth="1"/>
    <col min="13843" max="13843" width="15.42578125" bestFit="1" customWidth="1"/>
    <col min="13844" max="13844" width="20.42578125" bestFit="1" customWidth="1"/>
    <col min="13845" max="13845" width="23.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28515625" customWidth="1"/>
    <col min="14085" max="14085" width="15.28515625" bestFit="1" customWidth="1"/>
    <col min="14086" max="14086" width="15.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9.7109375" bestFit="1" customWidth="1"/>
    <col min="14097" max="14097" width="21.42578125" bestFit="1" customWidth="1"/>
    <col min="14098" max="14098" width="23.28515625" bestFit="1" customWidth="1"/>
    <col min="14099" max="14099" width="15.42578125" bestFit="1" customWidth="1"/>
    <col min="14100" max="14100" width="20.42578125" bestFit="1" customWidth="1"/>
    <col min="14101" max="14101" width="23.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28515625" customWidth="1"/>
    <col min="14341" max="14341" width="15.28515625" bestFit="1" customWidth="1"/>
    <col min="14342" max="14342" width="15.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9.7109375" bestFit="1" customWidth="1"/>
    <col min="14353" max="14353" width="21.42578125" bestFit="1" customWidth="1"/>
    <col min="14354" max="14354" width="23.28515625" bestFit="1" customWidth="1"/>
    <col min="14355" max="14355" width="15.42578125" bestFit="1" customWidth="1"/>
    <col min="14356" max="14356" width="20.42578125" bestFit="1" customWidth="1"/>
    <col min="14357" max="14357" width="23.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28515625" customWidth="1"/>
    <col min="14597" max="14597" width="15.28515625" bestFit="1" customWidth="1"/>
    <col min="14598" max="14598" width="15.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9.7109375" bestFit="1" customWidth="1"/>
    <col min="14609" max="14609" width="21.42578125" bestFit="1" customWidth="1"/>
    <col min="14610" max="14610" width="23.28515625" bestFit="1" customWidth="1"/>
    <col min="14611" max="14611" width="15.42578125" bestFit="1" customWidth="1"/>
    <col min="14612" max="14612" width="20.42578125" bestFit="1" customWidth="1"/>
    <col min="14613" max="14613" width="23.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28515625" customWidth="1"/>
    <col min="14853" max="14853" width="15.28515625" bestFit="1" customWidth="1"/>
    <col min="14854" max="14854" width="15.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9.7109375" bestFit="1" customWidth="1"/>
    <col min="14865" max="14865" width="21.42578125" bestFit="1" customWidth="1"/>
    <col min="14866" max="14866" width="23.28515625" bestFit="1" customWidth="1"/>
    <col min="14867" max="14867" width="15.42578125" bestFit="1" customWidth="1"/>
    <col min="14868" max="14868" width="20.42578125" bestFit="1" customWidth="1"/>
    <col min="14869" max="14869" width="23.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28515625" customWidth="1"/>
    <col min="15109" max="15109" width="15.28515625" bestFit="1" customWidth="1"/>
    <col min="15110" max="15110" width="15.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9.7109375" bestFit="1" customWidth="1"/>
    <col min="15121" max="15121" width="21.42578125" bestFit="1" customWidth="1"/>
    <col min="15122" max="15122" width="23.28515625" bestFit="1" customWidth="1"/>
    <col min="15123" max="15123" width="15.42578125" bestFit="1" customWidth="1"/>
    <col min="15124" max="15124" width="20.42578125" bestFit="1" customWidth="1"/>
    <col min="15125" max="15125" width="23.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28515625" customWidth="1"/>
    <col min="15365" max="15365" width="15.28515625" bestFit="1" customWidth="1"/>
    <col min="15366" max="15366" width="15.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9.7109375" bestFit="1" customWidth="1"/>
    <col min="15377" max="15377" width="21.42578125" bestFit="1" customWidth="1"/>
    <col min="15378" max="15378" width="23.28515625" bestFit="1" customWidth="1"/>
    <col min="15379" max="15379" width="15.42578125" bestFit="1" customWidth="1"/>
    <col min="15380" max="15380" width="20.42578125" bestFit="1" customWidth="1"/>
    <col min="15381" max="15381" width="23.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28515625" customWidth="1"/>
    <col min="15621" max="15621" width="15.28515625" bestFit="1" customWidth="1"/>
    <col min="15622" max="15622" width="15.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9.7109375" bestFit="1" customWidth="1"/>
    <col min="15633" max="15633" width="21.42578125" bestFit="1" customWidth="1"/>
    <col min="15634" max="15634" width="23.28515625" bestFit="1" customWidth="1"/>
    <col min="15635" max="15635" width="15.42578125" bestFit="1" customWidth="1"/>
    <col min="15636" max="15636" width="20.42578125" bestFit="1" customWidth="1"/>
    <col min="15637" max="15637" width="23.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28515625" customWidth="1"/>
    <col min="15877" max="15877" width="15.28515625" bestFit="1" customWidth="1"/>
    <col min="15878" max="15878" width="15.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9.7109375" bestFit="1" customWidth="1"/>
    <col min="15889" max="15889" width="21.42578125" bestFit="1" customWidth="1"/>
    <col min="15890" max="15890" width="23.28515625" bestFit="1" customWidth="1"/>
    <col min="15891" max="15891" width="15.42578125" bestFit="1" customWidth="1"/>
    <col min="15892" max="15892" width="20.42578125" bestFit="1" customWidth="1"/>
    <col min="15893" max="15893" width="23.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28515625" customWidth="1"/>
    <col min="16133" max="16133" width="15.28515625" bestFit="1" customWidth="1"/>
    <col min="16134" max="16134" width="15.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9.7109375" bestFit="1" customWidth="1"/>
    <col min="16145" max="16145" width="21.42578125" bestFit="1" customWidth="1"/>
    <col min="16146" max="16146" width="23.28515625" bestFit="1" customWidth="1"/>
    <col min="16147" max="16147" width="15.42578125" bestFit="1" customWidth="1"/>
    <col min="16148" max="16148" width="20.42578125" bestFit="1" customWidth="1"/>
    <col min="16149" max="16149" width="23.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461"/>
      <c r="F1" s="198"/>
      <c r="G1" s="198">
        <f>C3</f>
        <v>18230440</v>
      </c>
      <c r="H1" s="198" t="str">
        <f>C4</f>
        <v>Lighting</v>
      </c>
      <c r="I1" s="198"/>
    </row>
    <row r="2" spans="2:22" ht="16.5" thickBot="1">
      <c r="B2" s="198" t="s">
        <v>109</v>
      </c>
      <c r="C2" s="199" t="s">
        <v>227</v>
      </c>
      <c r="G2" s="200" t="s">
        <v>8</v>
      </c>
      <c r="Q2" s="5133"/>
      <c r="R2" s="5133"/>
      <c r="S2" s="5124" t="s">
        <v>110</v>
      </c>
      <c r="T2" s="5125"/>
      <c r="U2" s="5126"/>
      <c r="V2" s="5118" t="s">
        <v>111</v>
      </c>
    </row>
    <row r="3" spans="2:22" ht="16.5" thickBot="1">
      <c r="B3" s="199" t="s">
        <v>6</v>
      </c>
      <c r="C3" s="199">
        <v>18230440</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413</v>
      </c>
      <c r="F4" s="198">
        <v>2011</v>
      </c>
      <c r="G4" s="206">
        <f>B13</f>
        <v>265200</v>
      </c>
      <c r="H4" s="207">
        <f>B18</f>
        <v>81900</v>
      </c>
      <c r="I4" s="207">
        <f>B23</f>
        <v>218796</v>
      </c>
      <c r="J4" s="207">
        <f>B28</f>
        <v>1476000</v>
      </c>
      <c r="K4" s="207">
        <f>B33</f>
        <v>30000</v>
      </c>
      <c r="L4" s="207">
        <f>B38</f>
        <v>609408.52500000014</v>
      </c>
      <c r="M4" s="207">
        <f>B43</f>
        <v>6000</v>
      </c>
      <c r="N4" s="207">
        <f>B48</f>
        <v>36000</v>
      </c>
      <c r="O4" s="207">
        <f>B53</f>
        <v>6026700</v>
      </c>
      <c r="P4" s="207">
        <f>B54</f>
        <v>0</v>
      </c>
      <c r="Q4" s="209">
        <f>B55</f>
        <v>8750004.5250000004</v>
      </c>
      <c r="R4" s="210">
        <f>T55</f>
        <v>0</v>
      </c>
      <c r="S4" s="316">
        <f>O4/Q4</f>
        <v>0.68876535809562911</v>
      </c>
      <c r="T4" s="316">
        <f>(J4+(H4*1.63))/Q4</f>
        <v>0.18394241916120607</v>
      </c>
      <c r="U4" s="316">
        <f>L4/Q4</f>
        <v>6.9646652554159694E-2</v>
      </c>
      <c r="V4" s="212" t="e">
        <f>Q4/R4</f>
        <v>#DIV/0!</v>
      </c>
    </row>
    <row r="5" spans="2:22" ht="16.5" thickBot="1">
      <c r="B5" s="198" t="s">
        <v>33</v>
      </c>
      <c r="F5" s="198">
        <v>2012</v>
      </c>
      <c r="G5" s="213">
        <f>D13</f>
        <v>272361.59999999998</v>
      </c>
      <c r="H5" s="214">
        <f>D18</f>
        <v>63000</v>
      </c>
      <c r="I5" s="214">
        <f>D23</f>
        <v>211277.80799999999</v>
      </c>
      <c r="J5" s="214">
        <f>D28</f>
        <v>1377500</v>
      </c>
      <c r="K5" s="214">
        <f>D33</f>
        <v>0</v>
      </c>
      <c r="L5" s="214">
        <f>D38</f>
        <v>862000</v>
      </c>
      <c r="M5" s="214">
        <f>D43</f>
        <v>7500</v>
      </c>
      <c r="N5" s="214">
        <f>D48</f>
        <v>36000</v>
      </c>
      <c r="O5" s="214">
        <f>D53</f>
        <v>6313748.75</v>
      </c>
      <c r="P5" s="214">
        <f>D54</f>
        <v>0</v>
      </c>
      <c r="Q5" s="215">
        <f>SUM(G5:P5)</f>
        <v>9143388.1579999998</v>
      </c>
      <c r="R5" s="216">
        <f>P55</f>
        <v>61065500</v>
      </c>
      <c r="S5" s="317">
        <f>O5/Q5</f>
        <v>0.69052616392270194</v>
      </c>
      <c r="T5" s="317">
        <f>(J5+(H5*1.63))/Q5</f>
        <v>0.1618863789245247</v>
      </c>
      <c r="U5" s="317">
        <f>L5/Q5</f>
        <v>9.4275774483640815E-2</v>
      </c>
      <c r="V5" s="218">
        <f>Q5/R5</f>
        <v>0.14973083259778433</v>
      </c>
    </row>
    <row r="6" spans="2:22" s="3532" customFormat="1" ht="16.5" thickBot="1">
      <c r="B6" s="3536"/>
      <c r="D6" s="3533"/>
      <c r="F6" s="4249" t="s">
        <v>1168</v>
      </c>
      <c r="G6" s="4241">
        <v>269082.05</v>
      </c>
      <c r="H6" s="4242">
        <v>64575</v>
      </c>
      <c r="I6" s="4242">
        <v>210203.94149999999</v>
      </c>
      <c r="J6" s="4242">
        <v>1100000</v>
      </c>
      <c r="K6" s="4242">
        <v>0</v>
      </c>
      <c r="L6" s="4242">
        <v>871600</v>
      </c>
      <c r="M6" s="4242">
        <v>7500</v>
      </c>
      <c r="N6" s="4242">
        <v>36000</v>
      </c>
      <c r="O6" s="4242">
        <v>9983500</v>
      </c>
      <c r="P6" s="4242">
        <v>0</v>
      </c>
      <c r="Q6" s="4243">
        <v>12542460.9915</v>
      </c>
      <c r="R6" s="219">
        <v>70814750</v>
      </c>
      <c r="S6" s="3637">
        <v>0.79597616502581092</v>
      </c>
      <c r="T6" s="3637">
        <v>9.6094159736019938E-2</v>
      </c>
      <c r="U6" s="3637">
        <v>6.9491944251664925E-2</v>
      </c>
      <c r="V6" s="3498"/>
    </row>
    <row r="7" spans="2:22" ht="16.5" thickBot="1">
      <c r="C7" s="198" t="s">
        <v>373</v>
      </c>
      <c r="F7" s="4191" t="s">
        <v>1169</v>
      </c>
      <c r="G7" s="4192">
        <f>E13</f>
        <v>323841.69999999995</v>
      </c>
      <c r="H7" s="4193">
        <f>E18</f>
        <v>64575</v>
      </c>
      <c r="I7" s="4193">
        <f>E23</f>
        <v>274610.60689999996</v>
      </c>
      <c r="J7" s="4193">
        <f>E28</f>
        <v>1750000</v>
      </c>
      <c r="K7" s="4193">
        <f>E33</f>
        <v>0</v>
      </c>
      <c r="L7" s="4193">
        <f>E38</f>
        <v>871600</v>
      </c>
      <c r="M7" s="4193">
        <f>E43</f>
        <v>7500</v>
      </c>
      <c r="N7" s="4193">
        <f>E48</f>
        <v>36000</v>
      </c>
      <c r="O7" s="4193">
        <f>E53</f>
        <v>9794910</v>
      </c>
      <c r="P7" s="4193">
        <f>E54</f>
        <v>0</v>
      </c>
      <c r="Q7" s="4244">
        <f>SUM(G7:P7)</f>
        <v>13123037.3069</v>
      </c>
      <c r="R7" s="4245">
        <f>Q55</f>
        <v>83225000</v>
      </c>
      <c r="S7" s="317">
        <f>O7/Q7</f>
        <v>0.7463904712706948</v>
      </c>
      <c r="T7" s="317">
        <f>(J7+(H7*1.63))/Q7</f>
        <v>0.14137407420342538</v>
      </c>
      <c r="U7" s="317">
        <f>L7/Q7</f>
        <v>6.641755103002861E-2</v>
      </c>
      <c r="V7" s="218">
        <f>Q7/R7</f>
        <v>0.15768143354641034</v>
      </c>
    </row>
    <row r="8" spans="2:22" ht="16.5" thickBot="1">
      <c r="C8" s="220" t="s">
        <v>374</v>
      </c>
      <c r="F8" s="221" t="s">
        <v>1170</v>
      </c>
      <c r="G8" s="222">
        <f>SUM(G5+G7)</f>
        <v>596203.29999999993</v>
      </c>
      <c r="H8" s="222">
        <f t="shared" ref="H8:R8" si="0">SUM(H5+H7)</f>
        <v>127575</v>
      </c>
      <c r="I8" s="222">
        <f t="shared" si="0"/>
        <v>485888.41489999997</v>
      </c>
      <c r="J8" s="222">
        <f t="shared" si="0"/>
        <v>3127500</v>
      </c>
      <c r="K8" s="222">
        <f t="shared" si="0"/>
        <v>0</v>
      </c>
      <c r="L8" s="222">
        <f t="shared" si="0"/>
        <v>1733600</v>
      </c>
      <c r="M8" s="222">
        <f t="shared" si="0"/>
        <v>15000</v>
      </c>
      <c r="N8" s="222">
        <f t="shared" si="0"/>
        <v>72000</v>
      </c>
      <c r="O8" s="222">
        <f t="shared" si="0"/>
        <v>16108658.75</v>
      </c>
      <c r="P8" s="222">
        <f t="shared" si="0"/>
        <v>0</v>
      </c>
      <c r="Q8" s="4248">
        <f t="shared" si="0"/>
        <v>22266425.464900002</v>
      </c>
      <c r="R8" s="4246">
        <f t="shared" si="0"/>
        <v>144290500</v>
      </c>
      <c r="S8" s="317">
        <f>O8/Q8</f>
        <v>0.72345059495037112</v>
      </c>
      <c r="T8" s="317">
        <f>(J8+(H8*1.63))/Q8</f>
        <v>0.14979715784457096</v>
      </c>
      <c r="U8" s="317">
        <f>L8/Q8</f>
        <v>7.7857130805875654E-2</v>
      </c>
      <c r="V8" s="218">
        <f>Q8/R8</f>
        <v>0.15431664222454008</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265200</v>
      </c>
      <c r="C13" s="236" t="s">
        <v>138</v>
      </c>
      <c r="D13" s="337">
        <f>SUM(D14:D17)</f>
        <v>272361.59999999998</v>
      </c>
      <c r="E13" s="4514">
        <f>SUM(E14:E17)</f>
        <v>323841.69999999995</v>
      </c>
      <c r="F13" s="339">
        <f>D13+E13</f>
        <v>596203.29999999993</v>
      </c>
      <c r="H13" s="132"/>
      <c r="I13" s="2311" t="s">
        <v>415</v>
      </c>
      <c r="J13" s="2312"/>
      <c r="K13" s="2313"/>
      <c r="L13" s="2315">
        <v>43</v>
      </c>
      <c r="M13" s="3630">
        <v>45000</v>
      </c>
      <c r="N13" s="3630">
        <v>35000</v>
      </c>
      <c r="O13" s="2307">
        <f>M13+N13</f>
        <v>80000</v>
      </c>
      <c r="P13" s="2314">
        <f>M13*$D63</f>
        <v>1935000</v>
      </c>
      <c r="Q13" s="3209">
        <f>N13*$D63</f>
        <v>1505000</v>
      </c>
      <c r="R13" s="246">
        <f>P13+Q13</f>
        <v>3440000</v>
      </c>
      <c r="T13" s="4891"/>
    </row>
    <row r="14" spans="2:22">
      <c r="B14" s="247"/>
      <c r="C14" s="248" t="s">
        <v>239</v>
      </c>
      <c r="D14" s="340">
        <v>33350.400000000001</v>
      </c>
      <c r="E14" s="341">
        <v>34350.9</v>
      </c>
      <c r="F14" s="340">
        <f>SUM(D14:E14)</f>
        <v>67701.3</v>
      </c>
      <c r="H14" s="132"/>
      <c r="I14" s="2308" t="s">
        <v>416</v>
      </c>
      <c r="J14" s="2309"/>
      <c r="K14" s="2310"/>
      <c r="L14" s="2315">
        <v>120</v>
      </c>
      <c r="M14" s="3630">
        <v>12000</v>
      </c>
      <c r="N14" s="3630">
        <v>5000</v>
      </c>
      <c r="O14" s="3208">
        <f t="shared" ref="O14:O54" si="1">M14+N14</f>
        <v>17000</v>
      </c>
      <c r="P14" s="3209">
        <f t="shared" ref="P14:P54" si="2">M14*$D64</f>
        <v>1440000</v>
      </c>
      <c r="Q14" s="3209">
        <f t="shared" ref="Q14:Q54" si="3">N14*$D64</f>
        <v>600000</v>
      </c>
      <c r="R14" s="246">
        <f t="shared" ref="R14:R54" si="4">P14+Q14</f>
        <v>2040000</v>
      </c>
      <c r="T14" s="4891"/>
    </row>
    <row r="15" spans="2:22">
      <c r="B15" s="254"/>
      <c r="C15" s="248" t="s">
        <v>376</v>
      </c>
      <c r="D15" s="340">
        <v>44467.199999999997</v>
      </c>
      <c r="E15" s="341">
        <v>34350.9</v>
      </c>
      <c r="F15" s="340">
        <f t="shared" ref="F15:F25" si="5">SUM(D15:E15)</f>
        <v>78818.100000000006</v>
      </c>
      <c r="H15" s="132"/>
      <c r="I15" s="2308" t="s">
        <v>417</v>
      </c>
      <c r="J15" s="2309"/>
      <c r="K15" s="2310"/>
      <c r="L15" s="2315">
        <v>16</v>
      </c>
      <c r="M15" s="3630">
        <v>1930875</v>
      </c>
      <c r="N15" s="3630">
        <v>2355000</v>
      </c>
      <c r="O15" s="3208">
        <f t="shared" si="1"/>
        <v>4285875</v>
      </c>
      <c r="P15" s="3209">
        <f t="shared" si="2"/>
        <v>30894000</v>
      </c>
      <c r="Q15" s="3209">
        <f t="shared" si="3"/>
        <v>37680000</v>
      </c>
      <c r="R15" s="246">
        <f t="shared" si="4"/>
        <v>68574000</v>
      </c>
      <c r="T15" s="4891"/>
    </row>
    <row r="16" spans="2:22">
      <c r="B16" s="254"/>
      <c r="C16" s="255" t="s">
        <v>377</v>
      </c>
      <c r="D16" s="340">
        <v>50025.599999999999</v>
      </c>
      <c r="E16" s="4513">
        <v>106286</v>
      </c>
      <c r="F16" s="340">
        <f t="shared" si="5"/>
        <v>156311.6</v>
      </c>
      <c r="H16" s="132"/>
      <c r="I16" s="2308" t="s">
        <v>418</v>
      </c>
      <c r="J16" s="2309"/>
      <c r="K16" s="2310"/>
      <c r="L16" s="2315">
        <v>19</v>
      </c>
      <c r="M16" s="3630">
        <v>1300000</v>
      </c>
      <c r="N16" s="3630">
        <v>1530000</v>
      </c>
      <c r="O16" s="3208">
        <f t="shared" si="1"/>
        <v>2830000</v>
      </c>
      <c r="P16" s="3209">
        <f t="shared" si="2"/>
        <v>24700000</v>
      </c>
      <c r="Q16" s="3209">
        <f t="shared" si="3"/>
        <v>29070000</v>
      </c>
      <c r="R16" s="246">
        <f t="shared" si="4"/>
        <v>53770000</v>
      </c>
      <c r="T16" s="4891"/>
    </row>
    <row r="17" spans="2:20" ht="13.5" thickBot="1">
      <c r="B17" s="254"/>
      <c r="C17" s="255" t="s">
        <v>378</v>
      </c>
      <c r="D17" s="340">
        <v>144518.39999999999</v>
      </c>
      <c r="E17" s="341">
        <v>148853.9</v>
      </c>
      <c r="F17" s="340">
        <f t="shared" si="5"/>
        <v>293372.3</v>
      </c>
      <c r="H17" s="132"/>
      <c r="I17" s="2308" t="s">
        <v>419</v>
      </c>
      <c r="J17" s="2309"/>
      <c r="K17" s="2310"/>
      <c r="L17" s="2315">
        <v>35</v>
      </c>
      <c r="M17" s="3630">
        <v>11000</v>
      </c>
      <c r="N17" s="3630">
        <v>0</v>
      </c>
      <c r="O17" s="3208">
        <f t="shared" si="1"/>
        <v>11000</v>
      </c>
      <c r="P17" s="3209">
        <f t="shared" si="2"/>
        <v>0</v>
      </c>
      <c r="Q17" s="3209">
        <f t="shared" si="3"/>
        <v>0</v>
      </c>
      <c r="R17" s="246">
        <f t="shared" si="4"/>
        <v>0</v>
      </c>
      <c r="T17" s="4891"/>
    </row>
    <row r="18" spans="2:20" ht="13.5" thickBot="1">
      <c r="B18" s="262">
        <v>81900</v>
      </c>
      <c r="C18" s="236" t="s">
        <v>143</v>
      </c>
      <c r="D18" s="337">
        <f>SUM(D19:D22)</f>
        <v>63000</v>
      </c>
      <c r="E18" s="338">
        <f>SUM(E19:E22)</f>
        <v>64575</v>
      </c>
      <c r="F18" s="339">
        <f>D18+E18</f>
        <v>127575</v>
      </c>
      <c r="H18" s="132"/>
      <c r="I18" s="2308" t="s">
        <v>420</v>
      </c>
      <c r="J18" s="2309"/>
      <c r="K18" s="2310"/>
      <c r="L18" s="2315">
        <v>60</v>
      </c>
      <c r="M18" s="3630">
        <v>2000</v>
      </c>
      <c r="N18" s="3630">
        <v>38000</v>
      </c>
      <c r="O18" s="3208">
        <f t="shared" si="1"/>
        <v>40000</v>
      </c>
      <c r="P18" s="3209">
        <f t="shared" si="2"/>
        <v>100000</v>
      </c>
      <c r="Q18" s="3209">
        <f t="shared" si="3"/>
        <v>1900000</v>
      </c>
      <c r="R18" s="246">
        <f t="shared" si="4"/>
        <v>2000000</v>
      </c>
      <c r="T18" s="4891"/>
    </row>
    <row r="19" spans="2:20">
      <c r="B19" s="247"/>
      <c r="C19" s="330" t="s">
        <v>379</v>
      </c>
      <c r="D19" s="334">
        <v>45000</v>
      </c>
      <c r="E19" s="342">
        <v>46125</v>
      </c>
      <c r="F19" s="340">
        <f t="shared" si="5"/>
        <v>91125</v>
      </c>
      <c r="H19" s="132"/>
      <c r="I19" s="2308" t="s">
        <v>421</v>
      </c>
      <c r="J19" s="2309"/>
      <c r="K19" s="2310"/>
      <c r="L19" s="2315">
        <v>20</v>
      </c>
      <c r="M19" s="3630">
        <v>55000</v>
      </c>
      <c r="N19" s="3630">
        <v>16800</v>
      </c>
      <c r="O19" s="3208">
        <f t="shared" si="1"/>
        <v>71800</v>
      </c>
      <c r="P19" s="3209">
        <f t="shared" si="2"/>
        <v>1100000</v>
      </c>
      <c r="Q19" s="3209">
        <f t="shared" si="3"/>
        <v>336000</v>
      </c>
      <c r="R19" s="246">
        <f t="shared" si="4"/>
        <v>1436000</v>
      </c>
      <c r="T19" s="4891"/>
    </row>
    <row r="20" spans="2:20">
      <c r="B20" s="254"/>
      <c r="C20" s="332" t="s">
        <v>380</v>
      </c>
      <c r="D20" s="334">
        <v>18000</v>
      </c>
      <c r="E20" s="342">
        <v>18450</v>
      </c>
      <c r="F20" s="340">
        <f t="shared" si="5"/>
        <v>36450</v>
      </c>
      <c r="H20" s="132"/>
      <c r="I20" s="2308" t="s">
        <v>422</v>
      </c>
      <c r="J20" s="2309"/>
      <c r="K20" s="2310"/>
      <c r="L20" s="2315">
        <v>33</v>
      </c>
      <c r="M20" s="3630">
        <v>25000</v>
      </c>
      <c r="N20" s="3630">
        <v>220000</v>
      </c>
      <c r="O20" s="3208">
        <f t="shared" si="1"/>
        <v>245000</v>
      </c>
      <c r="P20" s="3209">
        <f t="shared" si="2"/>
        <v>825000</v>
      </c>
      <c r="Q20" s="3209">
        <f t="shared" si="3"/>
        <v>7260000</v>
      </c>
      <c r="R20" s="246">
        <f t="shared" si="4"/>
        <v>8085000</v>
      </c>
      <c r="T20" s="4891"/>
    </row>
    <row r="21" spans="2:20">
      <c r="B21" s="254"/>
      <c r="C21" s="255" t="s">
        <v>141</v>
      </c>
      <c r="D21" s="343">
        <v>0</v>
      </c>
      <c r="E21" s="344"/>
      <c r="F21" s="340">
        <f t="shared" si="5"/>
        <v>0</v>
      </c>
      <c r="H21" s="132"/>
      <c r="I21" s="2308" t="s">
        <v>423</v>
      </c>
      <c r="J21" s="2309"/>
      <c r="K21" s="2310"/>
      <c r="L21" s="2315">
        <v>16</v>
      </c>
      <c r="M21" s="3631">
        <v>500000</v>
      </c>
      <c r="N21" s="3631">
        <v>0</v>
      </c>
      <c r="O21" s="3208">
        <f t="shared" si="1"/>
        <v>500000</v>
      </c>
      <c r="P21" s="3209">
        <f t="shared" si="2"/>
        <v>0</v>
      </c>
      <c r="Q21" s="3209">
        <f t="shared" si="3"/>
        <v>0</v>
      </c>
      <c r="R21" s="246">
        <f t="shared" si="4"/>
        <v>0</v>
      </c>
      <c r="T21" s="4891"/>
    </row>
    <row r="22" spans="2:20" ht="13.5" thickBot="1">
      <c r="B22" s="254"/>
      <c r="C22" s="255" t="s">
        <v>142</v>
      </c>
      <c r="D22" s="343">
        <v>0</v>
      </c>
      <c r="E22" s="344"/>
      <c r="F22" s="340">
        <f t="shared" si="5"/>
        <v>0</v>
      </c>
      <c r="H22" s="132"/>
      <c r="I22" s="2308" t="s">
        <v>424</v>
      </c>
      <c r="J22" s="2309"/>
      <c r="K22" s="2310"/>
      <c r="L22" s="2315">
        <v>19</v>
      </c>
      <c r="M22" s="3631">
        <v>150000</v>
      </c>
      <c r="N22" s="3631">
        <v>0</v>
      </c>
      <c r="O22" s="3208">
        <f t="shared" si="1"/>
        <v>150000</v>
      </c>
      <c r="P22" s="3209">
        <f t="shared" si="2"/>
        <v>0</v>
      </c>
      <c r="Q22" s="3209">
        <f t="shared" si="3"/>
        <v>0</v>
      </c>
      <c r="R22" s="246">
        <f t="shared" si="4"/>
        <v>0</v>
      </c>
      <c r="T22" s="4891"/>
    </row>
    <row r="23" spans="2:20" ht="13.5" thickBot="1">
      <c r="B23" s="262">
        <v>218796</v>
      </c>
      <c r="C23" s="236" t="s">
        <v>144</v>
      </c>
      <c r="D23" s="337">
        <f>SUM(D24:D27)</f>
        <v>211277.80799999999</v>
      </c>
      <c r="E23" s="338">
        <f>SUM(E24:E27)</f>
        <v>274610.60689999996</v>
      </c>
      <c r="F23" s="339">
        <f>D23+E23</f>
        <v>485888.41489999997</v>
      </c>
      <c r="G23" s="53"/>
      <c r="H23" s="132"/>
      <c r="I23" s="2308" t="s">
        <v>913</v>
      </c>
      <c r="J23" s="2309"/>
      <c r="K23" s="2310"/>
      <c r="L23" s="2315">
        <v>170</v>
      </c>
      <c r="M23" s="3630">
        <v>500</v>
      </c>
      <c r="N23" s="3630">
        <v>12000</v>
      </c>
      <c r="O23" s="3208">
        <f t="shared" si="1"/>
        <v>12500</v>
      </c>
      <c r="P23" s="3209">
        <f t="shared" si="2"/>
        <v>71500</v>
      </c>
      <c r="Q23" s="3209">
        <f t="shared" si="3"/>
        <v>1716000</v>
      </c>
      <c r="R23" s="246">
        <f t="shared" si="4"/>
        <v>1787500</v>
      </c>
      <c r="T23" s="4891"/>
    </row>
    <row r="24" spans="2:20">
      <c r="B24" s="247"/>
      <c r="C24" s="3566" t="s">
        <v>1434</v>
      </c>
      <c r="D24" s="340">
        <f>0.63*D13</f>
        <v>171587.80799999999</v>
      </c>
      <c r="E24" s="341">
        <f>0.707*E13</f>
        <v>228956.08189999996</v>
      </c>
      <c r="F24" s="340">
        <f t="shared" si="5"/>
        <v>400543.88989999995</v>
      </c>
      <c r="H24" s="132"/>
      <c r="I24" s="250" t="str">
        <f t="shared" ref="I24:I54" si="6">C74</f>
        <v>LED Reflector</v>
      </c>
      <c r="J24" s="251"/>
      <c r="K24" s="252"/>
      <c r="L24" s="242">
        <f t="shared" ref="L24:L54" si="7">D74</f>
        <v>34</v>
      </c>
      <c r="M24" s="3630">
        <v>150</v>
      </c>
      <c r="N24" s="3630">
        <v>79000</v>
      </c>
      <c r="O24" s="3208">
        <f t="shared" si="1"/>
        <v>79150</v>
      </c>
      <c r="P24" s="3209"/>
      <c r="Q24" s="3209">
        <f t="shared" si="3"/>
        <v>2686000</v>
      </c>
      <c r="R24" s="246">
        <f t="shared" si="4"/>
        <v>2686000</v>
      </c>
      <c r="T24" s="4891"/>
    </row>
    <row r="25" spans="2:20">
      <c r="B25" s="247"/>
      <c r="C25" s="3566" t="s">
        <v>1435</v>
      </c>
      <c r="D25" s="333">
        <f>0.63*D18</f>
        <v>39690</v>
      </c>
      <c r="E25" s="335">
        <f>0.707*E18</f>
        <v>45654.524999999994</v>
      </c>
      <c r="F25" s="340">
        <f t="shared" si="5"/>
        <v>85344.524999999994</v>
      </c>
      <c r="H25" s="132"/>
      <c r="I25" s="250" t="str">
        <f t="shared" si="6"/>
        <v>LED MR-16</v>
      </c>
      <c r="J25" s="251"/>
      <c r="K25" s="252"/>
      <c r="L25" s="242">
        <f t="shared" si="7"/>
        <v>22</v>
      </c>
      <c r="M25" s="257">
        <v>0</v>
      </c>
      <c r="N25" s="257">
        <v>10000</v>
      </c>
      <c r="O25" s="3208">
        <f t="shared" si="1"/>
        <v>10000</v>
      </c>
      <c r="P25" s="3209">
        <f t="shared" si="2"/>
        <v>0</v>
      </c>
      <c r="Q25" s="3209">
        <f t="shared" si="3"/>
        <v>220000</v>
      </c>
      <c r="R25" s="246">
        <f t="shared" si="4"/>
        <v>220000</v>
      </c>
      <c r="T25" s="4891"/>
    </row>
    <row r="26" spans="2:20">
      <c r="B26" s="254"/>
      <c r="C26" s="255"/>
      <c r="D26" s="343"/>
      <c r="E26" s="344"/>
      <c r="F26" s="343"/>
      <c r="H26" s="132"/>
      <c r="I26" s="250" t="str">
        <f t="shared" si="6"/>
        <v>Occupancy Sensors</v>
      </c>
      <c r="J26" s="251"/>
      <c r="K26" s="252"/>
      <c r="L26" s="242">
        <f t="shared" si="7"/>
        <v>84</v>
      </c>
      <c r="M26" s="257">
        <v>0</v>
      </c>
      <c r="N26" s="257">
        <v>3000</v>
      </c>
      <c r="O26" s="3208">
        <f t="shared" si="1"/>
        <v>3000</v>
      </c>
      <c r="P26" s="3209">
        <f t="shared" si="2"/>
        <v>0</v>
      </c>
      <c r="Q26" s="3209">
        <f t="shared" si="3"/>
        <v>252000</v>
      </c>
      <c r="R26" s="246">
        <f t="shared" si="4"/>
        <v>252000</v>
      </c>
      <c r="T26" s="4891"/>
    </row>
    <row r="27" spans="2:20" ht="13.5" thickBot="1">
      <c r="B27" s="254"/>
      <c r="C27" s="255"/>
      <c r="D27" s="343"/>
      <c r="E27" s="344"/>
      <c r="F27" s="343"/>
      <c r="H27" s="132"/>
      <c r="I27" s="250" t="str">
        <f t="shared" si="6"/>
        <v>Measure 15</v>
      </c>
      <c r="J27" s="251"/>
      <c r="K27" s="252"/>
      <c r="L27" s="242">
        <f t="shared" si="7"/>
        <v>0</v>
      </c>
      <c r="M27" s="257">
        <v>0</v>
      </c>
      <c r="N27" s="257">
        <v>0</v>
      </c>
      <c r="O27" s="3208">
        <f t="shared" si="1"/>
        <v>0</v>
      </c>
      <c r="P27" s="3209">
        <f t="shared" si="2"/>
        <v>0</v>
      </c>
      <c r="Q27" s="3209">
        <f t="shared" si="3"/>
        <v>0</v>
      </c>
      <c r="R27" s="246">
        <f t="shared" si="4"/>
        <v>0</v>
      </c>
      <c r="T27" s="4891"/>
    </row>
    <row r="28" spans="2:20" ht="13.5" thickBot="1">
      <c r="B28" s="262">
        <v>1476000</v>
      </c>
      <c r="C28" s="236" t="s">
        <v>145</v>
      </c>
      <c r="D28" s="337">
        <f>SUM(D29:D32)</f>
        <v>1377500</v>
      </c>
      <c r="E28" s="4514">
        <f>SUM(E29:E32)</f>
        <v>1750000</v>
      </c>
      <c r="F28" s="339">
        <f>D28+E28</f>
        <v>3127500</v>
      </c>
      <c r="H28" s="132"/>
      <c r="I28" s="250" t="str">
        <f t="shared" si="6"/>
        <v>Measure 16</v>
      </c>
      <c r="J28" s="251"/>
      <c r="K28" s="252"/>
      <c r="L28" s="242">
        <f t="shared" si="7"/>
        <v>0</v>
      </c>
      <c r="M28" s="257">
        <v>0</v>
      </c>
      <c r="N28" s="257">
        <v>0</v>
      </c>
      <c r="O28" s="3208">
        <f t="shared" si="1"/>
        <v>0</v>
      </c>
      <c r="P28" s="3209">
        <f t="shared" si="2"/>
        <v>0</v>
      </c>
      <c r="Q28" s="3209">
        <f t="shared" si="3"/>
        <v>0</v>
      </c>
      <c r="R28" s="246">
        <f t="shared" si="4"/>
        <v>0</v>
      </c>
      <c r="T28" s="4891"/>
    </row>
    <row r="29" spans="2:20">
      <c r="B29" s="247"/>
      <c r="C29" s="248" t="s">
        <v>414</v>
      </c>
      <c r="D29" s="340">
        <v>1377500</v>
      </c>
      <c r="E29" s="4513">
        <v>1750000</v>
      </c>
      <c r="F29" s="340">
        <f t="shared" ref="F29:F37" si="8">SUM(D29:E29)</f>
        <v>3127500</v>
      </c>
      <c r="H29" s="132"/>
      <c r="I29" s="250" t="str">
        <f t="shared" si="6"/>
        <v>Measure 17</v>
      </c>
      <c r="J29" s="251"/>
      <c r="K29" s="252"/>
      <c r="L29" s="242">
        <f t="shared" si="7"/>
        <v>0</v>
      </c>
      <c r="M29" s="257">
        <v>0</v>
      </c>
      <c r="N29" s="257">
        <v>0</v>
      </c>
      <c r="O29" s="3208">
        <f t="shared" si="1"/>
        <v>0</v>
      </c>
      <c r="P29" s="3209">
        <f t="shared" si="2"/>
        <v>0</v>
      </c>
      <c r="Q29" s="3209">
        <f t="shared" si="3"/>
        <v>0</v>
      </c>
      <c r="R29" s="246">
        <f t="shared" si="4"/>
        <v>0</v>
      </c>
      <c r="T29" s="4891"/>
    </row>
    <row r="30" spans="2:20">
      <c r="B30" s="254"/>
      <c r="C30" s="255" t="s">
        <v>140</v>
      </c>
      <c r="D30" s="333">
        <v>0</v>
      </c>
      <c r="E30" s="335"/>
      <c r="F30" s="340">
        <f t="shared" si="8"/>
        <v>0</v>
      </c>
      <c r="H30" s="132"/>
      <c r="I30" s="250" t="str">
        <f t="shared" si="6"/>
        <v>Measure 18</v>
      </c>
      <c r="J30" s="251"/>
      <c r="K30" s="252"/>
      <c r="L30" s="242">
        <f t="shared" si="7"/>
        <v>0</v>
      </c>
      <c r="M30" s="257">
        <v>0</v>
      </c>
      <c r="N30" s="257">
        <v>0</v>
      </c>
      <c r="O30" s="3208">
        <f t="shared" si="1"/>
        <v>0</v>
      </c>
      <c r="P30" s="3209">
        <f t="shared" si="2"/>
        <v>0</v>
      </c>
      <c r="Q30" s="3209">
        <f t="shared" si="3"/>
        <v>0</v>
      </c>
      <c r="R30" s="246">
        <f t="shared" si="4"/>
        <v>0</v>
      </c>
      <c r="T30" s="4891"/>
    </row>
    <row r="31" spans="2:20">
      <c r="B31" s="254"/>
      <c r="C31" s="255" t="s">
        <v>141</v>
      </c>
      <c r="D31" s="333">
        <v>0</v>
      </c>
      <c r="E31" s="335"/>
      <c r="F31" s="340">
        <f t="shared" si="8"/>
        <v>0</v>
      </c>
      <c r="H31" s="132"/>
      <c r="I31" s="250" t="str">
        <f t="shared" si="6"/>
        <v>Measure 19</v>
      </c>
      <c r="J31" s="251"/>
      <c r="K31" s="252"/>
      <c r="L31" s="242">
        <f t="shared" si="7"/>
        <v>0</v>
      </c>
      <c r="M31" s="257">
        <v>0</v>
      </c>
      <c r="N31" s="257">
        <v>0</v>
      </c>
      <c r="O31" s="3208">
        <f t="shared" si="1"/>
        <v>0</v>
      </c>
      <c r="P31" s="3209">
        <f t="shared" si="2"/>
        <v>0</v>
      </c>
      <c r="Q31" s="3209">
        <f t="shared" si="3"/>
        <v>0</v>
      </c>
      <c r="R31" s="246">
        <f t="shared" si="4"/>
        <v>0</v>
      </c>
      <c r="T31" s="4891"/>
    </row>
    <row r="32" spans="2:20" ht="13.5" thickBot="1">
      <c r="B32" s="254"/>
      <c r="C32" s="255" t="s">
        <v>142</v>
      </c>
      <c r="D32" s="333">
        <v>0</v>
      </c>
      <c r="E32" s="335"/>
      <c r="F32" s="340">
        <f t="shared" si="8"/>
        <v>0</v>
      </c>
      <c r="H32" s="132"/>
      <c r="I32" s="250" t="str">
        <f t="shared" si="6"/>
        <v>Measure 20</v>
      </c>
      <c r="J32" s="251"/>
      <c r="K32" s="252"/>
      <c r="L32" s="242">
        <f t="shared" si="7"/>
        <v>0</v>
      </c>
      <c r="M32" s="257">
        <v>0</v>
      </c>
      <c r="N32" s="257">
        <v>0</v>
      </c>
      <c r="O32" s="3208">
        <f t="shared" si="1"/>
        <v>0</v>
      </c>
      <c r="P32" s="3209">
        <f t="shared" si="2"/>
        <v>0</v>
      </c>
      <c r="Q32" s="3209">
        <f t="shared" si="3"/>
        <v>0</v>
      </c>
      <c r="R32" s="246">
        <f t="shared" si="4"/>
        <v>0</v>
      </c>
      <c r="T32" s="4891"/>
    </row>
    <row r="33" spans="2:20" ht="13.5" thickBot="1">
      <c r="B33" s="262">
        <v>30000</v>
      </c>
      <c r="C33" s="236" t="s">
        <v>146</v>
      </c>
      <c r="D33" s="337">
        <f>SUM(D34:D37)</f>
        <v>0</v>
      </c>
      <c r="E33" s="338">
        <f>SUM(E34:E37)</f>
        <v>0</v>
      </c>
      <c r="F33" s="339">
        <f>D33+E33</f>
        <v>0</v>
      </c>
      <c r="H33" s="132"/>
      <c r="I33" s="250" t="str">
        <f t="shared" si="6"/>
        <v>Measure 21</v>
      </c>
      <c r="J33" s="251"/>
      <c r="K33" s="252"/>
      <c r="L33" s="242">
        <f t="shared" si="7"/>
        <v>0</v>
      </c>
      <c r="M33" s="257">
        <v>0</v>
      </c>
      <c r="N33" s="257">
        <v>0</v>
      </c>
      <c r="O33" s="3208">
        <f t="shared" si="1"/>
        <v>0</v>
      </c>
      <c r="P33" s="3209">
        <f t="shared" si="2"/>
        <v>0</v>
      </c>
      <c r="Q33" s="3209">
        <f t="shared" si="3"/>
        <v>0</v>
      </c>
      <c r="R33" s="246">
        <f t="shared" si="4"/>
        <v>0</v>
      </c>
      <c r="T33" s="4891"/>
    </row>
    <row r="34" spans="2:20">
      <c r="B34" s="254"/>
      <c r="C34" s="255" t="s">
        <v>139</v>
      </c>
      <c r="D34" s="333">
        <v>0</v>
      </c>
      <c r="E34" s="335"/>
      <c r="F34" s="340">
        <f t="shared" si="8"/>
        <v>0</v>
      </c>
      <c r="H34" s="132"/>
      <c r="I34" s="250" t="str">
        <f t="shared" si="6"/>
        <v>Measure 22</v>
      </c>
      <c r="J34" s="251"/>
      <c r="K34" s="252"/>
      <c r="L34" s="242">
        <f t="shared" si="7"/>
        <v>0</v>
      </c>
      <c r="M34" s="257">
        <v>0</v>
      </c>
      <c r="N34" s="257">
        <v>0</v>
      </c>
      <c r="O34" s="3208">
        <f t="shared" si="1"/>
        <v>0</v>
      </c>
      <c r="P34" s="3209">
        <f t="shared" si="2"/>
        <v>0</v>
      </c>
      <c r="Q34" s="3209">
        <f t="shared" si="3"/>
        <v>0</v>
      </c>
      <c r="R34" s="246">
        <f t="shared" si="4"/>
        <v>0</v>
      </c>
      <c r="T34" s="4891"/>
    </row>
    <row r="35" spans="2:20">
      <c r="B35" s="254"/>
      <c r="C35" s="255" t="s">
        <v>140</v>
      </c>
      <c r="D35" s="333">
        <v>0</v>
      </c>
      <c r="E35" s="335"/>
      <c r="F35" s="340">
        <f t="shared" si="8"/>
        <v>0</v>
      </c>
      <c r="H35" s="132"/>
      <c r="I35" s="250" t="str">
        <f t="shared" si="6"/>
        <v>Measure 23</v>
      </c>
      <c r="J35" s="251"/>
      <c r="K35" s="252"/>
      <c r="L35" s="242">
        <f t="shared" si="7"/>
        <v>0</v>
      </c>
      <c r="M35" s="257">
        <v>0</v>
      </c>
      <c r="N35" s="257">
        <v>0</v>
      </c>
      <c r="O35" s="3208">
        <f t="shared" si="1"/>
        <v>0</v>
      </c>
      <c r="P35" s="3209">
        <f t="shared" si="2"/>
        <v>0</v>
      </c>
      <c r="Q35" s="3209">
        <f t="shared" si="3"/>
        <v>0</v>
      </c>
      <c r="R35" s="246">
        <f t="shared" si="4"/>
        <v>0</v>
      </c>
      <c r="T35" s="4891"/>
    </row>
    <row r="36" spans="2:20">
      <c r="B36" s="254"/>
      <c r="C36" s="255" t="s">
        <v>141</v>
      </c>
      <c r="D36" s="333">
        <v>0</v>
      </c>
      <c r="E36" s="335"/>
      <c r="F36" s="340">
        <f t="shared" si="8"/>
        <v>0</v>
      </c>
      <c r="H36" s="132"/>
      <c r="I36" s="250" t="str">
        <f t="shared" si="6"/>
        <v>Measure 24</v>
      </c>
      <c r="J36" s="251"/>
      <c r="K36" s="252"/>
      <c r="L36" s="242">
        <f t="shared" si="7"/>
        <v>0</v>
      </c>
      <c r="M36" s="257">
        <v>0</v>
      </c>
      <c r="N36" s="257">
        <v>0</v>
      </c>
      <c r="O36" s="3208">
        <f t="shared" si="1"/>
        <v>0</v>
      </c>
      <c r="P36" s="3209">
        <f t="shared" si="2"/>
        <v>0</v>
      </c>
      <c r="Q36" s="3209">
        <f t="shared" si="3"/>
        <v>0</v>
      </c>
      <c r="R36" s="246">
        <f t="shared" si="4"/>
        <v>0</v>
      </c>
      <c r="T36" s="4891"/>
    </row>
    <row r="37" spans="2:20" ht="13.5" thickBot="1">
      <c r="B37" s="254"/>
      <c r="C37" s="255" t="s">
        <v>142</v>
      </c>
      <c r="D37" s="333">
        <v>0</v>
      </c>
      <c r="E37" s="335"/>
      <c r="F37" s="340">
        <f t="shared" si="8"/>
        <v>0</v>
      </c>
      <c r="H37" s="132"/>
      <c r="I37" s="250" t="str">
        <f t="shared" si="6"/>
        <v>Measure 25</v>
      </c>
      <c r="J37" s="251"/>
      <c r="K37" s="252"/>
      <c r="L37" s="242">
        <f t="shared" si="7"/>
        <v>0</v>
      </c>
      <c r="M37" s="257">
        <v>0</v>
      </c>
      <c r="N37" s="257">
        <v>0</v>
      </c>
      <c r="O37" s="3208">
        <f t="shared" si="1"/>
        <v>0</v>
      </c>
      <c r="P37" s="3209">
        <f t="shared" si="2"/>
        <v>0</v>
      </c>
      <c r="Q37" s="3209">
        <f t="shared" si="3"/>
        <v>0</v>
      </c>
      <c r="R37" s="246">
        <f t="shared" si="4"/>
        <v>0</v>
      </c>
      <c r="T37" s="4891"/>
    </row>
    <row r="38" spans="2:20" ht="13.5" thickBot="1">
      <c r="B38" s="262">
        <v>609408.52500000014</v>
      </c>
      <c r="C38" s="236" t="s">
        <v>147</v>
      </c>
      <c r="D38" s="337">
        <f>SUM(D39:D42)</f>
        <v>862000</v>
      </c>
      <c r="E38" s="338">
        <f>SUM(E39:E42)</f>
        <v>871600</v>
      </c>
      <c r="F38" s="339">
        <f>D38+E38</f>
        <v>1733600</v>
      </c>
      <c r="H38" s="132"/>
      <c r="I38" s="250" t="str">
        <f t="shared" si="6"/>
        <v>Measure 26</v>
      </c>
      <c r="J38" s="251"/>
      <c r="K38" s="260"/>
      <c r="L38" s="242">
        <f t="shared" si="7"/>
        <v>0</v>
      </c>
      <c r="M38" s="257">
        <v>0</v>
      </c>
      <c r="N38" s="257">
        <v>0</v>
      </c>
      <c r="O38" s="3208">
        <f t="shared" si="1"/>
        <v>0</v>
      </c>
      <c r="P38" s="3209">
        <f t="shared" si="2"/>
        <v>0</v>
      </c>
      <c r="Q38" s="3209">
        <f t="shared" si="3"/>
        <v>0</v>
      </c>
      <c r="R38" s="246">
        <f t="shared" si="4"/>
        <v>0</v>
      </c>
      <c r="T38" s="4891"/>
    </row>
    <row r="39" spans="2:20">
      <c r="B39" s="254"/>
      <c r="C39" s="255" t="s">
        <v>381</v>
      </c>
      <c r="D39" s="3212">
        <v>312000</v>
      </c>
      <c r="E39" s="3211">
        <v>321600</v>
      </c>
      <c r="F39" s="340">
        <f t="shared" ref="F39:F52" si="9">SUM(D39:E39)</f>
        <v>633600</v>
      </c>
      <c r="H39" s="132"/>
      <c r="I39" s="250" t="str">
        <f t="shared" si="6"/>
        <v>Measure 27</v>
      </c>
      <c r="J39" s="251"/>
      <c r="K39" s="260"/>
      <c r="L39" s="242">
        <f t="shared" si="7"/>
        <v>0</v>
      </c>
      <c r="M39" s="257">
        <v>0</v>
      </c>
      <c r="N39" s="257">
        <v>0</v>
      </c>
      <c r="O39" s="3208">
        <f t="shared" si="1"/>
        <v>0</v>
      </c>
      <c r="P39" s="3209">
        <f t="shared" si="2"/>
        <v>0</v>
      </c>
      <c r="Q39" s="3209">
        <f t="shared" si="3"/>
        <v>0</v>
      </c>
      <c r="R39" s="246">
        <f t="shared" si="4"/>
        <v>0</v>
      </c>
      <c r="T39" s="4891"/>
    </row>
    <row r="40" spans="2:20">
      <c r="B40" s="254"/>
      <c r="C40" s="255" t="s">
        <v>382</v>
      </c>
      <c r="D40" s="3212">
        <v>550000</v>
      </c>
      <c r="E40" s="3212">
        <v>550000</v>
      </c>
      <c r="F40" s="340">
        <f t="shared" si="9"/>
        <v>1100000</v>
      </c>
      <c r="H40" s="132"/>
      <c r="I40" s="250" t="str">
        <f t="shared" si="6"/>
        <v>Measure 28</v>
      </c>
      <c r="J40" s="251"/>
      <c r="K40" s="260"/>
      <c r="L40" s="242">
        <f t="shared" si="7"/>
        <v>0</v>
      </c>
      <c r="M40" s="257">
        <v>0</v>
      </c>
      <c r="N40" s="257">
        <v>0</v>
      </c>
      <c r="O40" s="3208">
        <f t="shared" si="1"/>
        <v>0</v>
      </c>
      <c r="P40" s="3209">
        <f t="shared" si="2"/>
        <v>0</v>
      </c>
      <c r="Q40" s="3209">
        <f t="shared" si="3"/>
        <v>0</v>
      </c>
      <c r="R40" s="246">
        <f t="shared" si="4"/>
        <v>0</v>
      </c>
      <c r="T40" s="4891"/>
    </row>
    <row r="41" spans="2:20">
      <c r="B41" s="254"/>
      <c r="C41" s="255" t="s">
        <v>141</v>
      </c>
      <c r="D41" s="333">
        <v>0</v>
      </c>
      <c r="E41" s="335"/>
      <c r="F41" s="340">
        <f t="shared" si="9"/>
        <v>0</v>
      </c>
      <c r="H41" s="132"/>
      <c r="I41" s="250" t="str">
        <f t="shared" si="6"/>
        <v>Measure 29</v>
      </c>
      <c r="J41" s="251"/>
      <c r="K41" s="260"/>
      <c r="L41" s="242">
        <f t="shared" si="7"/>
        <v>0</v>
      </c>
      <c r="M41" s="257">
        <v>0</v>
      </c>
      <c r="N41" s="257">
        <v>0</v>
      </c>
      <c r="O41" s="3208">
        <f t="shared" si="1"/>
        <v>0</v>
      </c>
      <c r="P41" s="3209">
        <f t="shared" si="2"/>
        <v>0</v>
      </c>
      <c r="Q41" s="3209">
        <f t="shared" si="3"/>
        <v>0</v>
      </c>
      <c r="R41" s="246">
        <f t="shared" si="4"/>
        <v>0</v>
      </c>
      <c r="T41" s="4891"/>
    </row>
    <row r="42" spans="2:20" ht="13.5" thickBot="1">
      <c r="B42" s="254"/>
      <c r="C42" s="255" t="s">
        <v>142</v>
      </c>
      <c r="D42" s="333">
        <v>0</v>
      </c>
      <c r="E42" s="335"/>
      <c r="F42" s="340">
        <f t="shared" si="9"/>
        <v>0</v>
      </c>
      <c r="H42" s="132"/>
      <c r="I42" s="250" t="str">
        <f t="shared" si="6"/>
        <v>Measure 30</v>
      </c>
      <c r="J42" s="251"/>
      <c r="K42" s="260"/>
      <c r="L42" s="242">
        <f t="shared" si="7"/>
        <v>0</v>
      </c>
      <c r="M42" s="257">
        <v>0</v>
      </c>
      <c r="N42" s="257">
        <v>0</v>
      </c>
      <c r="O42" s="3208">
        <f t="shared" si="1"/>
        <v>0</v>
      </c>
      <c r="P42" s="3209">
        <f t="shared" si="2"/>
        <v>0</v>
      </c>
      <c r="Q42" s="3209">
        <f t="shared" si="3"/>
        <v>0</v>
      </c>
      <c r="R42" s="246">
        <f t="shared" si="4"/>
        <v>0</v>
      </c>
      <c r="T42" s="4891"/>
    </row>
    <row r="43" spans="2:20" ht="13.5" thickBot="1">
      <c r="B43" s="262">
        <v>6000</v>
      </c>
      <c r="C43" s="236" t="s">
        <v>148</v>
      </c>
      <c r="D43" s="337">
        <f>SUM(D44:D47)</f>
        <v>7500</v>
      </c>
      <c r="E43" s="338">
        <f>SUM(E44:E47)</f>
        <v>7500</v>
      </c>
      <c r="F43" s="339">
        <f>D43+E43</f>
        <v>15000</v>
      </c>
      <c r="H43" s="132"/>
      <c r="I43" s="250" t="str">
        <f t="shared" si="6"/>
        <v>Measure 31</v>
      </c>
      <c r="J43" s="251"/>
      <c r="K43" s="260"/>
      <c r="L43" s="242">
        <f t="shared" si="7"/>
        <v>0</v>
      </c>
      <c r="M43" s="257">
        <v>0</v>
      </c>
      <c r="N43" s="257">
        <v>0</v>
      </c>
      <c r="O43" s="3208">
        <f t="shared" si="1"/>
        <v>0</v>
      </c>
      <c r="P43" s="3209">
        <f t="shared" si="2"/>
        <v>0</v>
      </c>
      <c r="Q43" s="3209">
        <f t="shared" si="3"/>
        <v>0</v>
      </c>
      <c r="R43" s="246">
        <f t="shared" si="4"/>
        <v>0</v>
      </c>
      <c r="T43" s="4891"/>
    </row>
    <row r="44" spans="2:20">
      <c r="B44" s="254"/>
      <c r="C44" s="255" t="s">
        <v>139</v>
      </c>
      <c r="D44" s="333">
        <v>7500</v>
      </c>
      <c r="E44" s="335">
        <v>7500</v>
      </c>
      <c r="F44" s="340">
        <f t="shared" si="9"/>
        <v>15000</v>
      </c>
      <c r="H44" s="132"/>
      <c r="I44" s="250" t="str">
        <f t="shared" si="6"/>
        <v>Measure 32</v>
      </c>
      <c r="J44" s="251"/>
      <c r="K44" s="260"/>
      <c r="L44" s="242">
        <f t="shared" si="7"/>
        <v>0</v>
      </c>
      <c r="M44" s="257">
        <v>0</v>
      </c>
      <c r="N44" s="257">
        <v>0</v>
      </c>
      <c r="O44" s="3208">
        <f t="shared" si="1"/>
        <v>0</v>
      </c>
      <c r="P44" s="3209">
        <f t="shared" si="2"/>
        <v>0</v>
      </c>
      <c r="Q44" s="3209">
        <f t="shared" si="3"/>
        <v>0</v>
      </c>
      <c r="R44" s="246">
        <f t="shared" si="4"/>
        <v>0</v>
      </c>
      <c r="T44" s="4891"/>
    </row>
    <row r="45" spans="2:20">
      <c r="B45" s="254"/>
      <c r="C45" s="255" t="s">
        <v>140</v>
      </c>
      <c r="D45" s="333">
        <v>0</v>
      </c>
      <c r="E45" s="335"/>
      <c r="F45" s="340">
        <f t="shared" si="9"/>
        <v>0</v>
      </c>
      <c r="H45" s="132"/>
      <c r="I45" s="250" t="str">
        <f t="shared" si="6"/>
        <v>Measure 33</v>
      </c>
      <c r="J45" s="251"/>
      <c r="K45" s="260"/>
      <c r="L45" s="242">
        <f t="shared" si="7"/>
        <v>0</v>
      </c>
      <c r="M45" s="257">
        <v>0</v>
      </c>
      <c r="N45" s="257">
        <v>0</v>
      </c>
      <c r="O45" s="3208">
        <f t="shared" si="1"/>
        <v>0</v>
      </c>
      <c r="P45" s="3209">
        <f t="shared" si="2"/>
        <v>0</v>
      </c>
      <c r="Q45" s="3209">
        <f t="shared" si="3"/>
        <v>0</v>
      </c>
      <c r="R45" s="246">
        <f t="shared" si="4"/>
        <v>0</v>
      </c>
      <c r="T45" s="4891"/>
    </row>
    <row r="46" spans="2:20">
      <c r="B46" s="254"/>
      <c r="C46" s="255" t="s">
        <v>141</v>
      </c>
      <c r="D46" s="333">
        <v>0</v>
      </c>
      <c r="E46" s="335"/>
      <c r="F46" s="340">
        <f t="shared" si="9"/>
        <v>0</v>
      </c>
      <c r="H46" s="132"/>
      <c r="I46" s="250" t="str">
        <f t="shared" si="6"/>
        <v>Measure 34</v>
      </c>
      <c r="J46" s="251"/>
      <c r="K46" s="260"/>
      <c r="L46" s="242">
        <f t="shared" si="7"/>
        <v>0</v>
      </c>
      <c r="M46" s="257">
        <v>0</v>
      </c>
      <c r="N46" s="257">
        <v>0</v>
      </c>
      <c r="O46" s="3208">
        <f t="shared" si="1"/>
        <v>0</v>
      </c>
      <c r="P46" s="3209">
        <f t="shared" si="2"/>
        <v>0</v>
      </c>
      <c r="Q46" s="3209">
        <f t="shared" si="3"/>
        <v>0</v>
      </c>
      <c r="R46" s="246">
        <f t="shared" si="4"/>
        <v>0</v>
      </c>
      <c r="T46" s="4891"/>
    </row>
    <row r="47" spans="2:20" ht="13.5" thickBot="1">
      <c r="B47" s="254"/>
      <c r="C47" s="255" t="s">
        <v>142</v>
      </c>
      <c r="D47" s="333">
        <v>0</v>
      </c>
      <c r="E47" s="335"/>
      <c r="F47" s="340">
        <f t="shared" si="9"/>
        <v>0</v>
      </c>
      <c r="H47" s="132"/>
      <c r="I47" s="250" t="str">
        <f t="shared" si="6"/>
        <v>Measure 35</v>
      </c>
      <c r="J47" s="251"/>
      <c r="K47" s="260"/>
      <c r="L47" s="242">
        <f t="shared" si="7"/>
        <v>0</v>
      </c>
      <c r="M47" s="257">
        <v>0</v>
      </c>
      <c r="N47" s="257">
        <v>0</v>
      </c>
      <c r="O47" s="3208">
        <f t="shared" si="1"/>
        <v>0</v>
      </c>
      <c r="P47" s="3209">
        <f t="shared" si="2"/>
        <v>0</v>
      </c>
      <c r="Q47" s="3209">
        <f t="shared" si="3"/>
        <v>0</v>
      </c>
      <c r="R47" s="246">
        <f t="shared" si="4"/>
        <v>0</v>
      </c>
      <c r="T47" s="4891"/>
    </row>
    <row r="48" spans="2:20" ht="13.5" thickBot="1">
      <c r="B48" s="262">
        <v>36000</v>
      </c>
      <c r="C48" s="236" t="s">
        <v>149</v>
      </c>
      <c r="D48" s="337">
        <f>SUM(D49:D52)</f>
        <v>36000</v>
      </c>
      <c r="E48" s="338">
        <f>SUM(E49:E52)</f>
        <v>36000</v>
      </c>
      <c r="F48" s="339">
        <f>D48+E48</f>
        <v>72000</v>
      </c>
      <c r="H48" s="132"/>
      <c r="I48" s="250" t="str">
        <f t="shared" si="6"/>
        <v>Measure 36</v>
      </c>
      <c r="J48" s="251"/>
      <c r="K48" s="260"/>
      <c r="L48" s="242">
        <f t="shared" si="7"/>
        <v>0</v>
      </c>
      <c r="M48" s="257">
        <v>0</v>
      </c>
      <c r="N48" s="257">
        <v>0</v>
      </c>
      <c r="O48" s="3208">
        <f t="shared" si="1"/>
        <v>0</v>
      </c>
      <c r="P48" s="3209">
        <f t="shared" si="2"/>
        <v>0</v>
      </c>
      <c r="Q48" s="3209">
        <f t="shared" si="3"/>
        <v>0</v>
      </c>
      <c r="R48" s="246">
        <f t="shared" si="4"/>
        <v>0</v>
      </c>
      <c r="T48" s="4891"/>
    </row>
    <row r="49" spans="2:25">
      <c r="B49" s="254"/>
      <c r="C49" s="255" t="s">
        <v>139</v>
      </c>
      <c r="D49" s="333">
        <v>36000</v>
      </c>
      <c r="E49" s="335">
        <v>36000</v>
      </c>
      <c r="F49" s="340">
        <f t="shared" si="9"/>
        <v>72000</v>
      </c>
      <c r="H49" s="132"/>
      <c r="I49" s="250" t="str">
        <f t="shared" si="6"/>
        <v>Measure 37</v>
      </c>
      <c r="J49" s="251"/>
      <c r="K49" s="260"/>
      <c r="L49" s="242">
        <f t="shared" si="7"/>
        <v>0</v>
      </c>
      <c r="M49" s="257">
        <v>0</v>
      </c>
      <c r="N49" s="257">
        <v>0</v>
      </c>
      <c r="O49" s="3208">
        <f t="shared" si="1"/>
        <v>0</v>
      </c>
      <c r="P49" s="3209">
        <f t="shared" si="2"/>
        <v>0</v>
      </c>
      <c r="Q49" s="3209">
        <f t="shared" si="3"/>
        <v>0</v>
      </c>
      <c r="R49" s="246">
        <f t="shared" si="4"/>
        <v>0</v>
      </c>
      <c r="T49" s="4891"/>
    </row>
    <row r="50" spans="2:25">
      <c r="B50" s="254"/>
      <c r="C50" s="255" t="s">
        <v>140</v>
      </c>
      <c r="D50" s="333">
        <v>0</v>
      </c>
      <c r="E50" s="335"/>
      <c r="F50" s="340">
        <f t="shared" si="9"/>
        <v>0</v>
      </c>
      <c r="I50" s="250" t="str">
        <f t="shared" si="6"/>
        <v>Measure 38</v>
      </c>
      <c r="J50" s="251"/>
      <c r="K50" s="252"/>
      <c r="L50" s="242">
        <f t="shared" si="7"/>
        <v>0</v>
      </c>
      <c r="M50" s="257">
        <v>0</v>
      </c>
      <c r="N50" s="257">
        <v>0</v>
      </c>
      <c r="O50" s="3208">
        <f t="shared" si="1"/>
        <v>0</v>
      </c>
      <c r="P50" s="3209">
        <f t="shared" si="2"/>
        <v>0</v>
      </c>
      <c r="Q50" s="3209">
        <f t="shared" si="3"/>
        <v>0</v>
      </c>
      <c r="R50" s="246">
        <f t="shared" si="4"/>
        <v>0</v>
      </c>
      <c r="T50" s="4891"/>
    </row>
    <row r="51" spans="2:25">
      <c r="B51" s="254"/>
      <c r="C51" s="255" t="s">
        <v>141</v>
      </c>
      <c r="D51" s="333">
        <v>0</v>
      </c>
      <c r="E51" s="335"/>
      <c r="F51" s="340">
        <f t="shared" si="9"/>
        <v>0</v>
      </c>
      <c r="I51" s="250" t="str">
        <f t="shared" si="6"/>
        <v>Measure 39</v>
      </c>
      <c r="J51" s="251"/>
      <c r="K51" s="252"/>
      <c r="L51" s="242">
        <f t="shared" si="7"/>
        <v>0</v>
      </c>
      <c r="M51" s="257">
        <v>0</v>
      </c>
      <c r="N51" s="257">
        <v>0</v>
      </c>
      <c r="O51" s="3208">
        <f t="shared" si="1"/>
        <v>0</v>
      </c>
      <c r="P51" s="3209">
        <f t="shared" si="2"/>
        <v>0</v>
      </c>
      <c r="Q51" s="3209">
        <f t="shared" si="3"/>
        <v>0</v>
      </c>
      <c r="R51" s="246">
        <f t="shared" si="4"/>
        <v>0</v>
      </c>
      <c r="T51" s="4891"/>
    </row>
    <row r="52" spans="2:25" ht="13.5" thickBot="1">
      <c r="B52" s="254"/>
      <c r="C52" s="255" t="s">
        <v>142</v>
      </c>
      <c r="D52" s="333">
        <v>0</v>
      </c>
      <c r="E52" s="335"/>
      <c r="F52" s="340">
        <f t="shared" si="9"/>
        <v>0</v>
      </c>
      <c r="I52" s="250" t="str">
        <f t="shared" si="6"/>
        <v>Measure 40</v>
      </c>
      <c r="J52" s="251"/>
      <c r="K52" s="252"/>
      <c r="L52" s="242">
        <f t="shared" si="7"/>
        <v>0</v>
      </c>
      <c r="M52" s="257">
        <v>0</v>
      </c>
      <c r="N52" s="257">
        <v>0</v>
      </c>
      <c r="O52" s="3208">
        <f t="shared" si="1"/>
        <v>0</v>
      </c>
      <c r="P52" s="3209">
        <f t="shared" si="2"/>
        <v>0</v>
      </c>
      <c r="Q52" s="3209">
        <f t="shared" si="3"/>
        <v>0</v>
      </c>
      <c r="R52" s="246">
        <f t="shared" si="4"/>
        <v>0</v>
      </c>
      <c r="T52" s="4891"/>
    </row>
    <row r="53" spans="2:25" ht="13.5" thickBot="1">
      <c r="B53" s="262">
        <v>6026700</v>
      </c>
      <c r="C53" s="236" t="s">
        <v>150</v>
      </c>
      <c r="D53" s="337">
        <f>T105</f>
        <v>6313748.75</v>
      </c>
      <c r="E53" s="338">
        <f>U105</f>
        <v>9794910</v>
      </c>
      <c r="F53" s="339">
        <f>V105</f>
        <v>16108658.75</v>
      </c>
      <c r="G53" s="261" t="s">
        <v>151</v>
      </c>
      <c r="I53" s="250" t="str">
        <f t="shared" si="6"/>
        <v>Measure 41</v>
      </c>
      <c r="J53" s="251"/>
      <c r="K53" s="252"/>
      <c r="L53" s="242">
        <f t="shared" si="7"/>
        <v>0</v>
      </c>
      <c r="M53" s="257">
        <v>0</v>
      </c>
      <c r="N53" s="257">
        <v>0</v>
      </c>
      <c r="O53" s="3208">
        <f t="shared" si="1"/>
        <v>0</v>
      </c>
      <c r="P53" s="3209">
        <f t="shared" si="2"/>
        <v>0</v>
      </c>
      <c r="Q53" s="3209">
        <f t="shared" si="3"/>
        <v>0</v>
      </c>
      <c r="R53" s="246">
        <f t="shared" si="4"/>
        <v>0</v>
      </c>
      <c r="T53" s="4891"/>
    </row>
    <row r="54" spans="2:25" ht="13.5" thickBot="1">
      <c r="B54" s="262">
        <v>0</v>
      </c>
      <c r="C54" s="236" t="s">
        <v>152</v>
      </c>
      <c r="D54" s="337">
        <v>0</v>
      </c>
      <c r="E54" s="338">
        <v>0</v>
      </c>
      <c r="F54" s="339">
        <v>0</v>
      </c>
      <c r="I54" s="250" t="str">
        <f t="shared" si="6"/>
        <v>Measure 42</v>
      </c>
      <c r="J54" s="251"/>
      <c r="K54" s="252"/>
      <c r="L54" s="242">
        <f t="shared" si="7"/>
        <v>0</v>
      </c>
      <c r="M54" s="257">
        <v>0</v>
      </c>
      <c r="N54" s="257">
        <v>0</v>
      </c>
      <c r="O54" s="3208">
        <f t="shared" si="1"/>
        <v>0</v>
      </c>
      <c r="P54" s="3209">
        <f t="shared" si="2"/>
        <v>0</v>
      </c>
      <c r="Q54" s="3209">
        <f t="shared" si="3"/>
        <v>0</v>
      </c>
      <c r="R54" s="246">
        <f t="shared" si="4"/>
        <v>0</v>
      </c>
      <c r="T54" s="4891"/>
    </row>
    <row r="55" spans="2:25">
      <c r="B55" s="263">
        <f>B13+B18+B23+B28+B33+B38+B43+B48+B53+B54</f>
        <v>8750004.5250000004</v>
      </c>
      <c r="C55" s="264" t="s">
        <v>153</v>
      </c>
      <c r="D55" s="299">
        <f>D13+D18+D23+D28+D33+D38+D43+D48+D53+D54</f>
        <v>9143388.1579999998</v>
      </c>
      <c r="E55" s="345">
        <f>E13+E18+E23+E28+E33+E38+E43+E48+E53+E54</f>
        <v>13123037.3069</v>
      </c>
      <c r="F55" s="299">
        <f>F13+F18+F23+F28+F33+F38+F43+F48+F53+F54</f>
        <v>22266425.464900002</v>
      </c>
      <c r="O55" s="346">
        <f>SUM(O13:O54)</f>
        <v>8335325</v>
      </c>
      <c r="P55" s="265">
        <f>SUM(P13:P54)</f>
        <v>61065500</v>
      </c>
      <c r="Q55" s="265">
        <f>SUM(Q13:Q54)</f>
        <v>83225000</v>
      </c>
      <c r="R55" s="265">
        <f>SUM(R13:R54)</f>
        <v>144290500</v>
      </c>
      <c r="T55" s="4892"/>
    </row>
    <row r="56" spans="2:25">
      <c r="C56" s="264"/>
      <c r="D56" s="299"/>
      <c r="E56" s="345"/>
      <c r="F56" s="299"/>
    </row>
    <row r="57" spans="2:25">
      <c r="C57" s="264" t="s">
        <v>154</v>
      </c>
      <c r="D57" s="299">
        <f>D55-D53</f>
        <v>2829639.4079999998</v>
      </c>
      <c r="E57" s="345">
        <f>E55-E53</f>
        <v>3328127.3069000002</v>
      </c>
      <c r="F57" s="299">
        <f>F55-F53</f>
        <v>6157766.7149000019</v>
      </c>
    </row>
    <row r="58" spans="2:25">
      <c r="C58" s="264" t="s">
        <v>155</v>
      </c>
      <c r="D58" s="299">
        <f>D53</f>
        <v>6313748.75</v>
      </c>
      <c r="E58" s="345">
        <f>E53</f>
        <v>9794910</v>
      </c>
      <c r="F58" s="299">
        <f>F53</f>
        <v>16108658.75</v>
      </c>
      <c r="G58" s="319">
        <f>F58/(F57+F58)</f>
        <v>0.72345059495037112</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3593" t="s">
        <v>415</v>
      </c>
      <c r="D63" s="3574">
        <v>43</v>
      </c>
      <c r="E63" s="3574" t="s">
        <v>181</v>
      </c>
      <c r="F63" s="3574" t="s">
        <v>186</v>
      </c>
      <c r="G63" s="3594">
        <v>25</v>
      </c>
      <c r="H63" s="3594">
        <v>10</v>
      </c>
      <c r="I63" s="4515">
        <v>0.02</v>
      </c>
      <c r="J63" s="3574">
        <v>15</v>
      </c>
      <c r="K63" s="3574" t="s">
        <v>183</v>
      </c>
      <c r="L63" s="4157"/>
      <c r="M63" s="4140">
        <v>3.3004517432706413</v>
      </c>
      <c r="N63" s="4140">
        <v>1.8456031389541785</v>
      </c>
      <c r="O63" s="3548">
        <f t="shared" ref="O63:O76" si="10">(($I63*$F$57)+$V63)/$S63</f>
        <v>853982.73293061985</v>
      </c>
      <c r="P63" s="3548">
        <f t="shared" ref="P63:P76" si="11">(($I63*$F$57)+($G63*$O13))/$S63</f>
        <v>1964065.9891748384</v>
      </c>
      <c r="Q63" s="3548">
        <f>IF(K63=0, 0, (HLOOKUP(K63,'[3]E-CESTDWO'!$A$5:$O$35,J63+1,FALSE)*R13))</f>
        <v>3283272.8612563955</v>
      </c>
      <c r="R63" s="3548">
        <f>IF(K63=0, 0, (HLOOKUP(K63,'[3]E-CESTD'!$A$5:$O$35,J63+1,FALSE)*R13))</f>
        <v>3611600.1473820345</v>
      </c>
      <c r="S63" s="4139">
        <v>1.081</v>
      </c>
      <c r="T63" s="3207">
        <f t="shared" ref="T63:T104" si="12">M13*$H63</f>
        <v>450000</v>
      </c>
      <c r="U63" s="3207">
        <f t="shared" ref="U63:U104" si="13">N13*$H63</f>
        <v>350000</v>
      </c>
      <c r="V63" s="3207">
        <f>SUM(T63:U63)</f>
        <v>800000</v>
      </c>
      <c r="W63" s="322">
        <f t="shared" ref="W63:W81" si="14">V63/(V63+(I63*F$57))</f>
        <v>0.86659305349554006</v>
      </c>
      <c r="X63" s="322">
        <f t="shared" ref="X63:X81" si="15">(I63*((F$18*1.63)+F$28))/(V63+(I63*F$57))</f>
        <v>7.2261885428770059E-2</v>
      </c>
      <c r="Y63" s="322">
        <f t="shared" ref="Y63:Y81" si="16">(I63*F$38)/(V63+(I63*F$57))</f>
        <v>3.7558142938496707E-2</v>
      </c>
    </row>
    <row r="64" spans="2:25">
      <c r="B64" s="282"/>
      <c r="C64" s="3593" t="s">
        <v>416</v>
      </c>
      <c r="D64" s="3593">
        <v>120</v>
      </c>
      <c r="E64" s="3593" t="s">
        <v>181</v>
      </c>
      <c r="F64" s="3574" t="s">
        <v>186</v>
      </c>
      <c r="G64" s="3594">
        <v>14</v>
      </c>
      <c r="H64" s="3594">
        <v>10</v>
      </c>
      <c r="I64" s="4515">
        <v>0.01</v>
      </c>
      <c r="J64" s="3574">
        <v>15</v>
      </c>
      <c r="K64" s="3574" t="s">
        <v>183</v>
      </c>
      <c r="L64" s="4157"/>
      <c r="M64" s="4140">
        <v>7.7502468423104354</v>
      </c>
      <c r="N64" s="4140">
        <v>7.5766998765182585</v>
      </c>
      <c r="O64" s="3548">
        <f t="shared" si="10"/>
        <v>214225.40901850141</v>
      </c>
      <c r="P64" s="3548">
        <f t="shared" si="11"/>
        <v>277130.12687234045</v>
      </c>
      <c r="Q64" s="3548">
        <f>IF(K64=0, 0, (HLOOKUP(K64,'[3]E-CESTDWO'!$A$5:$O$35,J64+1,FALSE)*R14))</f>
        <v>1947057.1619078626</v>
      </c>
      <c r="R64" s="3548">
        <f>IF(K64=0, 0, (HLOOKUP(K64,'[3]E-CESTD'!$A$5:$O$35,J64+1,FALSE)*R14))</f>
        <v>2141762.878098648</v>
      </c>
      <c r="S64" s="4139">
        <v>1.081</v>
      </c>
      <c r="T64" s="3628">
        <f t="shared" si="12"/>
        <v>120000</v>
      </c>
      <c r="U64" s="3628">
        <f t="shared" si="13"/>
        <v>50000</v>
      </c>
      <c r="V64" s="3632">
        <f t="shared" ref="V64:V104" si="17">SUM(T64:U64)</f>
        <v>170000</v>
      </c>
      <c r="W64" s="322">
        <f t="shared" si="14"/>
        <v>0.73409496732955615</v>
      </c>
      <c r="X64" s="322">
        <f t="shared" si="15"/>
        <v>0.14403147294224755</v>
      </c>
      <c r="Y64" s="322">
        <f t="shared" si="16"/>
        <v>7.4860413844854035E-2</v>
      </c>
    </row>
    <row r="65" spans="2:25">
      <c r="B65" s="282"/>
      <c r="C65" s="3593" t="s">
        <v>417</v>
      </c>
      <c r="D65" s="3593">
        <v>16</v>
      </c>
      <c r="E65" s="3593" t="s">
        <v>181</v>
      </c>
      <c r="F65" s="3574" t="s">
        <v>186</v>
      </c>
      <c r="G65" s="4516">
        <v>3</v>
      </c>
      <c r="H65" s="3594">
        <v>1.17</v>
      </c>
      <c r="I65" s="4515">
        <v>0.45</v>
      </c>
      <c r="J65" s="3574">
        <v>5</v>
      </c>
      <c r="K65" s="3574" t="s">
        <v>183</v>
      </c>
      <c r="L65" s="4157"/>
      <c r="M65" s="4140">
        <v>3.2974156623478295</v>
      </c>
      <c r="N65" s="4140">
        <v>2.1264897192756074</v>
      </c>
      <c r="O65" s="3548">
        <f t="shared" si="10"/>
        <v>7202098.7712349696</v>
      </c>
      <c r="P65" s="3548">
        <f t="shared" si="11"/>
        <v>14457557.836914895</v>
      </c>
      <c r="Q65" s="3548">
        <f>IF(K65=0, 0, (HLOOKUP(K65,'[3]E-CESTDWO'!$A$5:$O$35,J65+1,FALSE)*R15))</f>
        <v>27788017.877799951</v>
      </c>
      <c r="R65" s="3548">
        <f>IF(K65=0, 0, (HLOOKUP(K65,'[3]E-CESTD'!$A$5:$O$35,J65+1,FALSE)*R15))</f>
        <v>30566819.665579941</v>
      </c>
      <c r="S65" s="4139">
        <v>1.081</v>
      </c>
      <c r="T65" s="3628">
        <f t="shared" si="12"/>
        <v>2259123.75</v>
      </c>
      <c r="U65" s="3628">
        <f t="shared" si="13"/>
        <v>2755350</v>
      </c>
      <c r="V65" s="3632">
        <f t="shared" si="17"/>
        <v>5014473.75</v>
      </c>
      <c r="W65" s="322">
        <f t="shared" si="14"/>
        <v>0.64408115902079977</v>
      </c>
      <c r="X65" s="322">
        <f t="shared" si="15"/>
        <v>0.19278881034819112</v>
      </c>
      <c r="Y65" s="322">
        <f t="shared" si="16"/>
        <v>0.10020205884521907</v>
      </c>
    </row>
    <row r="66" spans="2:25">
      <c r="B66" s="282"/>
      <c r="C66" s="3593" t="s">
        <v>418</v>
      </c>
      <c r="D66" s="3574">
        <v>19</v>
      </c>
      <c r="E66" s="3593" t="s">
        <v>181</v>
      </c>
      <c r="F66" s="3574" t="s">
        <v>186</v>
      </c>
      <c r="G66" s="3594">
        <v>2</v>
      </c>
      <c r="H66" s="3594">
        <v>2.4500000000000002</v>
      </c>
      <c r="I66" s="4515">
        <v>0.35</v>
      </c>
      <c r="J66" s="3574">
        <v>7</v>
      </c>
      <c r="K66" s="3574" t="s">
        <v>183</v>
      </c>
      <c r="L66" s="4157"/>
      <c r="M66" s="4140">
        <v>3.0011478095952144</v>
      </c>
      <c r="N66" s="4140">
        <v>4.5203219901225822</v>
      </c>
      <c r="O66" s="3548">
        <f t="shared" si="10"/>
        <v>8407695.0510777067</v>
      </c>
      <c r="P66" s="3548">
        <f t="shared" si="11"/>
        <v>7229619.1953885304</v>
      </c>
      <c r="Q66" s="3548">
        <f>IF(K66=0, 0, (HLOOKUP(K66,'[3]E-CESTDWO'!$A$5:$O$35,J66+1,FALSE)*R16))</f>
        <v>29133497.88858293</v>
      </c>
      <c r="R66" s="3548">
        <f>IF(K66=0, 0, (HLOOKUP(K66,'[3]E-CESTD'!$A$5:$O$35,J66+1,FALSE)*R16))</f>
        <v>32046847.677441224</v>
      </c>
      <c r="S66" s="4139">
        <v>1.081</v>
      </c>
      <c r="T66" s="3628">
        <f t="shared" si="12"/>
        <v>3185000</v>
      </c>
      <c r="U66" s="3628">
        <f t="shared" si="13"/>
        <v>3748500.0000000005</v>
      </c>
      <c r="V66" s="3632">
        <f t="shared" si="17"/>
        <v>6933500</v>
      </c>
      <c r="W66" s="322">
        <f t="shared" si="14"/>
        <v>0.76286883725866395</v>
      </c>
      <c r="X66" s="322">
        <f t="shared" si="15"/>
        <v>0.12844567215270611</v>
      </c>
      <c r="Y66" s="322">
        <f t="shared" si="16"/>
        <v>6.6759687848138308E-2</v>
      </c>
    </row>
    <row r="67" spans="2:25">
      <c r="B67" s="282"/>
      <c r="C67" s="3593"/>
      <c r="D67" s="3593"/>
      <c r="E67" s="3593" t="s">
        <v>181</v>
      </c>
      <c r="F67" s="3574" t="s">
        <v>186</v>
      </c>
      <c r="G67" s="3594"/>
      <c r="H67" s="3594"/>
      <c r="I67" s="4515">
        <f t="shared" ref="I67:I76" si="18">Q17/Q$55</f>
        <v>0</v>
      </c>
      <c r="J67" s="3574"/>
      <c r="K67" s="3574" t="s">
        <v>183</v>
      </c>
      <c r="L67" s="4157"/>
      <c r="M67" s="4140">
        <v>3.6328661549149284</v>
      </c>
      <c r="N67" s="4140">
        <v>1.0795102800145018</v>
      </c>
      <c r="O67" s="3548">
        <f t="shared" si="10"/>
        <v>0</v>
      </c>
      <c r="P67" s="3548">
        <f t="shared" si="11"/>
        <v>0</v>
      </c>
      <c r="Q67" s="3548" t="e">
        <f>IF(K67=0, 0, (HLOOKUP(K67,'[3]E-CESTDWO'!$A$5:$O$35,J67+1,FALSE)*R17))</f>
        <v>#VALUE!</v>
      </c>
      <c r="R67" s="3548" t="e">
        <f>IF(K67=0, 0, (HLOOKUP(K67,'[3]E-CESTD'!$A$5:$O$35,J67+1,FALSE)*R17))</f>
        <v>#VALUE!</v>
      </c>
      <c r="S67" s="4139">
        <v>1.081</v>
      </c>
      <c r="T67" s="3628">
        <f t="shared" si="12"/>
        <v>0</v>
      </c>
      <c r="U67" s="3628">
        <f t="shared" si="13"/>
        <v>0</v>
      </c>
      <c r="V67" s="3632">
        <f t="shared" si="17"/>
        <v>0</v>
      </c>
      <c r="W67" s="322" t="e">
        <f t="shared" si="14"/>
        <v>#DIV/0!</v>
      </c>
      <c r="X67" s="322" t="e">
        <f t="shared" si="15"/>
        <v>#DIV/0!</v>
      </c>
      <c r="Y67" s="322" t="e">
        <f t="shared" si="16"/>
        <v>#DIV/0!</v>
      </c>
    </row>
    <row r="68" spans="2:25">
      <c r="B68" s="282"/>
      <c r="C68" s="3593" t="s">
        <v>1252</v>
      </c>
      <c r="D68" s="4517">
        <v>50</v>
      </c>
      <c r="E68" s="3593" t="s">
        <v>181</v>
      </c>
      <c r="F68" s="3574" t="s">
        <v>186</v>
      </c>
      <c r="G68" s="3594">
        <v>50</v>
      </c>
      <c r="H68" s="3594">
        <v>12</v>
      </c>
      <c r="I68" s="4515">
        <v>0.02</v>
      </c>
      <c r="J68" s="3574">
        <v>18</v>
      </c>
      <c r="K68" s="3574" t="s">
        <v>183</v>
      </c>
      <c r="L68" s="4157"/>
      <c r="M68" s="4140">
        <v>2.7191565634600985</v>
      </c>
      <c r="N68" s="4140">
        <v>1.2382337272310462</v>
      </c>
      <c r="O68" s="3548">
        <f t="shared" si="10"/>
        <v>557960.531265495</v>
      </c>
      <c r="P68" s="3548">
        <f t="shared" si="11"/>
        <v>1964065.9891748384</v>
      </c>
      <c r="Q68" s="3548">
        <f>IF(K68=0, 0, (HLOOKUP(K68,'[3]E-CESTDWO'!$A$5:$O$35,J68+1,FALSE)*R18))</f>
        <v>2132310.7361974609</v>
      </c>
      <c r="R68" s="3548">
        <f>IF(K68=0, 0, (HLOOKUP(K68,'[3]E-CESTD'!$A$5:$O$35,J68+1,FALSE)*R18))</f>
        <v>2345541.8098172066</v>
      </c>
      <c r="S68" s="4139">
        <v>1.081</v>
      </c>
      <c r="T68" s="3628">
        <f t="shared" si="12"/>
        <v>24000</v>
      </c>
      <c r="U68" s="3628">
        <f t="shared" si="13"/>
        <v>456000</v>
      </c>
      <c r="V68" s="3632">
        <f t="shared" si="17"/>
        <v>480000</v>
      </c>
      <c r="W68" s="322">
        <f t="shared" si="14"/>
        <v>0.79581489660314786</v>
      </c>
      <c r="X68" s="322">
        <f t="shared" si="15"/>
        <v>0.11059994201600017</v>
      </c>
      <c r="Y68" s="322">
        <f t="shared" si="16"/>
        <v>5.7484362697967376E-2</v>
      </c>
    </row>
    <row r="69" spans="2:25">
      <c r="B69" s="282"/>
      <c r="C69" s="3593" t="s">
        <v>1253</v>
      </c>
      <c r="D69" s="4518">
        <v>20</v>
      </c>
      <c r="E69" s="3593" t="s">
        <v>181</v>
      </c>
      <c r="F69" s="3574" t="s">
        <v>186</v>
      </c>
      <c r="G69" s="3594">
        <v>1.7</v>
      </c>
      <c r="H69" s="3594">
        <v>1.7</v>
      </c>
      <c r="I69" s="4515">
        <v>0</v>
      </c>
      <c r="J69" s="3574">
        <v>5</v>
      </c>
      <c r="K69" s="3574" t="s">
        <v>183</v>
      </c>
      <c r="L69" s="4157"/>
      <c r="M69" s="4140">
        <v>3.5827833239461593</v>
      </c>
      <c r="N69" s="4140">
        <v>3.941061656340775</v>
      </c>
      <c r="O69" s="3548">
        <f t="shared" si="10"/>
        <v>112913.96854764108</v>
      </c>
      <c r="P69" s="3548">
        <f t="shared" si="11"/>
        <v>112913.96854764108</v>
      </c>
      <c r="Q69" s="3548">
        <f>IF(K69=0, 0, (HLOOKUP(K69,'[3]E-CESTDWO'!$A$5:$O$35,J69+1,FALSE)*R19))</f>
        <v>581905.58626477572</v>
      </c>
      <c r="R69" s="3548">
        <f>IF(K69=0, 0, (HLOOKUP(K69,'[3]E-CESTD'!$A$5:$O$35,J69+1,FALSE)*R19))</f>
        <v>640096.14489125321</v>
      </c>
      <c r="S69" s="4139">
        <v>1.081</v>
      </c>
      <c r="T69" s="3628">
        <f t="shared" si="12"/>
        <v>93500</v>
      </c>
      <c r="U69" s="3628">
        <f t="shared" si="13"/>
        <v>28560</v>
      </c>
      <c r="V69" s="3632">
        <f t="shared" si="17"/>
        <v>122060</v>
      </c>
      <c r="W69" s="322">
        <f t="shared" si="14"/>
        <v>1</v>
      </c>
      <c r="X69" s="322">
        <f t="shared" si="15"/>
        <v>0</v>
      </c>
      <c r="Y69" s="322">
        <f t="shared" si="16"/>
        <v>0</v>
      </c>
    </row>
    <row r="70" spans="2:25">
      <c r="B70" s="282"/>
      <c r="C70" s="3593" t="s">
        <v>1254</v>
      </c>
      <c r="D70" s="3593">
        <v>33</v>
      </c>
      <c r="E70" s="3593" t="s">
        <v>181</v>
      </c>
      <c r="F70" s="3593" t="s">
        <v>186</v>
      </c>
      <c r="G70" s="3594">
        <v>40</v>
      </c>
      <c r="H70" s="3594">
        <v>7</v>
      </c>
      <c r="I70" s="4515">
        <v>0.09</v>
      </c>
      <c r="J70" s="3574">
        <v>30</v>
      </c>
      <c r="K70" s="3574" t="s">
        <v>183</v>
      </c>
      <c r="L70" s="4157"/>
      <c r="M70" s="4140">
        <v>3.4497654935128494</v>
      </c>
      <c r="N70" s="4140">
        <v>1.0197797595259186</v>
      </c>
      <c r="O70" s="3548">
        <f t="shared" si="10"/>
        <v>2099166.5165041629</v>
      </c>
      <c r="P70" s="3548">
        <f t="shared" si="11"/>
        <v>9578352.4554495849</v>
      </c>
      <c r="Q70" s="3548">
        <f>IF(K70=0, 0, (HLOOKUP(K70,'[3]E-CESTDWO'!$A$5:$O$35,J70+1,FALSE)*R20))</f>
        <v>11132505.351117402</v>
      </c>
      <c r="R70" s="3548">
        <f>IF(K70=0, 0, (HLOOKUP(K70,'[3]E-CESTD'!$A$5:$O$35,J70+1,FALSE)*R20))</f>
        <v>12245755.886229143</v>
      </c>
      <c r="S70" s="4139">
        <v>1.081</v>
      </c>
      <c r="T70" s="3628">
        <f t="shared" si="12"/>
        <v>175000</v>
      </c>
      <c r="U70" s="3628">
        <f t="shared" si="13"/>
        <v>1540000</v>
      </c>
      <c r="V70" s="3632">
        <f t="shared" si="17"/>
        <v>1715000</v>
      </c>
      <c r="W70" s="322">
        <f t="shared" si="14"/>
        <v>0.75577329124470261</v>
      </c>
      <c r="X70" s="322">
        <f t="shared" si="15"/>
        <v>0.13228908170933137</v>
      </c>
      <c r="Y70" s="322">
        <f t="shared" si="16"/>
        <v>6.8757301453739636E-2</v>
      </c>
    </row>
    <row r="71" spans="2:25">
      <c r="B71" s="282"/>
      <c r="C71" s="3263"/>
      <c r="D71" s="3574"/>
      <c r="E71" s="3593" t="s">
        <v>181</v>
      </c>
      <c r="F71" s="3574" t="s">
        <v>186</v>
      </c>
      <c r="G71" s="3594"/>
      <c r="H71" s="3594"/>
      <c r="I71" s="4515">
        <f t="shared" si="18"/>
        <v>0</v>
      </c>
      <c r="J71" s="3574"/>
      <c r="K71" s="3574" t="s">
        <v>183</v>
      </c>
      <c r="L71" s="4157"/>
      <c r="M71" s="4140">
        <v>2.2636457417968594</v>
      </c>
      <c r="N71" s="4140">
        <v>2.1438144371260188</v>
      </c>
      <c r="O71" s="3548">
        <f t="shared" si="10"/>
        <v>0</v>
      </c>
      <c r="P71" s="3548">
        <f t="shared" si="11"/>
        <v>0</v>
      </c>
      <c r="Q71" s="3548" t="e">
        <f>IF(K71=0, 0, (HLOOKUP(K71,'[3]E-CESTDWO'!$A$5:$O$35,J71+1,FALSE)*R21))</f>
        <v>#VALUE!</v>
      </c>
      <c r="R71" s="3548" t="e">
        <f>IF(K71=0, 0, (HLOOKUP(K71,'[3]E-CESTD'!$A$5:$O$35,J71+1,FALSE)*R21))</f>
        <v>#VALUE!</v>
      </c>
      <c r="S71" s="4139">
        <v>1.081</v>
      </c>
      <c r="T71" s="3628">
        <f t="shared" si="12"/>
        <v>0</v>
      </c>
      <c r="U71" s="3628">
        <f t="shared" si="13"/>
        <v>0</v>
      </c>
      <c r="V71" s="3632">
        <f t="shared" si="17"/>
        <v>0</v>
      </c>
      <c r="W71" s="322" t="e">
        <f t="shared" si="14"/>
        <v>#DIV/0!</v>
      </c>
      <c r="X71" s="322" t="e">
        <f t="shared" si="15"/>
        <v>#DIV/0!</v>
      </c>
      <c r="Y71" s="322" t="e">
        <f t="shared" si="16"/>
        <v>#DIV/0!</v>
      </c>
    </row>
    <row r="72" spans="2:25">
      <c r="B72" s="282"/>
      <c r="C72" s="3263"/>
      <c r="D72" s="3593"/>
      <c r="E72" s="3593" t="s">
        <v>181</v>
      </c>
      <c r="F72" s="3574" t="s">
        <v>186</v>
      </c>
      <c r="G72" s="3594"/>
      <c r="H72" s="3594"/>
      <c r="I72" s="4515">
        <f t="shared" si="18"/>
        <v>0</v>
      </c>
      <c r="J72" s="3574"/>
      <c r="K72" s="3574" t="s">
        <v>183</v>
      </c>
      <c r="L72" s="4157"/>
      <c r="M72" s="4140">
        <v>1.5980965120891797</v>
      </c>
      <c r="N72" s="4140">
        <v>3.3807640647402044</v>
      </c>
      <c r="O72" s="3548">
        <f t="shared" si="10"/>
        <v>0</v>
      </c>
      <c r="P72" s="3548">
        <f t="shared" si="11"/>
        <v>0</v>
      </c>
      <c r="Q72" s="3548" t="e">
        <f>IF(K72=0, 0, (HLOOKUP(K72,'[3]E-CESTDWO'!$A$5:$O$35,J72+1,FALSE)*R22))</f>
        <v>#VALUE!</v>
      </c>
      <c r="R72" s="3548" t="e">
        <f>IF(K72=0, 0, (HLOOKUP(K72,'[3]E-CESTD'!$A$5:$O$35,J72+1,FALSE)*R22))</f>
        <v>#VALUE!</v>
      </c>
      <c r="S72" s="4139">
        <v>1.081</v>
      </c>
      <c r="T72" s="3628">
        <f t="shared" si="12"/>
        <v>0</v>
      </c>
      <c r="U72" s="3628">
        <f t="shared" si="13"/>
        <v>0</v>
      </c>
      <c r="V72" s="3632">
        <f t="shared" si="17"/>
        <v>0</v>
      </c>
      <c r="W72" s="322" t="e">
        <f t="shared" si="14"/>
        <v>#DIV/0!</v>
      </c>
      <c r="X72" s="322" t="e">
        <f t="shared" si="15"/>
        <v>#DIV/0!</v>
      </c>
      <c r="Y72" s="322" t="e">
        <f t="shared" si="16"/>
        <v>#DIV/0!</v>
      </c>
    </row>
    <row r="73" spans="2:25">
      <c r="B73" s="282"/>
      <c r="C73" s="3593" t="s">
        <v>1255</v>
      </c>
      <c r="D73" s="3593">
        <v>143</v>
      </c>
      <c r="E73" s="3593" t="s">
        <v>181</v>
      </c>
      <c r="F73" s="3593" t="s">
        <v>186</v>
      </c>
      <c r="G73" s="3594">
        <v>50</v>
      </c>
      <c r="H73" s="3594">
        <v>12</v>
      </c>
      <c r="I73" s="4515">
        <v>0.02</v>
      </c>
      <c r="J73" s="3574">
        <v>18</v>
      </c>
      <c r="K73" s="3574" t="s">
        <v>183</v>
      </c>
      <c r="L73" s="4157"/>
      <c r="M73" s="4140">
        <v>6.792584187963314</v>
      </c>
      <c r="N73" s="4140">
        <v>3.3409494607464936</v>
      </c>
      <c r="O73" s="3548">
        <f t="shared" si="10"/>
        <v>252687.6357983349</v>
      </c>
      <c r="P73" s="3548">
        <f t="shared" si="11"/>
        <v>692095.59139500477</v>
      </c>
      <c r="Q73" s="3548">
        <f>IF(K73=0, 0, (HLOOKUP(K73,'[3]E-CESTDWO'!$A$5:$O$35,J73+1,FALSE)*R23))</f>
        <v>1905752.7204764804</v>
      </c>
      <c r="R73" s="3548">
        <f>IF(K73=0, 0, (HLOOKUP(K73,'[3]E-CESTD'!$A$5:$O$35,J73+1,FALSE)*R23))</f>
        <v>2096327.9925241284</v>
      </c>
      <c r="S73" s="4139">
        <v>1.081</v>
      </c>
      <c r="T73" s="3628">
        <f t="shared" si="12"/>
        <v>6000</v>
      </c>
      <c r="U73" s="3628">
        <f t="shared" si="13"/>
        <v>144000</v>
      </c>
      <c r="V73" s="3632">
        <f t="shared" si="17"/>
        <v>150000</v>
      </c>
      <c r="W73" s="322">
        <f t="shared" si="14"/>
        <v>0.54913809530937741</v>
      </c>
      <c r="X73" s="322">
        <f t="shared" si="15"/>
        <v>0.24421615331598681</v>
      </c>
      <c r="Y73" s="322">
        <f t="shared" si="16"/>
        <v>0.1269314402704449</v>
      </c>
    </row>
    <row r="74" spans="2:25">
      <c r="B74" s="282"/>
      <c r="C74" s="3593" t="s">
        <v>1256</v>
      </c>
      <c r="D74" s="3593">
        <v>34</v>
      </c>
      <c r="E74" s="3593" t="s">
        <v>181</v>
      </c>
      <c r="F74" s="3593" t="s">
        <v>186</v>
      </c>
      <c r="G74" s="3594">
        <v>39.28</v>
      </c>
      <c r="H74" s="3594">
        <v>7.5</v>
      </c>
      <c r="I74" s="4515">
        <v>0.03</v>
      </c>
      <c r="J74" s="3574">
        <v>30</v>
      </c>
      <c r="K74" s="3574" t="s">
        <v>183</v>
      </c>
      <c r="L74" s="4157"/>
      <c r="M74" s="4140" t="e">
        <v>#DIV/0!</v>
      </c>
      <c r="N74" s="4140" t="e">
        <v>#DIV/0!</v>
      </c>
      <c r="O74" s="3548">
        <f t="shared" si="10"/>
        <v>720035.15397502319</v>
      </c>
      <c r="P74" s="3548">
        <f t="shared" si="11"/>
        <v>3046942.6470370027</v>
      </c>
      <c r="Q74" s="3548">
        <f>IF(K74=0, 0, (HLOOKUP(K74,'[3]E-CESTDWO'!$A$5:$O$35,J74+1,FALSE)*R24))</f>
        <v>3698442.7177614523</v>
      </c>
      <c r="R74" s="3548">
        <f>IF(K74=0, 0, (HLOOKUP(K74,'[3]E-CESTD'!$A$5:$O$35,J74+1,FALSE)*R24))</f>
        <v>4068286.9895375972</v>
      </c>
      <c r="S74" s="4139">
        <v>1.081</v>
      </c>
      <c r="T74" s="3628">
        <f t="shared" si="12"/>
        <v>1125</v>
      </c>
      <c r="U74" s="3628">
        <f t="shared" si="13"/>
        <v>592500</v>
      </c>
      <c r="V74" s="3632">
        <f t="shared" si="17"/>
        <v>593625</v>
      </c>
      <c r="W74" s="322">
        <f t="shared" si="14"/>
        <v>0.76266319469501986</v>
      </c>
      <c r="X74" s="322">
        <f t="shared" si="15"/>
        <v>0.12855706155005528</v>
      </c>
      <c r="Y74" s="322">
        <f t="shared" si="16"/>
        <v>6.6817582530551436E-2</v>
      </c>
    </row>
    <row r="75" spans="2:25">
      <c r="B75" s="282"/>
      <c r="C75" s="3593" t="s">
        <v>1257</v>
      </c>
      <c r="D75" s="3593">
        <v>22</v>
      </c>
      <c r="E75" s="3593" t="s">
        <v>181</v>
      </c>
      <c r="F75" s="3593" t="s">
        <v>186</v>
      </c>
      <c r="G75" s="3594">
        <v>15.82</v>
      </c>
      <c r="H75" s="3594">
        <v>10</v>
      </c>
      <c r="I75" s="4515">
        <f t="shared" si="18"/>
        <v>2.6434364674076298E-3</v>
      </c>
      <c r="J75" s="3574">
        <v>30</v>
      </c>
      <c r="K75" s="3574" t="s">
        <v>183</v>
      </c>
      <c r="L75" s="4157"/>
      <c r="M75" s="4140" t="e">
        <v>#DIV/0!</v>
      </c>
      <c r="N75" s="4140" t="e">
        <v>#DIV/0!</v>
      </c>
      <c r="O75" s="3548">
        <f t="shared" si="10"/>
        <v>107564.90757812724</v>
      </c>
      <c r="P75" s="3548">
        <f t="shared" si="11"/>
        <v>161403.94550597182</v>
      </c>
      <c r="Q75" s="3548">
        <f>IF(K75=0, 0, (HLOOKUP(K75,'[3]E-CESTDWO'!$A$5:$O$35,J75+1,FALSE)*R25))</f>
        <v>302925.315676664</v>
      </c>
      <c r="R75" s="3548">
        <f>IF(K75=0, 0, (HLOOKUP(K75,'[3]E-CESTD'!$A$5:$O$35,J75+1,FALSE)*R25))</f>
        <v>333217.84724433039</v>
      </c>
      <c r="S75" s="4139">
        <v>1.081</v>
      </c>
      <c r="T75" s="3628">
        <f t="shared" si="12"/>
        <v>0</v>
      </c>
      <c r="U75" s="3628">
        <f t="shared" si="13"/>
        <v>100000</v>
      </c>
      <c r="V75" s="3632">
        <f t="shared" si="17"/>
        <v>100000</v>
      </c>
      <c r="W75" s="322">
        <f t="shared" si="14"/>
        <v>0.8600103891053994</v>
      </c>
      <c r="X75" s="322">
        <f t="shared" si="15"/>
        <v>7.5827484915454199E-2</v>
      </c>
      <c r="Y75" s="322">
        <f t="shared" si="16"/>
        <v>3.941136465265082E-2</v>
      </c>
    </row>
    <row r="76" spans="2:25">
      <c r="B76" s="282"/>
      <c r="C76" s="3593" t="s">
        <v>1258</v>
      </c>
      <c r="D76" s="3593">
        <v>84</v>
      </c>
      <c r="E76" s="3593" t="s">
        <v>181</v>
      </c>
      <c r="F76" s="3593" t="s">
        <v>186</v>
      </c>
      <c r="G76" s="3594">
        <v>19.97</v>
      </c>
      <c r="H76" s="3594">
        <v>10</v>
      </c>
      <c r="I76" s="4515">
        <f t="shared" si="18"/>
        <v>3.0279363172123759E-3</v>
      </c>
      <c r="J76" s="3574">
        <v>25</v>
      </c>
      <c r="K76" s="3574" t="s">
        <v>183</v>
      </c>
      <c r="L76" s="3574"/>
      <c r="M76" s="278">
        <f t="shared" ref="M76:N104" si="19">Q76/O76</f>
        <v>7.1298722280713056</v>
      </c>
      <c r="N76" s="278">
        <f t="shared" si="19"/>
        <v>4.8566847418392225</v>
      </c>
      <c r="O76" s="3548">
        <f t="shared" si="10"/>
        <v>45000.301081375823</v>
      </c>
      <c r="P76" s="3548">
        <f t="shared" si="11"/>
        <v>72669.126243262959</v>
      </c>
      <c r="Q76" s="3548">
        <f>IF(K76=0, 0, (HLOOKUP(K76,'[3]E-CESTDWO'!$A$5:$O$35,J76+1,FALSE)*R26))</f>
        <v>320846.39693494863</v>
      </c>
      <c r="R76" s="3548">
        <f>IF(K76=0, 0, (HLOOKUP(K76,'[3]E-CESTD'!$A$5:$O$35,J76+1,FALSE)*R26))</f>
        <v>352931.03662844346</v>
      </c>
      <c r="S76" s="279">
        <v>1.081</v>
      </c>
      <c r="T76" s="3628">
        <f t="shared" si="12"/>
        <v>0</v>
      </c>
      <c r="U76" s="3628">
        <f t="shared" si="13"/>
        <v>30000</v>
      </c>
      <c r="V76" s="3632">
        <f t="shared" si="17"/>
        <v>30000</v>
      </c>
      <c r="W76" s="322">
        <f t="shared" si="14"/>
        <v>0.61670879392385114</v>
      </c>
      <c r="X76" s="322">
        <f t="shared" si="15"/>
        <v>0.20761546489937707</v>
      </c>
      <c r="Y76" s="322">
        <f t="shared" si="16"/>
        <v>0.10790821829053364</v>
      </c>
    </row>
    <row r="77" spans="2:25">
      <c r="B77" s="282"/>
      <c r="C77" s="282" t="s">
        <v>199</v>
      </c>
      <c r="D77" s="282">
        <v>0</v>
      </c>
      <c r="E77" s="282" t="s">
        <v>181</v>
      </c>
      <c r="F77" s="282" t="s">
        <v>186</v>
      </c>
      <c r="G77" s="283"/>
      <c r="H77" s="283"/>
      <c r="I77" s="311">
        <v>0</v>
      </c>
      <c r="J77" s="257"/>
      <c r="K77" s="257"/>
      <c r="L77" s="3574"/>
      <c r="M77" s="278" t="e">
        <f t="shared" si="19"/>
        <v>#DIV/0!</v>
      </c>
      <c r="N77" s="278" t="e">
        <f t="shared" si="19"/>
        <v>#DIV/0!</v>
      </c>
      <c r="O77" s="214">
        <f t="shared" ref="O77:O104" si="20">(($I77*$F$57)+$V77)/$S77</f>
        <v>0</v>
      </c>
      <c r="P77" s="214">
        <f t="shared" ref="P77:P104" si="21">(($I77*$F$57)+($G77*$O27))/$S77</f>
        <v>0</v>
      </c>
      <c r="Q77" s="214">
        <f>IF(K77=0, 0, (HLOOKUP(K77,'[1]E-CESTDWO'!$A$5:$O$35,J77+1,FALSE)*R27))</f>
        <v>0</v>
      </c>
      <c r="R77" s="214">
        <f>IF(K77=0, 0, (HLOOKUP(K77,'[1]E-CESTD'!$A$5:$O$35,J77+1,FALSE)*R27))</f>
        <v>0</v>
      </c>
      <c r="S77" s="279">
        <v>1.081</v>
      </c>
      <c r="T77" s="3628">
        <f t="shared" si="12"/>
        <v>0</v>
      </c>
      <c r="U77" s="3628">
        <f t="shared" si="13"/>
        <v>0</v>
      </c>
      <c r="V77" s="3632">
        <f t="shared" si="17"/>
        <v>0</v>
      </c>
      <c r="W77" s="322" t="e">
        <f t="shared" si="14"/>
        <v>#DIV/0!</v>
      </c>
      <c r="X77" s="322" t="e">
        <f t="shared" si="15"/>
        <v>#DIV/0!</v>
      </c>
      <c r="Y77" s="322" t="e">
        <f t="shared" si="16"/>
        <v>#DIV/0!</v>
      </c>
    </row>
    <row r="78" spans="2:25">
      <c r="B78" s="282"/>
      <c r="C78" s="282" t="s">
        <v>200</v>
      </c>
      <c r="D78" s="282">
        <v>0</v>
      </c>
      <c r="E78" s="282" t="s">
        <v>181</v>
      </c>
      <c r="F78" s="282" t="s">
        <v>186</v>
      </c>
      <c r="G78" s="283"/>
      <c r="H78" s="283"/>
      <c r="I78" s="311">
        <v>0</v>
      </c>
      <c r="J78" s="257"/>
      <c r="K78" s="257"/>
      <c r="L78" s="3574"/>
      <c r="M78" s="278" t="e">
        <f t="shared" si="19"/>
        <v>#DIV/0!</v>
      </c>
      <c r="N78" s="278" t="e">
        <f t="shared" si="19"/>
        <v>#DIV/0!</v>
      </c>
      <c r="O78" s="214">
        <f t="shared" si="20"/>
        <v>0</v>
      </c>
      <c r="P78" s="214">
        <f t="shared" si="21"/>
        <v>0</v>
      </c>
      <c r="Q78" s="214">
        <f>IF(K78=0, 0, (HLOOKUP(K78,'[1]E-CESTDWO'!$A$5:$O$35,J78+1,FALSE)*R28))</f>
        <v>0</v>
      </c>
      <c r="R78" s="214">
        <f>IF(K78=0, 0, (HLOOKUP(K78,'[1]E-CESTD'!$A$5:$O$35,J78+1,FALSE)*R28))</f>
        <v>0</v>
      </c>
      <c r="S78" s="279">
        <v>1.081</v>
      </c>
      <c r="T78" s="3628">
        <f t="shared" si="12"/>
        <v>0</v>
      </c>
      <c r="U78" s="3628">
        <f t="shared" si="13"/>
        <v>0</v>
      </c>
      <c r="V78" s="3632">
        <f t="shared" si="17"/>
        <v>0</v>
      </c>
      <c r="W78" s="322" t="e">
        <f t="shared" si="14"/>
        <v>#DIV/0!</v>
      </c>
      <c r="X78" s="322" t="e">
        <f t="shared" si="15"/>
        <v>#DIV/0!</v>
      </c>
      <c r="Y78" s="322" t="e">
        <f t="shared" si="16"/>
        <v>#DIV/0!</v>
      </c>
    </row>
    <row r="79" spans="2:25">
      <c r="B79" s="282"/>
      <c r="C79" s="282" t="s">
        <v>201</v>
      </c>
      <c r="D79" s="282">
        <v>0</v>
      </c>
      <c r="E79" s="282" t="s">
        <v>181</v>
      </c>
      <c r="F79" s="282" t="s">
        <v>186</v>
      </c>
      <c r="G79" s="283"/>
      <c r="H79" s="283"/>
      <c r="I79" s="311">
        <v>0</v>
      </c>
      <c r="J79" s="257"/>
      <c r="K79" s="257"/>
      <c r="L79" s="3574"/>
      <c r="M79" s="278" t="e">
        <f t="shared" si="19"/>
        <v>#DIV/0!</v>
      </c>
      <c r="N79" s="278" t="e">
        <f t="shared" si="19"/>
        <v>#DIV/0!</v>
      </c>
      <c r="O79" s="214">
        <f t="shared" si="20"/>
        <v>0</v>
      </c>
      <c r="P79" s="214">
        <f t="shared" si="21"/>
        <v>0</v>
      </c>
      <c r="Q79" s="214">
        <f>IF(K79=0, 0, (HLOOKUP(K79,'[1]E-CESTDWO'!$A$5:$O$35,J79+1,FALSE)*R29))</f>
        <v>0</v>
      </c>
      <c r="R79" s="214">
        <f>IF(K79=0, 0, (HLOOKUP(K79,'[1]E-CESTD'!$A$5:$O$35,J79+1,FALSE)*R29))</f>
        <v>0</v>
      </c>
      <c r="S79" s="279">
        <v>1.081</v>
      </c>
      <c r="T79" s="3628">
        <f t="shared" si="12"/>
        <v>0</v>
      </c>
      <c r="U79" s="3628">
        <f t="shared" si="13"/>
        <v>0</v>
      </c>
      <c r="V79" s="3632">
        <f t="shared" si="17"/>
        <v>0</v>
      </c>
      <c r="W79" s="322" t="e">
        <f t="shared" si="14"/>
        <v>#DIV/0!</v>
      </c>
      <c r="X79" s="322" t="e">
        <f t="shared" si="15"/>
        <v>#DIV/0!</v>
      </c>
      <c r="Y79" s="322" t="e">
        <f t="shared" si="16"/>
        <v>#DIV/0!</v>
      </c>
    </row>
    <row r="80" spans="2:25">
      <c r="B80" s="282"/>
      <c r="C80" s="282" t="s">
        <v>202</v>
      </c>
      <c r="D80" s="282">
        <v>0</v>
      </c>
      <c r="E80" s="282" t="s">
        <v>181</v>
      </c>
      <c r="F80" s="282" t="s">
        <v>186</v>
      </c>
      <c r="G80" s="283"/>
      <c r="H80" s="283"/>
      <c r="I80" s="311">
        <v>0</v>
      </c>
      <c r="J80" s="257"/>
      <c r="K80" s="257"/>
      <c r="L80" s="3574"/>
      <c r="M80" s="278" t="e">
        <f t="shared" si="19"/>
        <v>#DIV/0!</v>
      </c>
      <c r="N80" s="278" t="e">
        <f t="shared" si="19"/>
        <v>#DIV/0!</v>
      </c>
      <c r="O80" s="214">
        <f t="shared" si="20"/>
        <v>0</v>
      </c>
      <c r="P80" s="214">
        <f t="shared" si="21"/>
        <v>0</v>
      </c>
      <c r="Q80" s="214">
        <f>IF(K80=0, 0, (HLOOKUP(K80,'[1]E-CESTDWO'!$A$5:$O$35,J80+1,FALSE)*R30))</f>
        <v>0</v>
      </c>
      <c r="R80" s="214">
        <f>IF(K80=0, 0, (HLOOKUP(K80,'[1]E-CESTD'!$A$5:$O$35,J80+1,FALSE)*R30))</f>
        <v>0</v>
      </c>
      <c r="S80" s="279">
        <v>1.081</v>
      </c>
      <c r="T80" s="3628">
        <f t="shared" si="12"/>
        <v>0</v>
      </c>
      <c r="U80" s="3628">
        <f t="shared" si="13"/>
        <v>0</v>
      </c>
      <c r="V80" s="3632">
        <f t="shared" si="17"/>
        <v>0</v>
      </c>
      <c r="W80" s="322" t="e">
        <f t="shared" si="14"/>
        <v>#DIV/0!</v>
      </c>
      <c r="X80" s="322" t="e">
        <f t="shared" si="15"/>
        <v>#DIV/0!</v>
      </c>
      <c r="Y80" s="322" t="e">
        <f t="shared" si="16"/>
        <v>#DIV/0!</v>
      </c>
    </row>
    <row r="81" spans="2:25">
      <c r="B81" s="282"/>
      <c r="C81" s="282" t="s">
        <v>203</v>
      </c>
      <c r="D81" s="282">
        <v>0</v>
      </c>
      <c r="E81" s="282" t="s">
        <v>181</v>
      </c>
      <c r="F81" s="282" t="s">
        <v>186</v>
      </c>
      <c r="G81" s="283"/>
      <c r="H81" s="283"/>
      <c r="I81" s="311">
        <v>0</v>
      </c>
      <c r="J81" s="257"/>
      <c r="K81" s="257"/>
      <c r="L81" s="3574"/>
      <c r="M81" s="278" t="e">
        <f t="shared" si="19"/>
        <v>#DIV/0!</v>
      </c>
      <c r="N81" s="278" t="e">
        <f t="shared" si="19"/>
        <v>#DIV/0!</v>
      </c>
      <c r="O81" s="214">
        <f t="shared" si="20"/>
        <v>0</v>
      </c>
      <c r="P81" s="214">
        <f t="shared" si="21"/>
        <v>0</v>
      </c>
      <c r="Q81" s="214">
        <f>IF(K81=0, 0, (HLOOKUP(K81,'[1]E-CESTDWO'!$A$5:$O$35,J81+1,FALSE)*R31))</f>
        <v>0</v>
      </c>
      <c r="R81" s="214">
        <f>IF(K81=0, 0, (HLOOKUP(K81,'[1]E-CESTD'!$A$5:$O$35,J81+1,FALSE)*R31))</f>
        <v>0</v>
      </c>
      <c r="S81" s="279">
        <v>1.081</v>
      </c>
      <c r="T81" s="3628">
        <f t="shared" si="12"/>
        <v>0</v>
      </c>
      <c r="U81" s="3628">
        <f t="shared" si="13"/>
        <v>0</v>
      </c>
      <c r="V81" s="3632">
        <f t="shared" si="17"/>
        <v>0</v>
      </c>
      <c r="W81" s="322" t="e">
        <f t="shared" si="14"/>
        <v>#DIV/0!</v>
      </c>
      <c r="X81" s="322" t="e">
        <f t="shared" si="15"/>
        <v>#DIV/0!</v>
      </c>
      <c r="Y81" s="322" t="e">
        <f t="shared" si="16"/>
        <v>#DIV/0!</v>
      </c>
    </row>
    <row r="82" spans="2:25">
      <c r="B82" s="282"/>
      <c r="C82" s="282" t="s">
        <v>204</v>
      </c>
      <c r="D82" s="282">
        <v>0</v>
      </c>
      <c r="E82" s="282" t="s">
        <v>181</v>
      </c>
      <c r="F82" s="282" t="s">
        <v>186</v>
      </c>
      <c r="G82" s="283"/>
      <c r="H82" s="283"/>
      <c r="I82" s="311">
        <v>0</v>
      </c>
      <c r="J82" s="257"/>
      <c r="K82" s="257"/>
      <c r="L82" s="3574"/>
      <c r="M82" s="278" t="e">
        <f t="shared" si="19"/>
        <v>#DIV/0!</v>
      </c>
      <c r="N82" s="278" t="e">
        <f t="shared" si="19"/>
        <v>#DIV/0!</v>
      </c>
      <c r="O82" s="214">
        <f t="shared" si="20"/>
        <v>0</v>
      </c>
      <c r="P82" s="214">
        <f t="shared" si="21"/>
        <v>0</v>
      </c>
      <c r="Q82" s="214">
        <f>IF(K82=0, 0, (HLOOKUP(K82,'[1]E-CESTDWO'!$A$5:$O$35,J82+1,FALSE)*R32))</f>
        <v>0</v>
      </c>
      <c r="R82" s="214">
        <f>IF(K82=0, 0, (HLOOKUP(K82,'[1]E-CESTD'!$A$5:$O$35,J82+1,FALSE)*R32))</f>
        <v>0</v>
      </c>
      <c r="S82" s="279">
        <v>1.081</v>
      </c>
      <c r="T82" s="3628">
        <f t="shared" si="12"/>
        <v>0</v>
      </c>
      <c r="U82" s="3628">
        <f t="shared" si="13"/>
        <v>0</v>
      </c>
      <c r="V82" s="3632">
        <f t="shared" si="17"/>
        <v>0</v>
      </c>
    </row>
    <row r="83" spans="2:25">
      <c r="B83" s="282"/>
      <c r="C83" s="282" t="s">
        <v>205</v>
      </c>
      <c r="D83" s="285">
        <v>0</v>
      </c>
      <c r="E83" s="282" t="s">
        <v>181</v>
      </c>
      <c r="F83" s="282" t="s">
        <v>186</v>
      </c>
      <c r="G83" s="283"/>
      <c r="H83" s="283"/>
      <c r="I83" s="311">
        <v>0</v>
      </c>
      <c r="J83" s="257"/>
      <c r="K83" s="257"/>
      <c r="L83" s="3574"/>
      <c r="M83" s="278" t="e">
        <f t="shared" si="19"/>
        <v>#DIV/0!</v>
      </c>
      <c r="N83" s="278" t="e">
        <f t="shared" si="19"/>
        <v>#DIV/0!</v>
      </c>
      <c r="O83" s="214">
        <f t="shared" si="20"/>
        <v>0</v>
      </c>
      <c r="P83" s="214">
        <f t="shared" si="21"/>
        <v>0</v>
      </c>
      <c r="Q83" s="214">
        <f>IF(K83=0, 0, (HLOOKUP(K83,'[1]E-CESTDWO'!$A$5:$O$35,J83+1,FALSE)*R33))</f>
        <v>0</v>
      </c>
      <c r="R83" s="214">
        <f>IF(K83=0, 0, (HLOOKUP(K83,'[1]E-CESTD'!$A$5:$O$35,J83+1,FALSE)*R33))</f>
        <v>0</v>
      </c>
      <c r="S83" s="279">
        <v>1.081</v>
      </c>
      <c r="T83" s="3628">
        <f t="shared" si="12"/>
        <v>0</v>
      </c>
      <c r="U83" s="3628">
        <f t="shared" si="13"/>
        <v>0</v>
      </c>
      <c r="V83" s="3632">
        <f t="shared" si="17"/>
        <v>0</v>
      </c>
    </row>
    <row r="84" spans="2:25">
      <c r="B84" s="282"/>
      <c r="C84" s="282" t="s">
        <v>206</v>
      </c>
      <c r="D84" s="285">
        <v>0</v>
      </c>
      <c r="E84" s="282" t="s">
        <v>181</v>
      </c>
      <c r="F84" s="282" t="s">
        <v>186</v>
      </c>
      <c r="G84" s="283"/>
      <c r="H84" s="283"/>
      <c r="I84" s="311">
        <v>0</v>
      </c>
      <c r="J84" s="257"/>
      <c r="K84" s="257"/>
      <c r="L84" s="3574"/>
      <c r="M84" s="278" t="e">
        <f t="shared" si="19"/>
        <v>#DIV/0!</v>
      </c>
      <c r="N84" s="278" t="e">
        <f t="shared" si="19"/>
        <v>#DIV/0!</v>
      </c>
      <c r="O84" s="214">
        <f t="shared" si="20"/>
        <v>0</v>
      </c>
      <c r="P84" s="214">
        <f t="shared" si="21"/>
        <v>0</v>
      </c>
      <c r="Q84" s="214">
        <f>IF(K84=0, 0, (HLOOKUP(K84,'[1]E-CESTDWO'!$A$5:$O$35,J84+1,FALSE)*R34))</f>
        <v>0</v>
      </c>
      <c r="R84" s="214">
        <f>IF(K84=0, 0, (HLOOKUP(K84,'[1]E-CESTD'!$A$5:$O$35,J84+1,FALSE)*R34))</f>
        <v>0</v>
      </c>
      <c r="S84" s="279">
        <v>1.081</v>
      </c>
      <c r="T84" s="3628">
        <f t="shared" si="12"/>
        <v>0</v>
      </c>
      <c r="U84" s="3628">
        <f t="shared" si="13"/>
        <v>0</v>
      </c>
      <c r="V84" s="3632">
        <f t="shared" si="17"/>
        <v>0</v>
      </c>
    </row>
    <row r="85" spans="2:25">
      <c r="B85" s="282"/>
      <c r="C85" s="282" t="s">
        <v>207</v>
      </c>
      <c r="D85" s="285">
        <v>0</v>
      </c>
      <c r="E85" s="282" t="s">
        <v>181</v>
      </c>
      <c r="F85" s="282" t="s">
        <v>186</v>
      </c>
      <c r="G85" s="283"/>
      <c r="H85" s="283"/>
      <c r="I85" s="311">
        <v>0</v>
      </c>
      <c r="J85" s="257"/>
      <c r="K85" s="257"/>
      <c r="L85" s="3574"/>
      <c r="M85" s="278" t="e">
        <f t="shared" si="19"/>
        <v>#DIV/0!</v>
      </c>
      <c r="N85" s="278" t="e">
        <f t="shared" si="19"/>
        <v>#DIV/0!</v>
      </c>
      <c r="O85" s="214">
        <f t="shared" si="20"/>
        <v>0</v>
      </c>
      <c r="P85" s="214">
        <f t="shared" si="21"/>
        <v>0</v>
      </c>
      <c r="Q85" s="214">
        <f>IF(K85=0, 0, (HLOOKUP(K85,'[1]E-CESTDWO'!$A$5:$O$35,J85+1,FALSE)*R35))</f>
        <v>0</v>
      </c>
      <c r="R85" s="214">
        <f>IF(K85=0, 0, (HLOOKUP(K85,'[1]E-CESTD'!$A$5:$O$35,J85+1,FALSE)*R35))</f>
        <v>0</v>
      </c>
      <c r="S85" s="279">
        <v>1.081</v>
      </c>
      <c r="T85" s="3628">
        <f t="shared" si="12"/>
        <v>0</v>
      </c>
      <c r="U85" s="3628">
        <f t="shared" si="13"/>
        <v>0</v>
      </c>
      <c r="V85" s="3632">
        <f t="shared" si="17"/>
        <v>0</v>
      </c>
    </row>
    <row r="86" spans="2:25">
      <c r="B86" s="282"/>
      <c r="C86" s="282" t="s">
        <v>208</v>
      </c>
      <c r="D86" s="285">
        <v>0</v>
      </c>
      <c r="E86" s="282" t="s">
        <v>181</v>
      </c>
      <c r="F86" s="282" t="s">
        <v>186</v>
      </c>
      <c r="G86" s="283"/>
      <c r="H86" s="283"/>
      <c r="I86" s="311">
        <v>0</v>
      </c>
      <c r="J86" s="257"/>
      <c r="K86" s="257"/>
      <c r="L86" s="3574"/>
      <c r="M86" s="278" t="e">
        <f t="shared" si="19"/>
        <v>#DIV/0!</v>
      </c>
      <c r="N86" s="278" t="e">
        <f t="shared" si="19"/>
        <v>#DIV/0!</v>
      </c>
      <c r="O86" s="214">
        <f t="shared" si="20"/>
        <v>0</v>
      </c>
      <c r="P86" s="214">
        <f t="shared" si="21"/>
        <v>0</v>
      </c>
      <c r="Q86" s="214">
        <f>IF(K86=0, 0, (HLOOKUP(K86,'[1]E-CESTDWO'!$A$5:$O$35,J86+1,FALSE)*R36))</f>
        <v>0</v>
      </c>
      <c r="R86" s="214">
        <f>IF(K86=0, 0, (HLOOKUP(K86,'[1]E-CESTD'!$A$5:$O$35,J86+1,FALSE)*R36))</f>
        <v>0</v>
      </c>
      <c r="S86" s="279">
        <v>1.081</v>
      </c>
      <c r="T86" s="3628">
        <f t="shared" si="12"/>
        <v>0</v>
      </c>
      <c r="U86" s="3628">
        <f t="shared" si="13"/>
        <v>0</v>
      </c>
      <c r="V86" s="3632">
        <f t="shared" si="17"/>
        <v>0</v>
      </c>
    </row>
    <row r="87" spans="2:25">
      <c r="B87" s="282"/>
      <c r="C87" s="282" t="s">
        <v>209</v>
      </c>
      <c r="D87" s="285">
        <v>0</v>
      </c>
      <c r="E87" s="282" t="s">
        <v>181</v>
      </c>
      <c r="F87" s="282" t="s">
        <v>186</v>
      </c>
      <c r="G87" s="283"/>
      <c r="H87" s="283"/>
      <c r="I87" s="311">
        <v>0</v>
      </c>
      <c r="J87" s="257"/>
      <c r="K87" s="257"/>
      <c r="L87" s="3574"/>
      <c r="M87" s="278" t="e">
        <f t="shared" si="19"/>
        <v>#DIV/0!</v>
      </c>
      <c r="N87" s="278" t="e">
        <f t="shared" si="19"/>
        <v>#DIV/0!</v>
      </c>
      <c r="O87" s="214">
        <f t="shared" si="20"/>
        <v>0</v>
      </c>
      <c r="P87" s="214">
        <f t="shared" si="21"/>
        <v>0</v>
      </c>
      <c r="Q87" s="214">
        <f>IF(K87=0, 0, (HLOOKUP(K87,'[1]E-CESTDWO'!$A$5:$O$35,J87+1,FALSE)*R37))</f>
        <v>0</v>
      </c>
      <c r="R87" s="214">
        <f>IF(K87=0, 0, (HLOOKUP(K87,'[1]E-CESTD'!$A$5:$O$35,J87+1,FALSE)*R37))</f>
        <v>0</v>
      </c>
      <c r="S87" s="279">
        <v>1.081</v>
      </c>
      <c r="T87" s="3628">
        <f t="shared" si="12"/>
        <v>0</v>
      </c>
      <c r="U87" s="3628">
        <f t="shared" si="13"/>
        <v>0</v>
      </c>
      <c r="V87" s="3632">
        <f t="shared" si="17"/>
        <v>0</v>
      </c>
    </row>
    <row r="88" spans="2:25">
      <c r="B88" s="282"/>
      <c r="C88" s="282" t="s">
        <v>210</v>
      </c>
      <c r="D88" s="285">
        <v>0</v>
      </c>
      <c r="E88" s="282" t="s">
        <v>181</v>
      </c>
      <c r="F88" s="282" t="s">
        <v>186</v>
      </c>
      <c r="G88" s="283"/>
      <c r="H88" s="283"/>
      <c r="I88" s="311">
        <v>0</v>
      </c>
      <c r="J88" s="257"/>
      <c r="K88" s="257"/>
      <c r="L88" s="3574"/>
      <c r="M88" s="278" t="e">
        <f t="shared" si="19"/>
        <v>#DIV/0!</v>
      </c>
      <c r="N88" s="278" t="e">
        <f t="shared" si="19"/>
        <v>#DIV/0!</v>
      </c>
      <c r="O88" s="214">
        <f t="shared" si="20"/>
        <v>0</v>
      </c>
      <c r="P88" s="214">
        <f t="shared" si="21"/>
        <v>0</v>
      </c>
      <c r="Q88" s="214">
        <f>IF(K88=0, 0, (HLOOKUP(K88,'[1]E-CESTDWO'!$A$5:$O$35,J88+1,FALSE)*R38))</f>
        <v>0</v>
      </c>
      <c r="R88" s="214">
        <f>IF(K88=0, 0, (HLOOKUP(K88,'[1]E-CESTD'!$A$5:$O$35,J88+1,FALSE)*R38))</f>
        <v>0</v>
      </c>
      <c r="S88" s="279">
        <v>1.081</v>
      </c>
      <c r="T88" s="3628">
        <f t="shared" si="12"/>
        <v>0</v>
      </c>
      <c r="U88" s="3628">
        <f t="shared" si="13"/>
        <v>0</v>
      </c>
      <c r="V88" s="3632">
        <f t="shared" si="17"/>
        <v>0</v>
      </c>
    </row>
    <row r="89" spans="2:25">
      <c r="B89" s="282"/>
      <c r="C89" s="282" t="s">
        <v>211</v>
      </c>
      <c r="D89" s="285">
        <v>0</v>
      </c>
      <c r="E89" s="282" t="s">
        <v>181</v>
      </c>
      <c r="F89" s="282" t="s">
        <v>186</v>
      </c>
      <c r="G89" s="283"/>
      <c r="H89" s="283"/>
      <c r="I89" s="311">
        <v>0</v>
      </c>
      <c r="J89" s="257"/>
      <c r="K89" s="257"/>
      <c r="L89" s="3574"/>
      <c r="M89" s="278" t="e">
        <f t="shared" si="19"/>
        <v>#DIV/0!</v>
      </c>
      <c r="N89" s="278" t="e">
        <f t="shared" si="19"/>
        <v>#DIV/0!</v>
      </c>
      <c r="O89" s="214">
        <f t="shared" si="20"/>
        <v>0</v>
      </c>
      <c r="P89" s="214">
        <f t="shared" si="21"/>
        <v>0</v>
      </c>
      <c r="Q89" s="214">
        <f>IF(K89=0, 0, (HLOOKUP(K89,'[1]E-CESTDWO'!$A$5:$O$35,J89+1,FALSE)*R39))</f>
        <v>0</v>
      </c>
      <c r="R89" s="214">
        <f>IF(K89=0, 0, (HLOOKUP(K89,'[1]E-CESTD'!$A$5:$O$35,J89+1,FALSE)*R39))</f>
        <v>0</v>
      </c>
      <c r="S89" s="279">
        <v>1.081</v>
      </c>
      <c r="T89" s="3628">
        <f t="shared" si="12"/>
        <v>0</v>
      </c>
      <c r="U89" s="3628">
        <f t="shared" si="13"/>
        <v>0</v>
      </c>
      <c r="V89" s="3632">
        <f t="shared" si="17"/>
        <v>0</v>
      </c>
    </row>
    <row r="90" spans="2:25">
      <c r="B90" s="282"/>
      <c r="C90" s="282" t="s">
        <v>212</v>
      </c>
      <c r="D90" s="285">
        <v>0</v>
      </c>
      <c r="E90" s="282" t="s">
        <v>181</v>
      </c>
      <c r="F90" s="282" t="s">
        <v>186</v>
      </c>
      <c r="G90" s="283"/>
      <c r="H90" s="283"/>
      <c r="I90" s="311">
        <v>0</v>
      </c>
      <c r="J90" s="257"/>
      <c r="K90" s="257"/>
      <c r="L90" s="3574"/>
      <c r="M90" s="278" t="e">
        <f t="shared" si="19"/>
        <v>#DIV/0!</v>
      </c>
      <c r="N90" s="278" t="e">
        <f t="shared" si="19"/>
        <v>#DIV/0!</v>
      </c>
      <c r="O90" s="214">
        <f t="shared" si="20"/>
        <v>0</v>
      </c>
      <c r="P90" s="214">
        <f t="shared" si="21"/>
        <v>0</v>
      </c>
      <c r="Q90" s="214">
        <f>IF(K90=0, 0, (HLOOKUP(K90,'[1]E-CESTDWO'!$A$5:$O$35,J90+1,FALSE)*R40))</f>
        <v>0</v>
      </c>
      <c r="R90" s="214">
        <f>IF(K90=0, 0, (HLOOKUP(K90,'[1]E-CESTD'!$A$5:$O$35,J90+1,FALSE)*R40))</f>
        <v>0</v>
      </c>
      <c r="S90" s="279">
        <v>1.081</v>
      </c>
      <c r="T90" s="3628">
        <f t="shared" si="12"/>
        <v>0</v>
      </c>
      <c r="U90" s="3628">
        <f t="shared" si="13"/>
        <v>0</v>
      </c>
      <c r="V90" s="3632">
        <f t="shared" si="17"/>
        <v>0</v>
      </c>
    </row>
    <row r="91" spans="2:25">
      <c r="B91" s="282"/>
      <c r="C91" s="282" t="s">
        <v>213</v>
      </c>
      <c r="D91" s="285">
        <v>0</v>
      </c>
      <c r="E91" s="282" t="s">
        <v>181</v>
      </c>
      <c r="F91" s="282" t="s">
        <v>186</v>
      </c>
      <c r="G91" s="283"/>
      <c r="H91" s="283"/>
      <c r="I91" s="311">
        <v>0</v>
      </c>
      <c r="J91" s="257"/>
      <c r="K91" s="257"/>
      <c r="L91" s="3574"/>
      <c r="M91" s="278" t="e">
        <f t="shared" si="19"/>
        <v>#DIV/0!</v>
      </c>
      <c r="N91" s="278" t="e">
        <f t="shared" si="19"/>
        <v>#DIV/0!</v>
      </c>
      <c r="O91" s="214">
        <f t="shared" si="20"/>
        <v>0</v>
      </c>
      <c r="P91" s="214">
        <f t="shared" si="21"/>
        <v>0</v>
      </c>
      <c r="Q91" s="214">
        <f>IF(K91=0, 0, (HLOOKUP(K91,'[1]E-CESTDWO'!$A$5:$O$35,J91+1,FALSE)*R41))</f>
        <v>0</v>
      </c>
      <c r="R91" s="214">
        <f>IF(K91=0, 0, (HLOOKUP(K91,'[1]E-CESTD'!$A$5:$O$35,J91+1,FALSE)*R41))</f>
        <v>0</v>
      </c>
      <c r="S91" s="279">
        <v>1.081</v>
      </c>
      <c r="T91" s="3628">
        <f t="shared" si="12"/>
        <v>0</v>
      </c>
      <c r="U91" s="3628">
        <f t="shared" si="13"/>
        <v>0</v>
      </c>
      <c r="V91" s="3632">
        <f t="shared" si="17"/>
        <v>0</v>
      </c>
    </row>
    <row r="92" spans="2:25">
      <c r="B92" s="282"/>
      <c r="C92" s="282" t="s">
        <v>214</v>
      </c>
      <c r="D92" s="285">
        <v>0</v>
      </c>
      <c r="E92" s="282" t="s">
        <v>181</v>
      </c>
      <c r="F92" s="282" t="s">
        <v>186</v>
      </c>
      <c r="G92" s="283"/>
      <c r="H92" s="283"/>
      <c r="I92" s="311">
        <v>0</v>
      </c>
      <c r="J92" s="257"/>
      <c r="K92" s="257"/>
      <c r="L92" s="3574"/>
      <c r="M92" s="278" t="e">
        <f t="shared" si="19"/>
        <v>#DIV/0!</v>
      </c>
      <c r="N92" s="278" t="e">
        <f t="shared" si="19"/>
        <v>#DIV/0!</v>
      </c>
      <c r="O92" s="214">
        <f t="shared" si="20"/>
        <v>0</v>
      </c>
      <c r="P92" s="214">
        <f t="shared" si="21"/>
        <v>0</v>
      </c>
      <c r="Q92" s="214">
        <f>IF(K92=0, 0, (HLOOKUP(K92,'[1]E-CESTDWO'!$A$5:$O$35,J92+1,FALSE)*R42))</f>
        <v>0</v>
      </c>
      <c r="R92" s="214">
        <f>IF(K92=0, 0, (HLOOKUP(K92,'[1]E-CESTD'!$A$5:$O$35,J92+1,FALSE)*R42))</f>
        <v>0</v>
      </c>
      <c r="S92" s="279">
        <v>1.081</v>
      </c>
      <c r="T92" s="3628">
        <f t="shared" si="12"/>
        <v>0</v>
      </c>
      <c r="U92" s="3628">
        <f t="shared" si="13"/>
        <v>0</v>
      </c>
      <c r="V92" s="3632">
        <f t="shared" si="17"/>
        <v>0</v>
      </c>
    </row>
    <row r="93" spans="2:25">
      <c r="B93" s="282"/>
      <c r="C93" s="282" t="s">
        <v>215</v>
      </c>
      <c r="D93" s="285">
        <v>0</v>
      </c>
      <c r="E93" s="282" t="s">
        <v>181</v>
      </c>
      <c r="F93" s="282" t="s">
        <v>186</v>
      </c>
      <c r="G93" s="283"/>
      <c r="H93" s="283"/>
      <c r="I93" s="311">
        <v>0</v>
      </c>
      <c r="J93" s="257"/>
      <c r="K93" s="257"/>
      <c r="L93" s="3574"/>
      <c r="M93" s="278" t="e">
        <f t="shared" si="19"/>
        <v>#DIV/0!</v>
      </c>
      <c r="N93" s="278" t="e">
        <f t="shared" si="19"/>
        <v>#DIV/0!</v>
      </c>
      <c r="O93" s="214">
        <f t="shared" si="20"/>
        <v>0</v>
      </c>
      <c r="P93" s="214">
        <f t="shared" si="21"/>
        <v>0</v>
      </c>
      <c r="Q93" s="214">
        <f>IF(K93=0, 0, (HLOOKUP(K93,'[1]E-CESTDWO'!$A$5:$O$35,J93+1,FALSE)*R43))</f>
        <v>0</v>
      </c>
      <c r="R93" s="214">
        <f>IF(K93=0, 0, (HLOOKUP(K93,'[1]E-CESTD'!$A$5:$O$35,J93+1,FALSE)*R43))</f>
        <v>0</v>
      </c>
      <c r="S93" s="279">
        <v>1.081</v>
      </c>
      <c r="T93" s="3628">
        <f t="shared" si="12"/>
        <v>0</v>
      </c>
      <c r="U93" s="3628">
        <f t="shared" si="13"/>
        <v>0</v>
      </c>
      <c r="V93" s="3632">
        <f t="shared" si="17"/>
        <v>0</v>
      </c>
    </row>
    <row r="94" spans="2:25">
      <c r="B94" s="282"/>
      <c r="C94" s="282" t="s">
        <v>216</v>
      </c>
      <c r="D94" s="285">
        <v>0</v>
      </c>
      <c r="E94" s="282" t="s">
        <v>181</v>
      </c>
      <c r="F94" s="282" t="s">
        <v>186</v>
      </c>
      <c r="G94" s="283"/>
      <c r="H94" s="283"/>
      <c r="I94" s="311">
        <v>0</v>
      </c>
      <c r="J94" s="257"/>
      <c r="K94" s="257"/>
      <c r="L94" s="3574"/>
      <c r="M94" s="278" t="e">
        <f t="shared" si="19"/>
        <v>#DIV/0!</v>
      </c>
      <c r="N94" s="278" t="e">
        <f t="shared" si="19"/>
        <v>#DIV/0!</v>
      </c>
      <c r="O94" s="214">
        <f t="shared" si="20"/>
        <v>0</v>
      </c>
      <c r="P94" s="214">
        <f t="shared" si="21"/>
        <v>0</v>
      </c>
      <c r="Q94" s="214">
        <f>IF(K94=0, 0, (HLOOKUP(K94,'[1]E-CESTDWO'!$A$5:$O$35,J94+1,FALSE)*R44))</f>
        <v>0</v>
      </c>
      <c r="R94" s="214">
        <f>IF(K94=0, 0, (HLOOKUP(K94,'[1]E-CESTD'!$A$5:$O$35,J94+1,FALSE)*R44))</f>
        <v>0</v>
      </c>
      <c r="S94" s="279">
        <v>1.081</v>
      </c>
      <c r="T94" s="3628">
        <f t="shared" si="12"/>
        <v>0</v>
      </c>
      <c r="U94" s="3628">
        <f t="shared" si="13"/>
        <v>0</v>
      </c>
      <c r="V94" s="3632">
        <f t="shared" si="17"/>
        <v>0</v>
      </c>
    </row>
    <row r="95" spans="2:25">
      <c r="B95" s="282"/>
      <c r="C95" s="282" t="s">
        <v>217</v>
      </c>
      <c r="D95" s="285">
        <v>0</v>
      </c>
      <c r="E95" s="282" t="s">
        <v>181</v>
      </c>
      <c r="F95" s="282" t="s">
        <v>186</v>
      </c>
      <c r="G95" s="283"/>
      <c r="H95" s="283"/>
      <c r="I95" s="311">
        <v>0</v>
      </c>
      <c r="J95" s="257"/>
      <c r="K95" s="257"/>
      <c r="L95" s="3574"/>
      <c r="M95" s="278" t="e">
        <f t="shared" si="19"/>
        <v>#DIV/0!</v>
      </c>
      <c r="N95" s="278" t="e">
        <f t="shared" si="19"/>
        <v>#DIV/0!</v>
      </c>
      <c r="O95" s="214">
        <f t="shared" si="20"/>
        <v>0</v>
      </c>
      <c r="P95" s="214">
        <f t="shared" si="21"/>
        <v>0</v>
      </c>
      <c r="Q95" s="214">
        <f>IF(K95=0, 0, (HLOOKUP(K95,'[1]E-CESTDWO'!$A$5:$O$35,J95+1,FALSE)*R45))</f>
        <v>0</v>
      </c>
      <c r="R95" s="214">
        <f>IF(K95=0, 0, (HLOOKUP(K95,'[1]E-CESTD'!$A$5:$O$35,J95+1,FALSE)*R45))</f>
        <v>0</v>
      </c>
      <c r="S95" s="279">
        <v>1.081</v>
      </c>
      <c r="T95" s="3628">
        <f t="shared" si="12"/>
        <v>0</v>
      </c>
      <c r="U95" s="3628">
        <f t="shared" si="13"/>
        <v>0</v>
      </c>
      <c r="V95" s="3632">
        <f t="shared" si="17"/>
        <v>0</v>
      </c>
    </row>
    <row r="96" spans="2:25">
      <c r="B96" s="282"/>
      <c r="C96" s="282" t="s">
        <v>218</v>
      </c>
      <c r="D96" s="285">
        <v>0</v>
      </c>
      <c r="E96" s="282" t="s">
        <v>181</v>
      </c>
      <c r="F96" s="282" t="s">
        <v>186</v>
      </c>
      <c r="G96" s="283"/>
      <c r="H96" s="283"/>
      <c r="I96" s="311">
        <v>0</v>
      </c>
      <c r="J96" s="257"/>
      <c r="K96" s="257"/>
      <c r="L96" s="3574"/>
      <c r="M96" s="278" t="e">
        <f t="shared" si="19"/>
        <v>#DIV/0!</v>
      </c>
      <c r="N96" s="278" t="e">
        <f t="shared" si="19"/>
        <v>#DIV/0!</v>
      </c>
      <c r="O96" s="214">
        <f t="shared" si="20"/>
        <v>0</v>
      </c>
      <c r="P96" s="214">
        <f t="shared" si="21"/>
        <v>0</v>
      </c>
      <c r="Q96" s="214">
        <f>IF(K96=0, 0, (HLOOKUP(K96,'[1]E-CESTDWO'!$A$5:$O$35,J96+1,FALSE)*R46))</f>
        <v>0</v>
      </c>
      <c r="R96" s="214">
        <f>IF(K96=0, 0, (HLOOKUP(K96,'[1]E-CESTD'!$A$5:$O$35,J96+1,FALSE)*R46))</f>
        <v>0</v>
      </c>
      <c r="S96" s="279">
        <v>1.081</v>
      </c>
      <c r="T96" s="3628">
        <f t="shared" si="12"/>
        <v>0</v>
      </c>
      <c r="U96" s="3628">
        <f t="shared" si="13"/>
        <v>0</v>
      </c>
      <c r="V96" s="3632">
        <f t="shared" si="17"/>
        <v>0</v>
      </c>
    </row>
    <row r="97" spans="2:22">
      <c r="B97" s="282"/>
      <c r="C97" s="282" t="s">
        <v>219</v>
      </c>
      <c r="D97" s="285">
        <v>0</v>
      </c>
      <c r="E97" s="282" t="s">
        <v>181</v>
      </c>
      <c r="F97" s="282" t="s">
        <v>186</v>
      </c>
      <c r="G97" s="283"/>
      <c r="H97" s="283"/>
      <c r="I97" s="311">
        <v>0</v>
      </c>
      <c r="J97" s="257"/>
      <c r="K97" s="257"/>
      <c r="L97" s="3574"/>
      <c r="M97" s="278" t="e">
        <f t="shared" si="19"/>
        <v>#DIV/0!</v>
      </c>
      <c r="N97" s="278" t="e">
        <f t="shared" si="19"/>
        <v>#DIV/0!</v>
      </c>
      <c r="O97" s="214">
        <f t="shared" si="20"/>
        <v>0</v>
      </c>
      <c r="P97" s="214">
        <f t="shared" si="21"/>
        <v>0</v>
      </c>
      <c r="Q97" s="214">
        <f>IF(K97=0, 0, (HLOOKUP(K97,'[1]E-CESTDWO'!$A$5:$O$35,J97+1,FALSE)*R47))</f>
        <v>0</v>
      </c>
      <c r="R97" s="214">
        <f>IF(K97=0, 0, (HLOOKUP(K97,'[1]E-CESTD'!$A$5:$O$35,J97+1,FALSE)*R47))</f>
        <v>0</v>
      </c>
      <c r="S97" s="279">
        <v>1.081</v>
      </c>
      <c r="T97" s="3628">
        <f t="shared" si="12"/>
        <v>0</v>
      </c>
      <c r="U97" s="3628">
        <f t="shared" si="13"/>
        <v>0</v>
      </c>
      <c r="V97" s="3632">
        <f t="shared" si="17"/>
        <v>0</v>
      </c>
    </row>
    <row r="98" spans="2:22">
      <c r="B98" s="282"/>
      <c r="C98" s="282" t="s">
        <v>220</v>
      </c>
      <c r="D98" s="285">
        <v>0</v>
      </c>
      <c r="E98" s="282" t="s">
        <v>181</v>
      </c>
      <c r="F98" s="282" t="s">
        <v>186</v>
      </c>
      <c r="G98" s="283"/>
      <c r="H98" s="283"/>
      <c r="I98" s="311">
        <v>0</v>
      </c>
      <c r="J98" s="257"/>
      <c r="K98" s="257"/>
      <c r="L98" s="3574"/>
      <c r="M98" s="278" t="e">
        <f t="shared" si="19"/>
        <v>#DIV/0!</v>
      </c>
      <c r="N98" s="278" t="e">
        <f t="shared" si="19"/>
        <v>#DIV/0!</v>
      </c>
      <c r="O98" s="214">
        <f t="shared" si="20"/>
        <v>0</v>
      </c>
      <c r="P98" s="214">
        <f t="shared" si="21"/>
        <v>0</v>
      </c>
      <c r="Q98" s="214">
        <f>IF(K98=0, 0, (HLOOKUP(K98,'[1]E-CESTDWO'!$A$5:$O$35,J98+1,FALSE)*R48))</f>
        <v>0</v>
      </c>
      <c r="R98" s="214">
        <f>IF(K98=0, 0, (HLOOKUP(K98,'[1]E-CESTD'!$A$5:$O$35,J98+1,FALSE)*R48))</f>
        <v>0</v>
      </c>
      <c r="S98" s="279">
        <v>1.081</v>
      </c>
      <c r="T98" s="3628">
        <f t="shared" si="12"/>
        <v>0</v>
      </c>
      <c r="U98" s="3628">
        <f t="shared" si="13"/>
        <v>0</v>
      </c>
      <c r="V98" s="3632">
        <f t="shared" si="17"/>
        <v>0</v>
      </c>
    </row>
    <row r="99" spans="2:22">
      <c r="B99" s="282"/>
      <c r="C99" s="282" t="s">
        <v>221</v>
      </c>
      <c r="D99" s="285">
        <v>0</v>
      </c>
      <c r="E99" s="282" t="s">
        <v>181</v>
      </c>
      <c r="F99" s="282" t="s">
        <v>186</v>
      </c>
      <c r="G99" s="283"/>
      <c r="H99" s="283"/>
      <c r="I99" s="311">
        <v>0</v>
      </c>
      <c r="J99" s="257"/>
      <c r="K99" s="257"/>
      <c r="L99" s="3574"/>
      <c r="M99" s="278" t="e">
        <f t="shared" si="19"/>
        <v>#DIV/0!</v>
      </c>
      <c r="N99" s="278" t="e">
        <f t="shared" si="19"/>
        <v>#DIV/0!</v>
      </c>
      <c r="O99" s="214">
        <f t="shared" si="20"/>
        <v>0</v>
      </c>
      <c r="P99" s="214">
        <f t="shared" si="21"/>
        <v>0</v>
      </c>
      <c r="Q99" s="214">
        <f>IF(K99=0, 0, (HLOOKUP(K99,'[1]E-CESTDWO'!$A$5:$O$35,J99+1,FALSE)*R49))</f>
        <v>0</v>
      </c>
      <c r="R99" s="214">
        <f>IF(K99=0, 0, (HLOOKUP(K99,'[1]E-CESTD'!$A$5:$O$35,J99+1,FALSE)*R49))</f>
        <v>0</v>
      </c>
      <c r="S99" s="279">
        <v>1.081</v>
      </c>
      <c r="T99" s="3628">
        <f t="shared" si="12"/>
        <v>0</v>
      </c>
      <c r="U99" s="3628">
        <f t="shared" si="13"/>
        <v>0</v>
      </c>
      <c r="V99" s="3632">
        <f t="shared" si="17"/>
        <v>0</v>
      </c>
    </row>
    <row r="100" spans="2:22">
      <c r="B100" s="282"/>
      <c r="C100" s="282" t="s">
        <v>222</v>
      </c>
      <c r="D100" s="285">
        <v>0</v>
      </c>
      <c r="E100" s="282" t="s">
        <v>181</v>
      </c>
      <c r="F100" s="282" t="s">
        <v>186</v>
      </c>
      <c r="G100" s="283"/>
      <c r="H100" s="283"/>
      <c r="I100" s="311">
        <v>0</v>
      </c>
      <c r="J100" s="257"/>
      <c r="K100" s="257"/>
      <c r="L100" s="3574"/>
      <c r="M100" s="278" t="e">
        <f t="shared" si="19"/>
        <v>#DIV/0!</v>
      </c>
      <c r="N100" s="278" t="e">
        <f t="shared" si="19"/>
        <v>#DIV/0!</v>
      </c>
      <c r="O100" s="214">
        <f t="shared" si="20"/>
        <v>0</v>
      </c>
      <c r="P100" s="214">
        <f t="shared" si="21"/>
        <v>0</v>
      </c>
      <c r="Q100" s="214">
        <f>IF(K100=0, 0, (HLOOKUP(K100,'[1]E-CESTDWO'!$A$5:$O$35,J100+1,FALSE)*R50))</f>
        <v>0</v>
      </c>
      <c r="R100" s="214">
        <f>IF(K100=0, 0, (HLOOKUP(K100,'[1]E-CESTD'!$A$5:$O$35,J100+1,FALSE)*R50))</f>
        <v>0</v>
      </c>
      <c r="S100" s="279">
        <v>1.081</v>
      </c>
      <c r="T100" s="3628">
        <f t="shared" si="12"/>
        <v>0</v>
      </c>
      <c r="U100" s="3628">
        <f t="shared" si="13"/>
        <v>0</v>
      </c>
      <c r="V100" s="3632">
        <f t="shared" si="17"/>
        <v>0</v>
      </c>
    </row>
    <row r="101" spans="2:22">
      <c r="B101" s="282"/>
      <c r="C101" s="282" t="s">
        <v>223</v>
      </c>
      <c r="D101" s="285">
        <v>0</v>
      </c>
      <c r="E101" s="282" t="s">
        <v>181</v>
      </c>
      <c r="F101" s="282" t="s">
        <v>186</v>
      </c>
      <c r="G101" s="283"/>
      <c r="H101" s="283"/>
      <c r="I101" s="311">
        <v>0</v>
      </c>
      <c r="J101" s="257"/>
      <c r="K101" s="257"/>
      <c r="L101" s="3574"/>
      <c r="M101" s="278" t="e">
        <f t="shared" si="19"/>
        <v>#DIV/0!</v>
      </c>
      <c r="N101" s="278" t="e">
        <f t="shared" si="19"/>
        <v>#DIV/0!</v>
      </c>
      <c r="O101" s="214">
        <f t="shared" si="20"/>
        <v>0</v>
      </c>
      <c r="P101" s="214">
        <f t="shared" si="21"/>
        <v>0</v>
      </c>
      <c r="Q101" s="214">
        <f>IF(K101=0, 0, (HLOOKUP(K101,'[1]E-CESTDWO'!$A$5:$O$35,J101+1,FALSE)*R51))</f>
        <v>0</v>
      </c>
      <c r="R101" s="214">
        <f>IF(K101=0, 0, (HLOOKUP(K101,'[1]E-CESTD'!$A$5:$O$35,J101+1,FALSE)*R51))</f>
        <v>0</v>
      </c>
      <c r="S101" s="279">
        <v>1.081</v>
      </c>
      <c r="T101" s="3628">
        <f t="shared" si="12"/>
        <v>0</v>
      </c>
      <c r="U101" s="3628">
        <f t="shared" si="13"/>
        <v>0</v>
      </c>
      <c r="V101" s="3632">
        <f t="shared" si="17"/>
        <v>0</v>
      </c>
    </row>
    <row r="102" spans="2:22">
      <c r="B102" s="282"/>
      <c r="C102" s="282" t="s">
        <v>224</v>
      </c>
      <c r="D102" s="285">
        <v>0</v>
      </c>
      <c r="E102" s="282" t="s">
        <v>181</v>
      </c>
      <c r="F102" s="282" t="s">
        <v>186</v>
      </c>
      <c r="G102" s="283"/>
      <c r="H102" s="283"/>
      <c r="I102" s="311">
        <v>0</v>
      </c>
      <c r="J102" s="257"/>
      <c r="K102" s="257"/>
      <c r="L102" s="3574"/>
      <c r="M102" s="278" t="e">
        <f t="shared" si="19"/>
        <v>#DIV/0!</v>
      </c>
      <c r="N102" s="278" t="e">
        <f t="shared" si="19"/>
        <v>#DIV/0!</v>
      </c>
      <c r="O102" s="214">
        <f t="shared" si="20"/>
        <v>0</v>
      </c>
      <c r="P102" s="214">
        <f t="shared" si="21"/>
        <v>0</v>
      </c>
      <c r="Q102" s="214">
        <f>IF(K102=0, 0, (HLOOKUP(K102,'[1]E-CESTDWO'!$A$5:$O$35,J102+1,FALSE)*R52))</f>
        <v>0</v>
      </c>
      <c r="R102" s="214">
        <f>IF(K102=0, 0, (HLOOKUP(K102,'[1]E-CESTD'!$A$5:$O$35,J102+1,FALSE)*R52))</f>
        <v>0</v>
      </c>
      <c r="S102" s="279">
        <v>1.081</v>
      </c>
      <c r="T102" s="3628">
        <f t="shared" si="12"/>
        <v>0</v>
      </c>
      <c r="U102" s="3628">
        <f t="shared" si="13"/>
        <v>0</v>
      </c>
      <c r="V102" s="3632">
        <f t="shared" si="17"/>
        <v>0</v>
      </c>
    </row>
    <row r="103" spans="2:22">
      <c r="B103" s="282"/>
      <c r="C103" s="282" t="s">
        <v>225</v>
      </c>
      <c r="D103" s="285">
        <v>0</v>
      </c>
      <c r="E103" s="282" t="s">
        <v>181</v>
      </c>
      <c r="F103" s="282" t="s">
        <v>186</v>
      </c>
      <c r="G103" s="283"/>
      <c r="H103" s="283"/>
      <c r="I103" s="311">
        <v>0</v>
      </c>
      <c r="J103" s="257"/>
      <c r="K103" s="257"/>
      <c r="L103" s="3574"/>
      <c r="M103" s="278" t="e">
        <f t="shared" si="19"/>
        <v>#DIV/0!</v>
      </c>
      <c r="N103" s="278" t="e">
        <f t="shared" si="19"/>
        <v>#DIV/0!</v>
      </c>
      <c r="O103" s="214">
        <f t="shared" si="20"/>
        <v>0</v>
      </c>
      <c r="P103" s="214">
        <f t="shared" si="21"/>
        <v>0</v>
      </c>
      <c r="Q103" s="214">
        <f>IF(K103=0, 0, (HLOOKUP(K103,'[1]E-CESTDWO'!$A$5:$O$35,J103+1,FALSE)*R53))</f>
        <v>0</v>
      </c>
      <c r="R103" s="214">
        <f>IF(K103=0, 0, (HLOOKUP(K103,'[1]E-CESTD'!$A$5:$O$35,J103+1,FALSE)*R53))</f>
        <v>0</v>
      </c>
      <c r="S103" s="279">
        <v>1.081</v>
      </c>
      <c r="T103" s="3628">
        <f t="shared" si="12"/>
        <v>0</v>
      </c>
      <c r="U103" s="3628">
        <f t="shared" si="13"/>
        <v>0</v>
      </c>
      <c r="V103" s="3632">
        <f t="shared" si="17"/>
        <v>0</v>
      </c>
    </row>
    <row r="104" spans="2:22" ht="13.5" thickBot="1">
      <c r="B104" s="282"/>
      <c r="C104" s="282" t="s">
        <v>226</v>
      </c>
      <c r="D104" s="285">
        <v>0</v>
      </c>
      <c r="E104" s="282" t="s">
        <v>181</v>
      </c>
      <c r="F104" s="282" t="s">
        <v>186</v>
      </c>
      <c r="G104" s="283"/>
      <c r="H104" s="283"/>
      <c r="I104" s="311">
        <v>0</v>
      </c>
      <c r="J104" s="257"/>
      <c r="K104" s="257"/>
      <c r="L104" s="3574"/>
      <c r="M104" s="278" t="e">
        <f t="shared" si="19"/>
        <v>#DIV/0!</v>
      </c>
      <c r="N104" s="278" t="e">
        <f t="shared" si="19"/>
        <v>#DIV/0!</v>
      </c>
      <c r="O104" s="214">
        <f t="shared" si="20"/>
        <v>0</v>
      </c>
      <c r="P104" s="214">
        <f t="shared" si="21"/>
        <v>0</v>
      </c>
      <c r="Q104" s="214">
        <f>IF(K104=0, 0, (HLOOKUP(K104,'[1]E-CESTDWO'!$A$5:$O$35,J104+1,FALSE)*R54))</f>
        <v>0</v>
      </c>
      <c r="R104" s="214">
        <f>IF(K104=0, 0, (HLOOKUP(K104,'[1]E-CESTD'!$A$5:$O$35,J104+1,FALSE)*R54))</f>
        <v>0</v>
      </c>
      <c r="S104" s="279">
        <v>1.081</v>
      </c>
      <c r="T104" s="3628">
        <f t="shared" si="12"/>
        <v>0</v>
      </c>
      <c r="U104" s="3628">
        <f t="shared" si="13"/>
        <v>0</v>
      </c>
      <c r="V104" s="3632">
        <f t="shared" si="17"/>
        <v>0</v>
      </c>
    </row>
    <row r="105" spans="2:22" ht="13.5" thickBot="1">
      <c r="G105" s="286">
        <f>SUMPRODUCT(G63:G104,O13:O54)</f>
        <v>36629807</v>
      </c>
      <c r="H105" s="287">
        <f>V105</f>
        <v>16108658.75</v>
      </c>
      <c r="I105" s="288">
        <f>SUM(I63:I104)</f>
        <v>0.99567137278461992</v>
      </c>
      <c r="J105" s="289">
        <f>ROUND(SUMPRODUCT(J63:J104,R13:R54)/R55,0)</f>
        <v>8</v>
      </c>
      <c r="K105" s="264"/>
      <c r="L105" s="3580"/>
      <c r="M105" s="290" t="e">
        <f>Q105/O105</f>
        <v>#VALUE!</v>
      </c>
      <c r="N105" s="291" t="e">
        <f>R105/P105</f>
        <v>#VALUE!</v>
      </c>
      <c r="O105" s="292">
        <f>SUM(O63:O104)</f>
        <v>20573330.97901196</v>
      </c>
      <c r="P105" s="292">
        <f>SUM(P63:P104)</f>
        <v>39556816.871703908</v>
      </c>
      <c r="Q105" s="292" t="e">
        <f>SUM(Q63:Q104)</f>
        <v>#VALUE!</v>
      </c>
      <c r="R105" s="292" t="e">
        <f>SUM(R63:R104)</f>
        <v>#VALUE!</v>
      </c>
      <c r="S105" s="293"/>
      <c r="T105" s="294">
        <f>SUM(T63:T104)</f>
        <v>6313748.75</v>
      </c>
      <c r="U105" s="294">
        <f>SUM(U63:U104)</f>
        <v>9794910</v>
      </c>
      <c r="V105" s="294">
        <f>SUM(V63:V104)</f>
        <v>16108658.75</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4" right="0.28000000000000003" top="0.37" bottom="0.35" header="0.3" footer="0.3"/>
      <pageSetup paperSize="17" scale="49" orientation="landscape" r:id="rId1"/>
    </customSheetView>
    <customSheetView guid="{AF9F1D33-B8C2-423F-86A1-47612B8F532C}" fitToPage="1">
      <pane xSplit="1" ySplit="1" topLeftCell="B8" activePane="bottomRight" state="frozenSplit"/>
      <selection pane="bottomRight" activeCell="C24" sqref="C24:C25"/>
      <pageMargins left="0.7" right="0.7" top="0.75" bottom="0.75" header="0.3" footer="0.3"/>
      <pageSetup paperSize="17" scale="51"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4" right="0.28000000000000003" top="0.37" bottom="0.35" header="0.3" footer="0.3"/>
  <pageSetup paperSize="17" scale="50" orientation="landscape" r:id="rId2"/>
  <drawing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sheetPr enableFormatConditionsCalculation="0">
    <tabColor theme="3" tint="0.59999389629810485"/>
    <pageSetUpPr fitToPage="1"/>
  </sheetPr>
  <dimension ref="B1:Y105"/>
  <sheetViews>
    <sheetView zoomScaleNormal="100" workbookViewId="0">
      <pane xSplit="1" ySplit="1" topLeftCell="B2" activePane="bottomRight" state="frozen"/>
      <selection pane="topRight" activeCell="B1" sqref="B1"/>
      <selection pane="bottomLeft" activeCell="A2" sqref="A2"/>
      <selection pane="bottomRight" activeCell="H32" sqref="H32"/>
    </sheetView>
  </sheetViews>
  <sheetFormatPr defaultColWidth="8.85546875" defaultRowHeight="12.75"/>
  <cols>
    <col min="1" max="1" width="16.28515625" style="3532" customWidth="1"/>
    <col min="2" max="2" width="19.42578125" style="3532" customWidth="1"/>
    <col min="3" max="3" width="41" style="3532" customWidth="1"/>
    <col min="4" max="4" width="16" style="3533" customWidth="1"/>
    <col min="5" max="5" width="16" style="3532" customWidth="1"/>
    <col min="6" max="6" width="17" style="3532" customWidth="1"/>
    <col min="7" max="7" width="13.42578125" style="3532" customWidth="1"/>
    <col min="8" max="8" width="15.28515625" style="3532" bestFit="1" customWidth="1"/>
    <col min="9" max="9" width="14.140625" style="3532" bestFit="1" customWidth="1"/>
    <col min="10" max="10" width="15.28515625" style="3532" customWidth="1"/>
    <col min="11" max="11" width="15.85546875" style="3532" customWidth="1"/>
    <col min="12" max="12" width="17" style="3532" bestFit="1" customWidth="1"/>
    <col min="13" max="13" width="12.7109375" style="3532" customWidth="1"/>
    <col min="14" max="14" width="13.7109375" style="3532" customWidth="1"/>
    <col min="15" max="15" width="13.85546875" style="3532" bestFit="1" customWidth="1"/>
    <col min="16" max="16" width="15.42578125" style="3532" bestFit="1" customWidth="1"/>
    <col min="17" max="17" width="16.140625" style="3532" customWidth="1"/>
    <col min="18" max="18" width="16.7109375" style="3532" bestFit="1" customWidth="1"/>
    <col min="19" max="20" width="15.42578125" style="3532" bestFit="1" customWidth="1"/>
    <col min="21" max="21" width="16.42578125" style="3532" bestFit="1" customWidth="1"/>
    <col min="22" max="22" width="14.28515625" style="3532" customWidth="1"/>
    <col min="23" max="23" width="12.85546875" style="3532" bestFit="1" customWidth="1"/>
    <col min="24" max="24" width="11.28515625" style="3532" bestFit="1" customWidth="1"/>
    <col min="25" max="25" width="12.42578125" style="3532" bestFit="1" customWidth="1"/>
    <col min="26" max="26" width="14" style="3532" bestFit="1" customWidth="1"/>
    <col min="27" max="27" width="6" style="3532" bestFit="1" customWidth="1"/>
    <col min="28" max="28" width="15" style="3532" customWidth="1"/>
    <col min="29" max="29" width="14.85546875" style="3532" bestFit="1" customWidth="1"/>
    <col min="30" max="30" width="16.140625" style="3532" bestFit="1" customWidth="1"/>
    <col min="31" max="257" width="8.85546875" style="3532"/>
    <col min="258" max="258" width="24" style="3532" bestFit="1" customWidth="1"/>
    <col min="259" max="259" width="45.7109375" style="3532" bestFit="1" customWidth="1"/>
    <col min="260" max="260" width="19.7109375" style="3532" bestFit="1" customWidth="1"/>
    <col min="261" max="261" width="16" style="3532" customWidth="1"/>
    <col min="262" max="262" width="19.85546875" style="3532" bestFit="1" customWidth="1"/>
    <col min="263" max="263" width="13.42578125" style="3532" customWidth="1"/>
    <col min="264" max="264" width="15.28515625" style="3532" bestFit="1" customWidth="1"/>
    <col min="265" max="265" width="14.140625" style="3532" bestFit="1" customWidth="1"/>
    <col min="266" max="266" width="15.28515625" style="3532" customWidth="1"/>
    <col min="267" max="267" width="15.85546875" style="3532" customWidth="1"/>
    <col min="268" max="268" width="17" style="3532" bestFit="1" customWidth="1"/>
    <col min="269" max="269" width="12.7109375" style="3532" customWidth="1"/>
    <col min="270" max="270" width="13.7109375" style="3532" customWidth="1"/>
    <col min="271" max="271" width="13.85546875" style="3532" bestFit="1" customWidth="1"/>
    <col min="272" max="272" width="15.42578125" style="3532" bestFit="1" customWidth="1"/>
    <col min="273" max="273" width="16.140625" style="3532" customWidth="1"/>
    <col min="274" max="274" width="16.7109375" style="3532" bestFit="1" customWidth="1"/>
    <col min="275" max="276" width="15.42578125" style="3532" bestFit="1" customWidth="1"/>
    <col min="277" max="277" width="16.42578125" style="3532" bestFit="1" customWidth="1"/>
    <col min="278" max="278" width="14.28515625" style="3532" customWidth="1"/>
    <col min="279" max="279" width="12.85546875" style="3532" bestFit="1" customWidth="1"/>
    <col min="280" max="280" width="11.28515625" style="3532" bestFit="1" customWidth="1"/>
    <col min="281" max="281" width="12.42578125" style="3532" bestFit="1" customWidth="1"/>
    <col min="282" max="282" width="14" style="3532" bestFit="1" customWidth="1"/>
    <col min="283" max="283" width="6" style="3532" bestFit="1" customWidth="1"/>
    <col min="284" max="284" width="15" style="3532" customWidth="1"/>
    <col min="285" max="285" width="14.85546875" style="3532" bestFit="1" customWidth="1"/>
    <col min="286" max="286" width="16.140625" style="3532" bestFit="1" customWidth="1"/>
    <col min="287" max="513" width="8.85546875" style="3532"/>
    <col min="514" max="514" width="24" style="3532" bestFit="1" customWidth="1"/>
    <col min="515" max="515" width="45.7109375" style="3532" bestFit="1" customWidth="1"/>
    <col min="516" max="516" width="19.7109375" style="3532" bestFit="1" customWidth="1"/>
    <col min="517" max="517" width="16" style="3532" customWidth="1"/>
    <col min="518" max="518" width="19.85546875" style="3532" bestFit="1" customWidth="1"/>
    <col min="519" max="519" width="13.42578125" style="3532" customWidth="1"/>
    <col min="520" max="520" width="15.28515625" style="3532" bestFit="1" customWidth="1"/>
    <col min="521" max="521" width="14.140625" style="3532" bestFit="1" customWidth="1"/>
    <col min="522" max="522" width="15.28515625" style="3532" customWidth="1"/>
    <col min="523" max="523" width="15.85546875" style="3532" customWidth="1"/>
    <col min="524" max="524" width="17" style="3532" bestFit="1" customWidth="1"/>
    <col min="525" max="525" width="12.7109375" style="3532" customWidth="1"/>
    <col min="526" max="526" width="13.7109375" style="3532" customWidth="1"/>
    <col min="527" max="527" width="13.85546875" style="3532" bestFit="1" customWidth="1"/>
    <col min="528" max="528" width="15.42578125" style="3532" bestFit="1" customWidth="1"/>
    <col min="529" max="529" width="16.140625" style="3532" customWidth="1"/>
    <col min="530" max="530" width="16.7109375" style="3532" bestFit="1" customWidth="1"/>
    <col min="531" max="532" width="15.42578125" style="3532" bestFit="1" customWidth="1"/>
    <col min="533" max="533" width="16.42578125" style="3532" bestFit="1" customWidth="1"/>
    <col min="534" max="534" width="14.28515625" style="3532" customWidth="1"/>
    <col min="535" max="535" width="12.85546875" style="3532" bestFit="1" customWidth="1"/>
    <col min="536" max="536" width="11.28515625" style="3532" bestFit="1" customWidth="1"/>
    <col min="537" max="537" width="12.42578125" style="3532" bestFit="1" customWidth="1"/>
    <col min="538" max="538" width="14" style="3532" bestFit="1" customWidth="1"/>
    <col min="539" max="539" width="6" style="3532" bestFit="1" customWidth="1"/>
    <col min="540" max="540" width="15" style="3532" customWidth="1"/>
    <col min="541" max="541" width="14.85546875" style="3532" bestFit="1" customWidth="1"/>
    <col min="542" max="542" width="16.140625" style="3532" bestFit="1" customWidth="1"/>
    <col min="543" max="769" width="8.85546875" style="3532"/>
    <col min="770" max="770" width="24" style="3532" bestFit="1" customWidth="1"/>
    <col min="771" max="771" width="45.7109375" style="3532" bestFit="1" customWidth="1"/>
    <col min="772" max="772" width="19.7109375" style="3532" bestFit="1" customWidth="1"/>
    <col min="773" max="773" width="16" style="3532" customWidth="1"/>
    <col min="774" max="774" width="19.85546875" style="3532" bestFit="1" customWidth="1"/>
    <col min="775" max="775" width="13.42578125" style="3532" customWidth="1"/>
    <col min="776" max="776" width="15.28515625" style="3532" bestFit="1" customWidth="1"/>
    <col min="777" max="777" width="14.140625" style="3532" bestFit="1" customWidth="1"/>
    <col min="778" max="778" width="15.28515625" style="3532" customWidth="1"/>
    <col min="779" max="779" width="15.85546875" style="3532" customWidth="1"/>
    <col min="780" max="780" width="17" style="3532" bestFit="1" customWidth="1"/>
    <col min="781" max="781" width="12.7109375" style="3532" customWidth="1"/>
    <col min="782" max="782" width="13.7109375" style="3532" customWidth="1"/>
    <col min="783" max="783" width="13.85546875" style="3532" bestFit="1" customWidth="1"/>
    <col min="784" max="784" width="15.42578125" style="3532" bestFit="1" customWidth="1"/>
    <col min="785" max="785" width="16.140625" style="3532" customWidth="1"/>
    <col min="786" max="786" width="16.7109375" style="3532" bestFit="1" customWidth="1"/>
    <col min="787" max="788" width="15.42578125" style="3532" bestFit="1" customWidth="1"/>
    <col min="789" max="789" width="16.42578125" style="3532" bestFit="1" customWidth="1"/>
    <col min="790" max="790" width="14.28515625" style="3532" customWidth="1"/>
    <col min="791" max="791" width="12.85546875" style="3532" bestFit="1" customWidth="1"/>
    <col min="792" max="792" width="11.28515625" style="3532" bestFit="1" customWidth="1"/>
    <col min="793" max="793" width="12.42578125" style="3532" bestFit="1" customWidth="1"/>
    <col min="794" max="794" width="14" style="3532" bestFit="1" customWidth="1"/>
    <col min="795" max="795" width="6" style="3532" bestFit="1" customWidth="1"/>
    <col min="796" max="796" width="15" style="3532" customWidth="1"/>
    <col min="797" max="797" width="14.85546875" style="3532" bestFit="1" customWidth="1"/>
    <col min="798" max="798" width="16.140625" style="3532" bestFit="1" customWidth="1"/>
    <col min="799" max="1025" width="8.85546875" style="3532"/>
    <col min="1026" max="1026" width="24" style="3532" bestFit="1" customWidth="1"/>
    <col min="1027" max="1027" width="45.7109375" style="3532" bestFit="1" customWidth="1"/>
    <col min="1028" max="1028" width="19.7109375" style="3532" bestFit="1" customWidth="1"/>
    <col min="1029" max="1029" width="16" style="3532" customWidth="1"/>
    <col min="1030" max="1030" width="19.85546875" style="3532" bestFit="1" customWidth="1"/>
    <col min="1031" max="1031" width="13.42578125" style="3532" customWidth="1"/>
    <col min="1032" max="1032" width="15.28515625" style="3532" bestFit="1" customWidth="1"/>
    <col min="1033" max="1033" width="14.140625" style="3532" bestFit="1" customWidth="1"/>
    <col min="1034" max="1034" width="15.28515625" style="3532" customWidth="1"/>
    <col min="1035" max="1035" width="15.85546875" style="3532" customWidth="1"/>
    <col min="1036" max="1036" width="17" style="3532" bestFit="1" customWidth="1"/>
    <col min="1037" max="1037" width="12.7109375" style="3532" customWidth="1"/>
    <col min="1038" max="1038" width="13.7109375" style="3532" customWidth="1"/>
    <col min="1039" max="1039" width="13.85546875" style="3532" bestFit="1" customWidth="1"/>
    <col min="1040" max="1040" width="15.42578125" style="3532" bestFit="1" customWidth="1"/>
    <col min="1041" max="1041" width="16.140625" style="3532" customWidth="1"/>
    <col min="1042" max="1042" width="16.7109375" style="3532" bestFit="1" customWidth="1"/>
    <col min="1043" max="1044" width="15.42578125" style="3532" bestFit="1" customWidth="1"/>
    <col min="1045" max="1045" width="16.42578125" style="3532" bestFit="1" customWidth="1"/>
    <col min="1046" max="1046" width="14.28515625" style="3532" customWidth="1"/>
    <col min="1047" max="1047" width="12.85546875" style="3532" bestFit="1" customWidth="1"/>
    <col min="1048" max="1048" width="11.28515625" style="3532" bestFit="1" customWidth="1"/>
    <col min="1049" max="1049" width="12.42578125" style="3532" bestFit="1" customWidth="1"/>
    <col min="1050" max="1050" width="14" style="3532" bestFit="1" customWidth="1"/>
    <col min="1051" max="1051" width="6" style="3532" bestFit="1" customWidth="1"/>
    <col min="1052" max="1052" width="15" style="3532" customWidth="1"/>
    <col min="1053" max="1053" width="14.85546875" style="3532" bestFit="1" customWidth="1"/>
    <col min="1054" max="1054" width="16.140625" style="3532" bestFit="1" customWidth="1"/>
    <col min="1055" max="1281" width="8.85546875" style="3532"/>
    <col min="1282" max="1282" width="24" style="3532" bestFit="1" customWidth="1"/>
    <col min="1283" max="1283" width="45.7109375" style="3532" bestFit="1" customWidth="1"/>
    <col min="1284" max="1284" width="19.7109375" style="3532" bestFit="1" customWidth="1"/>
    <col min="1285" max="1285" width="16" style="3532" customWidth="1"/>
    <col min="1286" max="1286" width="19.85546875" style="3532" bestFit="1" customWidth="1"/>
    <col min="1287" max="1287" width="13.42578125" style="3532" customWidth="1"/>
    <col min="1288" max="1288" width="15.28515625" style="3532" bestFit="1" customWidth="1"/>
    <col min="1289" max="1289" width="14.140625" style="3532" bestFit="1" customWidth="1"/>
    <col min="1290" max="1290" width="15.28515625" style="3532" customWidth="1"/>
    <col min="1291" max="1291" width="15.85546875" style="3532" customWidth="1"/>
    <col min="1292" max="1292" width="17" style="3532" bestFit="1" customWidth="1"/>
    <col min="1293" max="1293" width="12.7109375" style="3532" customWidth="1"/>
    <col min="1294" max="1294" width="13.7109375" style="3532" customWidth="1"/>
    <col min="1295" max="1295" width="13.85546875" style="3532" bestFit="1" customWidth="1"/>
    <col min="1296" max="1296" width="15.42578125" style="3532" bestFit="1" customWidth="1"/>
    <col min="1297" max="1297" width="16.140625" style="3532" customWidth="1"/>
    <col min="1298" max="1298" width="16.7109375" style="3532" bestFit="1" customWidth="1"/>
    <col min="1299" max="1300" width="15.42578125" style="3532" bestFit="1" customWidth="1"/>
    <col min="1301" max="1301" width="16.42578125" style="3532" bestFit="1" customWidth="1"/>
    <col min="1302" max="1302" width="14.28515625" style="3532" customWidth="1"/>
    <col min="1303" max="1303" width="12.85546875" style="3532" bestFit="1" customWidth="1"/>
    <col min="1304" max="1304" width="11.28515625" style="3532" bestFit="1" customWidth="1"/>
    <col min="1305" max="1305" width="12.42578125" style="3532" bestFit="1" customWidth="1"/>
    <col min="1306" max="1306" width="14" style="3532" bestFit="1" customWidth="1"/>
    <col min="1307" max="1307" width="6" style="3532" bestFit="1" customWidth="1"/>
    <col min="1308" max="1308" width="15" style="3532" customWidth="1"/>
    <col min="1309" max="1309" width="14.85546875" style="3532" bestFit="1" customWidth="1"/>
    <col min="1310" max="1310" width="16.140625" style="3532" bestFit="1" customWidth="1"/>
    <col min="1311" max="1537" width="8.85546875" style="3532"/>
    <col min="1538" max="1538" width="24" style="3532" bestFit="1" customWidth="1"/>
    <col min="1539" max="1539" width="45.7109375" style="3532" bestFit="1" customWidth="1"/>
    <col min="1540" max="1540" width="19.7109375" style="3532" bestFit="1" customWidth="1"/>
    <col min="1541" max="1541" width="16" style="3532" customWidth="1"/>
    <col min="1542" max="1542" width="19.85546875" style="3532" bestFit="1" customWidth="1"/>
    <col min="1543" max="1543" width="13.42578125" style="3532" customWidth="1"/>
    <col min="1544" max="1544" width="15.28515625" style="3532" bestFit="1" customWidth="1"/>
    <col min="1545" max="1545" width="14.140625" style="3532" bestFit="1" customWidth="1"/>
    <col min="1546" max="1546" width="15.28515625" style="3532" customWidth="1"/>
    <col min="1547" max="1547" width="15.85546875" style="3532" customWidth="1"/>
    <col min="1548" max="1548" width="17" style="3532" bestFit="1" customWidth="1"/>
    <col min="1549" max="1549" width="12.7109375" style="3532" customWidth="1"/>
    <col min="1550" max="1550" width="13.7109375" style="3532" customWidth="1"/>
    <col min="1551" max="1551" width="13.85546875" style="3532" bestFit="1" customWidth="1"/>
    <col min="1552" max="1552" width="15.42578125" style="3532" bestFit="1" customWidth="1"/>
    <col min="1553" max="1553" width="16.140625" style="3532" customWidth="1"/>
    <col min="1554" max="1554" width="16.7109375" style="3532" bestFit="1" customWidth="1"/>
    <col min="1555" max="1556" width="15.42578125" style="3532" bestFit="1" customWidth="1"/>
    <col min="1557" max="1557" width="16.42578125" style="3532" bestFit="1" customWidth="1"/>
    <col min="1558" max="1558" width="14.28515625" style="3532" customWidth="1"/>
    <col min="1559" max="1559" width="12.85546875" style="3532" bestFit="1" customWidth="1"/>
    <col min="1560" max="1560" width="11.28515625" style="3532" bestFit="1" customWidth="1"/>
    <col min="1561" max="1561" width="12.42578125" style="3532" bestFit="1" customWidth="1"/>
    <col min="1562" max="1562" width="14" style="3532" bestFit="1" customWidth="1"/>
    <col min="1563" max="1563" width="6" style="3532" bestFit="1" customWidth="1"/>
    <col min="1564" max="1564" width="15" style="3532" customWidth="1"/>
    <col min="1565" max="1565" width="14.85546875" style="3532" bestFit="1" customWidth="1"/>
    <col min="1566" max="1566" width="16.140625" style="3532" bestFit="1" customWidth="1"/>
    <col min="1567" max="1793" width="8.85546875" style="3532"/>
    <col min="1794" max="1794" width="24" style="3532" bestFit="1" customWidth="1"/>
    <col min="1795" max="1795" width="45.7109375" style="3532" bestFit="1" customWidth="1"/>
    <col min="1796" max="1796" width="19.7109375" style="3532" bestFit="1" customWidth="1"/>
    <col min="1797" max="1797" width="16" style="3532" customWidth="1"/>
    <col min="1798" max="1798" width="19.85546875" style="3532" bestFit="1" customWidth="1"/>
    <col min="1799" max="1799" width="13.42578125" style="3532" customWidth="1"/>
    <col min="1800" max="1800" width="15.28515625" style="3532" bestFit="1" customWidth="1"/>
    <col min="1801" max="1801" width="14.140625" style="3532" bestFit="1" customWidth="1"/>
    <col min="1802" max="1802" width="15.28515625" style="3532" customWidth="1"/>
    <col min="1803" max="1803" width="15.85546875" style="3532" customWidth="1"/>
    <col min="1804" max="1804" width="17" style="3532" bestFit="1" customWidth="1"/>
    <col min="1805" max="1805" width="12.7109375" style="3532" customWidth="1"/>
    <col min="1806" max="1806" width="13.7109375" style="3532" customWidth="1"/>
    <col min="1807" max="1807" width="13.85546875" style="3532" bestFit="1" customWidth="1"/>
    <col min="1808" max="1808" width="15.42578125" style="3532" bestFit="1" customWidth="1"/>
    <col min="1809" max="1809" width="16.140625" style="3532" customWidth="1"/>
    <col min="1810" max="1810" width="16.7109375" style="3532" bestFit="1" customWidth="1"/>
    <col min="1811" max="1812" width="15.42578125" style="3532" bestFit="1" customWidth="1"/>
    <col min="1813" max="1813" width="16.42578125" style="3532" bestFit="1" customWidth="1"/>
    <col min="1814" max="1814" width="14.28515625" style="3532" customWidth="1"/>
    <col min="1815" max="1815" width="12.85546875" style="3532" bestFit="1" customWidth="1"/>
    <col min="1816" max="1816" width="11.28515625" style="3532" bestFit="1" customWidth="1"/>
    <col min="1817" max="1817" width="12.42578125" style="3532" bestFit="1" customWidth="1"/>
    <col min="1818" max="1818" width="14" style="3532" bestFit="1" customWidth="1"/>
    <col min="1819" max="1819" width="6" style="3532" bestFit="1" customWidth="1"/>
    <col min="1820" max="1820" width="15" style="3532" customWidth="1"/>
    <col min="1821" max="1821" width="14.85546875" style="3532" bestFit="1" customWidth="1"/>
    <col min="1822" max="1822" width="16.140625" style="3532" bestFit="1" customWidth="1"/>
    <col min="1823" max="2049" width="8.85546875" style="3532"/>
    <col min="2050" max="2050" width="24" style="3532" bestFit="1" customWidth="1"/>
    <col min="2051" max="2051" width="45.7109375" style="3532" bestFit="1" customWidth="1"/>
    <col min="2052" max="2052" width="19.7109375" style="3532" bestFit="1" customWidth="1"/>
    <col min="2053" max="2053" width="16" style="3532" customWidth="1"/>
    <col min="2054" max="2054" width="19.85546875" style="3532" bestFit="1" customWidth="1"/>
    <col min="2055" max="2055" width="13.42578125" style="3532" customWidth="1"/>
    <col min="2056" max="2056" width="15.28515625" style="3532" bestFit="1" customWidth="1"/>
    <col min="2057" max="2057" width="14.140625" style="3532" bestFit="1" customWidth="1"/>
    <col min="2058" max="2058" width="15.28515625" style="3532" customWidth="1"/>
    <col min="2059" max="2059" width="15.85546875" style="3532" customWidth="1"/>
    <col min="2060" max="2060" width="17" style="3532" bestFit="1" customWidth="1"/>
    <col min="2061" max="2061" width="12.7109375" style="3532" customWidth="1"/>
    <col min="2062" max="2062" width="13.7109375" style="3532" customWidth="1"/>
    <col min="2063" max="2063" width="13.85546875" style="3532" bestFit="1" customWidth="1"/>
    <col min="2064" max="2064" width="15.42578125" style="3532" bestFit="1" customWidth="1"/>
    <col min="2065" max="2065" width="16.140625" style="3532" customWidth="1"/>
    <col min="2066" max="2066" width="16.7109375" style="3532" bestFit="1" customWidth="1"/>
    <col min="2067" max="2068" width="15.42578125" style="3532" bestFit="1" customWidth="1"/>
    <col min="2069" max="2069" width="16.42578125" style="3532" bestFit="1" customWidth="1"/>
    <col min="2070" max="2070" width="14.28515625" style="3532" customWidth="1"/>
    <col min="2071" max="2071" width="12.85546875" style="3532" bestFit="1" customWidth="1"/>
    <col min="2072" max="2072" width="11.28515625" style="3532" bestFit="1" customWidth="1"/>
    <col min="2073" max="2073" width="12.42578125" style="3532" bestFit="1" customWidth="1"/>
    <col min="2074" max="2074" width="14" style="3532" bestFit="1" customWidth="1"/>
    <col min="2075" max="2075" width="6" style="3532" bestFit="1" customWidth="1"/>
    <col min="2076" max="2076" width="15" style="3532" customWidth="1"/>
    <col min="2077" max="2077" width="14.85546875" style="3532" bestFit="1" customWidth="1"/>
    <col min="2078" max="2078" width="16.140625" style="3532" bestFit="1" customWidth="1"/>
    <col min="2079" max="2305" width="8.85546875" style="3532"/>
    <col min="2306" max="2306" width="24" style="3532" bestFit="1" customWidth="1"/>
    <col min="2307" max="2307" width="45.7109375" style="3532" bestFit="1" customWidth="1"/>
    <col min="2308" max="2308" width="19.7109375" style="3532" bestFit="1" customWidth="1"/>
    <col min="2309" max="2309" width="16" style="3532" customWidth="1"/>
    <col min="2310" max="2310" width="19.85546875" style="3532" bestFit="1" customWidth="1"/>
    <col min="2311" max="2311" width="13.42578125" style="3532" customWidth="1"/>
    <col min="2312" max="2312" width="15.28515625" style="3532" bestFit="1" customWidth="1"/>
    <col min="2313" max="2313" width="14.140625" style="3532" bestFit="1" customWidth="1"/>
    <col min="2314" max="2314" width="15.28515625" style="3532" customWidth="1"/>
    <col min="2315" max="2315" width="15.85546875" style="3532" customWidth="1"/>
    <col min="2316" max="2316" width="17" style="3532" bestFit="1" customWidth="1"/>
    <col min="2317" max="2317" width="12.7109375" style="3532" customWidth="1"/>
    <col min="2318" max="2318" width="13.7109375" style="3532" customWidth="1"/>
    <col min="2319" max="2319" width="13.85546875" style="3532" bestFit="1" customWidth="1"/>
    <col min="2320" max="2320" width="15.42578125" style="3532" bestFit="1" customWidth="1"/>
    <col min="2321" max="2321" width="16.140625" style="3532" customWidth="1"/>
    <col min="2322" max="2322" width="16.7109375" style="3532" bestFit="1" customWidth="1"/>
    <col min="2323" max="2324" width="15.42578125" style="3532" bestFit="1" customWidth="1"/>
    <col min="2325" max="2325" width="16.42578125" style="3532" bestFit="1" customWidth="1"/>
    <col min="2326" max="2326" width="14.28515625" style="3532" customWidth="1"/>
    <col min="2327" max="2327" width="12.85546875" style="3532" bestFit="1" customWidth="1"/>
    <col min="2328" max="2328" width="11.28515625" style="3532" bestFit="1" customWidth="1"/>
    <col min="2329" max="2329" width="12.42578125" style="3532" bestFit="1" customWidth="1"/>
    <col min="2330" max="2330" width="14" style="3532" bestFit="1" customWidth="1"/>
    <col min="2331" max="2331" width="6" style="3532" bestFit="1" customWidth="1"/>
    <col min="2332" max="2332" width="15" style="3532" customWidth="1"/>
    <col min="2333" max="2333" width="14.85546875" style="3532" bestFit="1" customWidth="1"/>
    <col min="2334" max="2334" width="16.140625" style="3532" bestFit="1" customWidth="1"/>
    <col min="2335" max="2561" width="8.85546875" style="3532"/>
    <col min="2562" max="2562" width="24" style="3532" bestFit="1" customWidth="1"/>
    <col min="2563" max="2563" width="45.7109375" style="3532" bestFit="1" customWidth="1"/>
    <col min="2564" max="2564" width="19.7109375" style="3532" bestFit="1" customWidth="1"/>
    <col min="2565" max="2565" width="16" style="3532" customWidth="1"/>
    <col min="2566" max="2566" width="19.85546875" style="3532" bestFit="1" customWidth="1"/>
    <col min="2567" max="2567" width="13.42578125" style="3532" customWidth="1"/>
    <col min="2568" max="2568" width="15.28515625" style="3532" bestFit="1" customWidth="1"/>
    <col min="2569" max="2569" width="14.140625" style="3532" bestFit="1" customWidth="1"/>
    <col min="2570" max="2570" width="15.28515625" style="3532" customWidth="1"/>
    <col min="2571" max="2571" width="15.85546875" style="3532" customWidth="1"/>
    <col min="2572" max="2572" width="17" style="3532" bestFit="1" customWidth="1"/>
    <col min="2573" max="2573" width="12.7109375" style="3532" customWidth="1"/>
    <col min="2574" max="2574" width="13.7109375" style="3532" customWidth="1"/>
    <col min="2575" max="2575" width="13.85546875" style="3532" bestFit="1" customWidth="1"/>
    <col min="2576" max="2576" width="15.42578125" style="3532" bestFit="1" customWidth="1"/>
    <col min="2577" max="2577" width="16.140625" style="3532" customWidth="1"/>
    <col min="2578" max="2578" width="16.7109375" style="3532" bestFit="1" customWidth="1"/>
    <col min="2579" max="2580" width="15.42578125" style="3532" bestFit="1" customWidth="1"/>
    <col min="2581" max="2581" width="16.42578125" style="3532" bestFit="1" customWidth="1"/>
    <col min="2582" max="2582" width="14.28515625" style="3532" customWidth="1"/>
    <col min="2583" max="2583" width="12.85546875" style="3532" bestFit="1" customWidth="1"/>
    <col min="2584" max="2584" width="11.28515625" style="3532" bestFit="1" customWidth="1"/>
    <col min="2585" max="2585" width="12.42578125" style="3532" bestFit="1" customWidth="1"/>
    <col min="2586" max="2586" width="14" style="3532" bestFit="1" customWidth="1"/>
    <col min="2587" max="2587" width="6" style="3532" bestFit="1" customWidth="1"/>
    <col min="2588" max="2588" width="15" style="3532" customWidth="1"/>
    <col min="2589" max="2589" width="14.85546875" style="3532" bestFit="1" customWidth="1"/>
    <col min="2590" max="2590" width="16.140625" style="3532" bestFit="1" customWidth="1"/>
    <col min="2591" max="2817" width="8.85546875" style="3532"/>
    <col min="2818" max="2818" width="24" style="3532" bestFit="1" customWidth="1"/>
    <col min="2819" max="2819" width="45.7109375" style="3532" bestFit="1" customWidth="1"/>
    <col min="2820" max="2820" width="19.7109375" style="3532" bestFit="1" customWidth="1"/>
    <col min="2821" max="2821" width="16" style="3532" customWidth="1"/>
    <col min="2822" max="2822" width="19.85546875" style="3532" bestFit="1" customWidth="1"/>
    <col min="2823" max="2823" width="13.42578125" style="3532" customWidth="1"/>
    <col min="2824" max="2824" width="15.28515625" style="3532" bestFit="1" customWidth="1"/>
    <col min="2825" max="2825" width="14.140625" style="3532" bestFit="1" customWidth="1"/>
    <col min="2826" max="2826" width="15.28515625" style="3532" customWidth="1"/>
    <col min="2827" max="2827" width="15.85546875" style="3532" customWidth="1"/>
    <col min="2828" max="2828" width="17" style="3532" bestFit="1" customWidth="1"/>
    <col min="2829" max="2829" width="12.7109375" style="3532" customWidth="1"/>
    <col min="2830" max="2830" width="13.7109375" style="3532" customWidth="1"/>
    <col min="2831" max="2831" width="13.85546875" style="3532" bestFit="1" customWidth="1"/>
    <col min="2832" max="2832" width="15.42578125" style="3532" bestFit="1" customWidth="1"/>
    <col min="2833" max="2833" width="16.140625" style="3532" customWidth="1"/>
    <col min="2834" max="2834" width="16.7109375" style="3532" bestFit="1" customWidth="1"/>
    <col min="2835" max="2836" width="15.42578125" style="3532" bestFit="1" customWidth="1"/>
    <col min="2837" max="2837" width="16.42578125" style="3532" bestFit="1" customWidth="1"/>
    <col min="2838" max="2838" width="14.28515625" style="3532" customWidth="1"/>
    <col min="2839" max="2839" width="12.85546875" style="3532" bestFit="1" customWidth="1"/>
    <col min="2840" max="2840" width="11.28515625" style="3532" bestFit="1" customWidth="1"/>
    <col min="2841" max="2841" width="12.42578125" style="3532" bestFit="1" customWidth="1"/>
    <col min="2842" max="2842" width="14" style="3532" bestFit="1" customWidth="1"/>
    <col min="2843" max="2843" width="6" style="3532" bestFit="1" customWidth="1"/>
    <col min="2844" max="2844" width="15" style="3532" customWidth="1"/>
    <col min="2845" max="2845" width="14.85546875" style="3532" bestFit="1" customWidth="1"/>
    <col min="2846" max="2846" width="16.140625" style="3532" bestFit="1" customWidth="1"/>
    <col min="2847" max="3073" width="8.85546875" style="3532"/>
    <col min="3074" max="3074" width="24" style="3532" bestFit="1" customWidth="1"/>
    <col min="3075" max="3075" width="45.7109375" style="3532" bestFit="1" customWidth="1"/>
    <col min="3076" max="3076" width="19.7109375" style="3532" bestFit="1" customWidth="1"/>
    <col min="3077" max="3077" width="16" style="3532" customWidth="1"/>
    <col min="3078" max="3078" width="19.85546875" style="3532" bestFit="1" customWidth="1"/>
    <col min="3079" max="3079" width="13.42578125" style="3532" customWidth="1"/>
    <col min="3080" max="3080" width="15.28515625" style="3532" bestFit="1" customWidth="1"/>
    <col min="3081" max="3081" width="14.140625" style="3532" bestFit="1" customWidth="1"/>
    <col min="3082" max="3082" width="15.28515625" style="3532" customWidth="1"/>
    <col min="3083" max="3083" width="15.85546875" style="3532" customWidth="1"/>
    <col min="3084" max="3084" width="17" style="3532" bestFit="1" customWidth="1"/>
    <col min="3085" max="3085" width="12.7109375" style="3532" customWidth="1"/>
    <col min="3086" max="3086" width="13.7109375" style="3532" customWidth="1"/>
    <col min="3087" max="3087" width="13.85546875" style="3532" bestFit="1" customWidth="1"/>
    <col min="3088" max="3088" width="15.42578125" style="3532" bestFit="1" customWidth="1"/>
    <col min="3089" max="3089" width="16.140625" style="3532" customWidth="1"/>
    <col min="3090" max="3090" width="16.7109375" style="3532" bestFit="1" customWidth="1"/>
    <col min="3091" max="3092" width="15.42578125" style="3532" bestFit="1" customWidth="1"/>
    <col min="3093" max="3093" width="16.42578125" style="3532" bestFit="1" customWidth="1"/>
    <col min="3094" max="3094" width="14.28515625" style="3532" customWidth="1"/>
    <col min="3095" max="3095" width="12.85546875" style="3532" bestFit="1" customWidth="1"/>
    <col min="3096" max="3096" width="11.28515625" style="3532" bestFit="1" customWidth="1"/>
    <col min="3097" max="3097" width="12.42578125" style="3532" bestFit="1" customWidth="1"/>
    <col min="3098" max="3098" width="14" style="3532" bestFit="1" customWidth="1"/>
    <col min="3099" max="3099" width="6" style="3532" bestFit="1" customWidth="1"/>
    <col min="3100" max="3100" width="15" style="3532" customWidth="1"/>
    <col min="3101" max="3101" width="14.85546875" style="3532" bestFit="1" customWidth="1"/>
    <col min="3102" max="3102" width="16.140625" style="3532" bestFit="1" customWidth="1"/>
    <col min="3103" max="3329" width="8.85546875" style="3532"/>
    <col min="3330" max="3330" width="24" style="3532" bestFit="1" customWidth="1"/>
    <col min="3331" max="3331" width="45.7109375" style="3532" bestFit="1" customWidth="1"/>
    <col min="3332" max="3332" width="19.7109375" style="3532" bestFit="1" customWidth="1"/>
    <col min="3333" max="3333" width="16" style="3532" customWidth="1"/>
    <col min="3334" max="3334" width="19.85546875" style="3532" bestFit="1" customWidth="1"/>
    <col min="3335" max="3335" width="13.42578125" style="3532" customWidth="1"/>
    <col min="3336" max="3336" width="15.28515625" style="3532" bestFit="1" customWidth="1"/>
    <col min="3337" max="3337" width="14.140625" style="3532" bestFit="1" customWidth="1"/>
    <col min="3338" max="3338" width="15.28515625" style="3532" customWidth="1"/>
    <col min="3339" max="3339" width="15.85546875" style="3532" customWidth="1"/>
    <col min="3340" max="3340" width="17" style="3532" bestFit="1" customWidth="1"/>
    <col min="3341" max="3341" width="12.7109375" style="3532" customWidth="1"/>
    <col min="3342" max="3342" width="13.7109375" style="3532" customWidth="1"/>
    <col min="3343" max="3343" width="13.85546875" style="3532" bestFit="1" customWidth="1"/>
    <col min="3344" max="3344" width="15.42578125" style="3532" bestFit="1" customWidth="1"/>
    <col min="3345" max="3345" width="16.140625" style="3532" customWidth="1"/>
    <col min="3346" max="3346" width="16.7109375" style="3532" bestFit="1" customWidth="1"/>
    <col min="3347" max="3348" width="15.42578125" style="3532" bestFit="1" customWidth="1"/>
    <col min="3349" max="3349" width="16.42578125" style="3532" bestFit="1" customWidth="1"/>
    <col min="3350" max="3350" width="14.28515625" style="3532" customWidth="1"/>
    <col min="3351" max="3351" width="12.85546875" style="3532" bestFit="1" customWidth="1"/>
    <col min="3352" max="3352" width="11.28515625" style="3532" bestFit="1" customWidth="1"/>
    <col min="3353" max="3353" width="12.42578125" style="3532" bestFit="1" customWidth="1"/>
    <col min="3354" max="3354" width="14" style="3532" bestFit="1" customWidth="1"/>
    <col min="3355" max="3355" width="6" style="3532" bestFit="1" customWidth="1"/>
    <col min="3356" max="3356" width="15" style="3532" customWidth="1"/>
    <col min="3357" max="3357" width="14.85546875" style="3532" bestFit="1" customWidth="1"/>
    <col min="3358" max="3358" width="16.140625" style="3532" bestFit="1" customWidth="1"/>
    <col min="3359" max="3585" width="8.85546875" style="3532"/>
    <col min="3586" max="3586" width="24" style="3532" bestFit="1" customWidth="1"/>
    <col min="3587" max="3587" width="45.7109375" style="3532" bestFit="1" customWidth="1"/>
    <col min="3588" max="3588" width="19.7109375" style="3532" bestFit="1" customWidth="1"/>
    <col min="3589" max="3589" width="16" style="3532" customWidth="1"/>
    <col min="3590" max="3590" width="19.85546875" style="3532" bestFit="1" customWidth="1"/>
    <col min="3591" max="3591" width="13.42578125" style="3532" customWidth="1"/>
    <col min="3592" max="3592" width="15.28515625" style="3532" bestFit="1" customWidth="1"/>
    <col min="3593" max="3593" width="14.140625" style="3532" bestFit="1" customWidth="1"/>
    <col min="3594" max="3594" width="15.28515625" style="3532" customWidth="1"/>
    <col min="3595" max="3595" width="15.85546875" style="3532" customWidth="1"/>
    <col min="3596" max="3596" width="17" style="3532" bestFit="1" customWidth="1"/>
    <col min="3597" max="3597" width="12.7109375" style="3532" customWidth="1"/>
    <col min="3598" max="3598" width="13.7109375" style="3532" customWidth="1"/>
    <col min="3599" max="3599" width="13.85546875" style="3532" bestFit="1" customWidth="1"/>
    <col min="3600" max="3600" width="15.42578125" style="3532" bestFit="1" customWidth="1"/>
    <col min="3601" max="3601" width="16.140625" style="3532" customWidth="1"/>
    <col min="3602" max="3602" width="16.7109375" style="3532" bestFit="1" customWidth="1"/>
    <col min="3603" max="3604" width="15.42578125" style="3532" bestFit="1" customWidth="1"/>
    <col min="3605" max="3605" width="16.42578125" style="3532" bestFit="1" customWidth="1"/>
    <col min="3606" max="3606" width="14.28515625" style="3532" customWidth="1"/>
    <col min="3607" max="3607" width="12.85546875" style="3532" bestFit="1" customWidth="1"/>
    <col min="3608" max="3608" width="11.28515625" style="3532" bestFit="1" customWidth="1"/>
    <col min="3609" max="3609" width="12.42578125" style="3532" bestFit="1" customWidth="1"/>
    <col min="3610" max="3610" width="14" style="3532" bestFit="1" customWidth="1"/>
    <col min="3611" max="3611" width="6" style="3532" bestFit="1" customWidth="1"/>
    <col min="3612" max="3612" width="15" style="3532" customWidth="1"/>
    <col min="3613" max="3613" width="14.85546875" style="3532" bestFit="1" customWidth="1"/>
    <col min="3614" max="3614" width="16.140625" style="3532" bestFit="1" customWidth="1"/>
    <col min="3615" max="3841" width="8.85546875" style="3532"/>
    <col min="3842" max="3842" width="24" style="3532" bestFit="1" customWidth="1"/>
    <col min="3843" max="3843" width="45.7109375" style="3532" bestFit="1" customWidth="1"/>
    <col min="3844" max="3844" width="19.7109375" style="3532" bestFit="1" customWidth="1"/>
    <col min="3845" max="3845" width="16" style="3532" customWidth="1"/>
    <col min="3846" max="3846" width="19.85546875" style="3532" bestFit="1" customWidth="1"/>
    <col min="3847" max="3847" width="13.42578125" style="3532" customWidth="1"/>
    <col min="3848" max="3848" width="15.28515625" style="3532" bestFit="1" customWidth="1"/>
    <col min="3849" max="3849" width="14.140625" style="3532" bestFit="1" customWidth="1"/>
    <col min="3850" max="3850" width="15.28515625" style="3532" customWidth="1"/>
    <col min="3851" max="3851" width="15.85546875" style="3532" customWidth="1"/>
    <col min="3852" max="3852" width="17" style="3532" bestFit="1" customWidth="1"/>
    <col min="3853" max="3853" width="12.7109375" style="3532" customWidth="1"/>
    <col min="3854" max="3854" width="13.7109375" style="3532" customWidth="1"/>
    <col min="3855" max="3855" width="13.85546875" style="3532" bestFit="1" customWidth="1"/>
    <col min="3856" max="3856" width="15.42578125" style="3532" bestFit="1" customWidth="1"/>
    <col min="3857" max="3857" width="16.140625" style="3532" customWidth="1"/>
    <col min="3858" max="3858" width="16.7109375" style="3532" bestFit="1" customWidth="1"/>
    <col min="3859" max="3860" width="15.42578125" style="3532" bestFit="1" customWidth="1"/>
    <col min="3861" max="3861" width="16.42578125" style="3532" bestFit="1" customWidth="1"/>
    <col min="3862" max="3862" width="14.28515625" style="3532" customWidth="1"/>
    <col min="3863" max="3863" width="12.85546875" style="3532" bestFit="1" customWidth="1"/>
    <col min="3864" max="3864" width="11.28515625" style="3532" bestFit="1" customWidth="1"/>
    <col min="3865" max="3865" width="12.42578125" style="3532" bestFit="1" customWidth="1"/>
    <col min="3866" max="3866" width="14" style="3532" bestFit="1" customWidth="1"/>
    <col min="3867" max="3867" width="6" style="3532" bestFit="1" customWidth="1"/>
    <col min="3868" max="3868" width="15" style="3532" customWidth="1"/>
    <col min="3869" max="3869" width="14.85546875" style="3532" bestFit="1" customWidth="1"/>
    <col min="3870" max="3870" width="16.140625" style="3532" bestFit="1" customWidth="1"/>
    <col min="3871" max="4097" width="8.85546875" style="3532"/>
    <col min="4098" max="4098" width="24" style="3532" bestFit="1" customWidth="1"/>
    <col min="4099" max="4099" width="45.7109375" style="3532" bestFit="1" customWidth="1"/>
    <col min="4100" max="4100" width="19.7109375" style="3532" bestFit="1" customWidth="1"/>
    <col min="4101" max="4101" width="16" style="3532" customWidth="1"/>
    <col min="4102" max="4102" width="19.85546875" style="3532" bestFit="1" customWidth="1"/>
    <col min="4103" max="4103" width="13.42578125" style="3532" customWidth="1"/>
    <col min="4104" max="4104" width="15.28515625" style="3532" bestFit="1" customWidth="1"/>
    <col min="4105" max="4105" width="14.140625" style="3532" bestFit="1" customWidth="1"/>
    <col min="4106" max="4106" width="15.28515625" style="3532" customWidth="1"/>
    <col min="4107" max="4107" width="15.85546875" style="3532" customWidth="1"/>
    <col min="4108" max="4108" width="17" style="3532" bestFit="1" customWidth="1"/>
    <col min="4109" max="4109" width="12.7109375" style="3532" customWidth="1"/>
    <col min="4110" max="4110" width="13.7109375" style="3532" customWidth="1"/>
    <col min="4111" max="4111" width="13.85546875" style="3532" bestFit="1" customWidth="1"/>
    <col min="4112" max="4112" width="15.42578125" style="3532" bestFit="1" customWidth="1"/>
    <col min="4113" max="4113" width="16.140625" style="3532" customWidth="1"/>
    <col min="4114" max="4114" width="16.7109375" style="3532" bestFit="1" customWidth="1"/>
    <col min="4115" max="4116" width="15.42578125" style="3532" bestFit="1" customWidth="1"/>
    <col min="4117" max="4117" width="16.42578125" style="3532" bestFit="1" customWidth="1"/>
    <col min="4118" max="4118" width="14.28515625" style="3532" customWidth="1"/>
    <col min="4119" max="4119" width="12.85546875" style="3532" bestFit="1" customWidth="1"/>
    <col min="4120" max="4120" width="11.28515625" style="3532" bestFit="1" customWidth="1"/>
    <col min="4121" max="4121" width="12.42578125" style="3532" bestFit="1" customWidth="1"/>
    <col min="4122" max="4122" width="14" style="3532" bestFit="1" customWidth="1"/>
    <col min="4123" max="4123" width="6" style="3532" bestFit="1" customWidth="1"/>
    <col min="4124" max="4124" width="15" style="3532" customWidth="1"/>
    <col min="4125" max="4125" width="14.85546875" style="3532" bestFit="1" customWidth="1"/>
    <col min="4126" max="4126" width="16.140625" style="3532" bestFit="1" customWidth="1"/>
    <col min="4127" max="4353" width="8.85546875" style="3532"/>
    <col min="4354" max="4354" width="24" style="3532" bestFit="1" customWidth="1"/>
    <col min="4355" max="4355" width="45.7109375" style="3532" bestFit="1" customWidth="1"/>
    <col min="4356" max="4356" width="19.7109375" style="3532" bestFit="1" customWidth="1"/>
    <col min="4357" max="4357" width="16" style="3532" customWidth="1"/>
    <col min="4358" max="4358" width="19.85546875" style="3532" bestFit="1" customWidth="1"/>
    <col min="4359" max="4359" width="13.42578125" style="3532" customWidth="1"/>
    <col min="4360" max="4360" width="15.28515625" style="3532" bestFit="1" customWidth="1"/>
    <col min="4361" max="4361" width="14.140625" style="3532" bestFit="1" customWidth="1"/>
    <col min="4362" max="4362" width="15.28515625" style="3532" customWidth="1"/>
    <col min="4363" max="4363" width="15.85546875" style="3532" customWidth="1"/>
    <col min="4364" max="4364" width="17" style="3532" bestFit="1" customWidth="1"/>
    <col min="4365" max="4365" width="12.7109375" style="3532" customWidth="1"/>
    <col min="4366" max="4366" width="13.7109375" style="3532" customWidth="1"/>
    <col min="4367" max="4367" width="13.85546875" style="3532" bestFit="1" customWidth="1"/>
    <col min="4368" max="4368" width="15.42578125" style="3532" bestFit="1" customWidth="1"/>
    <col min="4369" max="4369" width="16.140625" style="3532" customWidth="1"/>
    <col min="4370" max="4370" width="16.7109375" style="3532" bestFit="1" customWidth="1"/>
    <col min="4371" max="4372" width="15.42578125" style="3532" bestFit="1" customWidth="1"/>
    <col min="4373" max="4373" width="16.42578125" style="3532" bestFit="1" customWidth="1"/>
    <col min="4374" max="4374" width="14.28515625" style="3532" customWidth="1"/>
    <col min="4375" max="4375" width="12.85546875" style="3532" bestFit="1" customWidth="1"/>
    <col min="4376" max="4376" width="11.28515625" style="3532" bestFit="1" customWidth="1"/>
    <col min="4377" max="4377" width="12.42578125" style="3532" bestFit="1" customWidth="1"/>
    <col min="4378" max="4378" width="14" style="3532" bestFit="1" customWidth="1"/>
    <col min="4379" max="4379" width="6" style="3532" bestFit="1" customWidth="1"/>
    <col min="4380" max="4380" width="15" style="3532" customWidth="1"/>
    <col min="4381" max="4381" width="14.85546875" style="3532" bestFit="1" customWidth="1"/>
    <col min="4382" max="4382" width="16.140625" style="3532" bestFit="1" customWidth="1"/>
    <col min="4383" max="4609" width="8.85546875" style="3532"/>
    <col min="4610" max="4610" width="24" style="3532" bestFit="1" customWidth="1"/>
    <col min="4611" max="4611" width="45.7109375" style="3532" bestFit="1" customWidth="1"/>
    <col min="4612" max="4612" width="19.7109375" style="3532" bestFit="1" customWidth="1"/>
    <col min="4613" max="4613" width="16" style="3532" customWidth="1"/>
    <col min="4614" max="4614" width="19.85546875" style="3532" bestFit="1" customWidth="1"/>
    <col min="4615" max="4615" width="13.42578125" style="3532" customWidth="1"/>
    <col min="4616" max="4616" width="15.28515625" style="3532" bestFit="1" customWidth="1"/>
    <col min="4617" max="4617" width="14.140625" style="3532" bestFit="1" customWidth="1"/>
    <col min="4618" max="4618" width="15.28515625" style="3532" customWidth="1"/>
    <col min="4619" max="4619" width="15.85546875" style="3532" customWidth="1"/>
    <col min="4620" max="4620" width="17" style="3532" bestFit="1" customWidth="1"/>
    <col min="4621" max="4621" width="12.7109375" style="3532" customWidth="1"/>
    <col min="4622" max="4622" width="13.7109375" style="3532" customWidth="1"/>
    <col min="4623" max="4623" width="13.85546875" style="3532" bestFit="1" customWidth="1"/>
    <col min="4624" max="4624" width="15.42578125" style="3532" bestFit="1" customWidth="1"/>
    <col min="4625" max="4625" width="16.140625" style="3532" customWidth="1"/>
    <col min="4626" max="4626" width="16.7109375" style="3532" bestFit="1" customWidth="1"/>
    <col min="4627" max="4628" width="15.42578125" style="3532" bestFit="1" customWidth="1"/>
    <col min="4629" max="4629" width="16.42578125" style="3532" bestFit="1" customWidth="1"/>
    <col min="4630" max="4630" width="14.28515625" style="3532" customWidth="1"/>
    <col min="4631" max="4631" width="12.85546875" style="3532" bestFit="1" customWidth="1"/>
    <col min="4632" max="4632" width="11.28515625" style="3532" bestFit="1" customWidth="1"/>
    <col min="4633" max="4633" width="12.42578125" style="3532" bestFit="1" customWidth="1"/>
    <col min="4634" max="4634" width="14" style="3532" bestFit="1" customWidth="1"/>
    <col min="4635" max="4635" width="6" style="3532" bestFit="1" customWidth="1"/>
    <col min="4636" max="4636" width="15" style="3532" customWidth="1"/>
    <col min="4637" max="4637" width="14.85546875" style="3532" bestFit="1" customWidth="1"/>
    <col min="4638" max="4638" width="16.140625" style="3532" bestFit="1" customWidth="1"/>
    <col min="4639" max="4865" width="8.85546875" style="3532"/>
    <col min="4866" max="4866" width="24" style="3532" bestFit="1" customWidth="1"/>
    <col min="4867" max="4867" width="45.7109375" style="3532" bestFit="1" customWidth="1"/>
    <col min="4868" max="4868" width="19.7109375" style="3532" bestFit="1" customWidth="1"/>
    <col min="4869" max="4869" width="16" style="3532" customWidth="1"/>
    <col min="4870" max="4870" width="19.85546875" style="3532" bestFit="1" customWidth="1"/>
    <col min="4871" max="4871" width="13.42578125" style="3532" customWidth="1"/>
    <col min="4872" max="4872" width="15.28515625" style="3532" bestFit="1" customWidth="1"/>
    <col min="4873" max="4873" width="14.140625" style="3532" bestFit="1" customWidth="1"/>
    <col min="4874" max="4874" width="15.28515625" style="3532" customWidth="1"/>
    <col min="4875" max="4875" width="15.85546875" style="3532" customWidth="1"/>
    <col min="4876" max="4876" width="17" style="3532" bestFit="1" customWidth="1"/>
    <col min="4877" max="4877" width="12.7109375" style="3532" customWidth="1"/>
    <col min="4878" max="4878" width="13.7109375" style="3532" customWidth="1"/>
    <col min="4879" max="4879" width="13.85546875" style="3532" bestFit="1" customWidth="1"/>
    <col min="4880" max="4880" width="15.42578125" style="3532" bestFit="1" customWidth="1"/>
    <col min="4881" max="4881" width="16.140625" style="3532" customWidth="1"/>
    <col min="4882" max="4882" width="16.7109375" style="3532" bestFit="1" customWidth="1"/>
    <col min="4883" max="4884" width="15.42578125" style="3532" bestFit="1" customWidth="1"/>
    <col min="4885" max="4885" width="16.42578125" style="3532" bestFit="1" customWidth="1"/>
    <col min="4886" max="4886" width="14.28515625" style="3532" customWidth="1"/>
    <col min="4887" max="4887" width="12.85546875" style="3532" bestFit="1" customWidth="1"/>
    <col min="4888" max="4888" width="11.28515625" style="3532" bestFit="1" customWidth="1"/>
    <col min="4889" max="4889" width="12.42578125" style="3532" bestFit="1" customWidth="1"/>
    <col min="4890" max="4890" width="14" style="3532" bestFit="1" customWidth="1"/>
    <col min="4891" max="4891" width="6" style="3532" bestFit="1" customWidth="1"/>
    <col min="4892" max="4892" width="15" style="3532" customWidth="1"/>
    <col min="4893" max="4893" width="14.85546875" style="3532" bestFit="1" customWidth="1"/>
    <col min="4894" max="4894" width="16.140625" style="3532" bestFit="1" customWidth="1"/>
    <col min="4895" max="5121" width="8.85546875" style="3532"/>
    <col min="5122" max="5122" width="24" style="3532" bestFit="1" customWidth="1"/>
    <col min="5123" max="5123" width="45.7109375" style="3532" bestFit="1" customWidth="1"/>
    <col min="5124" max="5124" width="19.7109375" style="3532" bestFit="1" customWidth="1"/>
    <col min="5125" max="5125" width="16" style="3532" customWidth="1"/>
    <col min="5126" max="5126" width="19.85546875" style="3532" bestFit="1" customWidth="1"/>
    <col min="5127" max="5127" width="13.42578125" style="3532" customWidth="1"/>
    <col min="5128" max="5128" width="15.28515625" style="3532" bestFit="1" customWidth="1"/>
    <col min="5129" max="5129" width="14.140625" style="3532" bestFit="1" customWidth="1"/>
    <col min="5130" max="5130" width="15.28515625" style="3532" customWidth="1"/>
    <col min="5131" max="5131" width="15.85546875" style="3532" customWidth="1"/>
    <col min="5132" max="5132" width="17" style="3532" bestFit="1" customWidth="1"/>
    <col min="5133" max="5133" width="12.7109375" style="3532" customWidth="1"/>
    <col min="5134" max="5134" width="13.7109375" style="3532" customWidth="1"/>
    <col min="5135" max="5135" width="13.85546875" style="3532" bestFit="1" customWidth="1"/>
    <col min="5136" max="5136" width="15.42578125" style="3532" bestFit="1" customWidth="1"/>
    <col min="5137" max="5137" width="16.140625" style="3532" customWidth="1"/>
    <col min="5138" max="5138" width="16.7109375" style="3532" bestFit="1" customWidth="1"/>
    <col min="5139" max="5140" width="15.42578125" style="3532" bestFit="1" customWidth="1"/>
    <col min="5141" max="5141" width="16.42578125" style="3532" bestFit="1" customWidth="1"/>
    <col min="5142" max="5142" width="14.28515625" style="3532" customWidth="1"/>
    <col min="5143" max="5143" width="12.85546875" style="3532" bestFit="1" customWidth="1"/>
    <col min="5144" max="5144" width="11.28515625" style="3532" bestFit="1" customWidth="1"/>
    <col min="5145" max="5145" width="12.42578125" style="3532" bestFit="1" customWidth="1"/>
    <col min="5146" max="5146" width="14" style="3532" bestFit="1" customWidth="1"/>
    <col min="5147" max="5147" width="6" style="3532" bestFit="1" customWidth="1"/>
    <col min="5148" max="5148" width="15" style="3532" customWidth="1"/>
    <col min="5149" max="5149" width="14.85546875" style="3532" bestFit="1" customWidth="1"/>
    <col min="5150" max="5150" width="16.140625" style="3532" bestFit="1" customWidth="1"/>
    <col min="5151" max="5377" width="8.85546875" style="3532"/>
    <col min="5378" max="5378" width="24" style="3532" bestFit="1" customWidth="1"/>
    <col min="5379" max="5379" width="45.7109375" style="3532" bestFit="1" customWidth="1"/>
    <col min="5380" max="5380" width="19.7109375" style="3532" bestFit="1" customWidth="1"/>
    <col min="5381" max="5381" width="16" style="3532" customWidth="1"/>
    <col min="5382" max="5382" width="19.85546875" style="3532" bestFit="1" customWidth="1"/>
    <col min="5383" max="5383" width="13.42578125" style="3532" customWidth="1"/>
    <col min="5384" max="5384" width="15.28515625" style="3532" bestFit="1" customWidth="1"/>
    <col min="5385" max="5385" width="14.140625" style="3532" bestFit="1" customWidth="1"/>
    <col min="5386" max="5386" width="15.28515625" style="3532" customWidth="1"/>
    <col min="5387" max="5387" width="15.85546875" style="3532" customWidth="1"/>
    <col min="5388" max="5388" width="17" style="3532" bestFit="1" customWidth="1"/>
    <col min="5389" max="5389" width="12.7109375" style="3532" customWidth="1"/>
    <col min="5390" max="5390" width="13.7109375" style="3532" customWidth="1"/>
    <col min="5391" max="5391" width="13.85546875" style="3532" bestFit="1" customWidth="1"/>
    <col min="5392" max="5392" width="15.42578125" style="3532" bestFit="1" customWidth="1"/>
    <col min="5393" max="5393" width="16.140625" style="3532" customWidth="1"/>
    <col min="5394" max="5394" width="16.7109375" style="3532" bestFit="1" customWidth="1"/>
    <col min="5395" max="5396" width="15.42578125" style="3532" bestFit="1" customWidth="1"/>
    <col min="5397" max="5397" width="16.42578125" style="3532" bestFit="1" customWidth="1"/>
    <col min="5398" max="5398" width="14.28515625" style="3532" customWidth="1"/>
    <col min="5399" max="5399" width="12.85546875" style="3532" bestFit="1" customWidth="1"/>
    <col min="5400" max="5400" width="11.28515625" style="3532" bestFit="1" customWidth="1"/>
    <col min="5401" max="5401" width="12.42578125" style="3532" bestFit="1" customWidth="1"/>
    <col min="5402" max="5402" width="14" style="3532" bestFit="1" customWidth="1"/>
    <col min="5403" max="5403" width="6" style="3532" bestFit="1" customWidth="1"/>
    <col min="5404" max="5404" width="15" style="3532" customWidth="1"/>
    <col min="5405" max="5405" width="14.85546875" style="3532" bestFit="1" customWidth="1"/>
    <col min="5406" max="5406" width="16.140625" style="3532" bestFit="1" customWidth="1"/>
    <col min="5407" max="5633" width="8.85546875" style="3532"/>
    <col min="5634" max="5634" width="24" style="3532" bestFit="1" customWidth="1"/>
    <col min="5635" max="5635" width="45.7109375" style="3532" bestFit="1" customWidth="1"/>
    <col min="5636" max="5636" width="19.7109375" style="3532" bestFit="1" customWidth="1"/>
    <col min="5637" max="5637" width="16" style="3532" customWidth="1"/>
    <col min="5638" max="5638" width="19.85546875" style="3532" bestFit="1" customWidth="1"/>
    <col min="5639" max="5639" width="13.42578125" style="3532" customWidth="1"/>
    <col min="5640" max="5640" width="15.28515625" style="3532" bestFit="1" customWidth="1"/>
    <col min="5641" max="5641" width="14.140625" style="3532" bestFit="1" customWidth="1"/>
    <col min="5642" max="5642" width="15.28515625" style="3532" customWidth="1"/>
    <col min="5643" max="5643" width="15.85546875" style="3532" customWidth="1"/>
    <col min="5644" max="5644" width="17" style="3532" bestFit="1" customWidth="1"/>
    <col min="5645" max="5645" width="12.7109375" style="3532" customWidth="1"/>
    <col min="5646" max="5646" width="13.7109375" style="3532" customWidth="1"/>
    <col min="5647" max="5647" width="13.85546875" style="3532" bestFit="1" customWidth="1"/>
    <col min="5648" max="5648" width="15.42578125" style="3532" bestFit="1" customWidth="1"/>
    <col min="5649" max="5649" width="16.140625" style="3532" customWidth="1"/>
    <col min="5650" max="5650" width="16.7109375" style="3532" bestFit="1" customWidth="1"/>
    <col min="5651" max="5652" width="15.42578125" style="3532" bestFit="1" customWidth="1"/>
    <col min="5653" max="5653" width="16.42578125" style="3532" bestFit="1" customWidth="1"/>
    <col min="5654" max="5654" width="14.28515625" style="3532" customWidth="1"/>
    <col min="5655" max="5655" width="12.85546875" style="3532" bestFit="1" customWidth="1"/>
    <col min="5656" max="5656" width="11.28515625" style="3532" bestFit="1" customWidth="1"/>
    <col min="5657" max="5657" width="12.42578125" style="3532" bestFit="1" customWidth="1"/>
    <col min="5658" max="5658" width="14" style="3532" bestFit="1" customWidth="1"/>
    <col min="5659" max="5659" width="6" style="3532" bestFit="1" customWidth="1"/>
    <col min="5660" max="5660" width="15" style="3532" customWidth="1"/>
    <col min="5661" max="5661" width="14.85546875" style="3532" bestFit="1" customWidth="1"/>
    <col min="5662" max="5662" width="16.140625" style="3532" bestFit="1" customWidth="1"/>
    <col min="5663" max="5889" width="8.85546875" style="3532"/>
    <col min="5890" max="5890" width="24" style="3532" bestFit="1" customWidth="1"/>
    <col min="5891" max="5891" width="45.7109375" style="3532" bestFit="1" customWidth="1"/>
    <col min="5892" max="5892" width="19.7109375" style="3532" bestFit="1" customWidth="1"/>
    <col min="5893" max="5893" width="16" style="3532" customWidth="1"/>
    <col min="5894" max="5894" width="19.85546875" style="3532" bestFit="1" customWidth="1"/>
    <col min="5895" max="5895" width="13.42578125" style="3532" customWidth="1"/>
    <col min="5896" max="5896" width="15.28515625" style="3532" bestFit="1" customWidth="1"/>
    <col min="5897" max="5897" width="14.140625" style="3532" bestFit="1" customWidth="1"/>
    <col min="5898" max="5898" width="15.28515625" style="3532" customWidth="1"/>
    <col min="5899" max="5899" width="15.85546875" style="3532" customWidth="1"/>
    <col min="5900" max="5900" width="17" style="3532" bestFit="1" customWidth="1"/>
    <col min="5901" max="5901" width="12.7109375" style="3532" customWidth="1"/>
    <col min="5902" max="5902" width="13.7109375" style="3532" customWidth="1"/>
    <col min="5903" max="5903" width="13.85546875" style="3532" bestFit="1" customWidth="1"/>
    <col min="5904" max="5904" width="15.42578125" style="3532" bestFit="1" customWidth="1"/>
    <col min="5905" max="5905" width="16.140625" style="3532" customWidth="1"/>
    <col min="5906" max="5906" width="16.7109375" style="3532" bestFit="1" customWidth="1"/>
    <col min="5907" max="5908" width="15.42578125" style="3532" bestFit="1" customWidth="1"/>
    <col min="5909" max="5909" width="16.42578125" style="3532" bestFit="1" customWidth="1"/>
    <col min="5910" max="5910" width="14.28515625" style="3532" customWidth="1"/>
    <col min="5911" max="5911" width="12.85546875" style="3532" bestFit="1" customWidth="1"/>
    <col min="5912" max="5912" width="11.28515625" style="3532" bestFit="1" customWidth="1"/>
    <col min="5913" max="5913" width="12.42578125" style="3532" bestFit="1" customWidth="1"/>
    <col min="5914" max="5914" width="14" style="3532" bestFit="1" customWidth="1"/>
    <col min="5915" max="5915" width="6" style="3532" bestFit="1" customWidth="1"/>
    <col min="5916" max="5916" width="15" style="3532" customWidth="1"/>
    <col min="5917" max="5917" width="14.85546875" style="3532" bestFit="1" customWidth="1"/>
    <col min="5918" max="5918" width="16.140625" style="3532" bestFit="1" customWidth="1"/>
    <col min="5919" max="6145" width="8.85546875" style="3532"/>
    <col min="6146" max="6146" width="24" style="3532" bestFit="1" customWidth="1"/>
    <col min="6147" max="6147" width="45.7109375" style="3532" bestFit="1" customWidth="1"/>
    <col min="6148" max="6148" width="19.7109375" style="3532" bestFit="1" customWidth="1"/>
    <col min="6149" max="6149" width="16" style="3532" customWidth="1"/>
    <col min="6150" max="6150" width="19.85546875" style="3532" bestFit="1" customWidth="1"/>
    <col min="6151" max="6151" width="13.42578125" style="3532" customWidth="1"/>
    <col min="6152" max="6152" width="15.28515625" style="3532" bestFit="1" customWidth="1"/>
    <col min="6153" max="6153" width="14.140625" style="3532" bestFit="1" customWidth="1"/>
    <col min="6154" max="6154" width="15.28515625" style="3532" customWidth="1"/>
    <col min="6155" max="6155" width="15.85546875" style="3532" customWidth="1"/>
    <col min="6156" max="6156" width="17" style="3532" bestFit="1" customWidth="1"/>
    <col min="6157" max="6157" width="12.7109375" style="3532" customWidth="1"/>
    <col min="6158" max="6158" width="13.7109375" style="3532" customWidth="1"/>
    <col min="6159" max="6159" width="13.85546875" style="3532" bestFit="1" customWidth="1"/>
    <col min="6160" max="6160" width="15.42578125" style="3532" bestFit="1" customWidth="1"/>
    <col min="6161" max="6161" width="16.140625" style="3532" customWidth="1"/>
    <col min="6162" max="6162" width="16.7109375" style="3532" bestFit="1" customWidth="1"/>
    <col min="6163" max="6164" width="15.42578125" style="3532" bestFit="1" customWidth="1"/>
    <col min="6165" max="6165" width="16.42578125" style="3532" bestFit="1" customWidth="1"/>
    <col min="6166" max="6166" width="14.28515625" style="3532" customWidth="1"/>
    <col min="6167" max="6167" width="12.85546875" style="3532" bestFit="1" customWidth="1"/>
    <col min="6168" max="6168" width="11.28515625" style="3532" bestFit="1" customWidth="1"/>
    <col min="6169" max="6169" width="12.42578125" style="3532" bestFit="1" customWidth="1"/>
    <col min="6170" max="6170" width="14" style="3532" bestFit="1" customWidth="1"/>
    <col min="6171" max="6171" width="6" style="3532" bestFit="1" customWidth="1"/>
    <col min="6172" max="6172" width="15" style="3532" customWidth="1"/>
    <col min="6173" max="6173" width="14.85546875" style="3532" bestFit="1" customWidth="1"/>
    <col min="6174" max="6174" width="16.140625" style="3532" bestFit="1" customWidth="1"/>
    <col min="6175" max="6401" width="8.85546875" style="3532"/>
    <col min="6402" max="6402" width="24" style="3532" bestFit="1" customWidth="1"/>
    <col min="6403" max="6403" width="45.7109375" style="3532" bestFit="1" customWidth="1"/>
    <col min="6404" max="6404" width="19.7109375" style="3532" bestFit="1" customWidth="1"/>
    <col min="6405" max="6405" width="16" style="3532" customWidth="1"/>
    <col min="6406" max="6406" width="19.85546875" style="3532" bestFit="1" customWidth="1"/>
    <col min="6407" max="6407" width="13.42578125" style="3532" customWidth="1"/>
    <col min="6408" max="6408" width="15.28515625" style="3532" bestFit="1" customWidth="1"/>
    <col min="6409" max="6409" width="14.140625" style="3532" bestFit="1" customWidth="1"/>
    <col min="6410" max="6410" width="15.28515625" style="3532" customWidth="1"/>
    <col min="6411" max="6411" width="15.85546875" style="3532" customWidth="1"/>
    <col min="6412" max="6412" width="17" style="3532" bestFit="1" customWidth="1"/>
    <col min="6413" max="6413" width="12.7109375" style="3532" customWidth="1"/>
    <col min="6414" max="6414" width="13.7109375" style="3532" customWidth="1"/>
    <col min="6415" max="6415" width="13.85546875" style="3532" bestFit="1" customWidth="1"/>
    <col min="6416" max="6416" width="15.42578125" style="3532" bestFit="1" customWidth="1"/>
    <col min="6417" max="6417" width="16.140625" style="3532" customWidth="1"/>
    <col min="6418" max="6418" width="16.7109375" style="3532" bestFit="1" customWidth="1"/>
    <col min="6419" max="6420" width="15.42578125" style="3532" bestFit="1" customWidth="1"/>
    <col min="6421" max="6421" width="16.42578125" style="3532" bestFit="1" customWidth="1"/>
    <col min="6422" max="6422" width="14.28515625" style="3532" customWidth="1"/>
    <col min="6423" max="6423" width="12.85546875" style="3532" bestFit="1" customWidth="1"/>
    <col min="6424" max="6424" width="11.28515625" style="3532" bestFit="1" customWidth="1"/>
    <col min="6425" max="6425" width="12.42578125" style="3532" bestFit="1" customWidth="1"/>
    <col min="6426" max="6426" width="14" style="3532" bestFit="1" customWidth="1"/>
    <col min="6427" max="6427" width="6" style="3532" bestFit="1" customWidth="1"/>
    <col min="6428" max="6428" width="15" style="3532" customWidth="1"/>
    <col min="6429" max="6429" width="14.85546875" style="3532" bestFit="1" customWidth="1"/>
    <col min="6430" max="6430" width="16.140625" style="3532" bestFit="1" customWidth="1"/>
    <col min="6431" max="6657" width="8.85546875" style="3532"/>
    <col min="6658" max="6658" width="24" style="3532" bestFit="1" customWidth="1"/>
    <col min="6659" max="6659" width="45.7109375" style="3532" bestFit="1" customWidth="1"/>
    <col min="6660" max="6660" width="19.7109375" style="3532" bestFit="1" customWidth="1"/>
    <col min="6661" max="6661" width="16" style="3532" customWidth="1"/>
    <col min="6662" max="6662" width="19.85546875" style="3532" bestFit="1" customWidth="1"/>
    <col min="6663" max="6663" width="13.42578125" style="3532" customWidth="1"/>
    <col min="6664" max="6664" width="15.28515625" style="3532" bestFit="1" customWidth="1"/>
    <col min="6665" max="6665" width="14.140625" style="3532" bestFit="1" customWidth="1"/>
    <col min="6666" max="6666" width="15.28515625" style="3532" customWidth="1"/>
    <col min="6667" max="6667" width="15.85546875" style="3532" customWidth="1"/>
    <col min="6668" max="6668" width="17" style="3532" bestFit="1" customWidth="1"/>
    <col min="6669" max="6669" width="12.7109375" style="3532" customWidth="1"/>
    <col min="6670" max="6670" width="13.7109375" style="3532" customWidth="1"/>
    <col min="6671" max="6671" width="13.85546875" style="3532" bestFit="1" customWidth="1"/>
    <col min="6672" max="6672" width="15.42578125" style="3532" bestFit="1" customWidth="1"/>
    <col min="6673" max="6673" width="16.140625" style="3532" customWidth="1"/>
    <col min="6674" max="6674" width="16.7109375" style="3532" bestFit="1" customWidth="1"/>
    <col min="6675" max="6676" width="15.42578125" style="3532" bestFit="1" customWidth="1"/>
    <col min="6677" max="6677" width="16.42578125" style="3532" bestFit="1" customWidth="1"/>
    <col min="6678" max="6678" width="14.28515625" style="3532" customWidth="1"/>
    <col min="6679" max="6679" width="12.85546875" style="3532" bestFit="1" customWidth="1"/>
    <col min="6680" max="6680" width="11.28515625" style="3532" bestFit="1" customWidth="1"/>
    <col min="6681" max="6681" width="12.42578125" style="3532" bestFit="1" customWidth="1"/>
    <col min="6682" max="6682" width="14" style="3532" bestFit="1" customWidth="1"/>
    <col min="6683" max="6683" width="6" style="3532" bestFit="1" customWidth="1"/>
    <col min="6684" max="6684" width="15" style="3532" customWidth="1"/>
    <col min="6685" max="6685" width="14.85546875" style="3532" bestFit="1" customWidth="1"/>
    <col min="6686" max="6686" width="16.140625" style="3532" bestFit="1" customWidth="1"/>
    <col min="6687" max="6913" width="8.85546875" style="3532"/>
    <col min="6914" max="6914" width="24" style="3532" bestFit="1" customWidth="1"/>
    <col min="6915" max="6915" width="45.7109375" style="3532" bestFit="1" customWidth="1"/>
    <col min="6916" max="6916" width="19.7109375" style="3532" bestFit="1" customWidth="1"/>
    <col min="6917" max="6917" width="16" style="3532" customWidth="1"/>
    <col min="6918" max="6918" width="19.85546875" style="3532" bestFit="1" customWidth="1"/>
    <col min="6919" max="6919" width="13.42578125" style="3532" customWidth="1"/>
    <col min="6920" max="6920" width="15.28515625" style="3532" bestFit="1" customWidth="1"/>
    <col min="6921" max="6921" width="14.140625" style="3532" bestFit="1" customWidth="1"/>
    <col min="6922" max="6922" width="15.28515625" style="3532" customWidth="1"/>
    <col min="6923" max="6923" width="15.85546875" style="3532" customWidth="1"/>
    <col min="6924" max="6924" width="17" style="3532" bestFit="1" customWidth="1"/>
    <col min="6925" max="6925" width="12.7109375" style="3532" customWidth="1"/>
    <col min="6926" max="6926" width="13.7109375" style="3532" customWidth="1"/>
    <col min="6927" max="6927" width="13.85546875" style="3532" bestFit="1" customWidth="1"/>
    <col min="6928" max="6928" width="15.42578125" style="3532" bestFit="1" customWidth="1"/>
    <col min="6929" max="6929" width="16.140625" style="3532" customWidth="1"/>
    <col min="6930" max="6930" width="16.7109375" style="3532" bestFit="1" customWidth="1"/>
    <col min="6931" max="6932" width="15.42578125" style="3532" bestFit="1" customWidth="1"/>
    <col min="6933" max="6933" width="16.42578125" style="3532" bestFit="1" customWidth="1"/>
    <col min="6934" max="6934" width="14.28515625" style="3532" customWidth="1"/>
    <col min="6935" max="6935" width="12.85546875" style="3532" bestFit="1" customWidth="1"/>
    <col min="6936" max="6936" width="11.28515625" style="3532" bestFit="1" customWidth="1"/>
    <col min="6937" max="6937" width="12.42578125" style="3532" bestFit="1" customWidth="1"/>
    <col min="6938" max="6938" width="14" style="3532" bestFit="1" customWidth="1"/>
    <col min="6939" max="6939" width="6" style="3532" bestFit="1" customWidth="1"/>
    <col min="6940" max="6940" width="15" style="3532" customWidth="1"/>
    <col min="6941" max="6941" width="14.85546875" style="3532" bestFit="1" customWidth="1"/>
    <col min="6942" max="6942" width="16.140625" style="3532" bestFit="1" customWidth="1"/>
    <col min="6943" max="7169" width="8.85546875" style="3532"/>
    <col min="7170" max="7170" width="24" style="3532" bestFit="1" customWidth="1"/>
    <col min="7171" max="7171" width="45.7109375" style="3532" bestFit="1" customWidth="1"/>
    <col min="7172" max="7172" width="19.7109375" style="3532" bestFit="1" customWidth="1"/>
    <col min="7173" max="7173" width="16" style="3532" customWidth="1"/>
    <col min="7174" max="7174" width="19.85546875" style="3532" bestFit="1" customWidth="1"/>
    <col min="7175" max="7175" width="13.42578125" style="3532" customWidth="1"/>
    <col min="7176" max="7176" width="15.28515625" style="3532" bestFit="1" customWidth="1"/>
    <col min="7177" max="7177" width="14.140625" style="3532" bestFit="1" customWidth="1"/>
    <col min="7178" max="7178" width="15.28515625" style="3532" customWidth="1"/>
    <col min="7179" max="7179" width="15.85546875" style="3532" customWidth="1"/>
    <col min="7180" max="7180" width="17" style="3532" bestFit="1" customWidth="1"/>
    <col min="7181" max="7181" width="12.7109375" style="3532" customWidth="1"/>
    <col min="7182" max="7182" width="13.7109375" style="3532" customWidth="1"/>
    <col min="7183" max="7183" width="13.85546875" style="3532" bestFit="1" customWidth="1"/>
    <col min="7184" max="7184" width="15.42578125" style="3532" bestFit="1" customWidth="1"/>
    <col min="7185" max="7185" width="16.140625" style="3532" customWidth="1"/>
    <col min="7186" max="7186" width="16.7109375" style="3532" bestFit="1" customWidth="1"/>
    <col min="7187" max="7188" width="15.42578125" style="3532" bestFit="1" customWidth="1"/>
    <col min="7189" max="7189" width="16.42578125" style="3532" bestFit="1" customWidth="1"/>
    <col min="7190" max="7190" width="14.28515625" style="3532" customWidth="1"/>
    <col min="7191" max="7191" width="12.85546875" style="3532" bestFit="1" customWidth="1"/>
    <col min="7192" max="7192" width="11.28515625" style="3532" bestFit="1" customWidth="1"/>
    <col min="7193" max="7193" width="12.42578125" style="3532" bestFit="1" customWidth="1"/>
    <col min="7194" max="7194" width="14" style="3532" bestFit="1" customWidth="1"/>
    <col min="7195" max="7195" width="6" style="3532" bestFit="1" customWidth="1"/>
    <col min="7196" max="7196" width="15" style="3532" customWidth="1"/>
    <col min="7197" max="7197" width="14.85546875" style="3532" bestFit="1" customWidth="1"/>
    <col min="7198" max="7198" width="16.140625" style="3532" bestFit="1" customWidth="1"/>
    <col min="7199" max="7425" width="8.85546875" style="3532"/>
    <col min="7426" max="7426" width="24" style="3532" bestFit="1" customWidth="1"/>
    <col min="7427" max="7427" width="45.7109375" style="3532" bestFit="1" customWidth="1"/>
    <col min="7428" max="7428" width="19.7109375" style="3532" bestFit="1" customWidth="1"/>
    <col min="7429" max="7429" width="16" style="3532" customWidth="1"/>
    <col min="7430" max="7430" width="19.85546875" style="3532" bestFit="1" customWidth="1"/>
    <col min="7431" max="7431" width="13.42578125" style="3532" customWidth="1"/>
    <col min="7432" max="7432" width="15.28515625" style="3532" bestFit="1" customWidth="1"/>
    <col min="7433" max="7433" width="14.140625" style="3532" bestFit="1" customWidth="1"/>
    <col min="7434" max="7434" width="15.28515625" style="3532" customWidth="1"/>
    <col min="7435" max="7435" width="15.85546875" style="3532" customWidth="1"/>
    <col min="7436" max="7436" width="17" style="3532" bestFit="1" customWidth="1"/>
    <col min="7437" max="7437" width="12.7109375" style="3532" customWidth="1"/>
    <col min="7438" max="7438" width="13.7109375" style="3532" customWidth="1"/>
    <col min="7439" max="7439" width="13.85546875" style="3532" bestFit="1" customWidth="1"/>
    <col min="7440" max="7440" width="15.42578125" style="3532" bestFit="1" customWidth="1"/>
    <col min="7441" max="7441" width="16.140625" style="3532" customWidth="1"/>
    <col min="7442" max="7442" width="16.7109375" style="3532" bestFit="1" customWidth="1"/>
    <col min="7443" max="7444" width="15.42578125" style="3532" bestFit="1" customWidth="1"/>
    <col min="7445" max="7445" width="16.42578125" style="3532" bestFit="1" customWidth="1"/>
    <col min="7446" max="7446" width="14.28515625" style="3532" customWidth="1"/>
    <col min="7447" max="7447" width="12.85546875" style="3532" bestFit="1" customWidth="1"/>
    <col min="7448" max="7448" width="11.28515625" style="3532" bestFit="1" customWidth="1"/>
    <col min="7449" max="7449" width="12.42578125" style="3532" bestFit="1" customWidth="1"/>
    <col min="7450" max="7450" width="14" style="3532" bestFit="1" customWidth="1"/>
    <col min="7451" max="7451" width="6" style="3532" bestFit="1" customWidth="1"/>
    <col min="7452" max="7452" width="15" style="3532" customWidth="1"/>
    <col min="7453" max="7453" width="14.85546875" style="3532" bestFit="1" customWidth="1"/>
    <col min="7454" max="7454" width="16.140625" style="3532" bestFit="1" customWidth="1"/>
    <col min="7455" max="7681" width="8.85546875" style="3532"/>
    <col min="7682" max="7682" width="24" style="3532" bestFit="1" customWidth="1"/>
    <col min="7683" max="7683" width="45.7109375" style="3532" bestFit="1" customWidth="1"/>
    <col min="7684" max="7684" width="19.7109375" style="3532" bestFit="1" customWidth="1"/>
    <col min="7685" max="7685" width="16" style="3532" customWidth="1"/>
    <col min="7686" max="7686" width="19.85546875" style="3532" bestFit="1" customWidth="1"/>
    <col min="7687" max="7687" width="13.42578125" style="3532" customWidth="1"/>
    <col min="7688" max="7688" width="15.28515625" style="3532" bestFit="1" customWidth="1"/>
    <col min="7689" max="7689" width="14.140625" style="3532" bestFit="1" customWidth="1"/>
    <col min="7690" max="7690" width="15.28515625" style="3532" customWidth="1"/>
    <col min="7691" max="7691" width="15.85546875" style="3532" customWidth="1"/>
    <col min="7692" max="7692" width="17" style="3532" bestFit="1" customWidth="1"/>
    <col min="7693" max="7693" width="12.7109375" style="3532" customWidth="1"/>
    <col min="7694" max="7694" width="13.7109375" style="3532" customWidth="1"/>
    <col min="7695" max="7695" width="13.85546875" style="3532" bestFit="1" customWidth="1"/>
    <col min="7696" max="7696" width="15.42578125" style="3532" bestFit="1" customWidth="1"/>
    <col min="7697" max="7697" width="16.140625" style="3532" customWidth="1"/>
    <col min="7698" max="7698" width="16.7109375" style="3532" bestFit="1" customWidth="1"/>
    <col min="7699" max="7700" width="15.42578125" style="3532" bestFit="1" customWidth="1"/>
    <col min="7701" max="7701" width="16.42578125" style="3532" bestFit="1" customWidth="1"/>
    <col min="7702" max="7702" width="14.28515625" style="3532" customWidth="1"/>
    <col min="7703" max="7703" width="12.85546875" style="3532" bestFit="1" customWidth="1"/>
    <col min="7704" max="7704" width="11.28515625" style="3532" bestFit="1" customWidth="1"/>
    <col min="7705" max="7705" width="12.42578125" style="3532" bestFit="1" customWidth="1"/>
    <col min="7706" max="7706" width="14" style="3532" bestFit="1" customWidth="1"/>
    <col min="7707" max="7707" width="6" style="3532" bestFit="1" customWidth="1"/>
    <col min="7708" max="7708" width="15" style="3532" customWidth="1"/>
    <col min="7709" max="7709" width="14.85546875" style="3532" bestFit="1" customWidth="1"/>
    <col min="7710" max="7710" width="16.140625" style="3532" bestFit="1" customWidth="1"/>
    <col min="7711" max="7937" width="8.85546875" style="3532"/>
    <col min="7938" max="7938" width="24" style="3532" bestFit="1" customWidth="1"/>
    <col min="7939" max="7939" width="45.7109375" style="3532" bestFit="1" customWidth="1"/>
    <col min="7940" max="7940" width="19.7109375" style="3532" bestFit="1" customWidth="1"/>
    <col min="7941" max="7941" width="16" style="3532" customWidth="1"/>
    <col min="7942" max="7942" width="19.85546875" style="3532" bestFit="1" customWidth="1"/>
    <col min="7943" max="7943" width="13.42578125" style="3532" customWidth="1"/>
    <col min="7944" max="7944" width="15.28515625" style="3532" bestFit="1" customWidth="1"/>
    <col min="7945" max="7945" width="14.140625" style="3532" bestFit="1" customWidth="1"/>
    <col min="7946" max="7946" width="15.28515625" style="3532" customWidth="1"/>
    <col min="7947" max="7947" width="15.85546875" style="3532" customWidth="1"/>
    <col min="7948" max="7948" width="17" style="3532" bestFit="1" customWidth="1"/>
    <col min="7949" max="7949" width="12.7109375" style="3532" customWidth="1"/>
    <col min="7950" max="7950" width="13.7109375" style="3532" customWidth="1"/>
    <col min="7951" max="7951" width="13.85546875" style="3532" bestFit="1" customWidth="1"/>
    <col min="7952" max="7952" width="15.42578125" style="3532" bestFit="1" customWidth="1"/>
    <col min="7953" max="7953" width="16.140625" style="3532" customWidth="1"/>
    <col min="7954" max="7954" width="16.7109375" style="3532" bestFit="1" customWidth="1"/>
    <col min="7955" max="7956" width="15.42578125" style="3532" bestFit="1" customWidth="1"/>
    <col min="7957" max="7957" width="16.42578125" style="3532" bestFit="1" customWidth="1"/>
    <col min="7958" max="7958" width="14.28515625" style="3532" customWidth="1"/>
    <col min="7959" max="7959" width="12.85546875" style="3532" bestFit="1" customWidth="1"/>
    <col min="7960" max="7960" width="11.28515625" style="3532" bestFit="1" customWidth="1"/>
    <col min="7961" max="7961" width="12.42578125" style="3532" bestFit="1" customWidth="1"/>
    <col min="7962" max="7962" width="14" style="3532" bestFit="1" customWidth="1"/>
    <col min="7963" max="7963" width="6" style="3532" bestFit="1" customWidth="1"/>
    <col min="7964" max="7964" width="15" style="3532" customWidth="1"/>
    <col min="7965" max="7965" width="14.85546875" style="3532" bestFit="1" customWidth="1"/>
    <col min="7966" max="7966" width="16.140625" style="3532" bestFit="1" customWidth="1"/>
    <col min="7967" max="8193" width="8.85546875" style="3532"/>
    <col min="8194" max="8194" width="24" style="3532" bestFit="1" customWidth="1"/>
    <col min="8195" max="8195" width="45.7109375" style="3532" bestFit="1" customWidth="1"/>
    <col min="8196" max="8196" width="19.7109375" style="3532" bestFit="1" customWidth="1"/>
    <col min="8197" max="8197" width="16" style="3532" customWidth="1"/>
    <col min="8198" max="8198" width="19.85546875" style="3532" bestFit="1" customWidth="1"/>
    <col min="8199" max="8199" width="13.42578125" style="3532" customWidth="1"/>
    <col min="8200" max="8200" width="15.28515625" style="3532" bestFit="1" customWidth="1"/>
    <col min="8201" max="8201" width="14.140625" style="3532" bestFit="1" customWidth="1"/>
    <col min="8202" max="8202" width="15.28515625" style="3532" customWidth="1"/>
    <col min="8203" max="8203" width="15.85546875" style="3532" customWidth="1"/>
    <col min="8204" max="8204" width="17" style="3532" bestFit="1" customWidth="1"/>
    <col min="8205" max="8205" width="12.7109375" style="3532" customWidth="1"/>
    <col min="8206" max="8206" width="13.7109375" style="3532" customWidth="1"/>
    <col min="8207" max="8207" width="13.85546875" style="3532" bestFit="1" customWidth="1"/>
    <col min="8208" max="8208" width="15.42578125" style="3532" bestFit="1" customWidth="1"/>
    <col min="8209" max="8209" width="16.140625" style="3532" customWidth="1"/>
    <col min="8210" max="8210" width="16.7109375" style="3532" bestFit="1" customWidth="1"/>
    <col min="8211" max="8212" width="15.42578125" style="3532" bestFit="1" customWidth="1"/>
    <col min="8213" max="8213" width="16.42578125" style="3532" bestFit="1" customWidth="1"/>
    <col min="8214" max="8214" width="14.28515625" style="3532" customWidth="1"/>
    <col min="8215" max="8215" width="12.85546875" style="3532" bestFit="1" customWidth="1"/>
    <col min="8216" max="8216" width="11.28515625" style="3532" bestFit="1" customWidth="1"/>
    <col min="8217" max="8217" width="12.42578125" style="3532" bestFit="1" customWidth="1"/>
    <col min="8218" max="8218" width="14" style="3532" bestFit="1" customWidth="1"/>
    <col min="8219" max="8219" width="6" style="3532" bestFit="1" customWidth="1"/>
    <col min="8220" max="8220" width="15" style="3532" customWidth="1"/>
    <col min="8221" max="8221" width="14.85546875" style="3532" bestFit="1" customWidth="1"/>
    <col min="8222" max="8222" width="16.140625" style="3532" bestFit="1" customWidth="1"/>
    <col min="8223" max="8449" width="8.85546875" style="3532"/>
    <col min="8450" max="8450" width="24" style="3532" bestFit="1" customWidth="1"/>
    <col min="8451" max="8451" width="45.7109375" style="3532" bestFit="1" customWidth="1"/>
    <col min="8452" max="8452" width="19.7109375" style="3532" bestFit="1" customWidth="1"/>
    <col min="8453" max="8453" width="16" style="3532" customWidth="1"/>
    <col min="8454" max="8454" width="19.85546875" style="3532" bestFit="1" customWidth="1"/>
    <col min="8455" max="8455" width="13.42578125" style="3532" customWidth="1"/>
    <col min="8456" max="8456" width="15.28515625" style="3532" bestFit="1" customWidth="1"/>
    <col min="8457" max="8457" width="14.140625" style="3532" bestFit="1" customWidth="1"/>
    <col min="8458" max="8458" width="15.28515625" style="3532" customWidth="1"/>
    <col min="8459" max="8459" width="15.85546875" style="3532" customWidth="1"/>
    <col min="8460" max="8460" width="17" style="3532" bestFit="1" customWidth="1"/>
    <col min="8461" max="8461" width="12.7109375" style="3532" customWidth="1"/>
    <col min="8462" max="8462" width="13.7109375" style="3532" customWidth="1"/>
    <col min="8463" max="8463" width="13.85546875" style="3532" bestFit="1" customWidth="1"/>
    <col min="8464" max="8464" width="15.42578125" style="3532" bestFit="1" customWidth="1"/>
    <col min="8465" max="8465" width="16.140625" style="3532" customWidth="1"/>
    <col min="8466" max="8466" width="16.7109375" style="3532" bestFit="1" customWidth="1"/>
    <col min="8467" max="8468" width="15.42578125" style="3532" bestFit="1" customWidth="1"/>
    <col min="8469" max="8469" width="16.42578125" style="3532" bestFit="1" customWidth="1"/>
    <col min="8470" max="8470" width="14.28515625" style="3532" customWidth="1"/>
    <col min="8471" max="8471" width="12.85546875" style="3532" bestFit="1" customWidth="1"/>
    <col min="8472" max="8472" width="11.28515625" style="3532" bestFit="1" customWidth="1"/>
    <col min="8473" max="8473" width="12.42578125" style="3532" bestFit="1" customWidth="1"/>
    <col min="8474" max="8474" width="14" style="3532" bestFit="1" customWidth="1"/>
    <col min="8475" max="8475" width="6" style="3532" bestFit="1" customWidth="1"/>
    <col min="8476" max="8476" width="15" style="3532" customWidth="1"/>
    <col min="8477" max="8477" width="14.85546875" style="3532" bestFit="1" customWidth="1"/>
    <col min="8478" max="8478" width="16.140625" style="3532" bestFit="1" customWidth="1"/>
    <col min="8479" max="8705" width="8.85546875" style="3532"/>
    <col min="8706" max="8706" width="24" style="3532" bestFit="1" customWidth="1"/>
    <col min="8707" max="8707" width="45.7109375" style="3532" bestFit="1" customWidth="1"/>
    <col min="8708" max="8708" width="19.7109375" style="3532" bestFit="1" customWidth="1"/>
    <col min="8709" max="8709" width="16" style="3532" customWidth="1"/>
    <col min="8710" max="8710" width="19.85546875" style="3532" bestFit="1" customWidth="1"/>
    <col min="8711" max="8711" width="13.42578125" style="3532" customWidth="1"/>
    <col min="8712" max="8712" width="15.28515625" style="3532" bestFit="1" customWidth="1"/>
    <col min="8713" max="8713" width="14.140625" style="3532" bestFit="1" customWidth="1"/>
    <col min="8714" max="8714" width="15.28515625" style="3532" customWidth="1"/>
    <col min="8715" max="8715" width="15.85546875" style="3532" customWidth="1"/>
    <col min="8716" max="8716" width="17" style="3532" bestFit="1" customWidth="1"/>
    <col min="8717" max="8717" width="12.7109375" style="3532" customWidth="1"/>
    <col min="8718" max="8718" width="13.7109375" style="3532" customWidth="1"/>
    <col min="8719" max="8719" width="13.85546875" style="3532" bestFit="1" customWidth="1"/>
    <col min="8720" max="8720" width="15.42578125" style="3532" bestFit="1" customWidth="1"/>
    <col min="8721" max="8721" width="16.140625" style="3532" customWidth="1"/>
    <col min="8722" max="8722" width="16.7109375" style="3532" bestFit="1" customWidth="1"/>
    <col min="8723" max="8724" width="15.42578125" style="3532" bestFit="1" customWidth="1"/>
    <col min="8725" max="8725" width="16.42578125" style="3532" bestFit="1" customWidth="1"/>
    <col min="8726" max="8726" width="14.28515625" style="3532" customWidth="1"/>
    <col min="8727" max="8727" width="12.85546875" style="3532" bestFit="1" customWidth="1"/>
    <col min="8728" max="8728" width="11.28515625" style="3532" bestFit="1" customWidth="1"/>
    <col min="8729" max="8729" width="12.42578125" style="3532" bestFit="1" customWidth="1"/>
    <col min="8730" max="8730" width="14" style="3532" bestFit="1" customWidth="1"/>
    <col min="8731" max="8731" width="6" style="3532" bestFit="1" customWidth="1"/>
    <col min="8732" max="8732" width="15" style="3532" customWidth="1"/>
    <col min="8733" max="8733" width="14.85546875" style="3532" bestFit="1" customWidth="1"/>
    <col min="8734" max="8734" width="16.140625" style="3532" bestFit="1" customWidth="1"/>
    <col min="8735" max="8961" width="8.85546875" style="3532"/>
    <col min="8962" max="8962" width="24" style="3532" bestFit="1" customWidth="1"/>
    <col min="8963" max="8963" width="45.7109375" style="3532" bestFit="1" customWidth="1"/>
    <col min="8964" max="8964" width="19.7109375" style="3532" bestFit="1" customWidth="1"/>
    <col min="8965" max="8965" width="16" style="3532" customWidth="1"/>
    <col min="8966" max="8966" width="19.85546875" style="3532" bestFit="1" customWidth="1"/>
    <col min="8967" max="8967" width="13.42578125" style="3532" customWidth="1"/>
    <col min="8968" max="8968" width="15.28515625" style="3532" bestFit="1" customWidth="1"/>
    <col min="8969" max="8969" width="14.140625" style="3532" bestFit="1" customWidth="1"/>
    <col min="8970" max="8970" width="15.28515625" style="3532" customWidth="1"/>
    <col min="8971" max="8971" width="15.85546875" style="3532" customWidth="1"/>
    <col min="8972" max="8972" width="17" style="3532" bestFit="1" customWidth="1"/>
    <col min="8973" max="8973" width="12.7109375" style="3532" customWidth="1"/>
    <col min="8974" max="8974" width="13.7109375" style="3532" customWidth="1"/>
    <col min="8975" max="8975" width="13.85546875" style="3532" bestFit="1" customWidth="1"/>
    <col min="8976" max="8976" width="15.42578125" style="3532" bestFit="1" customWidth="1"/>
    <col min="8977" max="8977" width="16.140625" style="3532" customWidth="1"/>
    <col min="8978" max="8978" width="16.7109375" style="3532" bestFit="1" customWidth="1"/>
    <col min="8979" max="8980" width="15.42578125" style="3532" bestFit="1" customWidth="1"/>
    <col min="8981" max="8981" width="16.42578125" style="3532" bestFit="1" customWidth="1"/>
    <col min="8982" max="8982" width="14.28515625" style="3532" customWidth="1"/>
    <col min="8983" max="8983" width="12.85546875" style="3532" bestFit="1" customWidth="1"/>
    <col min="8984" max="8984" width="11.28515625" style="3532" bestFit="1" customWidth="1"/>
    <col min="8985" max="8985" width="12.42578125" style="3532" bestFit="1" customWidth="1"/>
    <col min="8986" max="8986" width="14" style="3532" bestFit="1" customWidth="1"/>
    <col min="8987" max="8987" width="6" style="3532" bestFit="1" customWidth="1"/>
    <col min="8988" max="8988" width="15" style="3532" customWidth="1"/>
    <col min="8989" max="8989" width="14.85546875" style="3532" bestFit="1" customWidth="1"/>
    <col min="8990" max="8990" width="16.140625" style="3532" bestFit="1" customWidth="1"/>
    <col min="8991" max="9217" width="8.85546875" style="3532"/>
    <col min="9218" max="9218" width="24" style="3532" bestFit="1" customWidth="1"/>
    <col min="9219" max="9219" width="45.7109375" style="3532" bestFit="1" customWidth="1"/>
    <col min="9220" max="9220" width="19.7109375" style="3532" bestFit="1" customWidth="1"/>
    <col min="9221" max="9221" width="16" style="3532" customWidth="1"/>
    <col min="9222" max="9222" width="19.85546875" style="3532" bestFit="1" customWidth="1"/>
    <col min="9223" max="9223" width="13.42578125" style="3532" customWidth="1"/>
    <col min="9224" max="9224" width="15.28515625" style="3532" bestFit="1" customWidth="1"/>
    <col min="9225" max="9225" width="14.140625" style="3532" bestFit="1" customWidth="1"/>
    <col min="9226" max="9226" width="15.28515625" style="3532" customWidth="1"/>
    <col min="9227" max="9227" width="15.85546875" style="3532" customWidth="1"/>
    <col min="9228" max="9228" width="17" style="3532" bestFit="1" customWidth="1"/>
    <col min="9229" max="9229" width="12.7109375" style="3532" customWidth="1"/>
    <col min="9230" max="9230" width="13.7109375" style="3532" customWidth="1"/>
    <col min="9231" max="9231" width="13.85546875" style="3532" bestFit="1" customWidth="1"/>
    <col min="9232" max="9232" width="15.42578125" style="3532" bestFit="1" customWidth="1"/>
    <col min="9233" max="9233" width="16.140625" style="3532" customWidth="1"/>
    <col min="9234" max="9234" width="16.7109375" style="3532" bestFit="1" customWidth="1"/>
    <col min="9235" max="9236" width="15.42578125" style="3532" bestFit="1" customWidth="1"/>
    <col min="9237" max="9237" width="16.42578125" style="3532" bestFit="1" customWidth="1"/>
    <col min="9238" max="9238" width="14.28515625" style="3532" customWidth="1"/>
    <col min="9239" max="9239" width="12.85546875" style="3532" bestFit="1" customWidth="1"/>
    <col min="9240" max="9240" width="11.28515625" style="3532" bestFit="1" customWidth="1"/>
    <col min="9241" max="9241" width="12.42578125" style="3532" bestFit="1" customWidth="1"/>
    <col min="9242" max="9242" width="14" style="3532" bestFit="1" customWidth="1"/>
    <col min="9243" max="9243" width="6" style="3532" bestFit="1" customWidth="1"/>
    <col min="9244" max="9244" width="15" style="3532" customWidth="1"/>
    <col min="9245" max="9245" width="14.85546875" style="3532" bestFit="1" customWidth="1"/>
    <col min="9246" max="9246" width="16.140625" style="3532" bestFit="1" customWidth="1"/>
    <col min="9247" max="9473" width="8.85546875" style="3532"/>
    <col min="9474" max="9474" width="24" style="3532" bestFit="1" customWidth="1"/>
    <col min="9475" max="9475" width="45.7109375" style="3532" bestFit="1" customWidth="1"/>
    <col min="9476" max="9476" width="19.7109375" style="3532" bestFit="1" customWidth="1"/>
    <col min="9477" max="9477" width="16" style="3532" customWidth="1"/>
    <col min="9478" max="9478" width="19.85546875" style="3532" bestFit="1" customWidth="1"/>
    <col min="9479" max="9479" width="13.42578125" style="3532" customWidth="1"/>
    <col min="9480" max="9480" width="15.28515625" style="3532" bestFit="1" customWidth="1"/>
    <col min="9481" max="9481" width="14.140625" style="3532" bestFit="1" customWidth="1"/>
    <col min="9482" max="9482" width="15.28515625" style="3532" customWidth="1"/>
    <col min="9483" max="9483" width="15.85546875" style="3532" customWidth="1"/>
    <col min="9484" max="9484" width="17" style="3532" bestFit="1" customWidth="1"/>
    <col min="9485" max="9485" width="12.7109375" style="3532" customWidth="1"/>
    <col min="9486" max="9486" width="13.7109375" style="3532" customWidth="1"/>
    <col min="9487" max="9487" width="13.85546875" style="3532" bestFit="1" customWidth="1"/>
    <col min="9488" max="9488" width="15.42578125" style="3532" bestFit="1" customWidth="1"/>
    <col min="9489" max="9489" width="16.140625" style="3532" customWidth="1"/>
    <col min="9490" max="9490" width="16.7109375" style="3532" bestFit="1" customWidth="1"/>
    <col min="9491" max="9492" width="15.42578125" style="3532" bestFit="1" customWidth="1"/>
    <col min="9493" max="9493" width="16.42578125" style="3532" bestFit="1" customWidth="1"/>
    <col min="9494" max="9494" width="14.28515625" style="3532" customWidth="1"/>
    <col min="9495" max="9495" width="12.85546875" style="3532" bestFit="1" customWidth="1"/>
    <col min="9496" max="9496" width="11.28515625" style="3532" bestFit="1" customWidth="1"/>
    <col min="9497" max="9497" width="12.42578125" style="3532" bestFit="1" customWidth="1"/>
    <col min="9498" max="9498" width="14" style="3532" bestFit="1" customWidth="1"/>
    <col min="9499" max="9499" width="6" style="3532" bestFit="1" customWidth="1"/>
    <col min="9500" max="9500" width="15" style="3532" customWidth="1"/>
    <col min="9501" max="9501" width="14.85546875" style="3532" bestFit="1" customWidth="1"/>
    <col min="9502" max="9502" width="16.140625" style="3532" bestFit="1" customWidth="1"/>
    <col min="9503" max="9729" width="8.85546875" style="3532"/>
    <col min="9730" max="9730" width="24" style="3532" bestFit="1" customWidth="1"/>
    <col min="9731" max="9731" width="45.7109375" style="3532" bestFit="1" customWidth="1"/>
    <col min="9732" max="9732" width="19.7109375" style="3532" bestFit="1" customWidth="1"/>
    <col min="9733" max="9733" width="16" style="3532" customWidth="1"/>
    <col min="9734" max="9734" width="19.85546875" style="3532" bestFit="1" customWidth="1"/>
    <col min="9735" max="9735" width="13.42578125" style="3532" customWidth="1"/>
    <col min="9736" max="9736" width="15.28515625" style="3532" bestFit="1" customWidth="1"/>
    <col min="9737" max="9737" width="14.140625" style="3532" bestFit="1" customWidth="1"/>
    <col min="9738" max="9738" width="15.28515625" style="3532" customWidth="1"/>
    <col min="9739" max="9739" width="15.85546875" style="3532" customWidth="1"/>
    <col min="9740" max="9740" width="17" style="3532" bestFit="1" customWidth="1"/>
    <col min="9741" max="9741" width="12.7109375" style="3532" customWidth="1"/>
    <col min="9742" max="9742" width="13.7109375" style="3532" customWidth="1"/>
    <col min="9743" max="9743" width="13.85546875" style="3532" bestFit="1" customWidth="1"/>
    <col min="9744" max="9744" width="15.42578125" style="3532" bestFit="1" customWidth="1"/>
    <col min="9745" max="9745" width="16.140625" style="3532" customWidth="1"/>
    <col min="9746" max="9746" width="16.7109375" style="3532" bestFit="1" customWidth="1"/>
    <col min="9747" max="9748" width="15.42578125" style="3532" bestFit="1" customWidth="1"/>
    <col min="9749" max="9749" width="16.42578125" style="3532" bestFit="1" customWidth="1"/>
    <col min="9750" max="9750" width="14.28515625" style="3532" customWidth="1"/>
    <col min="9751" max="9751" width="12.85546875" style="3532" bestFit="1" customWidth="1"/>
    <col min="9752" max="9752" width="11.28515625" style="3532" bestFit="1" customWidth="1"/>
    <col min="9753" max="9753" width="12.42578125" style="3532" bestFit="1" customWidth="1"/>
    <col min="9754" max="9754" width="14" style="3532" bestFit="1" customWidth="1"/>
    <col min="9755" max="9755" width="6" style="3532" bestFit="1" customWidth="1"/>
    <col min="9756" max="9756" width="15" style="3532" customWidth="1"/>
    <col min="9757" max="9757" width="14.85546875" style="3532" bestFit="1" customWidth="1"/>
    <col min="9758" max="9758" width="16.140625" style="3532" bestFit="1" customWidth="1"/>
    <col min="9759" max="9985" width="8.85546875" style="3532"/>
    <col min="9986" max="9986" width="24" style="3532" bestFit="1" customWidth="1"/>
    <col min="9987" max="9987" width="45.7109375" style="3532" bestFit="1" customWidth="1"/>
    <col min="9988" max="9988" width="19.7109375" style="3532" bestFit="1" customWidth="1"/>
    <col min="9989" max="9989" width="16" style="3532" customWidth="1"/>
    <col min="9990" max="9990" width="19.85546875" style="3532" bestFit="1" customWidth="1"/>
    <col min="9991" max="9991" width="13.42578125" style="3532" customWidth="1"/>
    <col min="9992" max="9992" width="15.28515625" style="3532" bestFit="1" customWidth="1"/>
    <col min="9993" max="9993" width="14.140625" style="3532" bestFit="1" customWidth="1"/>
    <col min="9994" max="9994" width="15.28515625" style="3532" customWidth="1"/>
    <col min="9995" max="9995" width="15.85546875" style="3532" customWidth="1"/>
    <col min="9996" max="9996" width="17" style="3532" bestFit="1" customWidth="1"/>
    <col min="9997" max="9997" width="12.7109375" style="3532" customWidth="1"/>
    <col min="9998" max="9998" width="13.7109375" style="3532" customWidth="1"/>
    <col min="9999" max="9999" width="13.85546875" style="3532" bestFit="1" customWidth="1"/>
    <col min="10000" max="10000" width="15.42578125" style="3532" bestFit="1" customWidth="1"/>
    <col min="10001" max="10001" width="16.140625" style="3532" customWidth="1"/>
    <col min="10002" max="10002" width="16.7109375" style="3532" bestFit="1" customWidth="1"/>
    <col min="10003" max="10004" width="15.42578125" style="3532" bestFit="1" customWidth="1"/>
    <col min="10005" max="10005" width="16.42578125" style="3532" bestFit="1" customWidth="1"/>
    <col min="10006" max="10006" width="14.28515625" style="3532" customWidth="1"/>
    <col min="10007" max="10007" width="12.85546875" style="3532" bestFit="1" customWidth="1"/>
    <col min="10008" max="10008" width="11.28515625" style="3532" bestFit="1" customWidth="1"/>
    <col min="10009" max="10009" width="12.42578125" style="3532" bestFit="1" customWidth="1"/>
    <col min="10010" max="10010" width="14" style="3532" bestFit="1" customWidth="1"/>
    <col min="10011" max="10011" width="6" style="3532" bestFit="1" customWidth="1"/>
    <col min="10012" max="10012" width="15" style="3532" customWidth="1"/>
    <col min="10013" max="10013" width="14.85546875" style="3532" bestFit="1" customWidth="1"/>
    <col min="10014" max="10014" width="16.140625" style="3532" bestFit="1" customWidth="1"/>
    <col min="10015" max="10241" width="8.85546875" style="3532"/>
    <col min="10242" max="10242" width="24" style="3532" bestFit="1" customWidth="1"/>
    <col min="10243" max="10243" width="45.7109375" style="3532" bestFit="1" customWidth="1"/>
    <col min="10244" max="10244" width="19.7109375" style="3532" bestFit="1" customWidth="1"/>
    <col min="10245" max="10245" width="16" style="3532" customWidth="1"/>
    <col min="10246" max="10246" width="19.85546875" style="3532" bestFit="1" customWidth="1"/>
    <col min="10247" max="10247" width="13.42578125" style="3532" customWidth="1"/>
    <col min="10248" max="10248" width="15.28515625" style="3532" bestFit="1" customWidth="1"/>
    <col min="10249" max="10249" width="14.140625" style="3532" bestFit="1" customWidth="1"/>
    <col min="10250" max="10250" width="15.28515625" style="3532" customWidth="1"/>
    <col min="10251" max="10251" width="15.85546875" style="3532" customWidth="1"/>
    <col min="10252" max="10252" width="17" style="3532" bestFit="1" customWidth="1"/>
    <col min="10253" max="10253" width="12.7109375" style="3532" customWidth="1"/>
    <col min="10254" max="10254" width="13.7109375" style="3532" customWidth="1"/>
    <col min="10255" max="10255" width="13.85546875" style="3532" bestFit="1" customWidth="1"/>
    <col min="10256" max="10256" width="15.42578125" style="3532" bestFit="1" customWidth="1"/>
    <col min="10257" max="10257" width="16.140625" style="3532" customWidth="1"/>
    <col min="10258" max="10258" width="16.7109375" style="3532" bestFit="1" customWidth="1"/>
    <col min="10259" max="10260" width="15.42578125" style="3532" bestFit="1" customWidth="1"/>
    <col min="10261" max="10261" width="16.42578125" style="3532" bestFit="1" customWidth="1"/>
    <col min="10262" max="10262" width="14.28515625" style="3532" customWidth="1"/>
    <col min="10263" max="10263" width="12.85546875" style="3532" bestFit="1" customWidth="1"/>
    <col min="10264" max="10264" width="11.28515625" style="3532" bestFit="1" customWidth="1"/>
    <col min="10265" max="10265" width="12.42578125" style="3532" bestFit="1" customWidth="1"/>
    <col min="10266" max="10266" width="14" style="3532" bestFit="1" customWidth="1"/>
    <col min="10267" max="10267" width="6" style="3532" bestFit="1" customWidth="1"/>
    <col min="10268" max="10268" width="15" style="3532" customWidth="1"/>
    <col min="10269" max="10269" width="14.85546875" style="3532" bestFit="1" customWidth="1"/>
    <col min="10270" max="10270" width="16.140625" style="3532" bestFit="1" customWidth="1"/>
    <col min="10271" max="10497" width="8.85546875" style="3532"/>
    <col min="10498" max="10498" width="24" style="3532" bestFit="1" customWidth="1"/>
    <col min="10499" max="10499" width="45.7109375" style="3532" bestFit="1" customWidth="1"/>
    <col min="10500" max="10500" width="19.7109375" style="3532" bestFit="1" customWidth="1"/>
    <col min="10501" max="10501" width="16" style="3532" customWidth="1"/>
    <col min="10502" max="10502" width="19.85546875" style="3532" bestFit="1" customWidth="1"/>
    <col min="10503" max="10503" width="13.42578125" style="3532" customWidth="1"/>
    <col min="10504" max="10504" width="15.28515625" style="3532" bestFit="1" customWidth="1"/>
    <col min="10505" max="10505" width="14.140625" style="3532" bestFit="1" customWidth="1"/>
    <col min="10506" max="10506" width="15.28515625" style="3532" customWidth="1"/>
    <col min="10507" max="10507" width="15.85546875" style="3532" customWidth="1"/>
    <col min="10508" max="10508" width="17" style="3532" bestFit="1" customWidth="1"/>
    <col min="10509" max="10509" width="12.7109375" style="3532" customWidth="1"/>
    <col min="10510" max="10510" width="13.7109375" style="3532" customWidth="1"/>
    <col min="10511" max="10511" width="13.85546875" style="3532" bestFit="1" customWidth="1"/>
    <col min="10512" max="10512" width="15.42578125" style="3532" bestFit="1" customWidth="1"/>
    <col min="10513" max="10513" width="16.140625" style="3532" customWidth="1"/>
    <col min="10514" max="10514" width="16.7109375" style="3532" bestFit="1" customWidth="1"/>
    <col min="10515" max="10516" width="15.42578125" style="3532" bestFit="1" customWidth="1"/>
    <col min="10517" max="10517" width="16.42578125" style="3532" bestFit="1" customWidth="1"/>
    <col min="10518" max="10518" width="14.28515625" style="3532" customWidth="1"/>
    <col min="10519" max="10519" width="12.85546875" style="3532" bestFit="1" customWidth="1"/>
    <col min="10520" max="10520" width="11.28515625" style="3532" bestFit="1" customWidth="1"/>
    <col min="10521" max="10521" width="12.42578125" style="3532" bestFit="1" customWidth="1"/>
    <col min="10522" max="10522" width="14" style="3532" bestFit="1" customWidth="1"/>
    <col min="10523" max="10523" width="6" style="3532" bestFit="1" customWidth="1"/>
    <col min="10524" max="10524" width="15" style="3532" customWidth="1"/>
    <col min="10525" max="10525" width="14.85546875" style="3532" bestFit="1" customWidth="1"/>
    <col min="10526" max="10526" width="16.140625" style="3532" bestFit="1" customWidth="1"/>
    <col min="10527" max="10753" width="8.85546875" style="3532"/>
    <col min="10754" max="10754" width="24" style="3532" bestFit="1" customWidth="1"/>
    <col min="10755" max="10755" width="45.7109375" style="3532" bestFit="1" customWidth="1"/>
    <col min="10756" max="10756" width="19.7109375" style="3532" bestFit="1" customWidth="1"/>
    <col min="10757" max="10757" width="16" style="3532" customWidth="1"/>
    <col min="10758" max="10758" width="19.85546875" style="3532" bestFit="1" customWidth="1"/>
    <col min="10759" max="10759" width="13.42578125" style="3532" customWidth="1"/>
    <col min="10760" max="10760" width="15.28515625" style="3532" bestFit="1" customWidth="1"/>
    <col min="10761" max="10761" width="14.140625" style="3532" bestFit="1" customWidth="1"/>
    <col min="10762" max="10762" width="15.28515625" style="3532" customWidth="1"/>
    <col min="10763" max="10763" width="15.85546875" style="3532" customWidth="1"/>
    <col min="10764" max="10764" width="17" style="3532" bestFit="1" customWidth="1"/>
    <col min="10765" max="10765" width="12.7109375" style="3532" customWidth="1"/>
    <col min="10766" max="10766" width="13.7109375" style="3532" customWidth="1"/>
    <col min="10767" max="10767" width="13.85546875" style="3532" bestFit="1" customWidth="1"/>
    <col min="10768" max="10768" width="15.42578125" style="3532" bestFit="1" customWidth="1"/>
    <col min="10769" max="10769" width="16.140625" style="3532" customWidth="1"/>
    <col min="10770" max="10770" width="16.7109375" style="3532" bestFit="1" customWidth="1"/>
    <col min="10771" max="10772" width="15.42578125" style="3532" bestFit="1" customWidth="1"/>
    <col min="10773" max="10773" width="16.42578125" style="3532" bestFit="1" customWidth="1"/>
    <col min="10774" max="10774" width="14.28515625" style="3532" customWidth="1"/>
    <col min="10775" max="10775" width="12.85546875" style="3532" bestFit="1" customWidth="1"/>
    <col min="10776" max="10776" width="11.28515625" style="3532" bestFit="1" customWidth="1"/>
    <col min="10777" max="10777" width="12.42578125" style="3532" bestFit="1" customWidth="1"/>
    <col min="10778" max="10778" width="14" style="3532" bestFit="1" customWidth="1"/>
    <col min="10779" max="10779" width="6" style="3532" bestFit="1" customWidth="1"/>
    <col min="10780" max="10780" width="15" style="3532" customWidth="1"/>
    <col min="10781" max="10781" width="14.85546875" style="3532" bestFit="1" customWidth="1"/>
    <col min="10782" max="10782" width="16.140625" style="3532" bestFit="1" customWidth="1"/>
    <col min="10783" max="11009" width="8.85546875" style="3532"/>
    <col min="11010" max="11010" width="24" style="3532" bestFit="1" customWidth="1"/>
    <col min="11011" max="11011" width="45.7109375" style="3532" bestFit="1" customWidth="1"/>
    <col min="11012" max="11012" width="19.7109375" style="3532" bestFit="1" customWidth="1"/>
    <col min="11013" max="11013" width="16" style="3532" customWidth="1"/>
    <col min="11014" max="11014" width="19.85546875" style="3532" bestFit="1" customWidth="1"/>
    <col min="11015" max="11015" width="13.42578125" style="3532" customWidth="1"/>
    <col min="11016" max="11016" width="15.28515625" style="3532" bestFit="1" customWidth="1"/>
    <col min="11017" max="11017" width="14.140625" style="3532" bestFit="1" customWidth="1"/>
    <col min="11018" max="11018" width="15.28515625" style="3532" customWidth="1"/>
    <col min="11019" max="11019" width="15.85546875" style="3532" customWidth="1"/>
    <col min="11020" max="11020" width="17" style="3532" bestFit="1" customWidth="1"/>
    <col min="11021" max="11021" width="12.7109375" style="3532" customWidth="1"/>
    <col min="11022" max="11022" width="13.7109375" style="3532" customWidth="1"/>
    <col min="11023" max="11023" width="13.85546875" style="3532" bestFit="1" customWidth="1"/>
    <col min="11024" max="11024" width="15.42578125" style="3532" bestFit="1" customWidth="1"/>
    <col min="11025" max="11025" width="16.140625" style="3532" customWidth="1"/>
    <col min="11026" max="11026" width="16.7109375" style="3532" bestFit="1" customWidth="1"/>
    <col min="11027" max="11028" width="15.42578125" style="3532" bestFit="1" customWidth="1"/>
    <col min="11029" max="11029" width="16.42578125" style="3532" bestFit="1" customWidth="1"/>
    <col min="11030" max="11030" width="14.28515625" style="3532" customWidth="1"/>
    <col min="11031" max="11031" width="12.85546875" style="3532" bestFit="1" customWidth="1"/>
    <col min="11032" max="11032" width="11.28515625" style="3532" bestFit="1" customWidth="1"/>
    <col min="11033" max="11033" width="12.42578125" style="3532" bestFit="1" customWidth="1"/>
    <col min="11034" max="11034" width="14" style="3532" bestFit="1" customWidth="1"/>
    <col min="11035" max="11035" width="6" style="3532" bestFit="1" customWidth="1"/>
    <col min="11036" max="11036" width="15" style="3532" customWidth="1"/>
    <col min="11037" max="11037" width="14.85546875" style="3532" bestFit="1" customWidth="1"/>
    <col min="11038" max="11038" width="16.140625" style="3532" bestFit="1" customWidth="1"/>
    <col min="11039" max="11265" width="8.85546875" style="3532"/>
    <col min="11266" max="11266" width="24" style="3532" bestFit="1" customWidth="1"/>
    <col min="11267" max="11267" width="45.7109375" style="3532" bestFit="1" customWidth="1"/>
    <col min="11268" max="11268" width="19.7109375" style="3532" bestFit="1" customWidth="1"/>
    <col min="11269" max="11269" width="16" style="3532" customWidth="1"/>
    <col min="11270" max="11270" width="19.85546875" style="3532" bestFit="1" customWidth="1"/>
    <col min="11271" max="11271" width="13.42578125" style="3532" customWidth="1"/>
    <col min="11272" max="11272" width="15.28515625" style="3532" bestFit="1" customWidth="1"/>
    <col min="11273" max="11273" width="14.140625" style="3532" bestFit="1" customWidth="1"/>
    <col min="11274" max="11274" width="15.28515625" style="3532" customWidth="1"/>
    <col min="11275" max="11275" width="15.85546875" style="3532" customWidth="1"/>
    <col min="11276" max="11276" width="17" style="3532" bestFit="1" customWidth="1"/>
    <col min="11277" max="11277" width="12.7109375" style="3532" customWidth="1"/>
    <col min="11278" max="11278" width="13.7109375" style="3532" customWidth="1"/>
    <col min="11279" max="11279" width="13.85546875" style="3532" bestFit="1" customWidth="1"/>
    <col min="11280" max="11280" width="15.42578125" style="3532" bestFit="1" customWidth="1"/>
    <col min="11281" max="11281" width="16.140625" style="3532" customWidth="1"/>
    <col min="11282" max="11282" width="16.7109375" style="3532" bestFit="1" customWidth="1"/>
    <col min="11283" max="11284" width="15.42578125" style="3532" bestFit="1" customWidth="1"/>
    <col min="11285" max="11285" width="16.42578125" style="3532" bestFit="1" customWidth="1"/>
    <col min="11286" max="11286" width="14.28515625" style="3532" customWidth="1"/>
    <col min="11287" max="11287" width="12.85546875" style="3532" bestFit="1" customWidth="1"/>
    <col min="11288" max="11288" width="11.28515625" style="3532" bestFit="1" customWidth="1"/>
    <col min="11289" max="11289" width="12.42578125" style="3532" bestFit="1" customWidth="1"/>
    <col min="11290" max="11290" width="14" style="3532" bestFit="1" customWidth="1"/>
    <col min="11291" max="11291" width="6" style="3532" bestFit="1" customWidth="1"/>
    <col min="11292" max="11292" width="15" style="3532" customWidth="1"/>
    <col min="11293" max="11293" width="14.85546875" style="3532" bestFit="1" customWidth="1"/>
    <col min="11294" max="11294" width="16.140625" style="3532" bestFit="1" customWidth="1"/>
    <col min="11295" max="11521" width="8.85546875" style="3532"/>
    <col min="11522" max="11522" width="24" style="3532" bestFit="1" customWidth="1"/>
    <col min="11523" max="11523" width="45.7109375" style="3532" bestFit="1" customWidth="1"/>
    <col min="11524" max="11524" width="19.7109375" style="3532" bestFit="1" customWidth="1"/>
    <col min="11525" max="11525" width="16" style="3532" customWidth="1"/>
    <col min="11526" max="11526" width="19.85546875" style="3532" bestFit="1" customWidth="1"/>
    <col min="11527" max="11527" width="13.42578125" style="3532" customWidth="1"/>
    <col min="11528" max="11528" width="15.28515625" style="3532" bestFit="1" customWidth="1"/>
    <col min="11529" max="11529" width="14.140625" style="3532" bestFit="1" customWidth="1"/>
    <col min="11530" max="11530" width="15.28515625" style="3532" customWidth="1"/>
    <col min="11531" max="11531" width="15.85546875" style="3532" customWidth="1"/>
    <col min="11532" max="11532" width="17" style="3532" bestFit="1" customWidth="1"/>
    <col min="11533" max="11533" width="12.7109375" style="3532" customWidth="1"/>
    <col min="11534" max="11534" width="13.7109375" style="3532" customWidth="1"/>
    <col min="11535" max="11535" width="13.85546875" style="3532" bestFit="1" customWidth="1"/>
    <col min="11536" max="11536" width="15.42578125" style="3532" bestFit="1" customWidth="1"/>
    <col min="11537" max="11537" width="16.140625" style="3532" customWidth="1"/>
    <col min="11538" max="11538" width="16.7109375" style="3532" bestFit="1" customWidth="1"/>
    <col min="11539" max="11540" width="15.42578125" style="3532" bestFit="1" customWidth="1"/>
    <col min="11541" max="11541" width="16.42578125" style="3532" bestFit="1" customWidth="1"/>
    <col min="11542" max="11542" width="14.28515625" style="3532" customWidth="1"/>
    <col min="11543" max="11543" width="12.85546875" style="3532" bestFit="1" customWidth="1"/>
    <col min="11544" max="11544" width="11.28515625" style="3532" bestFit="1" customWidth="1"/>
    <col min="11545" max="11545" width="12.42578125" style="3532" bestFit="1" customWidth="1"/>
    <col min="11546" max="11546" width="14" style="3532" bestFit="1" customWidth="1"/>
    <col min="11547" max="11547" width="6" style="3532" bestFit="1" customWidth="1"/>
    <col min="11548" max="11548" width="15" style="3532" customWidth="1"/>
    <col min="11549" max="11549" width="14.85546875" style="3532" bestFit="1" customWidth="1"/>
    <col min="11550" max="11550" width="16.140625" style="3532" bestFit="1" customWidth="1"/>
    <col min="11551" max="11777" width="8.85546875" style="3532"/>
    <col min="11778" max="11778" width="24" style="3532" bestFit="1" customWidth="1"/>
    <col min="11779" max="11779" width="45.7109375" style="3532" bestFit="1" customWidth="1"/>
    <col min="11780" max="11780" width="19.7109375" style="3532" bestFit="1" customWidth="1"/>
    <col min="11781" max="11781" width="16" style="3532" customWidth="1"/>
    <col min="11782" max="11782" width="19.85546875" style="3532" bestFit="1" customWidth="1"/>
    <col min="11783" max="11783" width="13.42578125" style="3532" customWidth="1"/>
    <col min="11784" max="11784" width="15.28515625" style="3532" bestFit="1" customWidth="1"/>
    <col min="11785" max="11785" width="14.140625" style="3532" bestFit="1" customWidth="1"/>
    <col min="11786" max="11786" width="15.28515625" style="3532" customWidth="1"/>
    <col min="11787" max="11787" width="15.85546875" style="3532" customWidth="1"/>
    <col min="11788" max="11788" width="17" style="3532" bestFit="1" customWidth="1"/>
    <col min="11789" max="11789" width="12.7109375" style="3532" customWidth="1"/>
    <col min="11790" max="11790" width="13.7109375" style="3532" customWidth="1"/>
    <col min="11791" max="11791" width="13.85546875" style="3532" bestFit="1" customWidth="1"/>
    <col min="11792" max="11792" width="15.42578125" style="3532" bestFit="1" customWidth="1"/>
    <col min="11793" max="11793" width="16.140625" style="3532" customWidth="1"/>
    <col min="11794" max="11794" width="16.7109375" style="3532" bestFit="1" customWidth="1"/>
    <col min="11795" max="11796" width="15.42578125" style="3532" bestFit="1" customWidth="1"/>
    <col min="11797" max="11797" width="16.42578125" style="3532" bestFit="1" customWidth="1"/>
    <col min="11798" max="11798" width="14.28515625" style="3532" customWidth="1"/>
    <col min="11799" max="11799" width="12.85546875" style="3532" bestFit="1" customWidth="1"/>
    <col min="11800" max="11800" width="11.28515625" style="3532" bestFit="1" customWidth="1"/>
    <col min="11801" max="11801" width="12.42578125" style="3532" bestFit="1" customWidth="1"/>
    <col min="11802" max="11802" width="14" style="3532" bestFit="1" customWidth="1"/>
    <col min="11803" max="11803" width="6" style="3532" bestFit="1" customWidth="1"/>
    <col min="11804" max="11804" width="15" style="3532" customWidth="1"/>
    <col min="11805" max="11805" width="14.85546875" style="3532" bestFit="1" customWidth="1"/>
    <col min="11806" max="11806" width="16.140625" style="3532" bestFit="1" customWidth="1"/>
    <col min="11807" max="12033" width="8.85546875" style="3532"/>
    <col min="12034" max="12034" width="24" style="3532" bestFit="1" customWidth="1"/>
    <col min="12035" max="12035" width="45.7109375" style="3532" bestFit="1" customWidth="1"/>
    <col min="12036" max="12036" width="19.7109375" style="3532" bestFit="1" customWidth="1"/>
    <col min="12037" max="12037" width="16" style="3532" customWidth="1"/>
    <col min="12038" max="12038" width="19.85546875" style="3532" bestFit="1" customWidth="1"/>
    <col min="12039" max="12039" width="13.42578125" style="3532" customWidth="1"/>
    <col min="12040" max="12040" width="15.28515625" style="3532" bestFit="1" customWidth="1"/>
    <col min="12041" max="12041" width="14.140625" style="3532" bestFit="1" customWidth="1"/>
    <col min="12042" max="12042" width="15.28515625" style="3532" customWidth="1"/>
    <col min="12043" max="12043" width="15.85546875" style="3532" customWidth="1"/>
    <col min="12044" max="12044" width="17" style="3532" bestFit="1" customWidth="1"/>
    <col min="12045" max="12045" width="12.7109375" style="3532" customWidth="1"/>
    <col min="12046" max="12046" width="13.7109375" style="3532" customWidth="1"/>
    <col min="12047" max="12047" width="13.85546875" style="3532" bestFit="1" customWidth="1"/>
    <col min="12048" max="12048" width="15.42578125" style="3532" bestFit="1" customWidth="1"/>
    <col min="12049" max="12049" width="16.140625" style="3532" customWidth="1"/>
    <col min="12050" max="12050" width="16.7109375" style="3532" bestFit="1" customWidth="1"/>
    <col min="12051" max="12052" width="15.42578125" style="3532" bestFit="1" customWidth="1"/>
    <col min="12053" max="12053" width="16.42578125" style="3532" bestFit="1" customWidth="1"/>
    <col min="12054" max="12054" width="14.28515625" style="3532" customWidth="1"/>
    <col min="12055" max="12055" width="12.85546875" style="3532" bestFit="1" customWidth="1"/>
    <col min="12056" max="12056" width="11.28515625" style="3532" bestFit="1" customWidth="1"/>
    <col min="12057" max="12057" width="12.42578125" style="3532" bestFit="1" customWidth="1"/>
    <col min="12058" max="12058" width="14" style="3532" bestFit="1" customWidth="1"/>
    <col min="12059" max="12059" width="6" style="3532" bestFit="1" customWidth="1"/>
    <col min="12060" max="12060" width="15" style="3532" customWidth="1"/>
    <col min="12061" max="12061" width="14.85546875" style="3532" bestFit="1" customWidth="1"/>
    <col min="12062" max="12062" width="16.140625" style="3532" bestFit="1" customWidth="1"/>
    <col min="12063" max="12289" width="8.85546875" style="3532"/>
    <col min="12290" max="12290" width="24" style="3532" bestFit="1" customWidth="1"/>
    <col min="12291" max="12291" width="45.7109375" style="3532" bestFit="1" customWidth="1"/>
    <col min="12292" max="12292" width="19.7109375" style="3532" bestFit="1" customWidth="1"/>
    <col min="12293" max="12293" width="16" style="3532" customWidth="1"/>
    <col min="12294" max="12294" width="19.85546875" style="3532" bestFit="1" customWidth="1"/>
    <col min="12295" max="12295" width="13.42578125" style="3532" customWidth="1"/>
    <col min="12296" max="12296" width="15.28515625" style="3532" bestFit="1" customWidth="1"/>
    <col min="12297" max="12297" width="14.140625" style="3532" bestFit="1" customWidth="1"/>
    <col min="12298" max="12298" width="15.28515625" style="3532" customWidth="1"/>
    <col min="12299" max="12299" width="15.85546875" style="3532" customWidth="1"/>
    <col min="12300" max="12300" width="17" style="3532" bestFit="1" customWidth="1"/>
    <col min="12301" max="12301" width="12.7109375" style="3532" customWidth="1"/>
    <col min="12302" max="12302" width="13.7109375" style="3532" customWidth="1"/>
    <col min="12303" max="12303" width="13.85546875" style="3532" bestFit="1" customWidth="1"/>
    <col min="12304" max="12304" width="15.42578125" style="3532" bestFit="1" customWidth="1"/>
    <col min="12305" max="12305" width="16.140625" style="3532" customWidth="1"/>
    <col min="12306" max="12306" width="16.7109375" style="3532" bestFit="1" customWidth="1"/>
    <col min="12307" max="12308" width="15.42578125" style="3532" bestFit="1" customWidth="1"/>
    <col min="12309" max="12309" width="16.42578125" style="3532" bestFit="1" customWidth="1"/>
    <col min="12310" max="12310" width="14.28515625" style="3532" customWidth="1"/>
    <col min="12311" max="12311" width="12.85546875" style="3532" bestFit="1" customWidth="1"/>
    <col min="12312" max="12312" width="11.28515625" style="3532" bestFit="1" customWidth="1"/>
    <col min="12313" max="12313" width="12.42578125" style="3532" bestFit="1" customWidth="1"/>
    <col min="12314" max="12314" width="14" style="3532" bestFit="1" customWidth="1"/>
    <col min="12315" max="12315" width="6" style="3532" bestFit="1" customWidth="1"/>
    <col min="12316" max="12316" width="15" style="3532" customWidth="1"/>
    <col min="12317" max="12317" width="14.85546875" style="3532" bestFit="1" customWidth="1"/>
    <col min="12318" max="12318" width="16.140625" style="3532" bestFit="1" customWidth="1"/>
    <col min="12319" max="12545" width="8.85546875" style="3532"/>
    <col min="12546" max="12546" width="24" style="3532" bestFit="1" customWidth="1"/>
    <col min="12547" max="12547" width="45.7109375" style="3532" bestFit="1" customWidth="1"/>
    <col min="12548" max="12548" width="19.7109375" style="3532" bestFit="1" customWidth="1"/>
    <col min="12549" max="12549" width="16" style="3532" customWidth="1"/>
    <col min="12550" max="12550" width="19.85546875" style="3532" bestFit="1" customWidth="1"/>
    <col min="12551" max="12551" width="13.42578125" style="3532" customWidth="1"/>
    <col min="12552" max="12552" width="15.28515625" style="3532" bestFit="1" customWidth="1"/>
    <col min="12553" max="12553" width="14.140625" style="3532" bestFit="1" customWidth="1"/>
    <col min="12554" max="12554" width="15.28515625" style="3532" customWidth="1"/>
    <col min="12555" max="12555" width="15.85546875" style="3532" customWidth="1"/>
    <col min="12556" max="12556" width="17" style="3532" bestFit="1" customWidth="1"/>
    <col min="12557" max="12557" width="12.7109375" style="3532" customWidth="1"/>
    <col min="12558" max="12558" width="13.7109375" style="3532" customWidth="1"/>
    <col min="12559" max="12559" width="13.85546875" style="3532" bestFit="1" customWidth="1"/>
    <col min="12560" max="12560" width="15.42578125" style="3532" bestFit="1" customWidth="1"/>
    <col min="12561" max="12561" width="16.140625" style="3532" customWidth="1"/>
    <col min="12562" max="12562" width="16.7109375" style="3532" bestFit="1" customWidth="1"/>
    <col min="12563" max="12564" width="15.42578125" style="3532" bestFit="1" customWidth="1"/>
    <col min="12565" max="12565" width="16.42578125" style="3532" bestFit="1" customWidth="1"/>
    <col min="12566" max="12566" width="14.28515625" style="3532" customWidth="1"/>
    <col min="12567" max="12567" width="12.85546875" style="3532" bestFit="1" customWidth="1"/>
    <col min="12568" max="12568" width="11.28515625" style="3532" bestFit="1" customWidth="1"/>
    <col min="12569" max="12569" width="12.42578125" style="3532" bestFit="1" customWidth="1"/>
    <col min="12570" max="12570" width="14" style="3532" bestFit="1" customWidth="1"/>
    <col min="12571" max="12571" width="6" style="3532" bestFit="1" customWidth="1"/>
    <col min="12572" max="12572" width="15" style="3532" customWidth="1"/>
    <col min="12573" max="12573" width="14.85546875" style="3532" bestFit="1" customWidth="1"/>
    <col min="12574" max="12574" width="16.140625" style="3532" bestFit="1" customWidth="1"/>
    <col min="12575" max="12801" width="8.85546875" style="3532"/>
    <col min="12802" max="12802" width="24" style="3532" bestFit="1" customWidth="1"/>
    <col min="12803" max="12803" width="45.7109375" style="3532" bestFit="1" customWidth="1"/>
    <col min="12804" max="12804" width="19.7109375" style="3532" bestFit="1" customWidth="1"/>
    <col min="12805" max="12805" width="16" style="3532" customWidth="1"/>
    <col min="12806" max="12806" width="19.85546875" style="3532" bestFit="1" customWidth="1"/>
    <col min="12807" max="12807" width="13.42578125" style="3532" customWidth="1"/>
    <col min="12808" max="12808" width="15.28515625" style="3532" bestFit="1" customWidth="1"/>
    <col min="12809" max="12809" width="14.140625" style="3532" bestFit="1" customWidth="1"/>
    <col min="12810" max="12810" width="15.28515625" style="3532" customWidth="1"/>
    <col min="12811" max="12811" width="15.85546875" style="3532" customWidth="1"/>
    <col min="12812" max="12812" width="17" style="3532" bestFit="1" customWidth="1"/>
    <col min="12813" max="12813" width="12.7109375" style="3532" customWidth="1"/>
    <col min="12814" max="12814" width="13.7109375" style="3532" customWidth="1"/>
    <col min="12815" max="12815" width="13.85546875" style="3532" bestFit="1" customWidth="1"/>
    <col min="12816" max="12816" width="15.42578125" style="3532" bestFit="1" customWidth="1"/>
    <col min="12817" max="12817" width="16.140625" style="3532" customWidth="1"/>
    <col min="12818" max="12818" width="16.7109375" style="3532" bestFit="1" customWidth="1"/>
    <col min="12819" max="12820" width="15.42578125" style="3532" bestFit="1" customWidth="1"/>
    <col min="12821" max="12821" width="16.42578125" style="3532" bestFit="1" customWidth="1"/>
    <col min="12822" max="12822" width="14.28515625" style="3532" customWidth="1"/>
    <col min="12823" max="12823" width="12.85546875" style="3532" bestFit="1" customWidth="1"/>
    <col min="12824" max="12824" width="11.28515625" style="3532" bestFit="1" customWidth="1"/>
    <col min="12825" max="12825" width="12.42578125" style="3532" bestFit="1" customWidth="1"/>
    <col min="12826" max="12826" width="14" style="3532" bestFit="1" customWidth="1"/>
    <col min="12827" max="12827" width="6" style="3532" bestFit="1" customWidth="1"/>
    <col min="12828" max="12828" width="15" style="3532" customWidth="1"/>
    <col min="12829" max="12829" width="14.85546875" style="3532" bestFit="1" customWidth="1"/>
    <col min="12830" max="12830" width="16.140625" style="3532" bestFit="1" customWidth="1"/>
    <col min="12831" max="13057" width="8.85546875" style="3532"/>
    <col min="13058" max="13058" width="24" style="3532" bestFit="1" customWidth="1"/>
    <col min="13059" max="13059" width="45.7109375" style="3532" bestFit="1" customWidth="1"/>
    <col min="13060" max="13060" width="19.7109375" style="3532" bestFit="1" customWidth="1"/>
    <col min="13061" max="13061" width="16" style="3532" customWidth="1"/>
    <col min="13062" max="13062" width="19.85546875" style="3532" bestFit="1" customWidth="1"/>
    <col min="13063" max="13063" width="13.42578125" style="3532" customWidth="1"/>
    <col min="13064" max="13064" width="15.28515625" style="3532" bestFit="1" customWidth="1"/>
    <col min="13065" max="13065" width="14.140625" style="3532" bestFit="1" customWidth="1"/>
    <col min="13066" max="13066" width="15.28515625" style="3532" customWidth="1"/>
    <col min="13067" max="13067" width="15.85546875" style="3532" customWidth="1"/>
    <col min="13068" max="13068" width="17" style="3532" bestFit="1" customWidth="1"/>
    <col min="13069" max="13069" width="12.7109375" style="3532" customWidth="1"/>
    <col min="13070" max="13070" width="13.7109375" style="3532" customWidth="1"/>
    <col min="13071" max="13071" width="13.85546875" style="3532" bestFit="1" customWidth="1"/>
    <col min="13072" max="13072" width="15.42578125" style="3532" bestFit="1" customWidth="1"/>
    <col min="13073" max="13073" width="16.140625" style="3532" customWidth="1"/>
    <col min="13074" max="13074" width="16.7109375" style="3532" bestFit="1" customWidth="1"/>
    <col min="13075" max="13076" width="15.42578125" style="3532" bestFit="1" customWidth="1"/>
    <col min="13077" max="13077" width="16.42578125" style="3532" bestFit="1" customWidth="1"/>
    <col min="13078" max="13078" width="14.28515625" style="3532" customWidth="1"/>
    <col min="13079" max="13079" width="12.85546875" style="3532" bestFit="1" customWidth="1"/>
    <col min="13080" max="13080" width="11.28515625" style="3532" bestFit="1" customWidth="1"/>
    <col min="13081" max="13081" width="12.42578125" style="3532" bestFit="1" customWidth="1"/>
    <col min="13082" max="13082" width="14" style="3532" bestFit="1" customWidth="1"/>
    <col min="13083" max="13083" width="6" style="3532" bestFit="1" customWidth="1"/>
    <col min="13084" max="13084" width="15" style="3532" customWidth="1"/>
    <col min="13085" max="13085" width="14.85546875" style="3532" bestFit="1" customWidth="1"/>
    <col min="13086" max="13086" width="16.140625" style="3532" bestFit="1" customWidth="1"/>
    <col min="13087" max="13313" width="8.85546875" style="3532"/>
    <col min="13314" max="13314" width="24" style="3532" bestFit="1" customWidth="1"/>
    <col min="13315" max="13315" width="45.7109375" style="3532" bestFit="1" customWidth="1"/>
    <col min="13316" max="13316" width="19.7109375" style="3532" bestFit="1" customWidth="1"/>
    <col min="13317" max="13317" width="16" style="3532" customWidth="1"/>
    <col min="13318" max="13318" width="19.85546875" style="3532" bestFit="1" customWidth="1"/>
    <col min="13319" max="13319" width="13.42578125" style="3532" customWidth="1"/>
    <col min="13320" max="13320" width="15.28515625" style="3532" bestFit="1" customWidth="1"/>
    <col min="13321" max="13321" width="14.140625" style="3532" bestFit="1" customWidth="1"/>
    <col min="13322" max="13322" width="15.28515625" style="3532" customWidth="1"/>
    <col min="13323" max="13323" width="15.85546875" style="3532" customWidth="1"/>
    <col min="13324" max="13324" width="17" style="3532" bestFit="1" customWidth="1"/>
    <col min="13325" max="13325" width="12.7109375" style="3532" customWidth="1"/>
    <col min="13326" max="13326" width="13.7109375" style="3532" customWidth="1"/>
    <col min="13327" max="13327" width="13.85546875" style="3532" bestFit="1" customWidth="1"/>
    <col min="13328" max="13328" width="15.42578125" style="3532" bestFit="1" customWidth="1"/>
    <col min="13329" max="13329" width="16.140625" style="3532" customWidth="1"/>
    <col min="13330" max="13330" width="16.7109375" style="3532" bestFit="1" customWidth="1"/>
    <col min="13331" max="13332" width="15.42578125" style="3532" bestFit="1" customWidth="1"/>
    <col min="13333" max="13333" width="16.42578125" style="3532" bestFit="1" customWidth="1"/>
    <col min="13334" max="13334" width="14.28515625" style="3532" customWidth="1"/>
    <col min="13335" max="13335" width="12.85546875" style="3532" bestFit="1" customWidth="1"/>
    <col min="13336" max="13336" width="11.28515625" style="3532" bestFit="1" customWidth="1"/>
    <col min="13337" max="13337" width="12.42578125" style="3532" bestFit="1" customWidth="1"/>
    <col min="13338" max="13338" width="14" style="3532" bestFit="1" customWidth="1"/>
    <col min="13339" max="13339" width="6" style="3532" bestFit="1" customWidth="1"/>
    <col min="13340" max="13340" width="15" style="3532" customWidth="1"/>
    <col min="13341" max="13341" width="14.85546875" style="3532" bestFit="1" customWidth="1"/>
    <col min="13342" max="13342" width="16.140625" style="3532" bestFit="1" customWidth="1"/>
    <col min="13343" max="13569" width="8.85546875" style="3532"/>
    <col min="13570" max="13570" width="24" style="3532" bestFit="1" customWidth="1"/>
    <col min="13571" max="13571" width="45.7109375" style="3532" bestFit="1" customWidth="1"/>
    <col min="13572" max="13572" width="19.7109375" style="3532" bestFit="1" customWidth="1"/>
    <col min="13573" max="13573" width="16" style="3532" customWidth="1"/>
    <col min="13574" max="13574" width="19.85546875" style="3532" bestFit="1" customWidth="1"/>
    <col min="13575" max="13575" width="13.42578125" style="3532" customWidth="1"/>
    <col min="13576" max="13576" width="15.28515625" style="3532" bestFit="1" customWidth="1"/>
    <col min="13577" max="13577" width="14.140625" style="3532" bestFit="1" customWidth="1"/>
    <col min="13578" max="13578" width="15.28515625" style="3532" customWidth="1"/>
    <col min="13579" max="13579" width="15.85546875" style="3532" customWidth="1"/>
    <col min="13580" max="13580" width="17" style="3532" bestFit="1" customWidth="1"/>
    <col min="13581" max="13581" width="12.7109375" style="3532" customWidth="1"/>
    <col min="13582" max="13582" width="13.7109375" style="3532" customWidth="1"/>
    <col min="13583" max="13583" width="13.85546875" style="3532" bestFit="1" customWidth="1"/>
    <col min="13584" max="13584" width="15.42578125" style="3532" bestFit="1" customWidth="1"/>
    <col min="13585" max="13585" width="16.140625" style="3532" customWidth="1"/>
    <col min="13586" max="13586" width="16.7109375" style="3532" bestFit="1" customWidth="1"/>
    <col min="13587" max="13588" width="15.42578125" style="3532" bestFit="1" customWidth="1"/>
    <col min="13589" max="13589" width="16.42578125" style="3532" bestFit="1" customWidth="1"/>
    <col min="13590" max="13590" width="14.28515625" style="3532" customWidth="1"/>
    <col min="13591" max="13591" width="12.85546875" style="3532" bestFit="1" customWidth="1"/>
    <col min="13592" max="13592" width="11.28515625" style="3532" bestFit="1" customWidth="1"/>
    <col min="13593" max="13593" width="12.42578125" style="3532" bestFit="1" customWidth="1"/>
    <col min="13594" max="13594" width="14" style="3532" bestFit="1" customWidth="1"/>
    <col min="13595" max="13595" width="6" style="3532" bestFit="1" customWidth="1"/>
    <col min="13596" max="13596" width="15" style="3532" customWidth="1"/>
    <col min="13597" max="13597" width="14.85546875" style="3532" bestFit="1" customWidth="1"/>
    <col min="13598" max="13598" width="16.140625" style="3532" bestFit="1" customWidth="1"/>
    <col min="13599" max="13825" width="8.85546875" style="3532"/>
    <col min="13826" max="13826" width="24" style="3532" bestFit="1" customWidth="1"/>
    <col min="13827" max="13827" width="45.7109375" style="3532" bestFit="1" customWidth="1"/>
    <col min="13828" max="13828" width="19.7109375" style="3532" bestFit="1" customWidth="1"/>
    <col min="13829" max="13829" width="16" style="3532" customWidth="1"/>
    <col min="13830" max="13830" width="19.85546875" style="3532" bestFit="1" customWidth="1"/>
    <col min="13831" max="13831" width="13.42578125" style="3532" customWidth="1"/>
    <col min="13832" max="13832" width="15.28515625" style="3532" bestFit="1" customWidth="1"/>
    <col min="13833" max="13833" width="14.140625" style="3532" bestFit="1" customWidth="1"/>
    <col min="13834" max="13834" width="15.28515625" style="3532" customWidth="1"/>
    <col min="13835" max="13835" width="15.85546875" style="3532" customWidth="1"/>
    <col min="13836" max="13836" width="17" style="3532" bestFit="1" customWidth="1"/>
    <col min="13837" max="13837" width="12.7109375" style="3532" customWidth="1"/>
    <col min="13838" max="13838" width="13.7109375" style="3532" customWidth="1"/>
    <col min="13839" max="13839" width="13.85546875" style="3532" bestFit="1" customWidth="1"/>
    <col min="13840" max="13840" width="15.42578125" style="3532" bestFit="1" customWidth="1"/>
    <col min="13841" max="13841" width="16.140625" style="3532" customWidth="1"/>
    <col min="13842" max="13842" width="16.7109375" style="3532" bestFit="1" customWidth="1"/>
    <col min="13843" max="13844" width="15.42578125" style="3532" bestFit="1" customWidth="1"/>
    <col min="13845" max="13845" width="16.42578125" style="3532" bestFit="1" customWidth="1"/>
    <col min="13846" max="13846" width="14.28515625" style="3532" customWidth="1"/>
    <col min="13847" max="13847" width="12.85546875" style="3532" bestFit="1" customWidth="1"/>
    <col min="13848" max="13848" width="11.28515625" style="3532" bestFit="1" customWidth="1"/>
    <col min="13849" max="13849" width="12.42578125" style="3532" bestFit="1" customWidth="1"/>
    <col min="13850" max="13850" width="14" style="3532" bestFit="1" customWidth="1"/>
    <col min="13851" max="13851" width="6" style="3532" bestFit="1" customWidth="1"/>
    <col min="13852" max="13852" width="15" style="3532" customWidth="1"/>
    <col min="13853" max="13853" width="14.85546875" style="3532" bestFit="1" customWidth="1"/>
    <col min="13854" max="13854" width="16.140625" style="3532" bestFit="1" customWidth="1"/>
    <col min="13855" max="14081" width="8.85546875" style="3532"/>
    <col min="14082" max="14082" width="24" style="3532" bestFit="1" customWidth="1"/>
    <col min="14083" max="14083" width="45.7109375" style="3532" bestFit="1" customWidth="1"/>
    <col min="14084" max="14084" width="19.7109375" style="3532" bestFit="1" customWidth="1"/>
    <col min="14085" max="14085" width="16" style="3532" customWidth="1"/>
    <col min="14086" max="14086" width="19.85546875" style="3532" bestFit="1" customWidth="1"/>
    <col min="14087" max="14087" width="13.42578125" style="3532" customWidth="1"/>
    <col min="14088" max="14088" width="15.28515625" style="3532" bestFit="1" customWidth="1"/>
    <col min="14089" max="14089" width="14.140625" style="3532" bestFit="1" customWidth="1"/>
    <col min="14090" max="14090" width="15.28515625" style="3532" customWidth="1"/>
    <col min="14091" max="14091" width="15.85546875" style="3532" customWidth="1"/>
    <col min="14092" max="14092" width="17" style="3532" bestFit="1" customWidth="1"/>
    <col min="14093" max="14093" width="12.7109375" style="3532" customWidth="1"/>
    <col min="14094" max="14094" width="13.7109375" style="3532" customWidth="1"/>
    <col min="14095" max="14095" width="13.85546875" style="3532" bestFit="1" customWidth="1"/>
    <col min="14096" max="14096" width="15.42578125" style="3532" bestFit="1" customWidth="1"/>
    <col min="14097" max="14097" width="16.140625" style="3532" customWidth="1"/>
    <col min="14098" max="14098" width="16.7109375" style="3532" bestFit="1" customWidth="1"/>
    <col min="14099" max="14100" width="15.42578125" style="3532" bestFit="1" customWidth="1"/>
    <col min="14101" max="14101" width="16.42578125" style="3532" bestFit="1" customWidth="1"/>
    <col min="14102" max="14102" width="14.28515625" style="3532" customWidth="1"/>
    <col min="14103" max="14103" width="12.85546875" style="3532" bestFit="1" customWidth="1"/>
    <col min="14104" max="14104" width="11.28515625" style="3532" bestFit="1" customWidth="1"/>
    <col min="14105" max="14105" width="12.42578125" style="3532" bestFit="1" customWidth="1"/>
    <col min="14106" max="14106" width="14" style="3532" bestFit="1" customWidth="1"/>
    <col min="14107" max="14107" width="6" style="3532" bestFit="1" customWidth="1"/>
    <col min="14108" max="14108" width="15" style="3532" customWidth="1"/>
    <col min="14109" max="14109" width="14.85546875" style="3532" bestFit="1" customWidth="1"/>
    <col min="14110" max="14110" width="16.140625" style="3532" bestFit="1" customWidth="1"/>
    <col min="14111" max="14337" width="8.85546875" style="3532"/>
    <col min="14338" max="14338" width="24" style="3532" bestFit="1" customWidth="1"/>
    <col min="14339" max="14339" width="45.7109375" style="3532" bestFit="1" customWidth="1"/>
    <col min="14340" max="14340" width="19.7109375" style="3532" bestFit="1" customWidth="1"/>
    <col min="14341" max="14341" width="16" style="3532" customWidth="1"/>
    <col min="14342" max="14342" width="19.85546875" style="3532" bestFit="1" customWidth="1"/>
    <col min="14343" max="14343" width="13.42578125" style="3532" customWidth="1"/>
    <col min="14344" max="14344" width="15.28515625" style="3532" bestFit="1" customWidth="1"/>
    <col min="14345" max="14345" width="14.140625" style="3532" bestFit="1" customWidth="1"/>
    <col min="14346" max="14346" width="15.28515625" style="3532" customWidth="1"/>
    <col min="14347" max="14347" width="15.85546875" style="3532" customWidth="1"/>
    <col min="14348" max="14348" width="17" style="3532" bestFit="1" customWidth="1"/>
    <col min="14349" max="14349" width="12.7109375" style="3532" customWidth="1"/>
    <col min="14350" max="14350" width="13.7109375" style="3532" customWidth="1"/>
    <col min="14351" max="14351" width="13.85546875" style="3532" bestFit="1" customWidth="1"/>
    <col min="14352" max="14352" width="15.42578125" style="3532" bestFit="1" customWidth="1"/>
    <col min="14353" max="14353" width="16.140625" style="3532" customWidth="1"/>
    <col min="14354" max="14354" width="16.7109375" style="3532" bestFit="1" customWidth="1"/>
    <col min="14355" max="14356" width="15.42578125" style="3532" bestFit="1" customWidth="1"/>
    <col min="14357" max="14357" width="16.42578125" style="3532" bestFit="1" customWidth="1"/>
    <col min="14358" max="14358" width="14.28515625" style="3532" customWidth="1"/>
    <col min="14359" max="14359" width="12.85546875" style="3532" bestFit="1" customWidth="1"/>
    <col min="14360" max="14360" width="11.28515625" style="3532" bestFit="1" customWidth="1"/>
    <col min="14361" max="14361" width="12.42578125" style="3532" bestFit="1" customWidth="1"/>
    <col min="14362" max="14362" width="14" style="3532" bestFit="1" customWidth="1"/>
    <col min="14363" max="14363" width="6" style="3532" bestFit="1" customWidth="1"/>
    <col min="14364" max="14364" width="15" style="3532" customWidth="1"/>
    <col min="14365" max="14365" width="14.85546875" style="3532" bestFit="1" customWidth="1"/>
    <col min="14366" max="14366" width="16.140625" style="3532" bestFit="1" customWidth="1"/>
    <col min="14367" max="14593" width="8.85546875" style="3532"/>
    <col min="14594" max="14594" width="24" style="3532" bestFit="1" customWidth="1"/>
    <col min="14595" max="14595" width="45.7109375" style="3532" bestFit="1" customWidth="1"/>
    <col min="14596" max="14596" width="19.7109375" style="3532" bestFit="1" customWidth="1"/>
    <col min="14597" max="14597" width="16" style="3532" customWidth="1"/>
    <col min="14598" max="14598" width="19.85546875" style="3532" bestFit="1" customWidth="1"/>
    <col min="14599" max="14599" width="13.42578125" style="3532" customWidth="1"/>
    <col min="14600" max="14600" width="15.28515625" style="3532" bestFit="1" customWidth="1"/>
    <col min="14601" max="14601" width="14.140625" style="3532" bestFit="1" customWidth="1"/>
    <col min="14602" max="14602" width="15.28515625" style="3532" customWidth="1"/>
    <col min="14603" max="14603" width="15.85546875" style="3532" customWidth="1"/>
    <col min="14604" max="14604" width="17" style="3532" bestFit="1" customWidth="1"/>
    <col min="14605" max="14605" width="12.7109375" style="3532" customWidth="1"/>
    <col min="14606" max="14606" width="13.7109375" style="3532" customWidth="1"/>
    <col min="14607" max="14607" width="13.85546875" style="3532" bestFit="1" customWidth="1"/>
    <col min="14608" max="14608" width="15.42578125" style="3532" bestFit="1" customWidth="1"/>
    <col min="14609" max="14609" width="16.140625" style="3532" customWidth="1"/>
    <col min="14610" max="14610" width="16.7109375" style="3532" bestFit="1" customWidth="1"/>
    <col min="14611" max="14612" width="15.42578125" style="3532" bestFit="1" customWidth="1"/>
    <col min="14613" max="14613" width="16.42578125" style="3532" bestFit="1" customWidth="1"/>
    <col min="14614" max="14614" width="14.28515625" style="3532" customWidth="1"/>
    <col min="14615" max="14615" width="12.85546875" style="3532" bestFit="1" customWidth="1"/>
    <col min="14616" max="14616" width="11.28515625" style="3532" bestFit="1" customWidth="1"/>
    <col min="14617" max="14617" width="12.42578125" style="3532" bestFit="1" customWidth="1"/>
    <col min="14618" max="14618" width="14" style="3532" bestFit="1" customWidth="1"/>
    <col min="14619" max="14619" width="6" style="3532" bestFit="1" customWidth="1"/>
    <col min="14620" max="14620" width="15" style="3532" customWidth="1"/>
    <col min="14621" max="14621" width="14.85546875" style="3532" bestFit="1" customWidth="1"/>
    <col min="14622" max="14622" width="16.140625" style="3532" bestFit="1" customWidth="1"/>
    <col min="14623" max="14849" width="8.85546875" style="3532"/>
    <col min="14850" max="14850" width="24" style="3532" bestFit="1" customWidth="1"/>
    <col min="14851" max="14851" width="45.7109375" style="3532" bestFit="1" customWidth="1"/>
    <col min="14852" max="14852" width="19.7109375" style="3532" bestFit="1" customWidth="1"/>
    <col min="14853" max="14853" width="16" style="3532" customWidth="1"/>
    <col min="14854" max="14854" width="19.85546875" style="3532" bestFit="1" customWidth="1"/>
    <col min="14855" max="14855" width="13.42578125" style="3532" customWidth="1"/>
    <col min="14856" max="14856" width="15.28515625" style="3532" bestFit="1" customWidth="1"/>
    <col min="14857" max="14857" width="14.140625" style="3532" bestFit="1" customWidth="1"/>
    <col min="14858" max="14858" width="15.28515625" style="3532" customWidth="1"/>
    <col min="14859" max="14859" width="15.85546875" style="3532" customWidth="1"/>
    <col min="14860" max="14860" width="17" style="3532" bestFit="1" customWidth="1"/>
    <col min="14861" max="14861" width="12.7109375" style="3532" customWidth="1"/>
    <col min="14862" max="14862" width="13.7109375" style="3532" customWidth="1"/>
    <col min="14863" max="14863" width="13.85546875" style="3532" bestFit="1" customWidth="1"/>
    <col min="14864" max="14864" width="15.42578125" style="3532" bestFit="1" customWidth="1"/>
    <col min="14865" max="14865" width="16.140625" style="3532" customWidth="1"/>
    <col min="14866" max="14866" width="16.7109375" style="3532" bestFit="1" customWidth="1"/>
    <col min="14867" max="14868" width="15.42578125" style="3532" bestFit="1" customWidth="1"/>
    <col min="14869" max="14869" width="16.42578125" style="3532" bestFit="1" customWidth="1"/>
    <col min="14870" max="14870" width="14.28515625" style="3532" customWidth="1"/>
    <col min="14871" max="14871" width="12.85546875" style="3532" bestFit="1" customWidth="1"/>
    <col min="14872" max="14872" width="11.28515625" style="3532" bestFit="1" customWidth="1"/>
    <col min="14873" max="14873" width="12.42578125" style="3532" bestFit="1" customWidth="1"/>
    <col min="14874" max="14874" width="14" style="3532" bestFit="1" customWidth="1"/>
    <col min="14875" max="14875" width="6" style="3532" bestFit="1" customWidth="1"/>
    <col min="14876" max="14876" width="15" style="3532" customWidth="1"/>
    <col min="14877" max="14877" width="14.85546875" style="3532" bestFit="1" customWidth="1"/>
    <col min="14878" max="14878" width="16.140625" style="3532" bestFit="1" customWidth="1"/>
    <col min="14879" max="15105" width="8.85546875" style="3532"/>
    <col min="15106" max="15106" width="24" style="3532" bestFit="1" customWidth="1"/>
    <col min="15107" max="15107" width="45.7109375" style="3532" bestFit="1" customWidth="1"/>
    <col min="15108" max="15108" width="19.7109375" style="3532" bestFit="1" customWidth="1"/>
    <col min="15109" max="15109" width="16" style="3532" customWidth="1"/>
    <col min="15110" max="15110" width="19.85546875" style="3532" bestFit="1" customWidth="1"/>
    <col min="15111" max="15111" width="13.42578125" style="3532" customWidth="1"/>
    <col min="15112" max="15112" width="15.28515625" style="3532" bestFit="1" customWidth="1"/>
    <col min="15113" max="15113" width="14.140625" style="3532" bestFit="1" customWidth="1"/>
    <col min="15114" max="15114" width="15.28515625" style="3532" customWidth="1"/>
    <col min="15115" max="15115" width="15.85546875" style="3532" customWidth="1"/>
    <col min="15116" max="15116" width="17" style="3532" bestFit="1" customWidth="1"/>
    <col min="15117" max="15117" width="12.7109375" style="3532" customWidth="1"/>
    <col min="15118" max="15118" width="13.7109375" style="3532" customWidth="1"/>
    <col min="15119" max="15119" width="13.85546875" style="3532" bestFit="1" customWidth="1"/>
    <col min="15120" max="15120" width="15.42578125" style="3532" bestFit="1" customWidth="1"/>
    <col min="15121" max="15121" width="16.140625" style="3532" customWidth="1"/>
    <col min="15122" max="15122" width="16.7109375" style="3532" bestFit="1" customWidth="1"/>
    <col min="15123" max="15124" width="15.42578125" style="3532" bestFit="1" customWidth="1"/>
    <col min="15125" max="15125" width="16.42578125" style="3532" bestFit="1" customWidth="1"/>
    <col min="15126" max="15126" width="14.28515625" style="3532" customWidth="1"/>
    <col min="15127" max="15127" width="12.85546875" style="3532" bestFit="1" customWidth="1"/>
    <col min="15128" max="15128" width="11.28515625" style="3532" bestFit="1" customWidth="1"/>
    <col min="15129" max="15129" width="12.42578125" style="3532" bestFit="1" customWidth="1"/>
    <col min="15130" max="15130" width="14" style="3532" bestFit="1" customWidth="1"/>
    <col min="15131" max="15131" width="6" style="3532" bestFit="1" customWidth="1"/>
    <col min="15132" max="15132" width="15" style="3532" customWidth="1"/>
    <col min="15133" max="15133" width="14.85546875" style="3532" bestFit="1" customWidth="1"/>
    <col min="15134" max="15134" width="16.140625" style="3532" bestFit="1" customWidth="1"/>
    <col min="15135" max="15361" width="8.85546875" style="3532"/>
    <col min="15362" max="15362" width="24" style="3532" bestFit="1" customWidth="1"/>
    <col min="15363" max="15363" width="45.7109375" style="3532" bestFit="1" customWidth="1"/>
    <col min="15364" max="15364" width="19.7109375" style="3532" bestFit="1" customWidth="1"/>
    <col min="15365" max="15365" width="16" style="3532" customWidth="1"/>
    <col min="15366" max="15366" width="19.85546875" style="3532" bestFit="1" customWidth="1"/>
    <col min="15367" max="15367" width="13.42578125" style="3532" customWidth="1"/>
    <col min="15368" max="15368" width="15.28515625" style="3532" bestFit="1" customWidth="1"/>
    <col min="15369" max="15369" width="14.140625" style="3532" bestFit="1" customWidth="1"/>
    <col min="15370" max="15370" width="15.28515625" style="3532" customWidth="1"/>
    <col min="15371" max="15371" width="15.85546875" style="3532" customWidth="1"/>
    <col min="15372" max="15372" width="17" style="3532" bestFit="1" customWidth="1"/>
    <col min="15373" max="15373" width="12.7109375" style="3532" customWidth="1"/>
    <col min="15374" max="15374" width="13.7109375" style="3532" customWidth="1"/>
    <col min="15375" max="15375" width="13.85546875" style="3532" bestFit="1" customWidth="1"/>
    <col min="15376" max="15376" width="15.42578125" style="3532" bestFit="1" customWidth="1"/>
    <col min="15377" max="15377" width="16.140625" style="3532" customWidth="1"/>
    <col min="15378" max="15378" width="16.7109375" style="3532" bestFit="1" customWidth="1"/>
    <col min="15379" max="15380" width="15.42578125" style="3532" bestFit="1" customWidth="1"/>
    <col min="15381" max="15381" width="16.42578125" style="3532" bestFit="1" customWidth="1"/>
    <col min="15382" max="15382" width="14.28515625" style="3532" customWidth="1"/>
    <col min="15383" max="15383" width="12.85546875" style="3532" bestFit="1" customWidth="1"/>
    <col min="15384" max="15384" width="11.28515625" style="3532" bestFit="1" customWidth="1"/>
    <col min="15385" max="15385" width="12.42578125" style="3532" bestFit="1" customWidth="1"/>
    <col min="15386" max="15386" width="14" style="3532" bestFit="1" customWidth="1"/>
    <col min="15387" max="15387" width="6" style="3532" bestFit="1" customWidth="1"/>
    <col min="15388" max="15388" width="15" style="3532" customWidth="1"/>
    <col min="15389" max="15389" width="14.85546875" style="3532" bestFit="1" customWidth="1"/>
    <col min="15390" max="15390" width="16.140625" style="3532" bestFit="1" customWidth="1"/>
    <col min="15391" max="15617" width="8.85546875" style="3532"/>
    <col min="15618" max="15618" width="24" style="3532" bestFit="1" customWidth="1"/>
    <col min="15619" max="15619" width="45.7109375" style="3532" bestFit="1" customWidth="1"/>
    <col min="15620" max="15620" width="19.7109375" style="3532" bestFit="1" customWidth="1"/>
    <col min="15621" max="15621" width="16" style="3532" customWidth="1"/>
    <col min="15622" max="15622" width="19.85546875" style="3532" bestFit="1" customWidth="1"/>
    <col min="15623" max="15623" width="13.42578125" style="3532" customWidth="1"/>
    <col min="15624" max="15624" width="15.28515625" style="3532" bestFit="1" customWidth="1"/>
    <col min="15625" max="15625" width="14.140625" style="3532" bestFit="1" customWidth="1"/>
    <col min="15626" max="15626" width="15.28515625" style="3532" customWidth="1"/>
    <col min="15627" max="15627" width="15.85546875" style="3532" customWidth="1"/>
    <col min="15628" max="15628" width="17" style="3532" bestFit="1" customWidth="1"/>
    <col min="15629" max="15629" width="12.7109375" style="3532" customWidth="1"/>
    <col min="15630" max="15630" width="13.7109375" style="3532" customWidth="1"/>
    <col min="15631" max="15631" width="13.85546875" style="3532" bestFit="1" customWidth="1"/>
    <col min="15632" max="15632" width="15.42578125" style="3532" bestFit="1" customWidth="1"/>
    <col min="15633" max="15633" width="16.140625" style="3532" customWidth="1"/>
    <col min="15634" max="15634" width="16.7109375" style="3532" bestFit="1" customWidth="1"/>
    <col min="15635" max="15636" width="15.42578125" style="3532" bestFit="1" customWidth="1"/>
    <col min="15637" max="15637" width="16.42578125" style="3532" bestFit="1" customWidth="1"/>
    <col min="15638" max="15638" width="14.28515625" style="3532" customWidth="1"/>
    <col min="15639" max="15639" width="12.85546875" style="3532" bestFit="1" customWidth="1"/>
    <col min="15640" max="15640" width="11.28515625" style="3532" bestFit="1" customWidth="1"/>
    <col min="15641" max="15641" width="12.42578125" style="3532" bestFit="1" customWidth="1"/>
    <col min="15642" max="15642" width="14" style="3532" bestFit="1" customWidth="1"/>
    <col min="15643" max="15643" width="6" style="3532" bestFit="1" customWidth="1"/>
    <col min="15644" max="15644" width="15" style="3532" customWidth="1"/>
    <col min="15645" max="15645" width="14.85546875" style="3532" bestFit="1" customWidth="1"/>
    <col min="15646" max="15646" width="16.140625" style="3532" bestFit="1" customWidth="1"/>
    <col min="15647" max="15873" width="8.85546875" style="3532"/>
    <col min="15874" max="15874" width="24" style="3532" bestFit="1" customWidth="1"/>
    <col min="15875" max="15875" width="45.7109375" style="3532" bestFit="1" customWidth="1"/>
    <col min="15876" max="15876" width="19.7109375" style="3532" bestFit="1" customWidth="1"/>
    <col min="15877" max="15877" width="16" style="3532" customWidth="1"/>
    <col min="15878" max="15878" width="19.85546875" style="3532" bestFit="1" customWidth="1"/>
    <col min="15879" max="15879" width="13.42578125" style="3532" customWidth="1"/>
    <col min="15880" max="15880" width="15.28515625" style="3532" bestFit="1" customWidth="1"/>
    <col min="15881" max="15881" width="14.140625" style="3532" bestFit="1" customWidth="1"/>
    <col min="15882" max="15882" width="15.28515625" style="3532" customWidth="1"/>
    <col min="15883" max="15883" width="15.85546875" style="3532" customWidth="1"/>
    <col min="15884" max="15884" width="17" style="3532" bestFit="1" customWidth="1"/>
    <col min="15885" max="15885" width="12.7109375" style="3532" customWidth="1"/>
    <col min="15886" max="15886" width="13.7109375" style="3532" customWidth="1"/>
    <col min="15887" max="15887" width="13.85546875" style="3532" bestFit="1" customWidth="1"/>
    <col min="15888" max="15888" width="15.42578125" style="3532" bestFit="1" customWidth="1"/>
    <col min="15889" max="15889" width="16.140625" style="3532" customWidth="1"/>
    <col min="15890" max="15890" width="16.7109375" style="3532" bestFit="1" customWidth="1"/>
    <col min="15891" max="15892" width="15.42578125" style="3532" bestFit="1" customWidth="1"/>
    <col min="15893" max="15893" width="16.42578125" style="3532" bestFit="1" customWidth="1"/>
    <col min="15894" max="15894" width="14.28515625" style="3532" customWidth="1"/>
    <col min="15895" max="15895" width="12.85546875" style="3532" bestFit="1" customWidth="1"/>
    <col min="15896" max="15896" width="11.28515625" style="3532" bestFit="1" customWidth="1"/>
    <col min="15897" max="15897" width="12.42578125" style="3532" bestFit="1" customWidth="1"/>
    <col min="15898" max="15898" width="14" style="3532" bestFit="1" customWidth="1"/>
    <col min="15899" max="15899" width="6" style="3532" bestFit="1" customWidth="1"/>
    <col min="15900" max="15900" width="15" style="3532" customWidth="1"/>
    <col min="15901" max="15901" width="14.85546875" style="3532" bestFit="1" customWidth="1"/>
    <col min="15902" max="15902" width="16.140625" style="3532" bestFit="1" customWidth="1"/>
    <col min="15903" max="16129" width="8.85546875" style="3532"/>
    <col min="16130" max="16130" width="24" style="3532" bestFit="1" customWidth="1"/>
    <col min="16131" max="16131" width="45.7109375" style="3532" bestFit="1" customWidth="1"/>
    <col min="16132" max="16132" width="19.7109375" style="3532" bestFit="1" customWidth="1"/>
    <col min="16133" max="16133" width="16" style="3532" customWidth="1"/>
    <col min="16134" max="16134" width="19.85546875" style="3532" bestFit="1" customWidth="1"/>
    <col min="16135" max="16135" width="13.42578125" style="3532" customWidth="1"/>
    <col min="16136" max="16136" width="15.28515625" style="3532" bestFit="1" customWidth="1"/>
    <col min="16137" max="16137" width="14.140625" style="3532" bestFit="1" customWidth="1"/>
    <col min="16138" max="16138" width="15.28515625" style="3532" customWidth="1"/>
    <col min="16139" max="16139" width="15.85546875" style="3532" customWidth="1"/>
    <col min="16140" max="16140" width="17" style="3532" bestFit="1" customWidth="1"/>
    <col min="16141" max="16141" width="12.7109375" style="3532" customWidth="1"/>
    <col min="16142" max="16142" width="13.7109375" style="3532" customWidth="1"/>
    <col min="16143" max="16143" width="13.85546875" style="3532" bestFit="1" customWidth="1"/>
    <col min="16144" max="16144" width="15.42578125" style="3532" bestFit="1" customWidth="1"/>
    <col min="16145" max="16145" width="16.140625" style="3532" customWidth="1"/>
    <col min="16146" max="16146" width="16.7109375" style="3532" bestFit="1" customWidth="1"/>
    <col min="16147" max="16148" width="15.42578125" style="3532" bestFit="1" customWidth="1"/>
    <col min="16149" max="16149" width="16.42578125" style="3532" bestFit="1" customWidth="1"/>
    <col min="16150" max="16150" width="14.28515625" style="3532" customWidth="1"/>
    <col min="16151" max="16151" width="12.85546875" style="3532" bestFit="1" customWidth="1"/>
    <col min="16152" max="16152" width="11.28515625" style="3532" bestFit="1" customWidth="1"/>
    <col min="16153" max="16153" width="12.42578125" style="3532" bestFit="1" customWidth="1"/>
    <col min="16154" max="16154" width="14" style="3532" bestFit="1" customWidth="1"/>
    <col min="16155" max="16155" width="6" style="3532" bestFit="1" customWidth="1"/>
    <col min="16156" max="16156" width="15" style="3532" customWidth="1"/>
    <col min="16157" max="16157" width="14.85546875" style="3532" bestFit="1" customWidth="1"/>
    <col min="16158" max="16158" width="16.140625" style="3532" bestFit="1" customWidth="1"/>
    <col min="16159" max="16384" width="8.85546875" style="3532"/>
  </cols>
  <sheetData>
    <row r="1" spans="2:22" ht="45" customHeight="1" thickBot="1">
      <c r="B1" s="3512"/>
      <c r="F1" s="3536"/>
      <c r="G1" s="3536">
        <f>C3</f>
        <v>18230634</v>
      </c>
      <c r="H1" s="3536" t="str">
        <f>C4</f>
        <v>SF Existing - Mobile Home Duct Sealing</v>
      </c>
      <c r="I1" s="3536"/>
    </row>
    <row r="2" spans="2:22" ht="16.5" thickBot="1">
      <c r="B2" s="3536" t="s">
        <v>109</v>
      </c>
      <c r="C2" s="3537" t="s">
        <v>227</v>
      </c>
      <c r="G2" s="3538" t="s">
        <v>8</v>
      </c>
      <c r="Q2" s="5133"/>
      <c r="R2" s="5133"/>
      <c r="S2" s="5124" t="s">
        <v>110</v>
      </c>
      <c r="T2" s="5125"/>
      <c r="U2" s="5126"/>
      <c r="V2" s="5118" t="s">
        <v>111</v>
      </c>
    </row>
    <row r="3" spans="2:22" ht="16.5" thickBot="1">
      <c r="B3" s="3537" t="s">
        <v>6</v>
      </c>
      <c r="C3" s="4360">
        <v>18230634</v>
      </c>
      <c r="G3" s="3539" t="s">
        <v>9</v>
      </c>
      <c r="H3" s="3540" t="s">
        <v>10</v>
      </c>
      <c r="I3" s="3540" t="s">
        <v>11</v>
      </c>
      <c r="J3" s="3540" t="s">
        <v>12</v>
      </c>
      <c r="K3" s="3540" t="s">
        <v>13</v>
      </c>
      <c r="L3" s="3540" t="s">
        <v>14</v>
      </c>
      <c r="M3" s="3540" t="s">
        <v>15</v>
      </c>
      <c r="N3" s="3540" t="s">
        <v>16</v>
      </c>
      <c r="O3" s="3540" t="s">
        <v>112</v>
      </c>
      <c r="P3" s="3540" t="s">
        <v>113</v>
      </c>
      <c r="Q3" s="3541" t="s">
        <v>18</v>
      </c>
      <c r="R3" s="3541" t="s">
        <v>114</v>
      </c>
      <c r="S3" s="3542" t="s">
        <v>115</v>
      </c>
      <c r="T3" s="3542" t="s">
        <v>12</v>
      </c>
      <c r="U3" s="3543" t="s">
        <v>116</v>
      </c>
      <c r="V3" s="5119"/>
    </row>
    <row r="4" spans="2:22" ht="16.5" thickBot="1">
      <c r="B4" s="3537" t="s">
        <v>117</v>
      </c>
      <c r="C4" s="4360" t="s">
        <v>1189</v>
      </c>
      <c r="D4" s="181" t="s">
        <v>1372</v>
      </c>
      <c r="F4" s="3536">
        <v>2011</v>
      </c>
      <c r="G4" s="3544">
        <f>B13</f>
        <v>48426</v>
      </c>
      <c r="H4" s="3545">
        <f>B18</f>
        <v>6918</v>
      </c>
      <c r="I4" s="3545">
        <f>B23</f>
        <v>34867</v>
      </c>
      <c r="J4" s="3545">
        <f>B28</f>
        <v>48000</v>
      </c>
      <c r="K4" s="3545">
        <f>B33</f>
        <v>3540</v>
      </c>
      <c r="L4" s="3545">
        <f>B38</f>
        <v>444579</v>
      </c>
      <c r="M4" s="3545">
        <f>B43</f>
        <v>2880</v>
      </c>
      <c r="N4" s="3545">
        <f>B48</f>
        <v>127800</v>
      </c>
      <c r="O4" s="3545">
        <f>B53</f>
        <v>451494</v>
      </c>
      <c r="P4" s="3545">
        <f>B54</f>
        <v>0</v>
      </c>
      <c r="Q4" s="3546">
        <f>B55</f>
        <v>1168504</v>
      </c>
      <c r="R4" s="210">
        <f>T55</f>
        <v>0</v>
      </c>
      <c r="S4" s="3636">
        <f>O4/Q4</f>
        <v>0.38638635383361974</v>
      </c>
      <c r="T4" s="3636">
        <f>(J4+(H4*1.63))/Q4</f>
        <v>5.0728401443212855E-2</v>
      </c>
      <c r="U4" s="3636">
        <f>L4/Q4</f>
        <v>0.38046853070250508</v>
      </c>
      <c r="V4" s="3497" t="e">
        <f>Q4/R4</f>
        <v>#DIV/0!</v>
      </c>
    </row>
    <row r="5" spans="2:22" ht="16.5" thickBot="1">
      <c r="B5" s="3536" t="s">
        <v>33</v>
      </c>
      <c r="C5" s="4360" t="s">
        <v>1191</v>
      </c>
      <c r="F5" s="3536">
        <v>2012</v>
      </c>
      <c r="G5" s="3547">
        <f>D13</f>
        <v>0</v>
      </c>
      <c r="H5" s="3548">
        <f>D18</f>
        <v>0</v>
      </c>
      <c r="I5" s="3548">
        <f>D23</f>
        <v>0</v>
      </c>
      <c r="J5" s="3548">
        <f>D28</f>
        <v>0</v>
      </c>
      <c r="K5" s="3548">
        <f>D33</f>
        <v>0</v>
      </c>
      <c r="L5" s="3548">
        <f>D38</f>
        <v>0</v>
      </c>
      <c r="M5" s="3548">
        <f>D43</f>
        <v>0</v>
      </c>
      <c r="N5" s="3548">
        <f>D48</f>
        <v>0</v>
      </c>
      <c r="O5" s="3548">
        <f>D53</f>
        <v>0</v>
      </c>
      <c r="P5" s="3548">
        <f>D54</f>
        <v>0</v>
      </c>
      <c r="Q5" s="3549">
        <f>SUM(G5:P5)</f>
        <v>0</v>
      </c>
      <c r="R5" s="216">
        <f>P55</f>
        <v>0</v>
      </c>
      <c r="S5" s="3637" t="e">
        <f>O5/Q5</f>
        <v>#DIV/0!</v>
      </c>
      <c r="T5" s="3637" t="e">
        <f>(J5+(H5*1.63))/Q5</f>
        <v>#DIV/0!</v>
      </c>
      <c r="U5" s="3637" t="e">
        <f>L5/Q5</f>
        <v>#DIV/0!</v>
      </c>
      <c r="V5" s="3498" t="e">
        <f>Q5/R5</f>
        <v>#DIV/0!</v>
      </c>
    </row>
    <row r="6" spans="2:22" ht="16.5" thickBot="1">
      <c r="B6" s="3536"/>
      <c r="F6" s="4249" t="s">
        <v>1168</v>
      </c>
      <c r="G6" s="4241">
        <v>0</v>
      </c>
      <c r="H6" s="4242">
        <v>0</v>
      </c>
      <c r="I6" s="4242">
        <v>0</v>
      </c>
      <c r="J6" s="4242">
        <v>0</v>
      </c>
      <c r="K6" s="4242">
        <v>0</v>
      </c>
      <c r="L6" s="4242">
        <v>0</v>
      </c>
      <c r="M6" s="4242">
        <v>0</v>
      </c>
      <c r="N6" s="4242">
        <v>0</v>
      </c>
      <c r="O6" s="4242">
        <v>0</v>
      </c>
      <c r="P6" s="4242">
        <v>0</v>
      </c>
      <c r="Q6" s="4243">
        <v>0</v>
      </c>
      <c r="R6" s="219">
        <v>0</v>
      </c>
      <c r="S6" s="3637">
        <v>0.56433512986987144</v>
      </c>
      <c r="T6" s="3637">
        <v>1.8007544630546931E-2</v>
      </c>
      <c r="U6" s="3637">
        <v>0.3558043194643184</v>
      </c>
      <c r="V6" s="3498">
        <v>0.42221572462492302</v>
      </c>
    </row>
    <row r="7" spans="2:22" ht="16.5" thickBot="1">
      <c r="C7" s="3536" t="s">
        <v>229</v>
      </c>
      <c r="F7" s="4191" t="s">
        <v>1169</v>
      </c>
      <c r="G7" s="4192">
        <f>E13</f>
        <v>60000</v>
      </c>
      <c r="H7" s="4193">
        <f>E18</f>
        <v>37000</v>
      </c>
      <c r="I7" s="4193">
        <f>E23</f>
        <v>68579</v>
      </c>
      <c r="J7" s="4193">
        <f>E28</f>
        <v>20000</v>
      </c>
      <c r="K7" s="4193">
        <f>E33</f>
        <v>402.26</v>
      </c>
      <c r="L7" s="4193">
        <f>E38</f>
        <v>126.99</v>
      </c>
      <c r="M7" s="4193">
        <f>E43</f>
        <v>507.96</v>
      </c>
      <c r="N7" s="4193">
        <f>E48</f>
        <v>590.71</v>
      </c>
      <c r="O7" s="4193">
        <f>E53</f>
        <v>369675.7</v>
      </c>
      <c r="P7" s="4193">
        <f>E54</f>
        <v>0</v>
      </c>
      <c r="Q7" s="4244">
        <f>SUM(G7:P7)</f>
        <v>556882.62</v>
      </c>
      <c r="R7" s="4245">
        <f>Q55</f>
        <v>1046040</v>
      </c>
      <c r="S7" s="3637">
        <f>O7/Q7</f>
        <v>0.66383055732642549</v>
      </c>
      <c r="T7" s="3637">
        <f>(J7+(H7*1.63))/Q7</f>
        <v>0.14421351486961473</v>
      </c>
      <c r="U7" s="3637">
        <f>L7/Q7</f>
        <v>2.2803728369184874E-4</v>
      </c>
      <c r="V7" s="3498">
        <f>Q7/R7</f>
        <v>0.53237220373981875</v>
      </c>
    </row>
    <row r="8" spans="2:22" ht="16.5" thickBot="1">
      <c r="C8" s="3550" t="s">
        <v>230</v>
      </c>
      <c r="F8" s="221" t="s">
        <v>1170</v>
      </c>
      <c r="G8" s="222">
        <f>SUM(G5+G7)</f>
        <v>60000</v>
      </c>
      <c r="H8" s="222">
        <f t="shared" ref="H8:R8" si="0">SUM(H5+H7)</f>
        <v>37000</v>
      </c>
      <c r="I8" s="222">
        <f t="shared" si="0"/>
        <v>68579</v>
      </c>
      <c r="J8" s="222">
        <f t="shared" si="0"/>
        <v>20000</v>
      </c>
      <c r="K8" s="222">
        <f t="shared" si="0"/>
        <v>402.26</v>
      </c>
      <c r="L8" s="222">
        <f t="shared" si="0"/>
        <v>126.99</v>
      </c>
      <c r="M8" s="222">
        <f t="shared" si="0"/>
        <v>507.96</v>
      </c>
      <c r="N8" s="222">
        <f t="shared" si="0"/>
        <v>590.71</v>
      </c>
      <c r="O8" s="222">
        <f t="shared" si="0"/>
        <v>369675.7</v>
      </c>
      <c r="P8" s="222">
        <f t="shared" si="0"/>
        <v>0</v>
      </c>
      <c r="Q8" s="4248">
        <f t="shared" si="0"/>
        <v>556882.62</v>
      </c>
      <c r="R8" s="223">
        <f t="shared" si="0"/>
        <v>1046040</v>
      </c>
      <c r="S8" s="3637">
        <f>O8/Q8</f>
        <v>0.66383055732642549</v>
      </c>
      <c r="T8" s="3637">
        <f>(J8+(H8*1.63))/Q8</f>
        <v>0.14421351486961473</v>
      </c>
      <c r="U8" s="3637">
        <f>L8/Q8</f>
        <v>2.2803728369184874E-4</v>
      </c>
      <c r="V8" s="3498">
        <f>Q8/R8</f>
        <v>0.53237220373981875</v>
      </c>
    </row>
    <row r="10" spans="2:22" ht="13.5" thickBot="1">
      <c r="C10" s="3551" t="s">
        <v>118</v>
      </c>
      <c r="D10" s="5120" t="s">
        <v>119</v>
      </c>
      <c r="E10" s="5120"/>
      <c r="I10" s="5121" t="s">
        <v>120</v>
      </c>
      <c r="J10" s="5121"/>
      <c r="K10" s="5121"/>
      <c r="L10" s="5121"/>
      <c r="M10" s="5131" t="s">
        <v>119</v>
      </c>
      <c r="N10" s="5131"/>
    </row>
    <row r="11" spans="2:22" ht="16.5" thickBot="1">
      <c r="B11" s="3552"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3553">
        <v>2011</v>
      </c>
      <c r="C12" s="3554" t="s">
        <v>127</v>
      </c>
      <c r="D12" s="3555">
        <v>2012</v>
      </c>
      <c r="E12" s="3555">
        <v>2013</v>
      </c>
      <c r="F12" s="3555" t="s">
        <v>128</v>
      </c>
      <c r="H12" s="3556"/>
      <c r="I12" s="5127" t="s">
        <v>129</v>
      </c>
      <c r="J12" s="5128"/>
      <c r="K12" s="5129"/>
      <c r="L12" s="3557" t="s">
        <v>130</v>
      </c>
      <c r="M12" s="3558" t="s">
        <v>131</v>
      </c>
      <c r="N12" s="3559" t="s">
        <v>132</v>
      </c>
      <c r="O12" s="3560" t="s">
        <v>133</v>
      </c>
      <c r="P12" s="3558" t="s">
        <v>134</v>
      </c>
      <c r="Q12" s="3558" t="s">
        <v>135</v>
      </c>
      <c r="R12" s="3560" t="s">
        <v>136</v>
      </c>
      <c r="T12" s="4861"/>
    </row>
    <row r="13" spans="2:22" ht="13.5" thickBot="1">
      <c r="B13" s="235">
        <v>48426</v>
      </c>
      <c r="C13" s="3561" t="s">
        <v>138</v>
      </c>
      <c r="D13" s="3562">
        <f>SUM(D14:D17)</f>
        <v>0</v>
      </c>
      <c r="E13" s="4468">
        <f>SUM(E14:E17)</f>
        <v>60000</v>
      </c>
      <c r="F13" s="3563">
        <f>D13+E13</f>
        <v>60000</v>
      </c>
      <c r="H13" s="3535"/>
      <c r="I13" s="4471" t="str">
        <f t="shared" ref="I13:I54" si="1">C63</f>
        <v>Elec - Manufactured Home Duct Sealing- Level 1 (In Park)</v>
      </c>
      <c r="J13" s="4472"/>
      <c r="K13" s="4473"/>
      <c r="L13" s="4474">
        <f t="shared" ref="L13:L54" si="2">D63</f>
        <v>600</v>
      </c>
      <c r="M13" s="3193">
        <v>0</v>
      </c>
      <c r="N13" s="4510">
        <v>147</v>
      </c>
      <c r="O13" s="3564">
        <f>M13+N13</f>
        <v>147</v>
      </c>
      <c r="P13" s="245">
        <f t="shared" ref="P13:R28" si="3">M13*$D63</f>
        <v>0</v>
      </c>
      <c r="Q13" s="245">
        <f>N13*$D63</f>
        <v>88200</v>
      </c>
      <c r="R13" s="246">
        <f t="shared" si="3"/>
        <v>88200</v>
      </c>
      <c r="T13" s="4891"/>
    </row>
    <row r="14" spans="2:22">
      <c r="B14" s="3565"/>
      <c r="C14" s="3566" t="s">
        <v>139</v>
      </c>
      <c r="D14" s="3567">
        <v>0</v>
      </c>
      <c r="E14" s="4447">
        <v>60000</v>
      </c>
      <c r="F14" s="3567">
        <f>SUM(D14:E14)</f>
        <v>60000</v>
      </c>
      <c r="H14" s="3535"/>
      <c r="I14" s="4475" t="str">
        <f t="shared" si="1"/>
        <v>Elec - Manufactured Home Duct Sealing- Level 2 (In Park)</v>
      </c>
      <c r="J14" s="4476"/>
      <c r="K14" s="4477"/>
      <c r="L14" s="4474">
        <f t="shared" si="2"/>
        <v>800</v>
      </c>
      <c r="M14" s="4144">
        <v>0</v>
      </c>
      <c r="N14" s="4511">
        <v>168</v>
      </c>
      <c r="O14" s="3564">
        <f t="shared" ref="O14:O54" si="4">M14+N14</f>
        <v>168</v>
      </c>
      <c r="P14" s="245">
        <f t="shared" si="3"/>
        <v>0</v>
      </c>
      <c r="Q14" s="245">
        <f t="shared" si="3"/>
        <v>134400</v>
      </c>
      <c r="R14" s="246">
        <f t="shared" si="3"/>
        <v>134400</v>
      </c>
      <c r="T14" s="4891"/>
    </row>
    <row r="15" spans="2:22">
      <c r="B15" s="3571"/>
      <c r="C15" s="3572" t="s">
        <v>140</v>
      </c>
      <c r="D15" s="3573">
        <v>0</v>
      </c>
      <c r="E15" s="3573"/>
      <c r="F15" s="3567">
        <f t="shared" ref="F15:F25" si="5">SUM(D15:E15)</f>
        <v>0</v>
      </c>
      <c r="H15" s="3535"/>
      <c r="I15" s="4475" t="str">
        <f t="shared" si="1"/>
        <v>Elec - Manufactured Home Duct Sealing- Level 3 (In Park)</v>
      </c>
      <c r="J15" s="4476"/>
      <c r="K15" s="4477"/>
      <c r="L15" s="4474">
        <f t="shared" si="2"/>
        <v>1000</v>
      </c>
      <c r="M15" s="3193">
        <v>0</v>
      </c>
      <c r="N15" s="4510">
        <v>65</v>
      </c>
      <c r="O15" s="3564">
        <f t="shared" si="4"/>
        <v>65</v>
      </c>
      <c r="P15" s="245">
        <f t="shared" si="3"/>
        <v>0</v>
      </c>
      <c r="Q15" s="245">
        <f t="shared" si="3"/>
        <v>65000</v>
      </c>
      <c r="R15" s="246">
        <f t="shared" si="3"/>
        <v>65000</v>
      </c>
      <c r="T15" s="4891"/>
    </row>
    <row r="16" spans="2:22">
      <c r="B16" s="3571"/>
      <c r="C16" s="3572" t="s">
        <v>141</v>
      </c>
      <c r="D16" s="3575">
        <v>0</v>
      </c>
      <c r="E16" s="3575"/>
      <c r="F16" s="3567">
        <f t="shared" si="5"/>
        <v>0</v>
      </c>
      <c r="H16" s="3535"/>
      <c r="I16" s="4475" t="str">
        <f t="shared" si="1"/>
        <v>Elec - Manufactured Home Duct Sealing- Level 1 (Out of Park)</v>
      </c>
      <c r="J16" s="4476"/>
      <c r="K16" s="4477"/>
      <c r="L16" s="4474">
        <f t="shared" si="2"/>
        <v>600</v>
      </c>
      <c r="M16" s="3193">
        <v>0</v>
      </c>
      <c r="N16" s="4510">
        <v>131</v>
      </c>
      <c r="O16" s="3564">
        <f t="shared" si="4"/>
        <v>131</v>
      </c>
      <c r="P16" s="245">
        <f t="shared" si="3"/>
        <v>0</v>
      </c>
      <c r="Q16" s="245">
        <f t="shared" si="3"/>
        <v>78600</v>
      </c>
      <c r="R16" s="246">
        <f t="shared" si="3"/>
        <v>78600</v>
      </c>
      <c r="T16" s="4891"/>
    </row>
    <row r="17" spans="2:20" ht="13.5" thickBot="1">
      <c r="B17" s="3571"/>
      <c r="C17" s="3572" t="s">
        <v>142</v>
      </c>
      <c r="D17" s="3575">
        <v>0</v>
      </c>
      <c r="E17" s="3575"/>
      <c r="F17" s="3567">
        <f t="shared" si="5"/>
        <v>0</v>
      </c>
      <c r="H17" s="3535"/>
      <c r="I17" s="4475" t="str">
        <f t="shared" si="1"/>
        <v>Elec - Manufactured Home Duct Sealing- Level 2 (Out of Park)</v>
      </c>
      <c r="J17" s="4476"/>
      <c r="K17" s="4477"/>
      <c r="L17" s="4474">
        <f t="shared" si="2"/>
        <v>800</v>
      </c>
      <c r="M17" s="3193">
        <v>0</v>
      </c>
      <c r="N17" s="4510">
        <v>179</v>
      </c>
      <c r="O17" s="3564">
        <f t="shared" si="4"/>
        <v>179</v>
      </c>
      <c r="P17" s="245">
        <f t="shared" si="3"/>
        <v>0</v>
      </c>
      <c r="Q17" s="245">
        <f t="shared" si="3"/>
        <v>143200</v>
      </c>
      <c r="R17" s="246">
        <f t="shared" si="3"/>
        <v>143200</v>
      </c>
      <c r="T17" s="4891"/>
    </row>
    <row r="18" spans="2:20" ht="13.5" thickBot="1">
      <c r="B18" s="235">
        <v>6918</v>
      </c>
      <c r="C18" s="3561" t="s">
        <v>143</v>
      </c>
      <c r="D18" s="3562">
        <f>SUM(D19:D22)</f>
        <v>0</v>
      </c>
      <c r="E18" s="4468">
        <f>SUM(E19:E22)</f>
        <v>37000</v>
      </c>
      <c r="F18" s="3563">
        <f>D18+E18</f>
        <v>37000</v>
      </c>
      <c r="G18" s="3532" t="s">
        <v>7</v>
      </c>
      <c r="H18" s="3535"/>
      <c r="I18" s="4475" t="str">
        <f t="shared" si="1"/>
        <v>Elec - Manufactured Home Duct Sealing- Level 3 (Out of Park)</v>
      </c>
      <c r="J18" s="4476"/>
      <c r="K18" s="4477"/>
      <c r="L18" s="4474">
        <f t="shared" si="2"/>
        <v>1000</v>
      </c>
      <c r="M18" s="3193">
        <v>0</v>
      </c>
      <c r="N18" s="4510">
        <v>99</v>
      </c>
      <c r="O18" s="3564">
        <f t="shared" si="4"/>
        <v>99</v>
      </c>
      <c r="P18" s="245">
        <f t="shared" si="3"/>
        <v>0</v>
      </c>
      <c r="Q18" s="245">
        <f t="shared" si="3"/>
        <v>99000</v>
      </c>
      <c r="R18" s="246">
        <f t="shared" si="3"/>
        <v>99000</v>
      </c>
      <c r="T18" s="4891"/>
    </row>
    <row r="19" spans="2:20">
      <c r="B19" s="3565"/>
      <c r="C19" s="3566" t="s">
        <v>139</v>
      </c>
      <c r="D19" s="3567">
        <v>0</v>
      </c>
      <c r="E19" s="4447">
        <v>37000</v>
      </c>
      <c r="F19" s="3567">
        <f t="shared" si="5"/>
        <v>37000</v>
      </c>
      <c r="H19" s="3535"/>
      <c r="I19" s="4475" t="str">
        <f t="shared" si="1"/>
        <v>Elec - MHDS Showerhead - Direct Install #1</v>
      </c>
      <c r="J19" s="4476"/>
      <c r="K19" s="4477"/>
      <c r="L19" s="4474">
        <f t="shared" si="2"/>
        <v>307</v>
      </c>
      <c r="M19" s="3193">
        <v>0</v>
      </c>
      <c r="N19" s="4510">
        <v>538</v>
      </c>
      <c r="O19" s="3564">
        <f t="shared" si="4"/>
        <v>538</v>
      </c>
      <c r="P19" s="245">
        <f t="shared" si="3"/>
        <v>0</v>
      </c>
      <c r="Q19" s="245">
        <f t="shared" si="3"/>
        <v>165166</v>
      </c>
      <c r="R19" s="246">
        <f t="shared" si="3"/>
        <v>165166</v>
      </c>
      <c r="T19" s="4891"/>
    </row>
    <row r="20" spans="2:20">
      <c r="B20" s="3571"/>
      <c r="C20" s="3572" t="s">
        <v>140</v>
      </c>
      <c r="D20" s="3573">
        <v>0</v>
      </c>
      <c r="E20" s="3573"/>
      <c r="F20" s="3567">
        <f t="shared" si="5"/>
        <v>0</v>
      </c>
      <c r="H20" s="3535"/>
      <c r="I20" s="4475" t="str">
        <f t="shared" si="1"/>
        <v>Elec - MHDS Showerhead - Direct Install #2</v>
      </c>
      <c r="J20" s="4476"/>
      <c r="K20" s="4477"/>
      <c r="L20" s="4474">
        <f t="shared" si="2"/>
        <v>307</v>
      </c>
      <c r="M20" s="3193">
        <v>0</v>
      </c>
      <c r="N20" s="4510">
        <v>255</v>
      </c>
      <c r="O20" s="3564">
        <f t="shared" si="4"/>
        <v>255</v>
      </c>
      <c r="P20" s="245">
        <f t="shared" si="3"/>
        <v>0</v>
      </c>
      <c r="Q20" s="245">
        <f t="shared" si="3"/>
        <v>78285</v>
      </c>
      <c r="R20" s="246">
        <f t="shared" si="3"/>
        <v>78285</v>
      </c>
      <c r="T20" s="4891"/>
    </row>
    <row r="21" spans="2:20">
      <c r="B21" s="3571"/>
      <c r="C21" s="3572" t="s">
        <v>141</v>
      </c>
      <c r="D21" s="3575">
        <v>0</v>
      </c>
      <c r="E21" s="3575"/>
      <c r="F21" s="3567">
        <f t="shared" si="5"/>
        <v>0</v>
      </c>
      <c r="H21" s="3535"/>
      <c r="I21" s="4475" t="str">
        <f t="shared" si="1"/>
        <v>Elec - MHDS Direct Install CFL</v>
      </c>
      <c r="J21" s="4476"/>
      <c r="K21" s="4477"/>
      <c r="L21" s="4474">
        <f t="shared" si="2"/>
        <v>23</v>
      </c>
      <c r="M21" s="3193">
        <v>0</v>
      </c>
      <c r="N21" s="4510">
        <v>8443</v>
      </c>
      <c r="O21" s="3564">
        <f t="shared" si="4"/>
        <v>8443</v>
      </c>
      <c r="P21" s="245">
        <f t="shared" si="3"/>
        <v>0</v>
      </c>
      <c r="Q21" s="245">
        <f t="shared" si="3"/>
        <v>194189</v>
      </c>
      <c r="R21" s="246">
        <f t="shared" si="3"/>
        <v>194189</v>
      </c>
      <c r="T21" s="4891"/>
    </row>
    <row r="22" spans="2:20" ht="13.5" thickBot="1">
      <c r="B22" s="3571"/>
      <c r="C22" s="3572" t="s">
        <v>142</v>
      </c>
      <c r="D22" s="3575">
        <v>0</v>
      </c>
      <c r="E22" s="3575"/>
      <c r="F22" s="3567">
        <f t="shared" si="5"/>
        <v>0</v>
      </c>
      <c r="H22" s="3535"/>
      <c r="I22" s="4475" t="str">
        <f t="shared" si="1"/>
        <v>Elec - Furnace Filter</v>
      </c>
      <c r="J22" s="4476"/>
      <c r="K22" s="4477"/>
      <c r="L22" s="4474">
        <f t="shared" si="2"/>
        <v>0</v>
      </c>
      <c r="M22" s="3193">
        <v>0</v>
      </c>
      <c r="N22" s="4510">
        <v>1580</v>
      </c>
      <c r="O22" s="3564">
        <f t="shared" si="4"/>
        <v>1580</v>
      </c>
      <c r="P22" s="245">
        <f t="shared" si="3"/>
        <v>0</v>
      </c>
      <c r="Q22" s="245">
        <f t="shared" si="3"/>
        <v>0</v>
      </c>
      <c r="R22" s="246">
        <f t="shared" si="3"/>
        <v>0</v>
      </c>
      <c r="T22" s="4891"/>
    </row>
    <row r="23" spans="2:20" ht="13.5" thickBot="1">
      <c r="B23" s="235">
        <v>34867</v>
      </c>
      <c r="C23" s="3561" t="s">
        <v>144</v>
      </c>
      <c r="D23" s="3562">
        <f>SUM(D24:D27)</f>
        <v>0</v>
      </c>
      <c r="E23" s="3562">
        <f>SUM(E24:E27)</f>
        <v>68579</v>
      </c>
      <c r="F23" s="3563">
        <f>D23+E23</f>
        <v>68579</v>
      </c>
      <c r="G23" s="3534"/>
      <c r="H23" s="3535"/>
      <c r="I23" s="3568" t="str">
        <f t="shared" si="1"/>
        <v>Measure 11</v>
      </c>
      <c r="J23" s="3569"/>
      <c r="K23" s="3570"/>
      <c r="L23" s="242">
        <f t="shared" si="2"/>
        <v>0</v>
      </c>
      <c r="M23" s="3193">
        <v>0</v>
      </c>
      <c r="N23" s="3184">
        <v>0</v>
      </c>
      <c r="O23" s="3564">
        <f t="shared" si="4"/>
        <v>0</v>
      </c>
      <c r="P23" s="245">
        <f t="shared" si="3"/>
        <v>0</v>
      </c>
      <c r="Q23" s="245">
        <f t="shared" si="3"/>
        <v>0</v>
      </c>
      <c r="R23" s="246">
        <f t="shared" si="3"/>
        <v>0</v>
      </c>
      <c r="T23" s="4891"/>
    </row>
    <row r="24" spans="2:20">
      <c r="B24" s="259"/>
      <c r="C24" s="3566" t="s">
        <v>1434</v>
      </c>
      <c r="D24" s="3567">
        <f>0.63*D13</f>
        <v>0</v>
      </c>
      <c r="E24" s="3567">
        <f>0.707*E13</f>
        <v>42420</v>
      </c>
      <c r="F24" s="3567">
        <f t="shared" si="5"/>
        <v>42420</v>
      </c>
      <c r="H24" s="3535"/>
      <c r="I24" s="3568" t="str">
        <f t="shared" si="1"/>
        <v>Measure 12</v>
      </c>
      <c r="J24" s="3569"/>
      <c r="K24" s="3570"/>
      <c r="L24" s="242">
        <f t="shared" si="2"/>
        <v>0</v>
      </c>
      <c r="M24" s="3193">
        <v>0</v>
      </c>
      <c r="N24" s="3184">
        <v>0</v>
      </c>
      <c r="O24" s="3564">
        <f t="shared" si="4"/>
        <v>0</v>
      </c>
      <c r="P24" s="245">
        <f t="shared" si="3"/>
        <v>0</v>
      </c>
      <c r="Q24" s="245">
        <f t="shared" si="3"/>
        <v>0</v>
      </c>
      <c r="R24" s="246">
        <f t="shared" si="3"/>
        <v>0</v>
      </c>
      <c r="T24" s="4891"/>
    </row>
    <row r="25" spans="2:20">
      <c r="B25" s="3565"/>
      <c r="C25" s="3566" t="s">
        <v>1435</v>
      </c>
      <c r="D25" s="3573">
        <f>0.63*D18</f>
        <v>0</v>
      </c>
      <c r="E25" s="3573">
        <f>0.707*E18</f>
        <v>26159</v>
      </c>
      <c r="F25" s="3567">
        <f t="shared" si="5"/>
        <v>26159</v>
      </c>
      <c r="H25" s="3535"/>
      <c r="I25" s="3568" t="str">
        <f t="shared" si="1"/>
        <v>Measure 13</v>
      </c>
      <c r="J25" s="3569"/>
      <c r="K25" s="3570"/>
      <c r="L25" s="242">
        <f t="shared" si="2"/>
        <v>0</v>
      </c>
      <c r="M25" s="3193">
        <v>0</v>
      </c>
      <c r="N25" s="3184">
        <v>0</v>
      </c>
      <c r="O25" s="3564">
        <f t="shared" si="4"/>
        <v>0</v>
      </c>
      <c r="P25" s="245">
        <f t="shared" si="3"/>
        <v>0</v>
      </c>
      <c r="Q25" s="245">
        <f t="shared" si="3"/>
        <v>0</v>
      </c>
      <c r="R25" s="246">
        <f t="shared" si="3"/>
        <v>0</v>
      </c>
      <c r="T25" s="4891"/>
    </row>
    <row r="26" spans="2:20">
      <c r="B26" s="3571"/>
      <c r="C26" s="3572"/>
      <c r="D26" s="3575"/>
      <c r="E26" s="3575"/>
      <c r="F26" s="3575"/>
      <c r="H26" s="3535"/>
      <c r="I26" s="3568" t="str">
        <f t="shared" si="1"/>
        <v>Measure 14</v>
      </c>
      <c r="J26" s="3569"/>
      <c r="K26" s="3570"/>
      <c r="L26" s="242">
        <f t="shared" si="2"/>
        <v>0</v>
      </c>
      <c r="M26" s="3193">
        <v>0</v>
      </c>
      <c r="N26" s="3184">
        <v>0</v>
      </c>
      <c r="O26" s="3564">
        <f t="shared" si="4"/>
        <v>0</v>
      </c>
      <c r="P26" s="245">
        <f t="shared" si="3"/>
        <v>0</v>
      </c>
      <c r="Q26" s="245">
        <f t="shared" si="3"/>
        <v>0</v>
      </c>
      <c r="R26" s="246">
        <f t="shared" si="3"/>
        <v>0</v>
      </c>
      <c r="T26" s="4891"/>
    </row>
    <row r="27" spans="2:20" ht="13.5" thickBot="1">
      <c r="B27" s="3571"/>
      <c r="C27" s="3572"/>
      <c r="D27" s="3575"/>
      <c r="E27" s="3575"/>
      <c r="F27" s="3575"/>
      <c r="H27" s="3535"/>
      <c r="I27" s="3568" t="str">
        <f t="shared" si="1"/>
        <v>Measure 15</v>
      </c>
      <c r="J27" s="3569"/>
      <c r="K27" s="3570"/>
      <c r="L27" s="242">
        <f t="shared" si="2"/>
        <v>0</v>
      </c>
      <c r="M27" s="3193">
        <v>0</v>
      </c>
      <c r="N27" s="3185">
        <v>0</v>
      </c>
      <c r="O27" s="3564">
        <f t="shared" si="4"/>
        <v>0</v>
      </c>
      <c r="P27" s="245">
        <f t="shared" si="3"/>
        <v>0</v>
      </c>
      <c r="Q27" s="245">
        <f t="shared" si="3"/>
        <v>0</v>
      </c>
      <c r="R27" s="246">
        <f t="shared" si="3"/>
        <v>0</v>
      </c>
      <c r="T27" s="4891"/>
    </row>
    <row r="28" spans="2:20" ht="13.5" thickBot="1">
      <c r="B28" s="235">
        <v>48000</v>
      </c>
      <c r="C28" s="3561" t="s">
        <v>145</v>
      </c>
      <c r="D28" s="3562">
        <f>SUM(D29:D32)</f>
        <v>0</v>
      </c>
      <c r="E28" s="4468">
        <f>SUM(E29:E32)</f>
        <v>20000</v>
      </c>
      <c r="F28" s="3563">
        <f>D28+E28</f>
        <v>20000</v>
      </c>
      <c r="H28" s="3535"/>
      <c r="I28" s="3568" t="str">
        <f t="shared" si="1"/>
        <v>Measure 16</v>
      </c>
      <c r="J28" s="3569"/>
      <c r="K28" s="3570"/>
      <c r="L28" s="242">
        <f t="shared" si="2"/>
        <v>0</v>
      </c>
      <c r="M28" s="4144">
        <v>0</v>
      </c>
      <c r="N28" s="4144">
        <v>0</v>
      </c>
      <c r="O28" s="3564">
        <f t="shared" si="4"/>
        <v>0</v>
      </c>
      <c r="P28" s="245">
        <f t="shared" si="3"/>
        <v>0</v>
      </c>
      <c r="Q28" s="245">
        <f t="shared" si="3"/>
        <v>0</v>
      </c>
      <c r="R28" s="246">
        <f t="shared" si="3"/>
        <v>0</v>
      </c>
      <c r="T28" s="4891"/>
    </row>
    <row r="29" spans="2:20">
      <c r="B29" s="3565"/>
      <c r="C29" s="3566" t="s">
        <v>139</v>
      </c>
      <c r="D29" s="3567">
        <v>0</v>
      </c>
      <c r="E29" s="4447">
        <v>20000</v>
      </c>
      <c r="F29" s="3567">
        <f t="shared" ref="F29:F37" si="6">SUM(D29:E29)</f>
        <v>20000</v>
      </c>
      <c r="H29" s="3535"/>
      <c r="I29" s="3568" t="str">
        <f t="shared" si="1"/>
        <v>Measure 17</v>
      </c>
      <c r="J29" s="3569"/>
      <c r="K29" s="3570"/>
      <c r="L29" s="242">
        <f t="shared" si="2"/>
        <v>0</v>
      </c>
      <c r="M29" s="314">
        <v>0</v>
      </c>
      <c r="N29" s="314">
        <v>0</v>
      </c>
      <c r="O29" s="3564">
        <f t="shared" si="4"/>
        <v>0</v>
      </c>
      <c r="P29" s="245">
        <f t="shared" ref="P29:R44" si="7">M29*$D79</f>
        <v>0</v>
      </c>
      <c r="Q29" s="245">
        <f t="shared" si="7"/>
        <v>0</v>
      </c>
      <c r="R29" s="246">
        <f t="shared" si="7"/>
        <v>0</v>
      </c>
      <c r="T29" s="4891"/>
    </row>
    <row r="30" spans="2:20">
      <c r="B30" s="3571"/>
      <c r="C30" s="3572" t="s">
        <v>140</v>
      </c>
      <c r="D30" s="3573">
        <v>0</v>
      </c>
      <c r="E30" s="3573"/>
      <c r="F30" s="3567">
        <f t="shared" si="6"/>
        <v>0</v>
      </c>
      <c r="H30" s="3535"/>
      <c r="I30" s="3568" t="str">
        <f t="shared" si="1"/>
        <v>Measure 18</v>
      </c>
      <c r="J30" s="3569"/>
      <c r="K30" s="3570"/>
      <c r="L30" s="242">
        <f t="shared" si="2"/>
        <v>0</v>
      </c>
      <c r="M30" s="314">
        <v>0</v>
      </c>
      <c r="N30" s="314">
        <v>0</v>
      </c>
      <c r="O30" s="3564">
        <f t="shared" si="4"/>
        <v>0</v>
      </c>
      <c r="P30" s="245">
        <f t="shared" si="7"/>
        <v>0</v>
      </c>
      <c r="Q30" s="245">
        <f t="shared" si="7"/>
        <v>0</v>
      </c>
      <c r="R30" s="246">
        <f t="shared" si="7"/>
        <v>0</v>
      </c>
      <c r="T30" s="4891"/>
    </row>
    <row r="31" spans="2:20">
      <c r="B31" s="3571"/>
      <c r="C31" s="3572" t="s">
        <v>141</v>
      </c>
      <c r="D31" s="3573">
        <v>0</v>
      </c>
      <c r="E31" s="3573"/>
      <c r="F31" s="3567">
        <f t="shared" si="6"/>
        <v>0</v>
      </c>
      <c r="H31" s="3535"/>
      <c r="I31" s="3568" t="str">
        <f t="shared" si="1"/>
        <v>Measure 19</v>
      </c>
      <c r="J31" s="3569"/>
      <c r="K31" s="3570"/>
      <c r="L31" s="242">
        <f t="shared" si="2"/>
        <v>0</v>
      </c>
      <c r="M31" s="314">
        <v>0</v>
      </c>
      <c r="N31" s="314">
        <v>0</v>
      </c>
      <c r="O31" s="3564">
        <f t="shared" si="4"/>
        <v>0</v>
      </c>
      <c r="P31" s="245">
        <f t="shared" si="7"/>
        <v>0</v>
      </c>
      <c r="Q31" s="245">
        <f t="shared" si="7"/>
        <v>0</v>
      </c>
      <c r="R31" s="246">
        <f t="shared" si="7"/>
        <v>0</v>
      </c>
      <c r="T31" s="4891"/>
    </row>
    <row r="32" spans="2:20" ht="13.5" thickBot="1">
      <c r="B32" s="3571"/>
      <c r="C32" s="3572" t="s">
        <v>142</v>
      </c>
      <c r="D32" s="3573">
        <v>0</v>
      </c>
      <c r="E32" s="3573"/>
      <c r="F32" s="3567">
        <f t="shared" si="6"/>
        <v>0</v>
      </c>
      <c r="H32" s="3535"/>
      <c r="I32" s="3568" t="str">
        <f t="shared" si="1"/>
        <v>Measure 20</v>
      </c>
      <c r="J32" s="3569"/>
      <c r="K32" s="3570"/>
      <c r="L32" s="242">
        <f t="shared" si="2"/>
        <v>0</v>
      </c>
      <c r="M32" s="314">
        <v>0</v>
      </c>
      <c r="N32" s="314">
        <v>0</v>
      </c>
      <c r="O32" s="3564">
        <f t="shared" si="4"/>
        <v>0</v>
      </c>
      <c r="P32" s="245">
        <f t="shared" si="7"/>
        <v>0</v>
      </c>
      <c r="Q32" s="245">
        <f t="shared" si="7"/>
        <v>0</v>
      </c>
      <c r="R32" s="246">
        <f t="shared" si="7"/>
        <v>0</v>
      </c>
      <c r="T32" s="4891"/>
    </row>
    <row r="33" spans="2:20" ht="13.5" thickBot="1">
      <c r="B33" s="235">
        <v>3540</v>
      </c>
      <c r="C33" s="3561" t="s">
        <v>146</v>
      </c>
      <c r="D33" s="3562">
        <f>SUM(D34:D37)</f>
        <v>0</v>
      </c>
      <c r="E33" s="4468">
        <f>SUM(E34:E37)</f>
        <v>402.26</v>
      </c>
      <c r="F33" s="3563">
        <f>D33+E33</f>
        <v>402.26</v>
      </c>
      <c r="H33" s="3535"/>
      <c r="I33" s="3568" t="str">
        <f t="shared" si="1"/>
        <v>Measure 21</v>
      </c>
      <c r="J33" s="3569"/>
      <c r="K33" s="3570"/>
      <c r="L33" s="242">
        <f t="shared" si="2"/>
        <v>0</v>
      </c>
      <c r="M33" s="314">
        <v>0</v>
      </c>
      <c r="N33" s="314">
        <v>0</v>
      </c>
      <c r="O33" s="3564">
        <f t="shared" si="4"/>
        <v>0</v>
      </c>
      <c r="P33" s="245">
        <f t="shared" si="7"/>
        <v>0</v>
      </c>
      <c r="Q33" s="245">
        <f t="shared" si="7"/>
        <v>0</v>
      </c>
      <c r="R33" s="246">
        <f t="shared" si="7"/>
        <v>0</v>
      </c>
      <c r="T33" s="4891"/>
    </row>
    <row r="34" spans="2:20">
      <c r="B34" s="3571"/>
      <c r="C34" s="3572" t="s">
        <v>139</v>
      </c>
      <c r="D34" s="3573">
        <v>0</v>
      </c>
      <c r="E34" s="4449">
        <v>402.26</v>
      </c>
      <c r="F34" s="3567">
        <f t="shared" si="6"/>
        <v>402.26</v>
      </c>
      <c r="H34" s="3535"/>
      <c r="I34" s="3568" t="str">
        <f t="shared" si="1"/>
        <v>Measure 22</v>
      </c>
      <c r="J34" s="3569"/>
      <c r="K34" s="3570"/>
      <c r="L34" s="242">
        <f t="shared" si="2"/>
        <v>0</v>
      </c>
      <c r="M34" s="314">
        <v>0</v>
      </c>
      <c r="N34" s="314">
        <v>0</v>
      </c>
      <c r="O34" s="3564">
        <f t="shared" si="4"/>
        <v>0</v>
      </c>
      <c r="P34" s="245">
        <f t="shared" si="7"/>
        <v>0</v>
      </c>
      <c r="Q34" s="245">
        <f t="shared" si="7"/>
        <v>0</v>
      </c>
      <c r="R34" s="246">
        <f t="shared" si="7"/>
        <v>0</v>
      </c>
      <c r="T34" s="4891"/>
    </row>
    <row r="35" spans="2:20">
      <c r="B35" s="3571"/>
      <c r="C35" s="3572" t="s">
        <v>140</v>
      </c>
      <c r="D35" s="3573">
        <v>0</v>
      </c>
      <c r="E35" s="3573"/>
      <c r="F35" s="3567">
        <f t="shared" si="6"/>
        <v>0</v>
      </c>
      <c r="H35" s="3535"/>
      <c r="I35" s="3568" t="str">
        <f t="shared" si="1"/>
        <v>Measure 23</v>
      </c>
      <c r="J35" s="3569"/>
      <c r="K35" s="3570"/>
      <c r="L35" s="242">
        <f t="shared" si="2"/>
        <v>0</v>
      </c>
      <c r="M35" s="314">
        <v>0</v>
      </c>
      <c r="N35" s="314">
        <v>0</v>
      </c>
      <c r="O35" s="3564">
        <f t="shared" si="4"/>
        <v>0</v>
      </c>
      <c r="P35" s="245">
        <f t="shared" si="7"/>
        <v>0</v>
      </c>
      <c r="Q35" s="245">
        <f t="shared" si="7"/>
        <v>0</v>
      </c>
      <c r="R35" s="246">
        <f t="shared" si="7"/>
        <v>0</v>
      </c>
      <c r="T35" s="4891"/>
    </row>
    <row r="36" spans="2:20">
      <c r="B36" s="3571"/>
      <c r="C36" s="3572" t="s">
        <v>141</v>
      </c>
      <c r="D36" s="3573">
        <v>0</v>
      </c>
      <c r="E36" s="3573"/>
      <c r="F36" s="3567">
        <f t="shared" si="6"/>
        <v>0</v>
      </c>
      <c r="H36" s="3535"/>
      <c r="I36" s="3568" t="str">
        <f t="shared" si="1"/>
        <v>Measure 24</v>
      </c>
      <c r="J36" s="3569"/>
      <c r="K36" s="3570"/>
      <c r="L36" s="242">
        <f t="shared" si="2"/>
        <v>0</v>
      </c>
      <c r="M36" s="314">
        <v>0</v>
      </c>
      <c r="N36" s="314">
        <v>0</v>
      </c>
      <c r="O36" s="3564">
        <f t="shared" si="4"/>
        <v>0</v>
      </c>
      <c r="P36" s="245">
        <f t="shared" si="7"/>
        <v>0</v>
      </c>
      <c r="Q36" s="245">
        <f t="shared" si="7"/>
        <v>0</v>
      </c>
      <c r="R36" s="246">
        <f t="shared" si="7"/>
        <v>0</v>
      </c>
      <c r="T36" s="4891"/>
    </row>
    <row r="37" spans="2:20" ht="13.5" thickBot="1">
      <c r="B37" s="3571"/>
      <c r="C37" s="3572" t="s">
        <v>142</v>
      </c>
      <c r="D37" s="3573">
        <v>0</v>
      </c>
      <c r="E37" s="3573"/>
      <c r="F37" s="3567">
        <f t="shared" si="6"/>
        <v>0</v>
      </c>
      <c r="H37" s="3535"/>
      <c r="I37" s="3568" t="str">
        <f t="shared" si="1"/>
        <v>Measure 25</v>
      </c>
      <c r="J37" s="3569"/>
      <c r="K37" s="3570"/>
      <c r="L37" s="242">
        <f t="shared" si="2"/>
        <v>0</v>
      </c>
      <c r="M37" s="314">
        <v>0</v>
      </c>
      <c r="N37" s="314">
        <v>0</v>
      </c>
      <c r="O37" s="3564">
        <f t="shared" si="4"/>
        <v>0</v>
      </c>
      <c r="P37" s="245">
        <f t="shared" si="7"/>
        <v>0</v>
      </c>
      <c r="Q37" s="245">
        <f t="shared" si="7"/>
        <v>0</v>
      </c>
      <c r="R37" s="246">
        <f>O37*$D87</f>
        <v>0</v>
      </c>
      <c r="T37" s="4891"/>
    </row>
    <row r="38" spans="2:20" ht="13.5" thickBot="1">
      <c r="B38" s="235">
        <v>444579</v>
      </c>
      <c r="C38" s="3561" t="s">
        <v>147</v>
      </c>
      <c r="D38" s="3562">
        <f>SUM(D39:D42)</f>
        <v>0</v>
      </c>
      <c r="E38" s="4468">
        <f>SUM(E39:E42)</f>
        <v>126.99</v>
      </c>
      <c r="F38" s="3563">
        <f>D38+E38</f>
        <v>126.99</v>
      </c>
      <c r="H38" s="3535"/>
      <c r="I38" s="3568" t="str">
        <f t="shared" si="1"/>
        <v>Measure 26</v>
      </c>
      <c r="J38" s="3569"/>
      <c r="K38" s="3576"/>
      <c r="L38" s="242">
        <f t="shared" si="2"/>
        <v>0</v>
      </c>
      <c r="M38" s="314">
        <v>0</v>
      </c>
      <c r="N38" s="314">
        <v>0</v>
      </c>
      <c r="O38" s="3564">
        <f t="shared" si="4"/>
        <v>0</v>
      </c>
      <c r="P38" s="245">
        <f t="shared" si="7"/>
        <v>0</v>
      </c>
      <c r="Q38" s="245">
        <f t="shared" si="7"/>
        <v>0</v>
      </c>
      <c r="R38" s="246">
        <f t="shared" si="7"/>
        <v>0</v>
      </c>
      <c r="T38" s="4891"/>
    </row>
    <row r="39" spans="2:20">
      <c r="B39" s="3571"/>
      <c r="C39" s="3572" t="s">
        <v>139</v>
      </c>
      <c r="D39" s="3603">
        <v>0</v>
      </c>
      <c r="E39" s="4478">
        <v>126.99</v>
      </c>
      <c r="F39" s="3567">
        <f t="shared" ref="F39:F52" si="8">SUM(D39:E39)</f>
        <v>126.99</v>
      </c>
      <c r="H39" s="3535"/>
      <c r="I39" s="3568" t="str">
        <f t="shared" si="1"/>
        <v>Measure 27</v>
      </c>
      <c r="J39" s="3569"/>
      <c r="K39" s="3576"/>
      <c r="L39" s="242">
        <f t="shared" si="2"/>
        <v>0</v>
      </c>
      <c r="M39" s="314">
        <v>0</v>
      </c>
      <c r="N39" s="314">
        <v>0</v>
      </c>
      <c r="O39" s="3564">
        <f t="shared" si="4"/>
        <v>0</v>
      </c>
      <c r="P39" s="245">
        <f t="shared" si="7"/>
        <v>0</v>
      </c>
      <c r="Q39" s="245">
        <f t="shared" si="7"/>
        <v>0</v>
      </c>
      <c r="R39" s="246">
        <f t="shared" si="7"/>
        <v>0</v>
      </c>
      <c r="T39" s="4891"/>
    </row>
    <row r="40" spans="2:20">
      <c r="B40" s="3571"/>
      <c r="C40" s="3572" t="s">
        <v>140</v>
      </c>
      <c r="D40" s="3603">
        <v>0</v>
      </c>
      <c r="E40" s="3603"/>
      <c r="F40" s="3567">
        <f t="shared" si="8"/>
        <v>0</v>
      </c>
      <c r="H40" s="3535"/>
      <c r="I40" s="3568" t="str">
        <f t="shared" si="1"/>
        <v>Measure 28</v>
      </c>
      <c r="J40" s="3569"/>
      <c r="K40" s="3576"/>
      <c r="L40" s="242">
        <f t="shared" si="2"/>
        <v>0</v>
      </c>
      <c r="M40" s="243">
        <v>0</v>
      </c>
      <c r="N40" s="243">
        <v>0</v>
      </c>
      <c r="O40" s="3564">
        <f t="shared" si="4"/>
        <v>0</v>
      </c>
      <c r="P40" s="245">
        <f t="shared" si="7"/>
        <v>0</v>
      </c>
      <c r="Q40" s="245">
        <f t="shared" si="7"/>
        <v>0</v>
      </c>
      <c r="R40" s="246">
        <f t="shared" si="7"/>
        <v>0</v>
      </c>
      <c r="T40" s="4891"/>
    </row>
    <row r="41" spans="2:20">
      <c r="B41" s="3571"/>
      <c r="C41" s="3572" t="s">
        <v>141</v>
      </c>
      <c r="D41" s="3573">
        <v>0</v>
      </c>
      <c r="E41" s="3573"/>
      <c r="F41" s="3567">
        <f t="shared" si="8"/>
        <v>0</v>
      </c>
      <c r="H41" s="3535"/>
      <c r="I41" s="3568" t="str">
        <f t="shared" si="1"/>
        <v>Measure 29</v>
      </c>
      <c r="J41" s="3569"/>
      <c r="K41" s="3576"/>
      <c r="L41" s="242">
        <f t="shared" si="2"/>
        <v>0</v>
      </c>
      <c r="M41" s="243">
        <v>0</v>
      </c>
      <c r="N41" s="243">
        <v>0</v>
      </c>
      <c r="O41" s="3564">
        <f t="shared" si="4"/>
        <v>0</v>
      </c>
      <c r="P41" s="245">
        <f t="shared" si="7"/>
        <v>0</v>
      </c>
      <c r="Q41" s="245">
        <f t="shared" si="7"/>
        <v>0</v>
      </c>
      <c r="R41" s="246">
        <f t="shared" si="7"/>
        <v>0</v>
      </c>
      <c r="T41" s="4891"/>
    </row>
    <row r="42" spans="2:20" ht="13.5" thickBot="1">
      <c r="B42" s="3571"/>
      <c r="C42" s="3572" t="s">
        <v>142</v>
      </c>
      <c r="D42" s="3573">
        <v>0</v>
      </c>
      <c r="E42" s="3573"/>
      <c r="F42" s="3567">
        <f t="shared" si="8"/>
        <v>0</v>
      </c>
      <c r="H42" s="3535"/>
      <c r="I42" s="3568" t="str">
        <f t="shared" si="1"/>
        <v>Measure 30</v>
      </c>
      <c r="J42" s="3569"/>
      <c r="K42" s="3576"/>
      <c r="L42" s="242">
        <f t="shared" si="2"/>
        <v>0</v>
      </c>
      <c r="M42" s="3574">
        <v>0</v>
      </c>
      <c r="N42" s="3574">
        <v>0</v>
      </c>
      <c r="O42" s="3564">
        <f t="shared" si="4"/>
        <v>0</v>
      </c>
      <c r="P42" s="245">
        <f t="shared" si="7"/>
        <v>0</v>
      </c>
      <c r="Q42" s="245">
        <f t="shared" si="7"/>
        <v>0</v>
      </c>
      <c r="R42" s="246">
        <f t="shared" si="7"/>
        <v>0</v>
      </c>
      <c r="T42" s="4891"/>
    </row>
    <row r="43" spans="2:20" ht="13.5" thickBot="1">
      <c r="B43" s="235">
        <v>2880</v>
      </c>
      <c r="C43" s="3561" t="s">
        <v>148</v>
      </c>
      <c r="D43" s="3562">
        <f>SUM(D44:D47)</f>
        <v>0</v>
      </c>
      <c r="E43" s="4468">
        <f>SUM(E44:E47)</f>
        <v>507.96</v>
      </c>
      <c r="F43" s="3563">
        <f>D43+E43</f>
        <v>507.96</v>
      </c>
      <c r="H43" s="3535"/>
      <c r="I43" s="3568" t="str">
        <f t="shared" si="1"/>
        <v>Measure 31</v>
      </c>
      <c r="J43" s="3569"/>
      <c r="K43" s="3576"/>
      <c r="L43" s="242">
        <f t="shared" si="2"/>
        <v>0</v>
      </c>
      <c r="M43" s="3574">
        <v>0</v>
      </c>
      <c r="N43" s="3574">
        <v>0</v>
      </c>
      <c r="O43" s="3564">
        <f t="shared" si="4"/>
        <v>0</v>
      </c>
      <c r="P43" s="245">
        <f t="shared" si="7"/>
        <v>0</v>
      </c>
      <c r="Q43" s="245">
        <f t="shared" si="7"/>
        <v>0</v>
      </c>
      <c r="R43" s="246">
        <f t="shared" si="7"/>
        <v>0</v>
      </c>
      <c r="T43" s="4891"/>
    </row>
    <row r="44" spans="2:20">
      <c r="B44" s="3571"/>
      <c r="C44" s="3572" t="s">
        <v>139</v>
      </c>
      <c r="D44" s="3573">
        <v>0</v>
      </c>
      <c r="E44" s="4449">
        <v>507.96</v>
      </c>
      <c r="F44" s="3567">
        <f t="shared" si="8"/>
        <v>507.96</v>
      </c>
      <c r="H44" s="3535"/>
      <c r="I44" s="3568" t="str">
        <f t="shared" si="1"/>
        <v>Measure 32</v>
      </c>
      <c r="J44" s="3569"/>
      <c r="K44" s="3576"/>
      <c r="L44" s="242">
        <f t="shared" si="2"/>
        <v>0</v>
      </c>
      <c r="M44" s="3574">
        <v>0</v>
      </c>
      <c r="N44" s="3574">
        <v>0</v>
      </c>
      <c r="O44" s="3564">
        <f t="shared" si="4"/>
        <v>0</v>
      </c>
      <c r="P44" s="245">
        <f t="shared" si="7"/>
        <v>0</v>
      </c>
      <c r="Q44" s="245">
        <f t="shared" si="7"/>
        <v>0</v>
      </c>
      <c r="R44" s="246">
        <f t="shared" si="7"/>
        <v>0</v>
      </c>
      <c r="T44" s="4891"/>
    </row>
    <row r="45" spans="2:20">
      <c r="B45" s="3571"/>
      <c r="C45" s="3572" t="s">
        <v>140</v>
      </c>
      <c r="D45" s="3573">
        <v>0</v>
      </c>
      <c r="E45" s="3573"/>
      <c r="F45" s="3567">
        <f t="shared" si="8"/>
        <v>0</v>
      </c>
      <c r="H45" s="3535"/>
      <c r="I45" s="3568" t="str">
        <f t="shared" si="1"/>
        <v>Measure 33</v>
      </c>
      <c r="J45" s="3569"/>
      <c r="K45" s="3576"/>
      <c r="L45" s="242">
        <f t="shared" si="2"/>
        <v>0</v>
      </c>
      <c r="M45" s="3574">
        <v>0</v>
      </c>
      <c r="N45" s="3574">
        <v>0</v>
      </c>
      <c r="O45" s="3564">
        <f t="shared" si="4"/>
        <v>0</v>
      </c>
      <c r="P45" s="245">
        <f t="shared" ref="P45:R54" si="9">M45*$D95</f>
        <v>0</v>
      </c>
      <c r="Q45" s="245">
        <f t="shared" si="9"/>
        <v>0</v>
      </c>
      <c r="R45" s="246">
        <f t="shared" si="9"/>
        <v>0</v>
      </c>
      <c r="T45" s="4891"/>
    </row>
    <row r="46" spans="2:20">
      <c r="B46" s="3571"/>
      <c r="C46" s="3572" t="s">
        <v>141</v>
      </c>
      <c r="D46" s="3573">
        <v>0</v>
      </c>
      <c r="E46" s="3573"/>
      <c r="F46" s="3567">
        <f t="shared" si="8"/>
        <v>0</v>
      </c>
      <c r="H46" s="3535"/>
      <c r="I46" s="3568" t="str">
        <f t="shared" si="1"/>
        <v>Measure 34</v>
      </c>
      <c r="J46" s="3569"/>
      <c r="K46" s="3576"/>
      <c r="L46" s="242">
        <f t="shared" si="2"/>
        <v>0</v>
      </c>
      <c r="M46" s="3574">
        <v>0</v>
      </c>
      <c r="N46" s="3574">
        <v>0</v>
      </c>
      <c r="O46" s="3564">
        <f t="shared" si="4"/>
        <v>0</v>
      </c>
      <c r="P46" s="245">
        <f t="shared" si="9"/>
        <v>0</v>
      </c>
      <c r="Q46" s="245">
        <f t="shared" si="9"/>
        <v>0</v>
      </c>
      <c r="R46" s="246">
        <f t="shared" si="9"/>
        <v>0</v>
      </c>
      <c r="T46" s="4891"/>
    </row>
    <row r="47" spans="2:20" ht="13.5" thickBot="1">
      <c r="B47" s="3571"/>
      <c r="C47" s="3572" t="s">
        <v>142</v>
      </c>
      <c r="D47" s="3573">
        <v>0</v>
      </c>
      <c r="E47" s="3573"/>
      <c r="F47" s="3567">
        <f t="shared" si="8"/>
        <v>0</v>
      </c>
      <c r="H47" s="3535"/>
      <c r="I47" s="3568" t="str">
        <f t="shared" si="1"/>
        <v>Measure 35</v>
      </c>
      <c r="J47" s="3569"/>
      <c r="K47" s="3576"/>
      <c r="L47" s="242">
        <f t="shared" si="2"/>
        <v>0</v>
      </c>
      <c r="M47" s="3574">
        <v>0</v>
      </c>
      <c r="N47" s="3574">
        <v>0</v>
      </c>
      <c r="O47" s="3564">
        <f t="shared" si="4"/>
        <v>0</v>
      </c>
      <c r="P47" s="245">
        <f t="shared" si="9"/>
        <v>0</v>
      </c>
      <c r="Q47" s="245">
        <f t="shared" si="9"/>
        <v>0</v>
      </c>
      <c r="R47" s="246">
        <f t="shared" si="9"/>
        <v>0</v>
      </c>
      <c r="T47" s="4891"/>
    </row>
    <row r="48" spans="2:20" ht="13.5" thickBot="1">
      <c r="B48" s="235">
        <v>127800</v>
      </c>
      <c r="C48" s="3561" t="s">
        <v>149</v>
      </c>
      <c r="D48" s="3562">
        <f>SUM(D49:D52)</f>
        <v>0</v>
      </c>
      <c r="E48" s="4468">
        <f>SUM(E49:E52)</f>
        <v>590.71</v>
      </c>
      <c r="F48" s="3563">
        <f>D48+E48</f>
        <v>590.71</v>
      </c>
      <c r="H48" s="3535"/>
      <c r="I48" s="3568" t="str">
        <f t="shared" si="1"/>
        <v>Measure 36</v>
      </c>
      <c r="J48" s="3569"/>
      <c r="K48" s="3576"/>
      <c r="L48" s="242">
        <f t="shared" si="2"/>
        <v>0</v>
      </c>
      <c r="M48" s="3574">
        <v>0</v>
      </c>
      <c r="N48" s="3574">
        <v>0</v>
      </c>
      <c r="O48" s="3564">
        <f t="shared" si="4"/>
        <v>0</v>
      </c>
      <c r="P48" s="245">
        <f t="shared" si="9"/>
        <v>0</v>
      </c>
      <c r="Q48" s="245">
        <f t="shared" si="9"/>
        <v>0</v>
      </c>
      <c r="R48" s="246">
        <f t="shared" si="9"/>
        <v>0</v>
      </c>
      <c r="T48" s="4891"/>
    </row>
    <row r="49" spans="2:25">
      <c r="B49" s="3571"/>
      <c r="C49" s="3572" t="s">
        <v>139</v>
      </c>
      <c r="D49" s="3573">
        <v>0</v>
      </c>
      <c r="E49" s="4449">
        <v>590.71</v>
      </c>
      <c r="F49" s="3567">
        <f t="shared" si="8"/>
        <v>590.71</v>
      </c>
      <c r="H49" s="3535"/>
      <c r="I49" s="3568" t="str">
        <f t="shared" si="1"/>
        <v>Measure 37</v>
      </c>
      <c r="J49" s="3569"/>
      <c r="K49" s="3576"/>
      <c r="L49" s="242">
        <f t="shared" si="2"/>
        <v>0</v>
      </c>
      <c r="M49" s="3574">
        <v>0</v>
      </c>
      <c r="N49" s="3574">
        <v>0</v>
      </c>
      <c r="O49" s="3564">
        <f t="shared" si="4"/>
        <v>0</v>
      </c>
      <c r="P49" s="245">
        <f t="shared" si="9"/>
        <v>0</v>
      </c>
      <c r="Q49" s="245">
        <f t="shared" si="9"/>
        <v>0</v>
      </c>
      <c r="R49" s="246">
        <f t="shared" si="9"/>
        <v>0</v>
      </c>
      <c r="T49" s="4891"/>
    </row>
    <row r="50" spans="2:25">
      <c r="B50" s="3571"/>
      <c r="C50" s="3572" t="s">
        <v>140</v>
      </c>
      <c r="D50" s="3573">
        <v>0</v>
      </c>
      <c r="E50" s="3573"/>
      <c r="F50" s="3567">
        <f t="shared" si="8"/>
        <v>0</v>
      </c>
      <c r="I50" s="3568" t="str">
        <f t="shared" si="1"/>
        <v>Measure 38</v>
      </c>
      <c r="J50" s="3569"/>
      <c r="K50" s="3570"/>
      <c r="L50" s="242">
        <f t="shared" si="2"/>
        <v>0</v>
      </c>
      <c r="M50" s="3574">
        <v>0</v>
      </c>
      <c r="N50" s="3574">
        <v>0</v>
      </c>
      <c r="O50" s="3564">
        <f t="shared" si="4"/>
        <v>0</v>
      </c>
      <c r="P50" s="245">
        <f t="shared" si="9"/>
        <v>0</v>
      </c>
      <c r="Q50" s="245">
        <f t="shared" si="9"/>
        <v>0</v>
      </c>
      <c r="R50" s="246">
        <f t="shared" si="9"/>
        <v>0</v>
      </c>
      <c r="T50" s="4891"/>
    </row>
    <row r="51" spans="2:25">
      <c r="B51" s="3571"/>
      <c r="C51" s="3572" t="s">
        <v>141</v>
      </c>
      <c r="D51" s="3573">
        <v>0</v>
      </c>
      <c r="E51" s="3573"/>
      <c r="F51" s="3567">
        <f t="shared" si="8"/>
        <v>0</v>
      </c>
      <c r="I51" s="3568" t="str">
        <f t="shared" si="1"/>
        <v>Measure 39</v>
      </c>
      <c r="J51" s="3569"/>
      <c r="K51" s="3570"/>
      <c r="L51" s="242">
        <f t="shared" si="2"/>
        <v>0</v>
      </c>
      <c r="M51" s="3574">
        <v>0</v>
      </c>
      <c r="N51" s="3574">
        <v>0</v>
      </c>
      <c r="O51" s="3564">
        <f t="shared" si="4"/>
        <v>0</v>
      </c>
      <c r="P51" s="245">
        <f t="shared" si="9"/>
        <v>0</v>
      </c>
      <c r="Q51" s="245">
        <f t="shared" si="9"/>
        <v>0</v>
      </c>
      <c r="R51" s="246">
        <f t="shared" si="9"/>
        <v>0</v>
      </c>
      <c r="T51" s="4891"/>
    </row>
    <row r="52" spans="2:25" ht="13.5" thickBot="1">
      <c r="B52" s="3571"/>
      <c r="C52" s="3572" t="s">
        <v>142</v>
      </c>
      <c r="D52" s="3573">
        <v>0</v>
      </c>
      <c r="E52" s="3573"/>
      <c r="F52" s="3567">
        <f t="shared" si="8"/>
        <v>0</v>
      </c>
      <c r="I52" s="3568" t="str">
        <f t="shared" si="1"/>
        <v>Measure 40</v>
      </c>
      <c r="J52" s="3569"/>
      <c r="K52" s="3570"/>
      <c r="L52" s="242">
        <f t="shared" si="2"/>
        <v>0</v>
      </c>
      <c r="M52" s="3574">
        <v>0</v>
      </c>
      <c r="N52" s="3574">
        <v>0</v>
      </c>
      <c r="O52" s="3564">
        <f t="shared" si="4"/>
        <v>0</v>
      </c>
      <c r="P52" s="245">
        <f t="shared" si="9"/>
        <v>0</v>
      </c>
      <c r="Q52" s="245">
        <f t="shared" si="9"/>
        <v>0</v>
      </c>
      <c r="R52" s="246">
        <f t="shared" si="9"/>
        <v>0</v>
      </c>
      <c r="T52" s="4891"/>
    </row>
    <row r="53" spans="2:25" ht="13.5" thickBot="1">
      <c r="B53" s="235">
        <v>451494</v>
      </c>
      <c r="C53" s="3561" t="s">
        <v>150</v>
      </c>
      <c r="D53" s="3562">
        <f>T105</f>
        <v>0</v>
      </c>
      <c r="E53" s="3562">
        <f>U105</f>
        <v>369675.7</v>
      </c>
      <c r="F53" s="3563">
        <f>V105</f>
        <v>369675.7</v>
      </c>
      <c r="G53" s="3577" t="s">
        <v>151</v>
      </c>
      <c r="I53" s="3568" t="str">
        <f t="shared" si="1"/>
        <v>Measure 41</v>
      </c>
      <c r="J53" s="3569"/>
      <c r="K53" s="3570"/>
      <c r="L53" s="242">
        <f t="shared" si="2"/>
        <v>0</v>
      </c>
      <c r="M53" s="3574">
        <v>0</v>
      </c>
      <c r="N53" s="3574">
        <v>0</v>
      </c>
      <c r="O53" s="3564">
        <f t="shared" si="4"/>
        <v>0</v>
      </c>
      <c r="P53" s="245">
        <f t="shared" si="9"/>
        <v>0</v>
      </c>
      <c r="Q53" s="245">
        <f t="shared" si="9"/>
        <v>0</v>
      </c>
      <c r="R53" s="246">
        <f t="shared" si="9"/>
        <v>0</v>
      </c>
      <c r="T53" s="4891"/>
    </row>
    <row r="54" spans="2:25" ht="13.5" thickBot="1">
      <c r="B54" s="3578">
        <v>0</v>
      </c>
      <c r="C54" s="3561" t="s">
        <v>152</v>
      </c>
      <c r="D54" s="3562">
        <v>0</v>
      </c>
      <c r="E54" s="3562">
        <v>0</v>
      </c>
      <c r="F54" s="3563">
        <v>0</v>
      </c>
      <c r="I54" s="3568" t="str">
        <f t="shared" si="1"/>
        <v>Measure 42</v>
      </c>
      <c r="J54" s="3569"/>
      <c r="K54" s="3570"/>
      <c r="L54" s="242">
        <f t="shared" si="2"/>
        <v>0</v>
      </c>
      <c r="M54" s="3574">
        <v>0</v>
      </c>
      <c r="N54" s="3574">
        <v>0</v>
      </c>
      <c r="O54" s="3564">
        <f t="shared" si="4"/>
        <v>0</v>
      </c>
      <c r="P54" s="245">
        <f t="shared" si="9"/>
        <v>0</v>
      </c>
      <c r="Q54" s="245">
        <f t="shared" si="9"/>
        <v>0</v>
      </c>
      <c r="R54" s="246">
        <f t="shared" si="9"/>
        <v>0</v>
      </c>
      <c r="T54" s="4891"/>
    </row>
    <row r="55" spans="2:25">
      <c r="B55" s="3579">
        <f>B13+B18+B23+B28+B33+B38+B43+B48+B53+B54</f>
        <v>1168504</v>
      </c>
      <c r="C55" s="3580" t="s">
        <v>153</v>
      </c>
      <c r="D55" s="3579">
        <f>D13+D18+D23+D28+D33+D38+D43+D48+D53+D54</f>
        <v>0</v>
      </c>
      <c r="E55" s="3579">
        <f>E13+E18+E23+E28+E33+E38+E43+E48+E53+E54</f>
        <v>556882.62</v>
      </c>
      <c r="F55" s="3579">
        <f>F13+F18+F23+F28+F33+F38+F43+F48+F53+F54</f>
        <v>556882.62</v>
      </c>
      <c r="P55" s="265">
        <f>SUM(P13:P54)</f>
        <v>0</v>
      </c>
      <c r="Q55" s="265">
        <f>SUM(Q13:Q54)</f>
        <v>1046040</v>
      </c>
      <c r="R55" s="265">
        <f>SUM(R13:R54)</f>
        <v>1046040</v>
      </c>
      <c r="T55" s="4892"/>
    </row>
    <row r="56" spans="2:25">
      <c r="C56" s="3580"/>
      <c r="D56" s="3579"/>
      <c r="E56" s="3579"/>
      <c r="F56" s="3579"/>
      <c r="T56" s="3535"/>
    </row>
    <row r="57" spans="2:25">
      <c r="C57" s="3580" t="s">
        <v>154</v>
      </c>
      <c r="D57" s="3579">
        <f>D55-D53</f>
        <v>0</v>
      </c>
      <c r="E57" s="3579">
        <f>E55-E53</f>
        <v>187206.91999999998</v>
      </c>
      <c r="F57" s="3579">
        <f>F55-F53</f>
        <v>187206.91999999998</v>
      </c>
    </row>
    <row r="58" spans="2:25">
      <c r="C58" s="3580" t="s">
        <v>155</v>
      </c>
      <c r="D58" s="3581">
        <f>D53</f>
        <v>0</v>
      </c>
      <c r="E58" s="3581">
        <f>E53</f>
        <v>369675.7</v>
      </c>
      <c r="F58" s="3581">
        <f>F53</f>
        <v>369675.7</v>
      </c>
      <c r="G58" s="3634">
        <f>F58/(F57+F58)</f>
        <v>0.66383055732642549</v>
      </c>
      <c r="H58" s="3582" t="s">
        <v>156</v>
      </c>
    </row>
    <row r="59" spans="2:25" ht="13.5" thickBot="1"/>
    <row r="60" spans="2:25" ht="16.5" thickBot="1">
      <c r="B60" s="3583" t="s">
        <v>157</v>
      </c>
      <c r="C60" s="3584"/>
      <c r="D60" s="5130" t="s">
        <v>158</v>
      </c>
      <c r="E60" s="5131"/>
      <c r="F60" s="5131"/>
      <c r="G60" s="5131"/>
      <c r="H60" s="5131"/>
      <c r="K60" s="3585"/>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3586" t="s">
        <v>162</v>
      </c>
      <c r="C62" s="3587" t="s">
        <v>129</v>
      </c>
      <c r="D62" s="3587" t="s">
        <v>130</v>
      </c>
      <c r="E62" s="3587" t="s">
        <v>163</v>
      </c>
      <c r="F62" s="3587" t="s">
        <v>164</v>
      </c>
      <c r="G62" s="3587" t="s">
        <v>165</v>
      </c>
      <c r="H62" s="3587" t="s">
        <v>166</v>
      </c>
      <c r="I62" s="3587" t="s">
        <v>167</v>
      </c>
      <c r="J62" s="3587" t="s">
        <v>168</v>
      </c>
      <c r="K62" s="3588" t="s">
        <v>169</v>
      </c>
      <c r="L62" s="4441" t="s">
        <v>1211</v>
      </c>
      <c r="M62" s="3589" t="s">
        <v>170</v>
      </c>
      <c r="N62" s="3590" t="s">
        <v>171</v>
      </c>
      <c r="O62" s="3590" t="s">
        <v>172</v>
      </c>
      <c r="P62" s="3590" t="s">
        <v>173</v>
      </c>
      <c r="Q62" s="3591" t="s">
        <v>174</v>
      </c>
      <c r="R62" s="3591" t="s">
        <v>175</v>
      </c>
      <c r="S62" s="3591" t="s">
        <v>176</v>
      </c>
      <c r="T62" s="3542" t="s">
        <v>177</v>
      </c>
      <c r="U62" s="3542" t="s">
        <v>178</v>
      </c>
      <c r="V62" s="3543" t="s">
        <v>179</v>
      </c>
      <c r="W62" s="3542" t="s">
        <v>115</v>
      </c>
      <c r="X62" s="3542" t="s">
        <v>12</v>
      </c>
      <c r="Y62" s="3543" t="s">
        <v>116</v>
      </c>
    </row>
    <row r="63" spans="2:25">
      <c r="B63" s="243"/>
      <c r="C63" s="4469" t="s">
        <v>1244</v>
      </c>
      <c r="D63" s="4469">
        <v>600</v>
      </c>
      <c r="E63" s="3263" t="s">
        <v>181</v>
      </c>
      <c r="F63" s="3263" t="s">
        <v>186</v>
      </c>
      <c r="G63" s="4483">
        <v>250</v>
      </c>
      <c r="H63" s="4483">
        <v>250</v>
      </c>
      <c r="I63" s="4512">
        <v>0.1</v>
      </c>
      <c r="J63" s="3193">
        <v>20</v>
      </c>
      <c r="K63" s="3193" t="s">
        <v>260</v>
      </c>
      <c r="L63" s="3179"/>
      <c r="M63" s="278">
        <f t="shared" ref="M63:M104" si="10">Q63/O63</f>
        <v>3.2041475813847473</v>
      </c>
      <c r="N63" s="278">
        <f t="shared" ref="N63:N105" si="11">((L63/S63)+R63)/P63</f>
        <v>3.524562339523222</v>
      </c>
      <c r="O63" s="3548">
        <f t="shared" ref="O63:O104" si="12">(($I63*$F$57)+$V63)/$S63</f>
        <v>51314.238667900092</v>
      </c>
      <c r="P63" s="3548">
        <f t="shared" ref="P63:P104" si="13">(($I63*$F$57)+($G63*$O13))/$S63</f>
        <v>51314.238667900092</v>
      </c>
      <c r="Q63" s="3548">
        <v>164418.39371835176</v>
      </c>
      <c r="R63" s="3548">
        <v>180860.23309018693</v>
      </c>
      <c r="S63" s="4153">
        <v>1.081</v>
      </c>
      <c r="T63" s="4150">
        <v>0</v>
      </c>
      <c r="U63" s="4150">
        <f t="shared" ref="U63:V104" si="14">N13*$H63</f>
        <v>36750</v>
      </c>
      <c r="V63" s="4150">
        <f t="shared" si="14"/>
        <v>36750</v>
      </c>
      <c r="W63" s="3635">
        <f t="shared" ref="W63:W81" si="15">V63/(V63+(I63*F$57))</f>
        <v>0.66251201625535883</v>
      </c>
      <c r="X63" s="3635">
        <f t="shared" ref="X63:X81" si="16">(I63*((F$18*1.63)+F$28))/(V63+(I63*F$57))</f>
        <v>0.14477915653188536</v>
      </c>
      <c r="Y63" s="3635">
        <f t="shared" ref="Y63:Y81" si="17">(I63*F$38)/(V63+(I63*F$57))</f>
        <v>2.2893170324970888E-4</v>
      </c>
    </row>
    <row r="64" spans="2:25">
      <c r="B64" s="323"/>
      <c r="C64" s="4469" t="s">
        <v>1245</v>
      </c>
      <c r="D64" s="4469">
        <v>800</v>
      </c>
      <c r="E64" s="3263" t="s">
        <v>181</v>
      </c>
      <c r="F64" s="3263" t="s">
        <v>186</v>
      </c>
      <c r="G64" s="4483">
        <v>350</v>
      </c>
      <c r="H64" s="4483">
        <v>350</v>
      </c>
      <c r="I64" s="4512">
        <v>0.13</v>
      </c>
      <c r="J64" s="3193">
        <v>20</v>
      </c>
      <c r="K64" s="3193" t="s">
        <v>260</v>
      </c>
      <c r="L64" s="3179"/>
      <c r="M64" s="278">
        <f t="shared" si="10"/>
        <v>3.2586109470520794</v>
      </c>
      <c r="N64" s="278">
        <f t="shared" si="11"/>
        <v>3.5844720417572873</v>
      </c>
      <c r="O64" s="3548">
        <f t="shared" si="12"/>
        <v>76907.400185013888</v>
      </c>
      <c r="P64" s="3548">
        <f t="shared" si="13"/>
        <v>76907.400185013888</v>
      </c>
      <c r="Q64" s="3548">
        <v>250611.29615220136</v>
      </c>
      <c r="R64" s="3548">
        <v>275672.42576742149</v>
      </c>
      <c r="S64" s="4153">
        <v>1.081</v>
      </c>
      <c r="T64" s="4150">
        <v>0</v>
      </c>
      <c r="U64" s="4150">
        <f t="shared" si="14"/>
        <v>58800</v>
      </c>
      <c r="V64" s="4150">
        <f t="shared" si="14"/>
        <v>58800</v>
      </c>
      <c r="W64" s="3635">
        <f t="shared" si="15"/>
        <v>0.70726717357643676</v>
      </c>
      <c r="X64" s="3635">
        <f t="shared" si="16"/>
        <v>0.12557961687568153</v>
      </c>
      <c r="Y64" s="3635">
        <f t="shared" si="17"/>
        <v>1.9857247599355991E-4</v>
      </c>
    </row>
    <row r="65" spans="2:25">
      <c r="B65" s="323"/>
      <c r="C65" s="4469" t="s">
        <v>1246</v>
      </c>
      <c r="D65" s="4469">
        <v>1000</v>
      </c>
      <c r="E65" s="3263" t="s">
        <v>181</v>
      </c>
      <c r="F65" s="3263" t="s">
        <v>186</v>
      </c>
      <c r="G65" s="4483">
        <v>390</v>
      </c>
      <c r="H65" s="4483">
        <v>390</v>
      </c>
      <c r="I65" s="4512">
        <v>7.0000000000000007E-2</v>
      </c>
      <c r="J65" s="3193">
        <v>20</v>
      </c>
      <c r="K65" s="3193" t="s">
        <v>260</v>
      </c>
      <c r="L65" s="3179"/>
      <c r="M65" s="278">
        <f t="shared" si="10"/>
        <v>3.4274676825424764</v>
      </c>
      <c r="N65" s="278">
        <f t="shared" si="11"/>
        <v>3.7702144507967241</v>
      </c>
      <c r="O65" s="3548">
        <f t="shared" si="12"/>
        <v>35573.066049953748</v>
      </c>
      <c r="P65" s="3548">
        <f t="shared" si="13"/>
        <v>35573.066049953748</v>
      </c>
      <c r="Q65" s="3548">
        <v>121925.53425516542</v>
      </c>
      <c r="R65" s="3548">
        <v>134118.08768068196</v>
      </c>
      <c r="S65" s="4153">
        <v>1.081</v>
      </c>
      <c r="T65" s="4150">
        <v>0</v>
      </c>
      <c r="U65" s="4150">
        <f t="shared" si="14"/>
        <v>25350</v>
      </c>
      <c r="V65" s="4150">
        <f t="shared" si="14"/>
        <v>25350</v>
      </c>
      <c r="W65" s="3635">
        <f t="shared" si="15"/>
        <v>0.65922090480557838</v>
      </c>
      <c r="X65" s="3635">
        <f t="shared" si="16"/>
        <v>0.14619101225031639</v>
      </c>
      <c r="Y65" s="3635">
        <f t="shared" si="17"/>
        <v>2.3116419680821413E-4</v>
      </c>
    </row>
    <row r="66" spans="2:25">
      <c r="B66" s="323">
        <v>535</v>
      </c>
      <c r="C66" s="4469" t="s">
        <v>1247</v>
      </c>
      <c r="D66" s="4469">
        <v>600</v>
      </c>
      <c r="E66" s="3263" t="s">
        <v>181</v>
      </c>
      <c r="F66" s="3263" t="s">
        <v>186</v>
      </c>
      <c r="G66" s="4483">
        <v>290</v>
      </c>
      <c r="H66" s="4483">
        <v>290</v>
      </c>
      <c r="I66" s="4512">
        <v>0.03</v>
      </c>
      <c r="J66" s="3193">
        <v>20</v>
      </c>
      <c r="K66" s="3193" t="s">
        <v>260</v>
      </c>
      <c r="L66" s="3179"/>
      <c r="M66" s="278">
        <f t="shared" si="10"/>
        <v>3.6450035673074694</v>
      </c>
      <c r="N66" s="278">
        <f t="shared" si="11"/>
        <v>4.0095039240382153</v>
      </c>
      <c r="O66" s="3548">
        <f t="shared" si="12"/>
        <v>40338.767437557821</v>
      </c>
      <c r="P66" s="3548">
        <f t="shared" si="13"/>
        <v>40338.767437557821</v>
      </c>
      <c r="Q66" s="3548">
        <v>147034.95121068464</v>
      </c>
      <c r="R66" s="3548">
        <v>161738.44633175308</v>
      </c>
      <c r="S66" s="4153">
        <v>1.081</v>
      </c>
      <c r="T66" s="4150">
        <v>0</v>
      </c>
      <c r="U66" s="4150">
        <f t="shared" si="14"/>
        <v>37990</v>
      </c>
      <c r="V66" s="4150">
        <f t="shared" si="14"/>
        <v>37990</v>
      </c>
      <c r="W66" s="3635">
        <f t="shared" si="15"/>
        <v>0.87120623624238303</v>
      </c>
      <c r="X66" s="3635">
        <f t="shared" si="16"/>
        <v>5.5251307843610771E-2</v>
      </c>
      <c r="Y66" s="3635">
        <f t="shared" si="17"/>
        <v>8.7366001532313938E-5</v>
      </c>
    </row>
    <row r="67" spans="2:25">
      <c r="B67" s="323"/>
      <c r="C67" s="4469" t="s">
        <v>1248</v>
      </c>
      <c r="D67" s="4469">
        <v>800</v>
      </c>
      <c r="E67" s="3263" t="s">
        <v>181</v>
      </c>
      <c r="F67" s="3263" t="s">
        <v>186</v>
      </c>
      <c r="G67" s="4483">
        <v>400</v>
      </c>
      <c r="H67" s="4483">
        <v>400</v>
      </c>
      <c r="I67" s="4512">
        <v>0.14000000000000001</v>
      </c>
      <c r="J67" s="3193">
        <v>20</v>
      </c>
      <c r="K67" s="3193" t="s">
        <v>260</v>
      </c>
      <c r="L67" s="3179"/>
      <c r="M67" s="278">
        <f t="shared" si="10"/>
        <v>2.956582917605453</v>
      </c>
      <c r="N67" s="278">
        <f t="shared" si="11"/>
        <v>3.252241209365998</v>
      </c>
      <c r="O67" s="3548">
        <f t="shared" si="12"/>
        <v>90480.082146160974</v>
      </c>
      <c r="P67" s="3548">
        <f t="shared" si="13"/>
        <v>90480.082146160974</v>
      </c>
      <c r="Q67" s="3548">
        <v>267511.86525687767</v>
      </c>
      <c r="R67" s="3548">
        <v>294263.05178256542</v>
      </c>
      <c r="S67" s="4153">
        <v>1.081</v>
      </c>
      <c r="T67" s="4150">
        <v>0</v>
      </c>
      <c r="U67" s="4150">
        <f t="shared" si="14"/>
        <v>71600</v>
      </c>
      <c r="V67" s="4150">
        <f t="shared" si="14"/>
        <v>71600</v>
      </c>
      <c r="W67" s="3635">
        <f t="shared" si="15"/>
        <v>0.73203920743104689</v>
      </c>
      <c r="X67" s="3635">
        <f t="shared" si="16"/>
        <v>0.11495264839148372</v>
      </c>
      <c r="Y67" s="3635">
        <f t="shared" si="17"/>
        <v>1.817686068887376E-4</v>
      </c>
    </row>
    <row r="68" spans="2:25">
      <c r="B68" s="323"/>
      <c r="C68" s="4469" t="s">
        <v>1249</v>
      </c>
      <c r="D68" s="4469">
        <v>1000</v>
      </c>
      <c r="E68" s="3263" t="s">
        <v>181</v>
      </c>
      <c r="F68" s="3263" t="s">
        <v>186</v>
      </c>
      <c r="G68" s="4509">
        <v>440</v>
      </c>
      <c r="H68" s="4483">
        <v>440</v>
      </c>
      <c r="I68" s="4512">
        <v>0.1</v>
      </c>
      <c r="J68" s="3193">
        <v>20</v>
      </c>
      <c r="K68" s="3193" t="s">
        <v>260</v>
      </c>
      <c r="L68" s="3179"/>
      <c r="M68" s="278">
        <f t="shared" si="10"/>
        <v>3.2162806498347147</v>
      </c>
      <c r="N68" s="278">
        <f t="shared" si="11"/>
        <v>3.5379087148181863</v>
      </c>
      <c r="O68" s="3548">
        <f t="shared" si="12"/>
        <v>57613.961147086033</v>
      </c>
      <c r="P68" s="3548">
        <f t="shared" si="13"/>
        <v>57613.961147086033</v>
      </c>
      <c r="Q68" s="3548">
        <v>185302.66839770187</v>
      </c>
      <c r="R68" s="3548">
        <v>203832.93523747206</v>
      </c>
      <c r="S68" s="4153">
        <v>1.081</v>
      </c>
      <c r="T68" s="4150">
        <v>0</v>
      </c>
      <c r="U68" s="4150">
        <f t="shared" si="14"/>
        <v>43560</v>
      </c>
      <c r="V68" s="4150">
        <f t="shared" si="14"/>
        <v>43560</v>
      </c>
      <c r="W68" s="3635">
        <f t="shared" si="15"/>
        <v>0.69941419404909633</v>
      </c>
      <c r="X68" s="3635">
        <f t="shared" si="16"/>
        <v>0.12894847090009856</v>
      </c>
      <c r="Y68" s="3635">
        <f t="shared" si="17"/>
        <v>2.0389946855439565E-4</v>
      </c>
    </row>
    <row r="69" spans="2:25">
      <c r="B69" s="323"/>
      <c r="C69" s="4469" t="s">
        <v>1250</v>
      </c>
      <c r="D69" s="4469">
        <v>307</v>
      </c>
      <c r="E69" s="3263" t="s">
        <v>181</v>
      </c>
      <c r="F69" s="3263" t="s">
        <v>186</v>
      </c>
      <c r="G69" s="4486">
        <v>35</v>
      </c>
      <c r="H69" s="4483">
        <v>35</v>
      </c>
      <c r="I69" s="4512">
        <v>0.19</v>
      </c>
      <c r="J69" s="3193">
        <v>10</v>
      </c>
      <c r="K69" s="3193" t="s">
        <v>233</v>
      </c>
      <c r="L69" s="3179">
        <v>105269.6</v>
      </c>
      <c r="M69" s="278">
        <f t="shared" si="10"/>
        <v>2.3034436407803303</v>
      </c>
      <c r="N69" s="278">
        <f t="shared" si="11"/>
        <v>4.4689153201016802</v>
      </c>
      <c r="O69" s="3548">
        <f t="shared" si="12"/>
        <v>50323.140425531914</v>
      </c>
      <c r="P69" s="3548">
        <f t="shared" si="13"/>
        <v>50323.140425531914</v>
      </c>
      <c r="Q69" s="3548">
        <v>115916.51779728706</v>
      </c>
      <c r="R69" s="3548">
        <v>127508.16957701577</v>
      </c>
      <c r="S69" s="4153">
        <v>1.081</v>
      </c>
      <c r="T69" s="4150">
        <v>0</v>
      </c>
      <c r="U69" s="4150">
        <f t="shared" si="14"/>
        <v>18830</v>
      </c>
      <c r="V69" s="4150">
        <f t="shared" si="14"/>
        <v>18830</v>
      </c>
      <c r="W69" s="3635">
        <f t="shared" si="15"/>
        <v>0.34614406577047546</v>
      </c>
      <c r="X69" s="3635">
        <f t="shared" si="16"/>
        <v>0.28049801833165738</v>
      </c>
      <c r="Y69" s="3635">
        <f t="shared" si="17"/>
        <v>4.435368366073611E-4</v>
      </c>
    </row>
    <row r="70" spans="2:25">
      <c r="B70" s="323"/>
      <c r="C70" s="4469" t="s">
        <v>1251</v>
      </c>
      <c r="D70" s="4469">
        <v>307</v>
      </c>
      <c r="E70" s="3263" t="s">
        <v>181</v>
      </c>
      <c r="F70" s="3263" t="s">
        <v>186</v>
      </c>
      <c r="G70" s="4483">
        <v>15</v>
      </c>
      <c r="H70" s="4483">
        <v>15</v>
      </c>
      <c r="I70" s="4512">
        <v>0.16</v>
      </c>
      <c r="J70" s="3193">
        <v>10</v>
      </c>
      <c r="K70" s="3193" t="s">
        <v>233</v>
      </c>
      <c r="L70" s="3179">
        <v>49911.22</v>
      </c>
      <c r="M70" s="278">
        <f t="shared" si="10"/>
        <v>1.758858526760873</v>
      </c>
      <c r="N70" s="278">
        <f t="shared" si="11"/>
        <v>3.4123647713812426</v>
      </c>
      <c r="O70" s="3548">
        <f t="shared" si="12"/>
        <v>31247.092691951897</v>
      </c>
      <c r="P70" s="3548">
        <f t="shared" si="13"/>
        <v>31247.092691951897</v>
      </c>
      <c r="Q70" s="3548">
        <v>54959.215417726955</v>
      </c>
      <c r="R70" s="3548">
        <v>60455.13695949965</v>
      </c>
      <c r="S70" s="4153">
        <v>1.081</v>
      </c>
      <c r="T70" s="4150">
        <v>0</v>
      </c>
      <c r="U70" s="4150">
        <f t="shared" si="14"/>
        <v>3825</v>
      </c>
      <c r="V70" s="4150">
        <f t="shared" si="14"/>
        <v>3825</v>
      </c>
      <c r="W70" s="3635">
        <f t="shared" si="15"/>
        <v>0.11323902720043473</v>
      </c>
      <c r="X70" s="3635">
        <f t="shared" si="16"/>
        <v>0.38041207945482514</v>
      </c>
      <c r="Y70" s="3635">
        <f t="shared" si="17"/>
        <v>6.0152571248870931E-4</v>
      </c>
    </row>
    <row r="71" spans="2:25">
      <c r="B71" s="323"/>
      <c r="C71" s="4469" t="s">
        <v>1240</v>
      </c>
      <c r="D71" s="4469">
        <v>23</v>
      </c>
      <c r="E71" s="3263" t="s">
        <v>181</v>
      </c>
      <c r="F71" s="3263" t="s">
        <v>186</v>
      </c>
      <c r="G71" s="4483">
        <v>4.9000000000000004</v>
      </c>
      <c r="H71" s="4483">
        <v>4.9000000000000004</v>
      </c>
      <c r="I71" s="4512">
        <v>7.0000000000000007E-2</v>
      </c>
      <c r="J71" s="3193">
        <v>5</v>
      </c>
      <c r="K71" s="3193" t="s">
        <v>183</v>
      </c>
      <c r="L71" s="3179"/>
      <c r="M71" s="278">
        <f t="shared" si="10"/>
        <v>1.5615583125596457</v>
      </c>
      <c r="N71" s="278">
        <f t="shared" si="11"/>
        <v>1.7177141438156105</v>
      </c>
      <c r="O71" s="3548">
        <f t="shared" si="12"/>
        <v>50393.325069380211</v>
      </c>
      <c r="P71" s="3548">
        <f t="shared" si="13"/>
        <v>50393.325069380211</v>
      </c>
      <c r="Q71" s="3548">
        <v>78692.115659611052</v>
      </c>
      <c r="R71" s="3548">
        <v>86561.327225572168</v>
      </c>
      <c r="S71" s="4153">
        <v>1.081</v>
      </c>
      <c r="T71" s="4150">
        <v>0</v>
      </c>
      <c r="U71" s="4150">
        <f t="shared" si="14"/>
        <v>41370.700000000004</v>
      </c>
      <c r="V71" s="4150">
        <f t="shared" si="14"/>
        <v>41370.700000000004</v>
      </c>
      <c r="W71" s="3635">
        <f t="shared" si="15"/>
        <v>0.75944121081304683</v>
      </c>
      <c r="X71" s="3635">
        <f t="shared" si="16"/>
        <v>0.10319744782727161</v>
      </c>
      <c r="Y71" s="3635">
        <f t="shared" si="17"/>
        <v>1.6318072344147951E-4</v>
      </c>
    </row>
    <row r="72" spans="2:25">
      <c r="B72" s="323"/>
      <c r="C72" s="4469" t="s">
        <v>1241</v>
      </c>
      <c r="D72" s="4469">
        <v>0</v>
      </c>
      <c r="E72" s="3263" t="s">
        <v>181</v>
      </c>
      <c r="F72" s="3263" t="s">
        <v>186</v>
      </c>
      <c r="G72" s="4483">
        <v>20</v>
      </c>
      <c r="H72" s="4483">
        <v>20</v>
      </c>
      <c r="I72" s="4512">
        <v>0.01</v>
      </c>
      <c r="J72" s="3193">
        <v>1</v>
      </c>
      <c r="K72" s="3193" t="s">
        <v>260</v>
      </c>
      <c r="L72" s="3179">
        <v>31600</v>
      </c>
      <c r="M72" s="278">
        <f t="shared" si="10"/>
        <v>0</v>
      </c>
      <c r="N72" s="278">
        <f t="shared" si="11"/>
        <v>0.94407070597236942</v>
      </c>
      <c r="O72" s="3548">
        <f t="shared" si="12"/>
        <v>30963.986308973173</v>
      </c>
      <c r="P72" s="3548">
        <f t="shared" si="13"/>
        <v>30963.986308973173</v>
      </c>
      <c r="Q72" s="3548">
        <f>IF(K72=0, 0, (HLOOKUP(K72,'[4]E-CESTDWO'!$A$5:$O$35,J72+1,FALSE)*R22))</f>
        <v>0</v>
      </c>
      <c r="R72" s="3548">
        <f>IF(K72=0, 0, (HLOOKUP(K72,'[4]E-CESTD'!$A$5:$O$35,J72+1,FALSE)*R22))</f>
        <v>0</v>
      </c>
      <c r="S72" s="4153">
        <v>1.081</v>
      </c>
      <c r="T72" s="4150">
        <v>0</v>
      </c>
      <c r="U72" s="4150">
        <f t="shared" si="14"/>
        <v>31600</v>
      </c>
      <c r="V72" s="4150">
        <f t="shared" si="14"/>
        <v>31600</v>
      </c>
      <c r="W72" s="3635">
        <f t="shared" si="15"/>
        <v>0.94407070597236942</v>
      </c>
      <c r="X72" s="3635">
        <f t="shared" si="16"/>
        <v>2.3993138733114237E-2</v>
      </c>
      <c r="Y72" s="3635">
        <f t="shared" si="17"/>
        <v>3.7939094604883291E-5</v>
      </c>
    </row>
    <row r="73" spans="2:25">
      <c r="B73" s="323"/>
      <c r="C73" s="3263" t="s">
        <v>195</v>
      </c>
      <c r="D73" s="3263">
        <v>0</v>
      </c>
      <c r="E73" s="3263" t="s">
        <v>181</v>
      </c>
      <c r="F73" s="3263" t="s">
        <v>186</v>
      </c>
      <c r="G73" s="313"/>
      <c r="H73" s="313"/>
      <c r="I73" s="3176">
        <v>0</v>
      </c>
      <c r="J73" s="3193"/>
      <c r="K73" s="3193"/>
      <c r="L73" s="3179"/>
      <c r="M73" s="278" t="e">
        <f t="shared" si="10"/>
        <v>#DIV/0!</v>
      </c>
      <c r="N73" s="278" t="e">
        <f t="shared" si="11"/>
        <v>#DIV/0!</v>
      </c>
      <c r="O73" s="3548">
        <v>0</v>
      </c>
      <c r="P73" s="3548">
        <f t="shared" si="13"/>
        <v>0</v>
      </c>
      <c r="Q73" s="3548">
        <f>IF(K73=0, 0, (HLOOKUP(K73,'[4]E-CESTDWO'!$A$5:$O$35,J73+1,FALSE)*R23))</f>
        <v>0</v>
      </c>
      <c r="R73" s="3548">
        <f>IF(K73=0, 0, (HLOOKUP(K73,'[4]E-CESTD'!$A$5:$O$35,J73+1,FALSE)*R23))</f>
        <v>0</v>
      </c>
      <c r="S73" s="4153">
        <v>1.081</v>
      </c>
      <c r="T73" s="4150">
        <v>0</v>
      </c>
      <c r="U73" s="4150">
        <f t="shared" si="14"/>
        <v>0</v>
      </c>
      <c r="V73" s="4150">
        <f t="shared" si="14"/>
        <v>0</v>
      </c>
      <c r="W73" s="3635" t="e">
        <f t="shared" si="15"/>
        <v>#DIV/0!</v>
      </c>
      <c r="X73" s="3635" t="e">
        <f t="shared" si="16"/>
        <v>#DIV/0!</v>
      </c>
      <c r="Y73" s="3635" t="e">
        <f t="shared" si="17"/>
        <v>#DIV/0!</v>
      </c>
    </row>
    <row r="74" spans="2:25">
      <c r="B74" s="323" t="s">
        <v>7</v>
      </c>
      <c r="C74" s="3263" t="s">
        <v>196</v>
      </c>
      <c r="D74" s="3263">
        <v>0</v>
      </c>
      <c r="E74" s="3263" t="s">
        <v>181</v>
      </c>
      <c r="F74" s="3263" t="s">
        <v>186</v>
      </c>
      <c r="G74" s="313"/>
      <c r="H74" s="313"/>
      <c r="I74" s="3176">
        <v>0</v>
      </c>
      <c r="J74" s="3193"/>
      <c r="K74" s="3191"/>
      <c r="L74" s="3179"/>
      <c r="M74" s="278" t="e">
        <f t="shared" si="10"/>
        <v>#DIV/0!</v>
      </c>
      <c r="N74" s="278" t="e">
        <f t="shared" si="11"/>
        <v>#DIV/0!</v>
      </c>
      <c r="O74" s="3548">
        <v>0</v>
      </c>
      <c r="P74" s="3548">
        <f t="shared" si="13"/>
        <v>0</v>
      </c>
      <c r="Q74" s="3548">
        <f>IF(K74=0, 0, (HLOOKUP(K74,'[4]E-CESTDWO'!$A$5:$O$35,J74+1,FALSE)*R24))</f>
        <v>0</v>
      </c>
      <c r="R74" s="3548">
        <f>IF(K74=0, 0, (HLOOKUP(K74,'[4]E-CESTD'!$A$5:$O$35,J74+1,FALSE)*R24))</f>
        <v>0</v>
      </c>
      <c r="S74" s="4153">
        <v>1.081</v>
      </c>
      <c r="T74" s="4150">
        <v>0</v>
      </c>
      <c r="U74" s="4150">
        <f t="shared" si="14"/>
        <v>0</v>
      </c>
      <c r="V74" s="4150">
        <f t="shared" si="14"/>
        <v>0</v>
      </c>
      <c r="W74" s="3635" t="e">
        <f t="shared" si="15"/>
        <v>#DIV/0!</v>
      </c>
      <c r="X74" s="3635" t="e">
        <f t="shared" si="16"/>
        <v>#DIV/0!</v>
      </c>
      <c r="Y74" s="3635" t="e">
        <f t="shared" si="17"/>
        <v>#DIV/0!</v>
      </c>
    </row>
    <row r="75" spans="2:25">
      <c r="B75" s="323"/>
      <c r="C75" s="3263" t="s">
        <v>197</v>
      </c>
      <c r="D75" s="3263">
        <v>0</v>
      </c>
      <c r="E75" s="3263" t="s">
        <v>181</v>
      </c>
      <c r="F75" s="3263" t="s">
        <v>186</v>
      </c>
      <c r="G75" s="313"/>
      <c r="H75" s="313"/>
      <c r="I75" s="3176">
        <v>0</v>
      </c>
      <c r="J75" s="3193"/>
      <c r="K75" s="3191"/>
      <c r="L75" s="3179"/>
      <c r="M75" s="278" t="e">
        <f t="shared" si="10"/>
        <v>#DIV/0!</v>
      </c>
      <c r="N75" s="278" t="e">
        <f t="shared" si="11"/>
        <v>#DIV/0!</v>
      </c>
      <c r="O75" s="3548">
        <v>0</v>
      </c>
      <c r="P75" s="3548">
        <f t="shared" si="13"/>
        <v>0</v>
      </c>
      <c r="Q75" s="3548">
        <f>IF(K75=0, 0, (HLOOKUP(K75,'[4]E-CESTDWO'!$A$5:$O$35,J75+1,FALSE)*R25))</f>
        <v>0</v>
      </c>
      <c r="R75" s="3548">
        <f>IF(K75=0, 0, (HLOOKUP(K75,'[4]E-CESTD'!$A$5:$O$35,J75+1,FALSE)*R25))</f>
        <v>0</v>
      </c>
      <c r="S75" s="4153">
        <v>1.081</v>
      </c>
      <c r="T75" s="4150">
        <v>0</v>
      </c>
      <c r="U75" s="4150">
        <f t="shared" si="14"/>
        <v>0</v>
      </c>
      <c r="V75" s="4150">
        <f t="shared" si="14"/>
        <v>0</v>
      </c>
      <c r="W75" s="3635" t="e">
        <f t="shared" si="15"/>
        <v>#DIV/0!</v>
      </c>
      <c r="X75" s="3635" t="e">
        <f t="shared" si="16"/>
        <v>#DIV/0!</v>
      </c>
      <c r="Y75" s="3635" t="e">
        <f t="shared" si="17"/>
        <v>#DIV/0!</v>
      </c>
    </row>
    <row r="76" spans="2:25">
      <c r="B76" s="323"/>
      <c r="C76" s="3263" t="s">
        <v>198</v>
      </c>
      <c r="D76" s="3263">
        <v>0</v>
      </c>
      <c r="E76" s="3263" t="s">
        <v>181</v>
      </c>
      <c r="F76" s="3263" t="s">
        <v>186</v>
      </c>
      <c r="G76" s="313"/>
      <c r="H76" s="313"/>
      <c r="I76" s="3176">
        <v>0</v>
      </c>
      <c r="J76" s="3193"/>
      <c r="K76" s="3193"/>
      <c r="L76" s="3179"/>
      <c r="M76" s="278" t="e">
        <f t="shared" si="10"/>
        <v>#DIV/0!</v>
      </c>
      <c r="N76" s="278" t="e">
        <f t="shared" si="11"/>
        <v>#DIV/0!</v>
      </c>
      <c r="O76" s="3548">
        <v>0</v>
      </c>
      <c r="P76" s="3548">
        <f t="shared" si="13"/>
        <v>0</v>
      </c>
      <c r="Q76" s="3548">
        <f>IF(K76=0, 0, (HLOOKUP(K76,'[4]E-CESTDWO'!$A$5:$O$35,J76+1,FALSE)*R26))</f>
        <v>0</v>
      </c>
      <c r="R76" s="3548">
        <f>IF(K76=0, 0, (HLOOKUP(K76,'[4]E-CESTD'!$A$5:$O$35,J76+1,FALSE)*R26))</f>
        <v>0</v>
      </c>
      <c r="S76" s="4153">
        <v>1.081</v>
      </c>
      <c r="T76" s="4150">
        <v>0</v>
      </c>
      <c r="U76" s="4150">
        <f t="shared" si="14"/>
        <v>0</v>
      </c>
      <c r="V76" s="4150">
        <f t="shared" si="14"/>
        <v>0</v>
      </c>
      <c r="W76" s="3635" t="e">
        <f t="shared" si="15"/>
        <v>#DIV/0!</v>
      </c>
      <c r="X76" s="3635" t="e">
        <f t="shared" si="16"/>
        <v>#DIV/0!</v>
      </c>
      <c r="Y76" s="3635" t="e">
        <f t="shared" si="17"/>
        <v>#DIV/0!</v>
      </c>
    </row>
    <row r="77" spans="2:25">
      <c r="B77" s="323"/>
      <c r="C77" s="3263" t="s">
        <v>199</v>
      </c>
      <c r="D77" s="3263">
        <v>0</v>
      </c>
      <c r="E77" s="3263" t="s">
        <v>181</v>
      </c>
      <c r="F77" s="3263" t="s">
        <v>186</v>
      </c>
      <c r="G77" s="313"/>
      <c r="H77" s="313"/>
      <c r="I77" s="3176">
        <v>0</v>
      </c>
      <c r="J77" s="3193"/>
      <c r="K77" s="3193"/>
      <c r="L77" s="3179"/>
      <c r="M77" s="278" t="e">
        <f t="shared" si="10"/>
        <v>#DIV/0!</v>
      </c>
      <c r="N77" s="278" t="e">
        <f t="shared" si="11"/>
        <v>#DIV/0!</v>
      </c>
      <c r="O77" s="3548">
        <v>0</v>
      </c>
      <c r="P77" s="3548">
        <f t="shared" si="13"/>
        <v>0</v>
      </c>
      <c r="Q77" s="3548">
        <f>IF(K77=0, 0, (HLOOKUP(K77,'[4]E-CESTDWO'!$A$5:$O$35,J77+1,FALSE)*R27))</f>
        <v>0</v>
      </c>
      <c r="R77" s="3548">
        <f>IF(K77=0, 0, (HLOOKUP(K77,'[4]E-CESTD'!$A$5:$O$35,J77+1,FALSE)*R27))</f>
        <v>0</v>
      </c>
      <c r="S77" s="4153">
        <v>1.081</v>
      </c>
      <c r="T77" s="4150">
        <v>0</v>
      </c>
      <c r="U77" s="4150">
        <f t="shared" si="14"/>
        <v>0</v>
      </c>
      <c r="V77" s="4150">
        <f t="shared" si="14"/>
        <v>0</v>
      </c>
      <c r="W77" s="3635" t="e">
        <f t="shared" si="15"/>
        <v>#DIV/0!</v>
      </c>
      <c r="X77" s="3635" t="e">
        <f t="shared" si="16"/>
        <v>#DIV/0!</v>
      </c>
      <c r="Y77" s="3635" t="e">
        <f t="shared" si="17"/>
        <v>#DIV/0!</v>
      </c>
    </row>
    <row r="78" spans="2:25">
      <c r="B78" s="323"/>
      <c r="C78" s="3263" t="s">
        <v>200</v>
      </c>
      <c r="D78" s="3263">
        <v>0</v>
      </c>
      <c r="E78" s="3263" t="s">
        <v>181</v>
      </c>
      <c r="F78" s="3263" t="s">
        <v>186</v>
      </c>
      <c r="G78" s="313"/>
      <c r="H78" s="313"/>
      <c r="I78" s="3176">
        <v>0</v>
      </c>
      <c r="J78" s="3193"/>
      <c r="K78" s="3193"/>
      <c r="L78" s="3179"/>
      <c r="M78" s="278" t="e">
        <f t="shared" si="10"/>
        <v>#DIV/0!</v>
      </c>
      <c r="N78" s="278" t="e">
        <f t="shared" si="11"/>
        <v>#DIV/0!</v>
      </c>
      <c r="O78" s="3548">
        <v>0</v>
      </c>
      <c r="P78" s="3548">
        <f t="shared" si="13"/>
        <v>0</v>
      </c>
      <c r="Q78" s="3548">
        <f>IF(K78=0, 0, (HLOOKUP(K78,'[4]E-CESTDWO'!$A$5:$O$35,J78+1,FALSE)*R28))</f>
        <v>0</v>
      </c>
      <c r="R78" s="3548">
        <f>IF(K78=0, 0, (HLOOKUP(K78,'[4]E-CESTD'!$A$5:$O$35,J78+1,FALSE)*R28))</f>
        <v>0</v>
      </c>
      <c r="S78" s="4153">
        <v>1.081</v>
      </c>
      <c r="T78" s="4150">
        <v>0</v>
      </c>
      <c r="U78" s="4150">
        <f t="shared" si="14"/>
        <v>0</v>
      </c>
      <c r="V78" s="4150">
        <f t="shared" si="14"/>
        <v>0</v>
      </c>
      <c r="W78" s="3635" t="e">
        <f t="shared" si="15"/>
        <v>#DIV/0!</v>
      </c>
      <c r="X78" s="3635" t="e">
        <f t="shared" si="16"/>
        <v>#DIV/0!</v>
      </c>
      <c r="Y78" s="3635" t="e">
        <f t="shared" si="17"/>
        <v>#DIV/0!</v>
      </c>
    </row>
    <row r="79" spans="2:25">
      <c r="B79" s="323"/>
      <c r="C79" s="3593" t="s">
        <v>201</v>
      </c>
      <c r="D79" s="323">
        <v>0</v>
      </c>
      <c r="E79" s="323" t="s">
        <v>181</v>
      </c>
      <c r="F79" s="323" t="s">
        <v>257</v>
      </c>
      <c r="G79" s="320">
        <v>0</v>
      </c>
      <c r="H79" s="320">
        <v>0</v>
      </c>
      <c r="I79" s="3176">
        <v>0</v>
      </c>
      <c r="J79" s="243"/>
      <c r="K79" s="243"/>
      <c r="L79" s="320"/>
      <c r="M79" s="278" t="e">
        <f t="shared" si="10"/>
        <v>#DIV/0!</v>
      </c>
      <c r="N79" s="278" t="e">
        <f t="shared" si="11"/>
        <v>#DIV/0!</v>
      </c>
      <c r="O79" s="3548">
        <f t="shared" si="12"/>
        <v>0</v>
      </c>
      <c r="P79" s="3548">
        <f t="shared" si="13"/>
        <v>0</v>
      </c>
      <c r="Q79" s="3548">
        <f>IF(K79=0, 0, (HLOOKUP(K79,'[4]E-CESTDWO'!$A$5:$O$35,J79+1,FALSE)*R29))</f>
        <v>0</v>
      </c>
      <c r="R79" s="3548">
        <f>IF(K79=0, 0, (HLOOKUP(K79,'[4]E-CESTD'!$A$5:$O$35,J79+1,FALSE)*R29))</f>
        <v>0</v>
      </c>
      <c r="S79" s="3592">
        <v>1.081</v>
      </c>
      <c r="T79" s="3499">
        <f t="shared" ref="T79:T104" si="18">M29*$H79</f>
        <v>0</v>
      </c>
      <c r="U79" s="4150">
        <f t="shared" si="14"/>
        <v>0</v>
      </c>
      <c r="V79" s="4150">
        <f t="shared" si="14"/>
        <v>0</v>
      </c>
      <c r="W79" s="3635" t="e">
        <f t="shared" si="15"/>
        <v>#DIV/0!</v>
      </c>
      <c r="X79" s="3635" t="e">
        <f t="shared" si="16"/>
        <v>#DIV/0!</v>
      </c>
      <c r="Y79" s="3635" t="e">
        <f t="shared" si="17"/>
        <v>#DIV/0!</v>
      </c>
    </row>
    <row r="80" spans="2:25">
      <c r="B80" s="323"/>
      <c r="C80" s="3593" t="s">
        <v>202</v>
      </c>
      <c r="D80" s="324">
        <v>0</v>
      </c>
      <c r="E80" s="323" t="s">
        <v>181</v>
      </c>
      <c r="F80" s="323" t="s">
        <v>257</v>
      </c>
      <c r="G80" s="320">
        <v>0</v>
      </c>
      <c r="H80" s="320">
        <v>0</v>
      </c>
      <c r="I80" s="3176">
        <f t="shared" ref="I80:I98" si="19">R30/R$8</f>
        <v>0</v>
      </c>
      <c r="J80" s="243"/>
      <c r="K80" s="243"/>
      <c r="L80" s="320"/>
      <c r="M80" s="278" t="e">
        <f t="shared" si="10"/>
        <v>#DIV/0!</v>
      </c>
      <c r="N80" s="278" t="e">
        <f t="shared" si="11"/>
        <v>#DIV/0!</v>
      </c>
      <c r="O80" s="3548">
        <f t="shared" si="12"/>
        <v>0</v>
      </c>
      <c r="P80" s="3548">
        <f t="shared" si="13"/>
        <v>0</v>
      </c>
      <c r="Q80" s="3548">
        <f>IF(K80=0, 0, (HLOOKUP(K80,'[4]E-CESTDWO'!$A$5:$O$35,J80+1,FALSE)*R30))</f>
        <v>0</v>
      </c>
      <c r="R80" s="3548">
        <f>IF(K80=0, 0, (HLOOKUP(K80,'[4]E-CESTD'!$A$5:$O$35,J80+1,FALSE)*R30))</f>
        <v>0</v>
      </c>
      <c r="S80" s="3592">
        <v>1.081</v>
      </c>
      <c r="T80" s="3499">
        <f t="shared" si="18"/>
        <v>0</v>
      </c>
      <c r="U80" s="4150">
        <f t="shared" si="14"/>
        <v>0</v>
      </c>
      <c r="V80" s="4150">
        <f t="shared" si="14"/>
        <v>0</v>
      </c>
      <c r="W80" s="3635" t="e">
        <f t="shared" si="15"/>
        <v>#DIV/0!</v>
      </c>
      <c r="X80" s="3635" t="e">
        <f t="shared" si="16"/>
        <v>#DIV/0!</v>
      </c>
      <c r="Y80" s="3635" t="e">
        <f t="shared" si="17"/>
        <v>#DIV/0!</v>
      </c>
    </row>
    <row r="81" spans="2:25">
      <c r="B81" s="323"/>
      <c r="C81" s="3593" t="s">
        <v>203</v>
      </c>
      <c r="D81" s="324">
        <v>0</v>
      </c>
      <c r="E81" s="323" t="s">
        <v>181</v>
      </c>
      <c r="F81" s="323" t="s">
        <v>257</v>
      </c>
      <c r="G81" s="320">
        <v>0</v>
      </c>
      <c r="H81" s="320">
        <v>0</v>
      </c>
      <c r="I81" s="3176">
        <f t="shared" si="19"/>
        <v>0</v>
      </c>
      <c r="J81" s="243"/>
      <c r="K81" s="243"/>
      <c r="L81" s="320"/>
      <c r="M81" s="278" t="e">
        <f t="shared" si="10"/>
        <v>#DIV/0!</v>
      </c>
      <c r="N81" s="278" t="e">
        <f t="shared" si="11"/>
        <v>#DIV/0!</v>
      </c>
      <c r="O81" s="3548">
        <f t="shared" si="12"/>
        <v>0</v>
      </c>
      <c r="P81" s="3548">
        <f t="shared" si="13"/>
        <v>0</v>
      </c>
      <c r="Q81" s="3548">
        <f>IF(K81=0, 0, (HLOOKUP(K81,'[4]E-CESTDWO'!$A$5:$O$35,J81+1,FALSE)*R31))</f>
        <v>0</v>
      </c>
      <c r="R81" s="3548">
        <f>IF(K81=0, 0, (HLOOKUP(K81,'[4]E-CESTD'!$A$5:$O$35,J81+1,FALSE)*R31))</f>
        <v>0</v>
      </c>
      <c r="S81" s="3592">
        <v>1.081</v>
      </c>
      <c r="T81" s="3499">
        <f t="shared" si="18"/>
        <v>0</v>
      </c>
      <c r="U81" s="4150">
        <f t="shared" si="14"/>
        <v>0</v>
      </c>
      <c r="V81" s="4150">
        <f t="shared" si="14"/>
        <v>0</v>
      </c>
      <c r="W81" s="3635" t="e">
        <f t="shared" si="15"/>
        <v>#DIV/0!</v>
      </c>
      <c r="X81" s="3635" t="e">
        <f t="shared" si="16"/>
        <v>#DIV/0!</v>
      </c>
      <c r="Y81" s="3635" t="e">
        <f t="shared" si="17"/>
        <v>#DIV/0!</v>
      </c>
    </row>
    <row r="82" spans="2:25">
      <c r="B82" s="323"/>
      <c r="C82" s="3593" t="s">
        <v>204</v>
      </c>
      <c r="D82" s="324">
        <v>0</v>
      </c>
      <c r="E82" s="323" t="s">
        <v>181</v>
      </c>
      <c r="F82" s="323" t="s">
        <v>257</v>
      </c>
      <c r="G82" s="320">
        <v>0</v>
      </c>
      <c r="H82" s="320">
        <v>0</v>
      </c>
      <c r="I82" s="3176">
        <f t="shared" si="19"/>
        <v>0</v>
      </c>
      <c r="J82" s="243"/>
      <c r="K82" s="243"/>
      <c r="L82" s="320"/>
      <c r="M82" s="278" t="e">
        <f t="shared" si="10"/>
        <v>#DIV/0!</v>
      </c>
      <c r="N82" s="278" t="e">
        <f t="shared" si="11"/>
        <v>#DIV/0!</v>
      </c>
      <c r="O82" s="3548">
        <f t="shared" si="12"/>
        <v>0</v>
      </c>
      <c r="P82" s="3548">
        <f t="shared" si="13"/>
        <v>0</v>
      </c>
      <c r="Q82" s="3548">
        <f>IF(K82=0, 0, (HLOOKUP(K82,'[4]E-CESTDWO'!$A$5:$O$35,J82+1,FALSE)*R32))</f>
        <v>0</v>
      </c>
      <c r="R82" s="3548">
        <f>IF(K82=0, 0, (HLOOKUP(K82,'[4]E-CESTD'!$A$5:$O$35,J82+1,FALSE)*R32))</f>
        <v>0</v>
      </c>
      <c r="S82" s="3592">
        <v>1.081</v>
      </c>
      <c r="T82" s="3499">
        <f t="shared" si="18"/>
        <v>0</v>
      </c>
      <c r="U82" s="4150">
        <f t="shared" si="14"/>
        <v>0</v>
      </c>
      <c r="V82" s="4150">
        <f t="shared" si="14"/>
        <v>0</v>
      </c>
    </row>
    <row r="83" spans="2:25">
      <c r="B83" s="323"/>
      <c r="C83" s="3593" t="s">
        <v>205</v>
      </c>
      <c r="D83" s="324">
        <v>0</v>
      </c>
      <c r="E83" s="323" t="s">
        <v>181</v>
      </c>
      <c r="F83" s="323" t="s">
        <v>257</v>
      </c>
      <c r="G83" s="320">
        <v>0</v>
      </c>
      <c r="H83" s="320">
        <v>0</v>
      </c>
      <c r="I83" s="3176">
        <f t="shared" si="19"/>
        <v>0</v>
      </c>
      <c r="J83" s="243"/>
      <c r="K83" s="243"/>
      <c r="L83" s="320"/>
      <c r="M83" s="278" t="e">
        <f t="shared" si="10"/>
        <v>#DIV/0!</v>
      </c>
      <c r="N83" s="278" t="e">
        <f t="shared" si="11"/>
        <v>#DIV/0!</v>
      </c>
      <c r="O83" s="3548">
        <f t="shared" si="12"/>
        <v>0</v>
      </c>
      <c r="P83" s="3548">
        <f t="shared" si="13"/>
        <v>0</v>
      </c>
      <c r="Q83" s="3548">
        <f>IF(K83=0, 0, (HLOOKUP(K83,'[4]E-CESTDWO'!$A$5:$O$35,J83+1,FALSE)*R33))</f>
        <v>0</v>
      </c>
      <c r="R83" s="3548">
        <f>IF(K83=0, 0, (HLOOKUP(K83,'[4]E-CESTD'!$A$5:$O$35,J83+1,FALSE)*R33))</f>
        <v>0</v>
      </c>
      <c r="S83" s="3592">
        <v>1.081</v>
      </c>
      <c r="T83" s="3499">
        <f t="shared" si="18"/>
        <v>0</v>
      </c>
      <c r="U83" s="4150">
        <f t="shared" si="14"/>
        <v>0</v>
      </c>
      <c r="V83" s="4150">
        <f t="shared" si="14"/>
        <v>0</v>
      </c>
    </row>
    <row r="84" spans="2:25">
      <c r="B84" s="323"/>
      <c r="C84" s="3593" t="s">
        <v>206</v>
      </c>
      <c r="D84" s="324">
        <v>0</v>
      </c>
      <c r="E84" s="323" t="s">
        <v>181</v>
      </c>
      <c r="F84" s="323" t="s">
        <v>257</v>
      </c>
      <c r="G84" s="320">
        <v>0</v>
      </c>
      <c r="H84" s="320">
        <v>0</v>
      </c>
      <c r="I84" s="3176">
        <f t="shared" si="19"/>
        <v>0</v>
      </c>
      <c r="J84" s="243"/>
      <c r="K84" s="243"/>
      <c r="L84" s="320"/>
      <c r="M84" s="278" t="e">
        <f t="shared" si="10"/>
        <v>#DIV/0!</v>
      </c>
      <c r="N84" s="278" t="e">
        <f t="shared" si="11"/>
        <v>#DIV/0!</v>
      </c>
      <c r="O84" s="3548">
        <f t="shared" si="12"/>
        <v>0</v>
      </c>
      <c r="P84" s="3548">
        <f t="shared" si="13"/>
        <v>0</v>
      </c>
      <c r="Q84" s="3548">
        <f>IF(K84=0, 0, (HLOOKUP(K84,'[4]E-CESTDWO'!$A$5:$O$35,J84+1,FALSE)*R34))</f>
        <v>0</v>
      </c>
      <c r="R84" s="3548">
        <f>IF(K84=0, 0, (HLOOKUP(K84,'[4]E-CESTD'!$A$5:$O$35,J84+1,FALSE)*R34))</f>
        <v>0</v>
      </c>
      <c r="S84" s="3592">
        <v>1.081</v>
      </c>
      <c r="T84" s="3499">
        <f t="shared" si="18"/>
        <v>0</v>
      </c>
      <c r="U84" s="4150">
        <f t="shared" si="14"/>
        <v>0</v>
      </c>
      <c r="V84" s="4150">
        <f t="shared" si="14"/>
        <v>0</v>
      </c>
    </row>
    <row r="85" spans="2:25">
      <c r="B85" s="323"/>
      <c r="C85" s="3593" t="s">
        <v>207</v>
      </c>
      <c r="D85" s="324">
        <v>0</v>
      </c>
      <c r="E85" s="323" t="s">
        <v>181</v>
      </c>
      <c r="F85" s="323" t="s">
        <v>257</v>
      </c>
      <c r="G85" s="320">
        <v>0</v>
      </c>
      <c r="H85" s="320">
        <v>0</v>
      </c>
      <c r="I85" s="3176">
        <f t="shared" si="19"/>
        <v>0</v>
      </c>
      <c r="J85" s="243"/>
      <c r="K85" s="243"/>
      <c r="L85" s="320"/>
      <c r="M85" s="278" t="e">
        <f t="shared" si="10"/>
        <v>#DIV/0!</v>
      </c>
      <c r="N85" s="278" t="e">
        <f t="shared" si="11"/>
        <v>#DIV/0!</v>
      </c>
      <c r="O85" s="3548">
        <f t="shared" si="12"/>
        <v>0</v>
      </c>
      <c r="P85" s="3548">
        <f t="shared" si="13"/>
        <v>0</v>
      </c>
      <c r="Q85" s="3548">
        <f>IF(K85=0, 0, (HLOOKUP(K85,'[4]E-CESTDWO'!$A$5:$O$35,J85+1,FALSE)*R35))</f>
        <v>0</v>
      </c>
      <c r="R85" s="3548">
        <f>IF(K85=0, 0, (HLOOKUP(K85,'[4]E-CESTD'!$A$5:$O$35,J85+1,FALSE)*R35))</f>
        <v>0</v>
      </c>
      <c r="S85" s="3592">
        <v>1.081</v>
      </c>
      <c r="T85" s="3499">
        <f t="shared" si="18"/>
        <v>0</v>
      </c>
      <c r="U85" s="4150">
        <f t="shared" si="14"/>
        <v>0</v>
      </c>
      <c r="V85" s="4150">
        <f t="shared" si="14"/>
        <v>0</v>
      </c>
    </row>
    <row r="86" spans="2:25">
      <c r="B86" s="323"/>
      <c r="C86" s="3593" t="s">
        <v>208</v>
      </c>
      <c r="D86" s="324">
        <v>0</v>
      </c>
      <c r="E86" s="323" t="s">
        <v>181</v>
      </c>
      <c r="F86" s="323" t="s">
        <v>257</v>
      </c>
      <c r="G86" s="320">
        <v>0</v>
      </c>
      <c r="H86" s="320">
        <v>0</v>
      </c>
      <c r="I86" s="3176">
        <f t="shared" si="19"/>
        <v>0</v>
      </c>
      <c r="J86" s="243"/>
      <c r="K86" s="243"/>
      <c r="L86" s="320"/>
      <c r="M86" s="278" t="e">
        <f t="shared" si="10"/>
        <v>#DIV/0!</v>
      </c>
      <c r="N86" s="278" t="e">
        <f t="shared" si="11"/>
        <v>#DIV/0!</v>
      </c>
      <c r="O86" s="3548">
        <f t="shared" si="12"/>
        <v>0</v>
      </c>
      <c r="P86" s="3548">
        <f t="shared" si="13"/>
        <v>0</v>
      </c>
      <c r="Q86" s="3548">
        <f>IF(K86=0, 0, (HLOOKUP(K86,'[4]E-CESTDWO'!$A$5:$O$35,J86+1,FALSE)*R36))</f>
        <v>0</v>
      </c>
      <c r="R86" s="3548">
        <f>IF(K86=0, 0, (HLOOKUP(K86,'[4]E-CESTD'!$A$5:$O$35,J86+1,FALSE)*R36))</f>
        <v>0</v>
      </c>
      <c r="S86" s="3592">
        <v>1.081</v>
      </c>
      <c r="T86" s="3499">
        <f t="shared" si="18"/>
        <v>0</v>
      </c>
      <c r="U86" s="4150">
        <f t="shared" si="14"/>
        <v>0</v>
      </c>
      <c r="V86" s="4150">
        <f t="shared" si="14"/>
        <v>0</v>
      </c>
    </row>
    <row r="87" spans="2:25">
      <c r="B87" s="323"/>
      <c r="C87" s="3593" t="s">
        <v>209</v>
      </c>
      <c r="D87" s="324">
        <v>0</v>
      </c>
      <c r="E87" s="323" t="s">
        <v>181</v>
      </c>
      <c r="F87" s="323" t="s">
        <v>257</v>
      </c>
      <c r="G87" s="320">
        <v>0</v>
      </c>
      <c r="H87" s="320">
        <v>0</v>
      </c>
      <c r="I87" s="3176">
        <f t="shared" si="19"/>
        <v>0</v>
      </c>
      <c r="J87" s="243"/>
      <c r="K87" s="243"/>
      <c r="L87" s="320"/>
      <c r="M87" s="278" t="e">
        <f t="shared" si="10"/>
        <v>#DIV/0!</v>
      </c>
      <c r="N87" s="278" t="e">
        <f t="shared" si="11"/>
        <v>#DIV/0!</v>
      </c>
      <c r="O87" s="3548">
        <f t="shared" si="12"/>
        <v>0</v>
      </c>
      <c r="P87" s="3548">
        <f t="shared" si="13"/>
        <v>0</v>
      </c>
      <c r="Q87" s="3548">
        <f>IF(K87=0, 0, (HLOOKUP(K87,'[4]E-CESTDWO'!$A$5:$O$35,J87+1,FALSE)*R37))</f>
        <v>0</v>
      </c>
      <c r="R87" s="3548">
        <f>IF(K87=0, 0, (HLOOKUP(K87,'[4]E-CESTD'!$A$5:$O$35,J87+1,FALSE)*R37))</f>
        <v>0</v>
      </c>
      <c r="S87" s="3592">
        <v>1.081</v>
      </c>
      <c r="T87" s="3499">
        <f t="shared" si="18"/>
        <v>0</v>
      </c>
      <c r="U87" s="4150">
        <f t="shared" si="14"/>
        <v>0</v>
      </c>
      <c r="V87" s="4150">
        <f t="shared" si="14"/>
        <v>0</v>
      </c>
    </row>
    <row r="88" spans="2:25">
      <c r="B88" s="323"/>
      <c r="C88" s="3593" t="s">
        <v>210</v>
      </c>
      <c r="D88" s="324">
        <v>0</v>
      </c>
      <c r="E88" s="323" t="s">
        <v>181</v>
      </c>
      <c r="F88" s="323" t="s">
        <v>257</v>
      </c>
      <c r="G88" s="320">
        <v>0</v>
      </c>
      <c r="H88" s="320">
        <v>0</v>
      </c>
      <c r="I88" s="3176">
        <f t="shared" si="19"/>
        <v>0</v>
      </c>
      <c r="J88" s="243"/>
      <c r="K88" s="243"/>
      <c r="L88" s="320"/>
      <c r="M88" s="278" t="e">
        <f t="shared" si="10"/>
        <v>#DIV/0!</v>
      </c>
      <c r="N88" s="278" t="e">
        <f t="shared" si="11"/>
        <v>#DIV/0!</v>
      </c>
      <c r="O88" s="3548">
        <f t="shared" si="12"/>
        <v>0</v>
      </c>
      <c r="P88" s="3548">
        <f t="shared" si="13"/>
        <v>0</v>
      </c>
      <c r="Q88" s="3548">
        <f>IF(K88=0, 0, (HLOOKUP(K88,'[4]E-CESTDWO'!$A$5:$O$35,J88+1,FALSE)*R38))</f>
        <v>0</v>
      </c>
      <c r="R88" s="3548">
        <f>IF(K88=0, 0, (HLOOKUP(K88,'[4]E-CESTD'!$A$5:$O$35,J88+1,FALSE)*R38))</f>
        <v>0</v>
      </c>
      <c r="S88" s="3592">
        <v>1.081</v>
      </c>
      <c r="T88" s="3499">
        <f t="shared" si="18"/>
        <v>0</v>
      </c>
      <c r="U88" s="4150">
        <f t="shared" si="14"/>
        <v>0</v>
      </c>
      <c r="V88" s="4150">
        <f t="shared" si="14"/>
        <v>0</v>
      </c>
    </row>
    <row r="89" spans="2:25">
      <c r="B89" s="323"/>
      <c r="C89" s="3593" t="s">
        <v>211</v>
      </c>
      <c r="D89" s="324">
        <v>0</v>
      </c>
      <c r="E89" s="323" t="s">
        <v>181</v>
      </c>
      <c r="F89" s="323" t="s">
        <v>257</v>
      </c>
      <c r="G89" s="320">
        <v>0</v>
      </c>
      <c r="H89" s="320">
        <v>0</v>
      </c>
      <c r="I89" s="3176">
        <f t="shared" si="19"/>
        <v>0</v>
      </c>
      <c r="J89" s="243"/>
      <c r="K89" s="243"/>
      <c r="L89" s="320"/>
      <c r="M89" s="278" t="e">
        <f t="shared" si="10"/>
        <v>#DIV/0!</v>
      </c>
      <c r="N89" s="278" t="e">
        <f t="shared" si="11"/>
        <v>#DIV/0!</v>
      </c>
      <c r="O89" s="3548">
        <f t="shared" si="12"/>
        <v>0</v>
      </c>
      <c r="P89" s="3548">
        <f t="shared" si="13"/>
        <v>0</v>
      </c>
      <c r="Q89" s="3548">
        <f>IF(K89=0, 0, (HLOOKUP(K89,'[4]E-CESTDWO'!$A$5:$O$35,J89+1,FALSE)*R39))</f>
        <v>0</v>
      </c>
      <c r="R89" s="3548">
        <f>IF(K89=0, 0, (HLOOKUP(K89,'[4]E-CESTD'!$A$5:$O$35,J89+1,FALSE)*R39))</f>
        <v>0</v>
      </c>
      <c r="S89" s="3592">
        <v>1.081</v>
      </c>
      <c r="T89" s="3499">
        <f t="shared" si="18"/>
        <v>0</v>
      </c>
      <c r="U89" s="4150">
        <f t="shared" si="14"/>
        <v>0</v>
      </c>
      <c r="V89" s="4150">
        <f t="shared" si="14"/>
        <v>0</v>
      </c>
    </row>
    <row r="90" spans="2:25">
      <c r="B90" s="323"/>
      <c r="C90" s="3593" t="s">
        <v>212</v>
      </c>
      <c r="D90" s="324">
        <v>0</v>
      </c>
      <c r="E90" s="323" t="s">
        <v>181</v>
      </c>
      <c r="F90" s="323" t="s">
        <v>186</v>
      </c>
      <c r="G90" s="320">
        <v>0</v>
      </c>
      <c r="H90" s="320">
        <v>0</v>
      </c>
      <c r="I90" s="3176">
        <f t="shared" si="19"/>
        <v>0</v>
      </c>
      <c r="J90" s="243"/>
      <c r="K90" s="243"/>
      <c r="L90" s="320"/>
      <c r="M90" s="278" t="e">
        <f t="shared" si="10"/>
        <v>#DIV/0!</v>
      </c>
      <c r="N90" s="278" t="e">
        <f t="shared" si="11"/>
        <v>#DIV/0!</v>
      </c>
      <c r="O90" s="3548">
        <f t="shared" si="12"/>
        <v>0</v>
      </c>
      <c r="P90" s="3548">
        <f t="shared" si="13"/>
        <v>0</v>
      </c>
      <c r="Q90" s="3548">
        <f>IF(K90=0, 0, (HLOOKUP(K90,'[4]E-CESTDWO'!$A$5:$O$35,J90+1,FALSE)*R40))</f>
        <v>0</v>
      </c>
      <c r="R90" s="3548">
        <f>IF(K90=0, 0, (HLOOKUP(K90,'[4]E-CESTD'!$A$5:$O$35,J90+1,FALSE)*R40))</f>
        <v>0</v>
      </c>
      <c r="S90" s="3592">
        <v>1.081</v>
      </c>
      <c r="T90" s="3499">
        <f t="shared" si="18"/>
        <v>0</v>
      </c>
      <c r="U90" s="4150">
        <f t="shared" si="14"/>
        <v>0</v>
      </c>
      <c r="V90" s="4150">
        <f t="shared" si="14"/>
        <v>0</v>
      </c>
    </row>
    <row r="91" spans="2:25">
      <c r="B91" s="323" t="s">
        <v>7</v>
      </c>
      <c r="C91" s="3593" t="s">
        <v>213</v>
      </c>
      <c r="D91" s="325">
        <v>0</v>
      </c>
      <c r="E91" s="243" t="s">
        <v>181</v>
      </c>
      <c r="F91" s="243" t="s">
        <v>232</v>
      </c>
      <c r="G91" s="320">
        <v>0</v>
      </c>
      <c r="H91" s="320">
        <v>0</v>
      </c>
      <c r="I91" s="3176">
        <f t="shared" si="19"/>
        <v>0</v>
      </c>
      <c r="J91" s="243"/>
      <c r="K91" s="243"/>
      <c r="L91" s="320"/>
      <c r="M91" s="278" t="e">
        <f t="shared" si="10"/>
        <v>#DIV/0!</v>
      </c>
      <c r="N91" s="278" t="e">
        <f t="shared" si="11"/>
        <v>#DIV/0!</v>
      </c>
      <c r="O91" s="3548">
        <f t="shared" si="12"/>
        <v>0</v>
      </c>
      <c r="P91" s="3548">
        <f t="shared" si="13"/>
        <v>0</v>
      </c>
      <c r="Q91" s="3548">
        <f>IF(K91=0, 0, (HLOOKUP(K91,'[4]E-CESTDWO'!$A$5:$O$35,J91+1,FALSE)*R41))</f>
        <v>0</v>
      </c>
      <c r="R91" s="3548">
        <f>IF(K91=0, 0, (HLOOKUP(K91,'[4]E-CESTD'!$A$5:$O$35,J91+1,FALSE)*R41))</f>
        <v>0</v>
      </c>
      <c r="S91" s="3592">
        <v>1.081</v>
      </c>
      <c r="T91" s="3499">
        <f t="shared" si="18"/>
        <v>0</v>
      </c>
      <c r="U91" s="4150">
        <f t="shared" si="14"/>
        <v>0</v>
      </c>
      <c r="V91" s="4150">
        <f t="shared" si="14"/>
        <v>0</v>
      </c>
    </row>
    <row r="92" spans="2:25">
      <c r="B92" s="323" t="s">
        <v>7</v>
      </c>
      <c r="C92" s="3593" t="s">
        <v>214</v>
      </c>
      <c r="D92" s="323">
        <v>0</v>
      </c>
      <c r="E92" s="323" t="s">
        <v>181</v>
      </c>
      <c r="F92" s="323" t="s">
        <v>232</v>
      </c>
      <c r="G92" s="320">
        <v>0</v>
      </c>
      <c r="H92" s="320">
        <v>0</v>
      </c>
      <c r="I92" s="3176">
        <f t="shared" si="19"/>
        <v>0</v>
      </c>
      <c r="J92" s="323"/>
      <c r="K92" s="243"/>
      <c r="L92" s="320"/>
      <c r="M92" s="278" t="e">
        <f t="shared" si="10"/>
        <v>#DIV/0!</v>
      </c>
      <c r="N92" s="278" t="e">
        <f t="shared" si="11"/>
        <v>#DIV/0!</v>
      </c>
      <c r="O92" s="3548">
        <f t="shared" si="12"/>
        <v>0</v>
      </c>
      <c r="P92" s="3548">
        <f t="shared" si="13"/>
        <v>0</v>
      </c>
      <c r="Q92" s="3548">
        <f>IF(K92=0, 0, (HLOOKUP(K92,'[4]E-CESTDWO'!$A$5:$O$35,J92+1,FALSE)*R42))</f>
        <v>0</v>
      </c>
      <c r="R92" s="3548">
        <f>IF(K92=0, 0, (HLOOKUP(K92,'[4]E-CESTD'!$A$5:$O$35,J92+1,FALSE)*R42))</f>
        <v>0</v>
      </c>
      <c r="S92" s="3592">
        <v>1.081</v>
      </c>
      <c r="T92" s="3499">
        <f t="shared" si="18"/>
        <v>0</v>
      </c>
      <c r="U92" s="4150">
        <f t="shared" si="14"/>
        <v>0</v>
      </c>
      <c r="V92" s="4150">
        <f t="shared" si="14"/>
        <v>0</v>
      </c>
    </row>
    <row r="93" spans="2:25">
      <c r="B93" s="323" t="s">
        <v>7</v>
      </c>
      <c r="C93" s="3593" t="s">
        <v>215</v>
      </c>
      <c r="D93" s="323">
        <v>0</v>
      </c>
      <c r="E93" s="323" t="s">
        <v>181</v>
      </c>
      <c r="F93" s="323" t="s">
        <v>232</v>
      </c>
      <c r="G93" s="326">
        <v>0</v>
      </c>
      <c r="H93" s="326">
        <v>0</v>
      </c>
      <c r="I93" s="3176">
        <f t="shared" si="19"/>
        <v>0</v>
      </c>
      <c r="J93" s="323"/>
      <c r="K93" s="243"/>
      <c r="L93" s="320"/>
      <c r="M93" s="278" t="e">
        <f t="shared" si="10"/>
        <v>#DIV/0!</v>
      </c>
      <c r="N93" s="278" t="e">
        <f t="shared" si="11"/>
        <v>#DIV/0!</v>
      </c>
      <c r="O93" s="3548">
        <f t="shared" si="12"/>
        <v>0</v>
      </c>
      <c r="P93" s="3548">
        <f t="shared" si="13"/>
        <v>0</v>
      </c>
      <c r="Q93" s="3548">
        <f>IF(K93=0, 0, (HLOOKUP(K93,'[4]E-CESTDWO'!$A$5:$O$35,J93+1,FALSE)*R43))</f>
        <v>0</v>
      </c>
      <c r="R93" s="3548">
        <f>IF(K93=0, 0, (HLOOKUP(K93,'[4]E-CESTD'!$A$5:$O$35,J93+1,FALSE)*R43))</f>
        <v>0</v>
      </c>
      <c r="S93" s="3592">
        <v>1.081</v>
      </c>
      <c r="T93" s="3499">
        <f t="shared" si="18"/>
        <v>0</v>
      </c>
      <c r="U93" s="4150">
        <f t="shared" si="14"/>
        <v>0</v>
      </c>
      <c r="V93" s="4150">
        <f t="shared" si="14"/>
        <v>0</v>
      </c>
    </row>
    <row r="94" spans="2:25">
      <c r="B94" s="323" t="s">
        <v>7</v>
      </c>
      <c r="C94" s="3593" t="s">
        <v>216</v>
      </c>
      <c r="D94" s="323">
        <v>0</v>
      </c>
      <c r="E94" s="323" t="s">
        <v>181</v>
      </c>
      <c r="F94" s="323" t="s">
        <v>186</v>
      </c>
      <c r="G94" s="326">
        <v>0</v>
      </c>
      <c r="H94" s="326">
        <v>0</v>
      </c>
      <c r="I94" s="3176">
        <f t="shared" si="19"/>
        <v>0</v>
      </c>
      <c r="J94" s="323"/>
      <c r="K94" s="323"/>
      <c r="L94" s="320"/>
      <c r="M94" s="278" t="e">
        <f t="shared" si="10"/>
        <v>#DIV/0!</v>
      </c>
      <c r="N94" s="278" t="e">
        <f t="shared" si="11"/>
        <v>#DIV/0!</v>
      </c>
      <c r="O94" s="3548">
        <f t="shared" si="12"/>
        <v>0</v>
      </c>
      <c r="P94" s="3548">
        <f t="shared" si="13"/>
        <v>0</v>
      </c>
      <c r="Q94" s="3548">
        <f>IF(K94=0, 0, (HLOOKUP(K94,'[4]E-CESTDWO'!$A$5:$O$35,J94+1,FALSE)*R44))</f>
        <v>0</v>
      </c>
      <c r="R94" s="3548">
        <f>IF(K94=0, 0, (HLOOKUP(K94,'[4]E-CESTD'!$A$5:$O$35,J94+1,FALSE)*R44))</f>
        <v>0</v>
      </c>
      <c r="S94" s="3592">
        <v>1.081</v>
      </c>
      <c r="T94" s="3499">
        <f t="shared" si="18"/>
        <v>0</v>
      </c>
      <c r="U94" s="4150">
        <f t="shared" si="14"/>
        <v>0</v>
      </c>
      <c r="V94" s="4150">
        <f t="shared" si="14"/>
        <v>0</v>
      </c>
    </row>
    <row r="95" spans="2:25">
      <c r="B95" s="323" t="s">
        <v>7</v>
      </c>
      <c r="C95" s="3593" t="s">
        <v>217</v>
      </c>
      <c r="D95" s="323">
        <v>0</v>
      </c>
      <c r="E95" s="323" t="s">
        <v>181</v>
      </c>
      <c r="F95" s="323" t="s">
        <v>182</v>
      </c>
      <c r="G95" s="326">
        <v>0</v>
      </c>
      <c r="H95" s="326">
        <v>0</v>
      </c>
      <c r="I95" s="3176">
        <f t="shared" si="19"/>
        <v>0</v>
      </c>
      <c r="J95" s="323"/>
      <c r="K95" s="323"/>
      <c r="L95" s="320"/>
      <c r="M95" s="278" t="e">
        <f t="shared" si="10"/>
        <v>#DIV/0!</v>
      </c>
      <c r="N95" s="278" t="e">
        <f t="shared" si="11"/>
        <v>#DIV/0!</v>
      </c>
      <c r="O95" s="3548">
        <f t="shared" si="12"/>
        <v>0</v>
      </c>
      <c r="P95" s="3548">
        <f t="shared" si="13"/>
        <v>0</v>
      </c>
      <c r="Q95" s="3548">
        <f>IF(K95=0, 0, (HLOOKUP(K95,'[4]E-CESTDWO'!$A$5:$O$35,J95+1,FALSE)*R45))</f>
        <v>0</v>
      </c>
      <c r="R95" s="3548">
        <f>IF(K95=0, 0, (HLOOKUP(K95,'[4]E-CESTD'!$A$5:$O$35,J95+1,FALSE)*R45))</f>
        <v>0</v>
      </c>
      <c r="S95" s="3592">
        <v>1.081</v>
      </c>
      <c r="T95" s="3499">
        <f t="shared" si="18"/>
        <v>0</v>
      </c>
      <c r="U95" s="4150">
        <f t="shared" si="14"/>
        <v>0</v>
      </c>
      <c r="V95" s="4150">
        <f t="shared" si="14"/>
        <v>0</v>
      </c>
    </row>
    <row r="96" spans="2:25">
      <c r="B96" s="323" t="s">
        <v>7</v>
      </c>
      <c r="C96" s="3593" t="s">
        <v>218</v>
      </c>
      <c r="D96" s="323">
        <v>0</v>
      </c>
      <c r="E96" s="323" t="s">
        <v>181</v>
      </c>
      <c r="F96" s="323" t="s">
        <v>257</v>
      </c>
      <c r="G96" s="320">
        <v>0</v>
      </c>
      <c r="H96" s="320">
        <v>0</v>
      </c>
      <c r="I96" s="3176">
        <f t="shared" si="19"/>
        <v>0</v>
      </c>
      <c r="J96" s="323"/>
      <c r="K96" s="323"/>
      <c r="L96" s="320"/>
      <c r="M96" s="278" t="e">
        <f t="shared" si="10"/>
        <v>#DIV/0!</v>
      </c>
      <c r="N96" s="278" t="e">
        <f t="shared" si="11"/>
        <v>#DIV/0!</v>
      </c>
      <c r="O96" s="3548">
        <f t="shared" si="12"/>
        <v>0</v>
      </c>
      <c r="P96" s="3548">
        <f t="shared" si="13"/>
        <v>0</v>
      </c>
      <c r="Q96" s="3548">
        <f>IF(K96=0, 0, (HLOOKUP(K96,'[4]E-CESTDWO'!$A$5:$O$35,J96+1,FALSE)*R46))</f>
        <v>0</v>
      </c>
      <c r="R96" s="3548">
        <f>IF(K96=0, 0, (HLOOKUP(K96,'[4]E-CESTD'!$A$5:$O$35,J96+1,FALSE)*R46))</f>
        <v>0</v>
      </c>
      <c r="S96" s="3592">
        <v>1.081</v>
      </c>
      <c r="T96" s="3499">
        <f t="shared" si="18"/>
        <v>0</v>
      </c>
      <c r="U96" s="4150">
        <f t="shared" si="14"/>
        <v>0</v>
      </c>
      <c r="V96" s="4150">
        <f t="shared" si="14"/>
        <v>0</v>
      </c>
    </row>
    <row r="97" spans="2:22">
      <c r="B97" s="323" t="s">
        <v>7</v>
      </c>
      <c r="C97" s="3593" t="s">
        <v>219</v>
      </c>
      <c r="D97" s="323">
        <v>0</v>
      </c>
      <c r="E97" s="323" t="s">
        <v>181</v>
      </c>
      <c r="F97" s="323" t="s">
        <v>257</v>
      </c>
      <c r="G97" s="320">
        <v>0</v>
      </c>
      <c r="H97" s="320">
        <v>0</v>
      </c>
      <c r="I97" s="3176">
        <f t="shared" si="19"/>
        <v>0</v>
      </c>
      <c r="J97" s="323"/>
      <c r="K97" s="323"/>
      <c r="L97" s="320"/>
      <c r="M97" s="278" t="e">
        <f t="shared" si="10"/>
        <v>#DIV/0!</v>
      </c>
      <c r="N97" s="278" t="e">
        <f t="shared" si="11"/>
        <v>#DIV/0!</v>
      </c>
      <c r="O97" s="3548">
        <f t="shared" si="12"/>
        <v>0</v>
      </c>
      <c r="P97" s="3548">
        <f t="shared" si="13"/>
        <v>0</v>
      </c>
      <c r="Q97" s="3548">
        <f>IF(K97=0, 0, (HLOOKUP(K97,'[4]E-CESTDWO'!$A$5:$O$35,J97+1,FALSE)*R47))</f>
        <v>0</v>
      </c>
      <c r="R97" s="3548">
        <f>IF(K97=0, 0, (HLOOKUP(K97,'[4]E-CESTD'!$A$5:$O$35,J97+1,FALSE)*R47))</f>
        <v>0</v>
      </c>
      <c r="S97" s="3592">
        <v>1.081</v>
      </c>
      <c r="T97" s="3499">
        <f t="shared" si="18"/>
        <v>0</v>
      </c>
      <c r="U97" s="4150">
        <f t="shared" si="14"/>
        <v>0</v>
      </c>
      <c r="V97" s="4150">
        <f t="shared" si="14"/>
        <v>0</v>
      </c>
    </row>
    <row r="98" spans="2:22">
      <c r="B98" s="3593" t="s">
        <v>7</v>
      </c>
      <c r="C98" s="3593" t="s">
        <v>220</v>
      </c>
      <c r="D98" s="323">
        <v>0</v>
      </c>
      <c r="E98" s="323" t="s">
        <v>181</v>
      </c>
      <c r="F98" s="323" t="s">
        <v>257</v>
      </c>
      <c r="G98" s="320">
        <v>0</v>
      </c>
      <c r="H98" s="320">
        <v>0</v>
      </c>
      <c r="I98" s="3176">
        <f t="shared" si="19"/>
        <v>0</v>
      </c>
      <c r="J98" s="3593"/>
      <c r="K98" s="323"/>
      <c r="L98" s="320"/>
      <c r="M98" s="278" t="e">
        <f t="shared" si="10"/>
        <v>#DIV/0!</v>
      </c>
      <c r="N98" s="278" t="e">
        <f t="shared" si="11"/>
        <v>#DIV/0!</v>
      </c>
      <c r="O98" s="3548">
        <f t="shared" si="12"/>
        <v>0</v>
      </c>
      <c r="P98" s="3548">
        <f t="shared" si="13"/>
        <v>0</v>
      </c>
      <c r="Q98" s="3548">
        <f>IF(K98=0, 0, (HLOOKUP(K98,'[4]E-CESTDWO'!$A$5:$O$35,J98+1,FALSE)*R48))</f>
        <v>0</v>
      </c>
      <c r="R98" s="3548">
        <f>IF(K98=0, 0, (HLOOKUP(K98,'[4]E-CESTD'!$A$5:$O$35,J98+1,FALSE)*R48))</f>
        <v>0</v>
      </c>
      <c r="S98" s="3592">
        <v>1.081</v>
      </c>
      <c r="T98" s="3499">
        <f t="shared" si="18"/>
        <v>0</v>
      </c>
      <c r="U98" s="4150">
        <f t="shared" si="14"/>
        <v>0</v>
      </c>
      <c r="V98" s="4150">
        <f t="shared" si="14"/>
        <v>0</v>
      </c>
    </row>
    <row r="99" spans="2:22">
      <c r="B99" s="3593"/>
      <c r="C99" s="3593" t="s">
        <v>221</v>
      </c>
      <c r="D99" s="3595">
        <v>0</v>
      </c>
      <c r="E99" s="3593" t="s">
        <v>181</v>
      </c>
      <c r="F99" s="3593" t="s">
        <v>186</v>
      </c>
      <c r="G99" s="3594"/>
      <c r="H99" s="3594"/>
      <c r="I99" s="4156">
        <v>0</v>
      </c>
      <c r="J99" s="3574"/>
      <c r="K99" s="3574"/>
      <c r="L99" s="3594"/>
      <c r="M99" s="278" t="e">
        <f t="shared" si="10"/>
        <v>#DIV/0!</v>
      </c>
      <c r="N99" s="278" t="e">
        <f t="shared" si="11"/>
        <v>#DIV/0!</v>
      </c>
      <c r="O99" s="3548">
        <f t="shared" si="12"/>
        <v>0</v>
      </c>
      <c r="P99" s="3548">
        <f t="shared" si="13"/>
        <v>0</v>
      </c>
      <c r="Q99" s="3548">
        <f>IF(K99=0, 0, (HLOOKUP(K99,'[4]E-CESTDWO'!$A$5:$O$35,J99+1,FALSE)*R49))</f>
        <v>0</v>
      </c>
      <c r="R99" s="3548">
        <f>IF(K99=0, 0, (HLOOKUP(K99,'[4]E-CESTD'!$A$5:$O$35,J99+1,FALSE)*R49))</f>
        <v>0</v>
      </c>
      <c r="S99" s="3592">
        <v>1.081</v>
      </c>
      <c r="T99" s="3499">
        <f t="shared" si="18"/>
        <v>0</v>
      </c>
      <c r="U99" s="4150">
        <f t="shared" si="14"/>
        <v>0</v>
      </c>
      <c r="V99" s="4150">
        <f t="shared" si="14"/>
        <v>0</v>
      </c>
    </row>
    <row r="100" spans="2:22">
      <c r="B100" s="3593"/>
      <c r="C100" s="3593" t="s">
        <v>222</v>
      </c>
      <c r="D100" s="3595">
        <v>0</v>
      </c>
      <c r="E100" s="3593" t="s">
        <v>181</v>
      </c>
      <c r="F100" s="3593" t="s">
        <v>186</v>
      </c>
      <c r="G100" s="3594"/>
      <c r="H100" s="3594"/>
      <c r="I100" s="4156">
        <v>0</v>
      </c>
      <c r="J100" s="3574"/>
      <c r="K100" s="3574"/>
      <c r="L100" s="3594"/>
      <c r="M100" s="278" t="e">
        <f t="shared" si="10"/>
        <v>#DIV/0!</v>
      </c>
      <c r="N100" s="278" t="e">
        <f t="shared" si="11"/>
        <v>#DIV/0!</v>
      </c>
      <c r="O100" s="3548">
        <f t="shared" si="12"/>
        <v>0</v>
      </c>
      <c r="P100" s="3548">
        <f t="shared" si="13"/>
        <v>0</v>
      </c>
      <c r="Q100" s="3548">
        <f>IF(K100=0, 0, (HLOOKUP(K100,'[4]E-CESTDWO'!$A$5:$O$35,J100+1,FALSE)*R50))</f>
        <v>0</v>
      </c>
      <c r="R100" s="3548">
        <f>IF(K100=0, 0, (HLOOKUP(K100,'[4]E-CESTD'!$A$5:$O$35,J100+1,FALSE)*R50))</f>
        <v>0</v>
      </c>
      <c r="S100" s="3592">
        <v>1.081</v>
      </c>
      <c r="T100" s="3499">
        <f t="shared" si="18"/>
        <v>0</v>
      </c>
      <c r="U100" s="4150">
        <f t="shared" si="14"/>
        <v>0</v>
      </c>
      <c r="V100" s="4150">
        <f t="shared" si="14"/>
        <v>0</v>
      </c>
    </row>
    <row r="101" spans="2:22">
      <c r="B101" s="3593"/>
      <c r="C101" s="3593" t="s">
        <v>223</v>
      </c>
      <c r="D101" s="3595">
        <v>0</v>
      </c>
      <c r="E101" s="3593" t="s">
        <v>181</v>
      </c>
      <c r="F101" s="3593" t="s">
        <v>186</v>
      </c>
      <c r="G101" s="3594"/>
      <c r="H101" s="3594"/>
      <c r="I101" s="4156">
        <v>0</v>
      </c>
      <c r="J101" s="3574"/>
      <c r="K101" s="3574"/>
      <c r="L101" s="3594"/>
      <c r="M101" s="278" t="e">
        <f t="shared" si="10"/>
        <v>#DIV/0!</v>
      </c>
      <c r="N101" s="278" t="e">
        <f t="shared" si="11"/>
        <v>#DIV/0!</v>
      </c>
      <c r="O101" s="3548">
        <f t="shared" si="12"/>
        <v>0</v>
      </c>
      <c r="P101" s="3548">
        <f t="shared" si="13"/>
        <v>0</v>
      </c>
      <c r="Q101" s="3548">
        <f>IF(K101=0, 0, (HLOOKUP(K101,'[4]E-CESTDWO'!$A$5:$O$35,J101+1,FALSE)*R51))</f>
        <v>0</v>
      </c>
      <c r="R101" s="3548">
        <f>IF(K101=0, 0, (HLOOKUP(K101,'[4]E-CESTD'!$A$5:$O$35,J101+1,FALSE)*R51))</f>
        <v>0</v>
      </c>
      <c r="S101" s="3592">
        <v>1.081</v>
      </c>
      <c r="T101" s="3499">
        <f t="shared" si="18"/>
        <v>0</v>
      </c>
      <c r="U101" s="4150">
        <f t="shared" si="14"/>
        <v>0</v>
      </c>
      <c r="V101" s="4150">
        <f t="shared" si="14"/>
        <v>0</v>
      </c>
    </row>
    <row r="102" spans="2:22">
      <c r="B102" s="3593"/>
      <c r="C102" s="3593" t="s">
        <v>224</v>
      </c>
      <c r="D102" s="3595">
        <v>0</v>
      </c>
      <c r="E102" s="3593" t="s">
        <v>181</v>
      </c>
      <c r="F102" s="3593" t="s">
        <v>186</v>
      </c>
      <c r="G102" s="3594"/>
      <c r="H102" s="3594"/>
      <c r="I102" s="4156">
        <v>0</v>
      </c>
      <c r="J102" s="3574"/>
      <c r="K102" s="3574"/>
      <c r="L102" s="3594"/>
      <c r="M102" s="278" t="e">
        <f t="shared" si="10"/>
        <v>#DIV/0!</v>
      </c>
      <c r="N102" s="278" t="e">
        <f t="shared" si="11"/>
        <v>#DIV/0!</v>
      </c>
      <c r="O102" s="3548">
        <f t="shared" si="12"/>
        <v>0</v>
      </c>
      <c r="P102" s="3548">
        <f t="shared" si="13"/>
        <v>0</v>
      </c>
      <c r="Q102" s="3548">
        <f>IF(K102=0, 0, (HLOOKUP(K102,'[4]E-CESTDWO'!$A$5:$O$35,J102+1,FALSE)*R52))</f>
        <v>0</v>
      </c>
      <c r="R102" s="3548">
        <f>IF(K102=0, 0, (HLOOKUP(K102,'[4]E-CESTD'!$A$5:$O$35,J102+1,FALSE)*R52))</f>
        <v>0</v>
      </c>
      <c r="S102" s="3592">
        <v>1.081</v>
      </c>
      <c r="T102" s="3499">
        <f t="shared" si="18"/>
        <v>0</v>
      </c>
      <c r="U102" s="4150">
        <f t="shared" si="14"/>
        <v>0</v>
      </c>
      <c r="V102" s="4150">
        <f t="shared" si="14"/>
        <v>0</v>
      </c>
    </row>
    <row r="103" spans="2:22">
      <c r="B103" s="3593"/>
      <c r="C103" s="3593" t="s">
        <v>225</v>
      </c>
      <c r="D103" s="3595">
        <v>0</v>
      </c>
      <c r="E103" s="3593" t="s">
        <v>181</v>
      </c>
      <c r="F103" s="3593" t="s">
        <v>186</v>
      </c>
      <c r="G103" s="3594"/>
      <c r="H103" s="3594"/>
      <c r="I103" s="4156">
        <v>0</v>
      </c>
      <c r="J103" s="3574"/>
      <c r="K103" s="3574"/>
      <c r="L103" s="3594"/>
      <c r="M103" s="278" t="e">
        <f t="shared" si="10"/>
        <v>#DIV/0!</v>
      </c>
      <c r="N103" s="278" t="e">
        <f t="shared" si="11"/>
        <v>#DIV/0!</v>
      </c>
      <c r="O103" s="3548">
        <f t="shared" si="12"/>
        <v>0</v>
      </c>
      <c r="P103" s="3548">
        <f t="shared" si="13"/>
        <v>0</v>
      </c>
      <c r="Q103" s="3548">
        <f>IF(K103=0, 0, (HLOOKUP(K103,'[4]E-CESTDWO'!$A$5:$O$35,J103+1,FALSE)*R53))</f>
        <v>0</v>
      </c>
      <c r="R103" s="3548">
        <f>IF(K103=0, 0, (HLOOKUP(K103,'[4]E-CESTD'!$A$5:$O$35,J103+1,FALSE)*R53))</f>
        <v>0</v>
      </c>
      <c r="S103" s="3592">
        <v>1.081</v>
      </c>
      <c r="T103" s="3499">
        <f t="shared" si="18"/>
        <v>0</v>
      </c>
      <c r="U103" s="4150">
        <f t="shared" si="14"/>
        <v>0</v>
      </c>
      <c r="V103" s="4150">
        <f t="shared" si="14"/>
        <v>0</v>
      </c>
    </row>
    <row r="104" spans="2:22" ht="13.5" thickBot="1">
      <c r="B104" s="3593"/>
      <c r="C104" s="3593" t="s">
        <v>226</v>
      </c>
      <c r="D104" s="3595">
        <v>0</v>
      </c>
      <c r="E104" s="3593" t="s">
        <v>181</v>
      </c>
      <c r="F104" s="3593" t="s">
        <v>186</v>
      </c>
      <c r="G104" s="3594"/>
      <c r="H104" s="3594"/>
      <c r="I104" s="4156">
        <v>0</v>
      </c>
      <c r="J104" s="3574"/>
      <c r="K104" s="3574"/>
      <c r="L104" s="3594"/>
      <c r="M104" s="278" t="e">
        <f t="shared" si="10"/>
        <v>#DIV/0!</v>
      </c>
      <c r="N104" s="278" t="e">
        <f t="shared" si="11"/>
        <v>#DIV/0!</v>
      </c>
      <c r="O104" s="3548">
        <f t="shared" si="12"/>
        <v>0</v>
      </c>
      <c r="P104" s="3548">
        <f t="shared" si="13"/>
        <v>0</v>
      </c>
      <c r="Q104" s="3548">
        <f>IF(K104=0, 0, (HLOOKUP(K104,'[4]E-CESTDWO'!$A$5:$O$35,J104+1,FALSE)*R54))</f>
        <v>0</v>
      </c>
      <c r="R104" s="3548">
        <f>IF(K104=0, 0, (HLOOKUP(K104,'[4]E-CESTD'!$A$5:$O$35,J104+1,FALSE)*R54))</f>
        <v>0</v>
      </c>
      <c r="S104" s="3592">
        <v>1.081</v>
      </c>
      <c r="T104" s="3499">
        <f t="shared" si="18"/>
        <v>0</v>
      </c>
      <c r="U104" s="4150">
        <f t="shared" si="14"/>
        <v>0</v>
      </c>
      <c r="V104" s="4150">
        <f t="shared" si="14"/>
        <v>0</v>
      </c>
    </row>
    <row r="105" spans="2:22" ht="13.5" thickBot="1">
      <c r="G105" s="3596">
        <f>SUMPRODUCT(G63:G104,O13:O54)</f>
        <v>369675.7</v>
      </c>
      <c r="H105" s="3597">
        <f>V105</f>
        <v>369675.7</v>
      </c>
      <c r="I105" s="3598">
        <f>SUM(I63:I104)</f>
        <v>1</v>
      </c>
      <c r="J105" s="3599">
        <f>ROUND(SUMPRODUCT(J63:J104,R13:R54)/R55,0)</f>
        <v>15</v>
      </c>
      <c r="K105" s="3580"/>
      <c r="L105" s="304">
        <f>SUM(L63:L104)</f>
        <v>186780.82</v>
      </c>
      <c r="M105" s="290">
        <f>Q105/O105</f>
        <v>2.6911752696694355</v>
      </c>
      <c r="N105" s="278">
        <f t="shared" si="11"/>
        <v>3.2956970870414204</v>
      </c>
      <c r="O105" s="3602">
        <f>SUM(O63:O104)</f>
        <v>515155.06012950971</v>
      </c>
      <c r="P105" s="3602">
        <f>SUM(P63:P104)</f>
        <v>515155.06012950971</v>
      </c>
      <c r="Q105" s="3602">
        <f>SUM(Q63:Q104)</f>
        <v>1386372.5578656076</v>
      </c>
      <c r="R105" s="3602">
        <f>SUM(R63:R104)</f>
        <v>1525009.8136521685</v>
      </c>
      <c r="S105" s="3600">
        <v>1.081</v>
      </c>
      <c r="T105" s="3601">
        <f>SUM(T63:T104)</f>
        <v>0</v>
      </c>
      <c r="U105" s="3601">
        <f>SUM(U63:U104)</f>
        <v>369675.7</v>
      </c>
      <c r="V105" s="3601">
        <f>SUM(V63:V104)</f>
        <v>369675.7</v>
      </c>
    </row>
  </sheetData>
  <sheetProtection password="9E1F" sheet="1" objects="1" scenarios="1"/>
  <customSheetViews>
    <customSheetView guid="{074EB09C-6289-46D7-9513-012B68BCA7BF}">
      <pane xSplit="1" ySplit="1" topLeftCell="B2" activePane="bottomRight" state="frozen"/>
      <selection pane="bottomRight" activeCell="C26" sqref="C26"/>
      <pageMargins left="0.7" right="0.7" top="0.75" bottom="0.75" header="0.3" footer="0.3"/>
      <pageSetup orientation="portrait" r:id="rId1"/>
    </customSheetView>
    <customSheetView guid="{AF9F1D33-B8C2-423F-86A1-47612B8F532C}">
      <pane xSplit="1" ySplit="1" topLeftCell="B2" activePane="bottomRight" state="frozenSplit"/>
      <selection pane="bottomRight" activeCell="E48" sqref="E48:E49"/>
      <pageMargins left="0.7" right="0.7" top="0.75" bottom="0.75" header="0.3" footer="0.3"/>
    </customSheetView>
  </customSheetViews>
  <mergeCells count="16">
    <mergeCell ref="Q2:R2"/>
    <mergeCell ref="S2:U2"/>
    <mergeCell ref="V2:V3"/>
    <mergeCell ref="D10:E10"/>
    <mergeCell ref="I10:L10"/>
    <mergeCell ref="M10:N10"/>
    <mergeCell ref="B61:K61"/>
    <mergeCell ref="L61:R61"/>
    <mergeCell ref="S61:U61"/>
    <mergeCell ref="V61:X61"/>
    <mergeCell ref="C11:F11"/>
    <mergeCell ref="I11:L11"/>
    <mergeCell ref="M11:O11"/>
    <mergeCell ref="P11:R11"/>
    <mergeCell ref="I12:K12"/>
    <mergeCell ref="D60:H60"/>
  </mergeCells>
  <pageMargins left="0.7" right="0.2" top="0.35" bottom="0.34" header="0.3" footer="0.3"/>
  <pageSetup paperSize="3" scale="50" orientation="landscape" r:id="rId2"/>
  <drawing r:id="rId3"/>
  <legacyDrawing r:id="rId4"/>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sheetPr>
    <tabColor rgb="FF83AFB4"/>
    <pageSetUpPr fitToPage="1"/>
  </sheetPr>
  <dimension ref="B1:AA106"/>
  <sheetViews>
    <sheetView zoomScaleNormal="100" workbookViewId="0">
      <pane xSplit="1" ySplit="1" topLeftCell="B2" activePane="bottomRight" state="frozen"/>
      <selection pane="topRight" activeCell="B1" sqref="B1"/>
      <selection pane="bottomLeft" activeCell="A2" sqref="A2"/>
      <selection pane="bottomRight" activeCell="C27" sqref="C27"/>
    </sheetView>
  </sheetViews>
  <sheetFormatPr defaultColWidth="8.85546875" defaultRowHeight="12.75"/>
  <cols>
    <col min="1" max="1" width="15.85546875" style="3532" customWidth="1"/>
    <col min="2" max="2" width="24" style="3532" bestFit="1" customWidth="1"/>
    <col min="3" max="3" width="35.42578125" style="3532" customWidth="1"/>
    <col min="4" max="4" width="19.7109375" style="3533" bestFit="1" customWidth="1"/>
    <col min="5" max="5" width="17.140625" style="3532" bestFit="1" customWidth="1"/>
    <col min="6" max="6" width="19.85546875" style="3532" bestFit="1" customWidth="1"/>
    <col min="7" max="7" width="13.42578125" style="3532" customWidth="1"/>
    <col min="8" max="8" width="15.28515625" style="3532" bestFit="1" customWidth="1"/>
    <col min="9" max="9" width="14.140625" style="3532" bestFit="1" customWidth="1"/>
    <col min="10" max="10" width="15.28515625" style="3532" customWidth="1"/>
    <col min="11" max="11" width="15.85546875" style="3532" customWidth="1"/>
    <col min="12" max="12" width="17" style="3532" bestFit="1" customWidth="1"/>
    <col min="13" max="13" width="12.7109375" style="3532" customWidth="1"/>
    <col min="14" max="14" width="13.7109375" style="3532" customWidth="1"/>
    <col min="15" max="15" width="13.85546875" style="3532" bestFit="1" customWidth="1"/>
    <col min="16" max="16" width="15.42578125" style="3532" bestFit="1" customWidth="1"/>
    <col min="17" max="17" width="16.140625" style="3532" customWidth="1"/>
    <col min="18" max="18" width="16.7109375" style="3532" bestFit="1" customWidth="1"/>
    <col min="19" max="20" width="20.42578125" style="3532" bestFit="1" customWidth="1"/>
    <col min="21" max="21" width="16.42578125" style="3532" bestFit="1" customWidth="1"/>
    <col min="22" max="22" width="14.28515625" style="3532" customWidth="1"/>
    <col min="23" max="23" width="14.85546875" style="3532" bestFit="1" customWidth="1"/>
    <col min="24" max="24" width="13.42578125" style="3532" bestFit="1" customWidth="1"/>
    <col min="25" max="25" width="12.42578125" style="3532" bestFit="1" customWidth="1"/>
    <col min="26" max="26" width="14" style="3532" bestFit="1" customWidth="1"/>
    <col min="27" max="27" width="6" style="3532" bestFit="1" customWidth="1"/>
    <col min="28" max="28" width="15" style="3532" customWidth="1"/>
    <col min="29" max="29" width="14.85546875" style="3532" bestFit="1" customWidth="1"/>
    <col min="30" max="30" width="16.140625" style="3532" bestFit="1" customWidth="1"/>
    <col min="31" max="257" width="8.85546875" style="3532"/>
    <col min="258" max="258" width="24" style="3532" bestFit="1" customWidth="1"/>
    <col min="259" max="259" width="45.7109375" style="3532" bestFit="1" customWidth="1"/>
    <col min="260" max="260" width="19.7109375" style="3532" bestFit="1" customWidth="1"/>
    <col min="261" max="261" width="17.140625" style="3532" bestFit="1" customWidth="1"/>
    <col min="262" max="262" width="19.85546875" style="3532" bestFit="1" customWidth="1"/>
    <col min="263" max="263" width="13.42578125" style="3532" customWidth="1"/>
    <col min="264" max="264" width="15.28515625" style="3532" bestFit="1" customWidth="1"/>
    <col min="265" max="265" width="14.140625" style="3532" bestFit="1" customWidth="1"/>
    <col min="266" max="266" width="15.28515625" style="3532" customWidth="1"/>
    <col min="267" max="267" width="15.85546875" style="3532" customWidth="1"/>
    <col min="268" max="268" width="17" style="3532" bestFit="1" customWidth="1"/>
    <col min="269" max="269" width="12.7109375" style="3532" customWidth="1"/>
    <col min="270" max="270" width="13.7109375" style="3532" customWidth="1"/>
    <col min="271" max="271" width="13.85546875" style="3532" bestFit="1" customWidth="1"/>
    <col min="272" max="272" width="15.42578125" style="3532" bestFit="1" customWidth="1"/>
    <col min="273" max="273" width="16.140625" style="3532" customWidth="1"/>
    <col min="274" max="274" width="16.7109375" style="3532" bestFit="1" customWidth="1"/>
    <col min="275" max="276" width="20.42578125" style="3532" bestFit="1" customWidth="1"/>
    <col min="277" max="277" width="16.42578125" style="3532" bestFit="1" customWidth="1"/>
    <col min="278" max="278" width="14.28515625" style="3532" customWidth="1"/>
    <col min="279" max="279" width="14.85546875" style="3532" bestFit="1" customWidth="1"/>
    <col min="280" max="280" width="13.42578125" style="3532" bestFit="1" customWidth="1"/>
    <col min="281" max="281" width="12.42578125" style="3532" bestFit="1" customWidth="1"/>
    <col min="282" max="282" width="14" style="3532" bestFit="1" customWidth="1"/>
    <col min="283" max="283" width="6" style="3532" bestFit="1" customWidth="1"/>
    <col min="284" max="284" width="15" style="3532" customWidth="1"/>
    <col min="285" max="285" width="14.85546875" style="3532" bestFit="1" customWidth="1"/>
    <col min="286" max="286" width="16.140625" style="3532" bestFit="1" customWidth="1"/>
    <col min="287" max="513" width="8.85546875" style="3532"/>
    <col min="514" max="514" width="24" style="3532" bestFit="1" customWidth="1"/>
    <col min="515" max="515" width="45.7109375" style="3532" bestFit="1" customWidth="1"/>
    <col min="516" max="516" width="19.7109375" style="3532" bestFit="1" customWidth="1"/>
    <col min="517" max="517" width="17.140625" style="3532" bestFit="1" customWidth="1"/>
    <col min="518" max="518" width="19.85546875" style="3532" bestFit="1" customWidth="1"/>
    <col min="519" max="519" width="13.42578125" style="3532" customWidth="1"/>
    <col min="520" max="520" width="15.28515625" style="3532" bestFit="1" customWidth="1"/>
    <col min="521" max="521" width="14.140625" style="3532" bestFit="1" customWidth="1"/>
    <col min="522" max="522" width="15.28515625" style="3532" customWidth="1"/>
    <col min="523" max="523" width="15.85546875" style="3532" customWidth="1"/>
    <col min="524" max="524" width="17" style="3532" bestFit="1" customWidth="1"/>
    <col min="525" max="525" width="12.7109375" style="3532" customWidth="1"/>
    <col min="526" max="526" width="13.7109375" style="3532" customWidth="1"/>
    <col min="527" max="527" width="13.85546875" style="3532" bestFit="1" customWidth="1"/>
    <col min="528" max="528" width="15.42578125" style="3532" bestFit="1" customWidth="1"/>
    <col min="529" max="529" width="16.140625" style="3532" customWidth="1"/>
    <col min="530" max="530" width="16.7109375" style="3532" bestFit="1" customWidth="1"/>
    <col min="531" max="532" width="20.42578125" style="3532" bestFit="1" customWidth="1"/>
    <col min="533" max="533" width="16.42578125" style="3532" bestFit="1" customWidth="1"/>
    <col min="534" max="534" width="14.28515625" style="3532" customWidth="1"/>
    <col min="535" max="535" width="14.85546875" style="3532" bestFit="1" customWidth="1"/>
    <col min="536" max="536" width="13.42578125" style="3532" bestFit="1" customWidth="1"/>
    <col min="537" max="537" width="12.42578125" style="3532" bestFit="1" customWidth="1"/>
    <col min="538" max="538" width="14" style="3532" bestFit="1" customWidth="1"/>
    <col min="539" max="539" width="6" style="3532" bestFit="1" customWidth="1"/>
    <col min="540" max="540" width="15" style="3532" customWidth="1"/>
    <col min="541" max="541" width="14.85546875" style="3532" bestFit="1" customWidth="1"/>
    <col min="542" max="542" width="16.140625" style="3532" bestFit="1" customWidth="1"/>
    <col min="543" max="769" width="8.85546875" style="3532"/>
    <col min="770" max="770" width="24" style="3532" bestFit="1" customWidth="1"/>
    <col min="771" max="771" width="45.7109375" style="3532" bestFit="1" customWidth="1"/>
    <col min="772" max="772" width="19.7109375" style="3532" bestFit="1" customWidth="1"/>
    <col min="773" max="773" width="17.140625" style="3532" bestFit="1" customWidth="1"/>
    <col min="774" max="774" width="19.85546875" style="3532" bestFit="1" customWidth="1"/>
    <col min="775" max="775" width="13.42578125" style="3532" customWidth="1"/>
    <col min="776" max="776" width="15.28515625" style="3532" bestFit="1" customWidth="1"/>
    <col min="777" max="777" width="14.140625" style="3532" bestFit="1" customWidth="1"/>
    <col min="778" max="778" width="15.28515625" style="3532" customWidth="1"/>
    <col min="779" max="779" width="15.85546875" style="3532" customWidth="1"/>
    <col min="780" max="780" width="17" style="3532" bestFit="1" customWidth="1"/>
    <col min="781" max="781" width="12.7109375" style="3532" customWidth="1"/>
    <col min="782" max="782" width="13.7109375" style="3532" customWidth="1"/>
    <col min="783" max="783" width="13.85546875" style="3532" bestFit="1" customWidth="1"/>
    <col min="784" max="784" width="15.42578125" style="3532" bestFit="1" customWidth="1"/>
    <col min="785" max="785" width="16.140625" style="3532" customWidth="1"/>
    <col min="786" max="786" width="16.7109375" style="3532" bestFit="1" customWidth="1"/>
    <col min="787" max="788" width="20.42578125" style="3532" bestFit="1" customWidth="1"/>
    <col min="789" max="789" width="16.42578125" style="3532" bestFit="1" customWidth="1"/>
    <col min="790" max="790" width="14.28515625" style="3532" customWidth="1"/>
    <col min="791" max="791" width="14.85546875" style="3532" bestFit="1" customWidth="1"/>
    <col min="792" max="792" width="13.42578125" style="3532" bestFit="1" customWidth="1"/>
    <col min="793" max="793" width="12.42578125" style="3532" bestFit="1" customWidth="1"/>
    <col min="794" max="794" width="14" style="3532" bestFit="1" customWidth="1"/>
    <col min="795" max="795" width="6" style="3532" bestFit="1" customWidth="1"/>
    <col min="796" max="796" width="15" style="3532" customWidth="1"/>
    <col min="797" max="797" width="14.85546875" style="3532" bestFit="1" customWidth="1"/>
    <col min="798" max="798" width="16.140625" style="3532" bestFit="1" customWidth="1"/>
    <col min="799" max="1025" width="8.85546875" style="3532"/>
    <col min="1026" max="1026" width="24" style="3532" bestFit="1" customWidth="1"/>
    <col min="1027" max="1027" width="45.7109375" style="3532" bestFit="1" customWidth="1"/>
    <col min="1028" max="1028" width="19.7109375" style="3532" bestFit="1" customWidth="1"/>
    <col min="1029" max="1029" width="17.140625" style="3532" bestFit="1" customWidth="1"/>
    <col min="1030" max="1030" width="19.85546875" style="3532" bestFit="1" customWidth="1"/>
    <col min="1031" max="1031" width="13.42578125" style="3532" customWidth="1"/>
    <col min="1032" max="1032" width="15.28515625" style="3532" bestFit="1" customWidth="1"/>
    <col min="1033" max="1033" width="14.140625" style="3532" bestFit="1" customWidth="1"/>
    <col min="1034" max="1034" width="15.28515625" style="3532" customWidth="1"/>
    <col min="1035" max="1035" width="15.85546875" style="3532" customWidth="1"/>
    <col min="1036" max="1036" width="17" style="3532" bestFit="1" customWidth="1"/>
    <col min="1037" max="1037" width="12.7109375" style="3532" customWidth="1"/>
    <col min="1038" max="1038" width="13.7109375" style="3532" customWidth="1"/>
    <col min="1039" max="1039" width="13.85546875" style="3532" bestFit="1" customWidth="1"/>
    <col min="1040" max="1040" width="15.42578125" style="3532" bestFit="1" customWidth="1"/>
    <col min="1041" max="1041" width="16.140625" style="3532" customWidth="1"/>
    <col min="1042" max="1042" width="16.7109375" style="3532" bestFit="1" customWidth="1"/>
    <col min="1043" max="1044" width="20.42578125" style="3532" bestFit="1" customWidth="1"/>
    <col min="1045" max="1045" width="16.42578125" style="3532" bestFit="1" customWidth="1"/>
    <col min="1046" max="1046" width="14.28515625" style="3532" customWidth="1"/>
    <col min="1047" max="1047" width="14.85546875" style="3532" bestFit="1" customWidth="1"/>
    <col min="1048" max="1048" width="13.42578125" style="3532" bestFit="1" customWidth="1"/>
    <col min="1049" max="1049" width="12.42578125" style="3532" bestFit="1" customWidth="1"/>
    <col min="1050" max="1050" width="14" style="3532" bestFit="1" customWidth="1"/>
    <col min="1051" max="1051" width="6" style="3532" bestFit="1" customWidth="1"/>
    <col min="1052" max="1052" width="15" style="3532" customWidth="1"/>
    <col min="1053" max="1053" width="14.85546875" style="3532" bestFit="1" customWidth="1"/>
    <col min="1054" max="1054" width="16.140625" style="3532" bestFit="1" customWidth="1"/>
    <col min="1055" max="1281" width="8.85546875" style="3532"/>
    <col min="1282" max="1282" width="24" style="3532" bestFit="1" customWidth="1"/>
    <col min="1283" max="1283" width="45.7109375" style="3532" bestFit="1" customWidth="1"/>
    <col min="1284" max="1284" width="19.7109375" style="3532" bestFit="1" customWidth="1"/>
    <col min="1285" max="1285" width="17.140625" style="3532" bestFit="1" customWidth="1"/>
    <col min="1286" max="1286" width="19.85546875" style="3532" bestFit="1" customWidth="1"/>
    <col min="1287" max="1287" width="13.42578125" style="3532" customWidth="1"/>
    <col min="1288" max="1288" width="15.28515625" style="3532" bestFit="1" customWidth="1"/>
    <col min="1289" max="1289" width="14.140625" style="3532" bestFit="1" customWidth="1"/>
    <col min="1290" max="1290" width="15.28515625" style="3532" customWidth="1"/>
    <col min="1291" max="1291" width="15.85546875" style="3532" customWidth="1"/>
    <col min="1292" max="1292" width="17" style="3532" bestFit="1" customWidth="1"/>
    <col min="1293" max="1293" width="12.7109375" style="3532" customWidth="1"/>
    <col min="1294" max="1294" width="13.7109375" style="3532" customWidth="1"/>
    <col min="1295" max="1295" width="13.85546875" style="3532" bestFit="1" customWidth="1"/>
    <col min="1296" max="1296" width="15.42578125" style="3532" bestFit="1" customWidth="1"/>
    <col min="1297" max="1297" width="16.140625" style="3532" customWidth="1"/>
    <col min="1298" max="1298" width="16.7109375" style="3532" bestFit="1" customWidth="1"/>
    <col min="1299" max="1300" width="20.42578125" style="3532" bestFit="1" customWidth="1"/>
    <col min="1301" max="1301" width="16.42578125" style="3532" bestFit="1" customWidth="1"/>
    <col min="1302" max="1302" width="14.28515625" style="3532" customWidth="1"/>
    <col min="1303" max="1303" width="14.85546875" style="3532" bestFit="1" customWidth="1"/>
    <col min="1304" max="1304" width="13.42578125" style="3532" bestFit="1" customWidth="1"/>
    <col min="1305" max="1305" width="12.42578125" style="3532" bestFit="1" customWidth="1"/>
    <col min="1306" max="1306" width="14" style="3532" bestFit="1" customWidth="1"/>
    <col min="1307" max="1307" width="6" style="3532" bestFit="1" customWidth="1"/>
    <col min="1308" max="1308" width="15" style="3532" customWidth="1"/>
    <col min="1309" max="1309" width="14.85546875" style="3532" bestFit="1" customWidth="1"/>
    <col min="1310" max="1310" width="16.140625" style="3532" bestFit="1" customWidth="1"/>
    <col min="1311" max="1537" width="8.85546875" style="3532"/>
    <col min="1538" max="1538" width="24" style="3532" bestFit="1" customWidth="1"/>
    <col min="1539" max="1539" width="45.7109375" style="3532" bestFit="1" customWidth="1"/>
    <col min="1540" max="1540" width="19.7109375" style="3532" bestFit="1" customWidth="1"/>
    <col min="1541" max="1541" width="17.140625" style="3532" bestFit="1" customWidth="1"/>
    <col min="1542" max="1542" width="19.85546875" style="3532" bestFit="1" customWidth="1"/>
    <col min="1543" max="1543" width="13.42578125" style="3532" customWidth="1"/>
    <col min="1544" max="1544" width="15.28515625" style="3532" bestFit="1" customWidth="1"/>
    <col min="1545" max="1545" width="14.140625" style="3532" bestFit="1" customWidth="1"/>
    <col min="1546" max="1546" width="15.28515625" style="3532" customWidth="1"/>
    <col min="1547" max="1547" width="15.85546875" style="3532" customWidth="1"/>
    <col min="1548" max="1548" width="17" style="3532" bestFit="1" customWidth="1"/>
    <col min="1549" max="1549" width="12.7109375" style="3532" customWidth="1"/>
    <col min="1550" max="1550" width="13.7109375" style="3532" customWidth="1"/>
    <col min="1551" max="1551" width="13.85546875" style="3532" bestFit="1" customWidth="1"/>
    <col min="1552" max="1552" width="15.42578125" style="3532" bestFit="1" customWidth="1"/>
    <col min="1553" max="1553" width="16.140625" style="3532" customWidth="1"/>
    <col min="1554" max="1554" width="16.7109375" style="3532" bestFit="1" customWidth="1"/>
    <col min="1555" max="1556" width="20.42578125" style="3532" bestFit="1" customWidth="1"/>
    <col min="1557" max="1557" width="16.42578125" style="3532" bestFit="1" customWidth="1"/>
    <col min="1558" max="1558" width="14.28515625" style="3532" customWidth="1"/>
    <col min="1559" max="1559" width="14.85546875" style="3532" bestFit="1" customWidth="1"/>
    <col min="1560" max="1560" width="13.42578125" style="3532" bestFit="1" customWidth="1"/>
    <col min="1561" max="1561" width="12.42578125" style="3532" bestFit="1" customWidth="1"/>
    <col min="1562" max="1562" width="14" style="3532" bestFit="1" customWidth="1"/>
    <col min="1563" max="1563" width="6" style="3532" bestFit="1" customWidth="1"/>
    <col min="1564" max="1564" width="15" style="3532" customWidth="1"/>
    <col min="1565" max="1565" width="14.85546875" style="3532" bestFit="1" customWidth="1"/>
    <col min="1566" max="1566" width="16.140625" style="3532" bestFit="1" customWidth="1"/>
    <col min="1567" max="1793" width="8.85546875" style="3532"/>
    <col min="1794" max="1794" width="24" style="3532" bestFit="1" customWidth="1"/>
    <col min="1795" max="1795" width="45.7109375" style="3532" bestFit="1" customWidth="1"/>
    <col min="1796" max="1796" width="19.7109375" style="3532" bestFit="1" customWidth="1"/>
    <col min="1797" max="1797" width="17.140625" style="3532" bestFit="1" customWidth="1"/>
    <col min="1798" max="1798" width="19.85546875" style="3532" bestFit="1" customWidth="1"/>
    <col min="1799" max="1799" width="13.42578125" style="3532" customWidth="1"/>
    <col min="1800" max="1800" width="15.28515625" style="3532" bestFit="1" customWidth="1"/>
    <col min="1801" max="1801" width="14.140625" style="3532" bestFit="1" customWidth="1"/>
    <col min="1802" max="1802" width="15.28515625" style="3532" customWidth="1"/>
    <col min="1803" max="1803" width="15.85546875" style="3532" customWidth="1"/>
    <col min="1804" max="1804" width="17" style="3532" bestFit="1" customWidth="1"/>
    <col min="1805" max="1805" width="12.7109375" style="3532" customWidth="1"/>
    <col min="1806" max="1806" width="13.7109375" style="3532" customWidth="1"/>
    <col min="1807" max="1807" width="13.85546875" style="3532" bestFit="1" customWidth="1"/>
    <col min="1808" max="1808" width="15.42578125" style="3532" bestFit="1" customWidth="1"/>
    <col min="1809" max="1809" width="16.140625" style="3532" customWidth="1"/>
    <col min="1810" max="1810" width="16.7109375" style="3532" bestFit="1" customWidth="1"/>
    <col min="1811" max="1812" width="20.42578125" style="3532" bestFit="1" customWidth="1"/>
    <col min="1813" max="1813" width="16.42578125" style="3532" bestFit="1" customWidth="1"/>
    <col min="1814" max="1814" width="14.28515625" style="3532" customWidth="1"/>
    <col min="1815" max="1815" width="14.85546875" style="3532" bestFit="1" customWidth="1"/>
    <col min="1816" max="1816" width="13.42578125" style="3532" bestFit="1" customWidth="1"/>
    <col min="1817" max="1817" width="12.42578125" style="3532" bestFit="1" customWidth="1"/>
    <col min="1818" max="1818" width="14" style="3532" bestFit="1" customWidth="1"/>
    <col min="1819" max="1819" width="6" style="3532" bestFit="1" customWidth="1"/>
    <col min="1820" max="1820" width="15" style="3532" customWidth="1"/>
    <col min="1821" max="1821" width="14.85546875" style="3532" bestFit="1" customWidth="1"/>
    <col min="1822" max="1822" width="16.140625" style="3532" bestFit="1" customWidth="1"/>
    <col min="1823" max="2049" width="8.85546875" style="3532"/>
    <col min="2050" max="2050" width="24" style="3532" bestFit="1" customWidth="1"/>
    <col min="2051" max="2051" width="45.7109375" style="3532" bestFit="1" customWidth="1"/>
    <col min="2052" max="2052" width="19.7109375" style="3532" bestFit="1" customWidth="1"/>
    <col min="2053" max="2053" width="17.140625" style="3532" bestFit="1" customWidth="1"/>
    <col min="2054" max="2054" width="19.85546875" style="3532" bestFit="1" customWidth="1"/>
    <col min="2055" max="2055" width="13.42578125" style="3532" customWidth="1"/>
    <col min="2056" max="2056" width="15.28515625" style="3532" bestFit="1" customWidth="1"/>
    <col min="2057" max="2057" width="14.140625" style="3532" bestFit="1" customWidth="1"/>
    <col min="2058" max="2058" width="15.28515625" style="3532" customWidth="1"/>
    <col min="2059" max="2059" width="15.85546875" style="3532" customWidth="1"/>
    <col min="2060" max="2060" width="17" style="3532" bestFit="1" customWidth="1"/>
    <col min="2061" max="2061" width="12.7109375" style="3532" customWidth="1"/>
    <col min="2062" max="2062" width="13.7109375" style="3532" customWidth="1"/>
    <col min="2063" max="2063" width="13.85546875" style="3532" bestFit="1" customWidth="1"/>
    <col min="2064" max="2064" width="15.42578125" style="3532" bestFit="1" customWidth="1"/>
    <col min="2065" max="2065" width="16.140625" style="3532" customWidth="1"/>
    <col min="2066" max="2066" width="16.7109375" style="3532" bestFit="1" customWidth="1"/>
    <col min="2067" max="2068" width="20.42578125" style="3532" bestFit="1" customWidth="1"/>
    <col min="2069" max="2069" width="16.42578125" style="3532" bestFit="1" customWidth="1"/>
    <col min="2070" max="2070" width="14.28515625" style="3532" customWidth="1"/>
    <col min="2071" max="2071" width="14.85546875" style="3532" bestFit="1" customWidth="1"/>
    <col min="2072" max="2072" width="13.42578125" style="3532" bestFit="1" customWidth="1"/>
    <col min="2073" max="2073" width="12.42578125" style="3532" bestFit="1" customWidth="1"/>
    <col min="2074" max="2074" width="14" style="3532" bestFit="1" customWidth="1"/>
    <col min="2075" max="2075" width="6" style="3532" bestFit="1" customWidth="1"/>
    <col min="2076" max="2076" width="15" style="3532" customWidth="1"/>
    <col min="2077" max="2077" width="14.85546875" style="3532" bestFit="1" customWidth="1"/>
    <col min="2078" max="2078" width="16.140625" style="3532" bestFit="1" customWidth="1"/>
    <col min="2079" max="2305" width="8.85546875" style="3532"/>
    <col min="2306" max="2306" width="24" style="3532" bestFit="1" customWidth="1"/>
    <col min="2307" max="2307" width="45.7109375" style="3532" bestFit="1" customWidth="1"/>
    <col min="2308" max="2308" width="19.7109375" style="3532" bestFit="1" customWidth="1"/>
    <col min="2309" max="2309" width="17.140625" style="3532" bestFit="1" customWidth="1"/>
    <col min="2310" max="2310" width="19.85546875" style="3532" bestFit="1" customWidth="1"/>
    <col min="2311" max="2311" width="13.42578125" style="3532" customWidth="1"/>
    <col min="2312" max="2312" width="15.28515625" style="3532" bestFit="1" customWidth="1"/>
    <col min="2313" max="2313" width="14.140625" style="3532" bestFit="1" customWidth="1"/>
    <col min="2314" max="2314" width="15.28515625" style="3532" customWidth="1"/>
    <col min="2315" max="2315" width="15.85546875" style="3532" customWidth="1"/>
    <col min="2316" max="2316" width="17" style="3532" bestFit="1" customWidth="1"/>
    <col min="2317" max="2317" width="12.7109375" style="3532" customWidth="1"/>
    <col min="2318" max="2318" width="13.7109375" style="3532" customWidth="1"/>
    <col min="2319" max="2319" width="13.85546875" style="3532" bestFit="1" customWidth="1"/>
    <col min="2320" max="2320" width="15.42578125" style="3532" bestFit="1" customWidth="1"/>
    <col min="2321" max="2321" width="16.140625" style="3532" customWidth="1"/>
    <col min="2322" max="2322" width="16.7109375" style="3532" bestFit="1" customWidth="1"/>
    <col min="2323" max="2324" width="20.42578125" style="3532" bestFit="1" customWidth="1"/>
    <col min="2325" max="2325" width="16.42578125" style="3532" bestFit="1" customWidth="1"/>
    <col min="2326" max="2326" width="14.28515625" style="3532" customWidth="1"/>
    <col min="2327" max="2327" width="14.85546875" style="3532" bestFit="1" customWidth="1"/>
    <col min="2328" max="2328" width="13.42578125" style="3532" bestFit="1" customWidth="1"/>
    <col min="2329" max="2329" width="12.42578125" style="3532" bestFit="1" customWidth="1"/>
    <col min="2330" max="2330" width="14" style="3532" bestFit="1" customWidth="1"/>
    <col min="2331" max="2331" width="6" style="3532" bestFit="1" customWidth="1"/>
    <col min="2332" max="2332" width="15" style="3532" customWidth="1"/>
    <col min="2333" max="2333" width="14.85546875" style="3532" bestFit="1" customWidth="1"/>
    <col min="2334" max="2334" width="16.140625" style="3532" bestFit="1" customWidth="1"/>
    <col min="2335" max="2561" width="8.85546875" style="3532"/>
    <col min="2562" max="2562" width="24" style="3532" bestFit="1" customWidth="1"/>
    <col min="2563" max="2563" width="45.7109375" style="3532" bestFit="1" customWidth="1"/>
    <col min="2564" max="2564" width="19.7109375" style="3532" bestFit="1" customWidth="1"/>
    <col min="2565" max="2565" width="17.140625" style="3532" bestFit="1" customWidth="1"/>
    <col min="2566" max="2566" width="19.85546875" style="3532" bestFit="1" customWidth="1"/>
    <col min="2567" max="2567" width="13.42578125" style="3532" customWidth="1"/>
    <col min="2568" max="2568" width="15.28515625" style="3532" bestFit="1" customWidth="1"/>
    <col min="2569" max="2569" width="14.140625" style="3532" bestFit="1" customWidth="1"/>
    <col min="2570" max="2570" width="15.28515625" style="3532" customWidth="1"/>
    <col min="2571" max="2571" width="15.85546875" style="3532" customWidth="1"/>
    <col min="2572" max="2572" width="17" style="3532" bestFit="1" customWidth="1"/>
    <col min="2573" max="2573" width="12.7109375" style="3532" customWidth="1"/>
    <col min="2574" max="2574" width="13.7109375" style="3532" customWidth="1"/>
    <col min="2575" max="2575" width="13.85546875" style="3532" bestFit="1" customWidth="1"/>
    <col min="2576" max="2576" width="15.42578125" style="3532" bestFit="1" customWidth="1"/>
    <col min="2577" max="2577" width="16.140625" style="3532" customWidth="1"/>
    <col min="2578" max="2578" width="16.7109375" style="3532" bestFit="1" customWidth="1"/>
    <col min="2579" max="2580" width="20.42578125" style="3532" bestFit="1" customWidth="1"/>
    <col min="2581" max="2581" width="16.42578125" style="3532" bestFit="1" customWidth="1"/>
    <col min="2582" max="2582" width="14.28515625" style="3532" customWidth="1"/>
    <col min="2583" max="2583" width="14.85546875" style="3532" bestFit="1" customWidth="1"/>
    <col min="2584" max="2584" width="13.42578125" style="3532" bestFit="1" customWidth="1"/>
    <col min="2585" max="2585" width="12.42578125" style="3532" bestFit="1" customWidth="1"/>
    <col min="2586" max="2586" width="14" style="3532" bestFit="1" customWidth="1"/>
    <col min="2587" max="2587" width="6" style="3532" bestFit="1" customWidth="1"/>
    <col min="2588" max="2588" width="15" style="3532" customWidth="1"/>
    <col min="2589" max="2589" width="14.85546875" style="3532" bestFit="1" customWidth="1"/>
    <col min="2590" max="2590" width="16.140625" style="3532" bestFit="1" customWidth="1"/>
    <col min="2591" max="2817" width="8.85546875" style="3532"/>
    <col min="2818" max="2818" width="24" style="3532" bestFit="1" customWidth="1"/>
    <col min="2819" max="2819" width="45.7109375" style="3532" bestFit="1" customWidth="1"/>
    <col min="2820" max="2820" width="19.7109375" style="3532" bestFit="1" customWidth="1"/>
    <col min="2821" max="2821" width="17.140625" style="3532" bestFit="1" customWidth="1"/>
    <col min="2822" max="2822" width="19.85546875" style="3532" bestFit="1" customWidth="1"/>
    <col min="2823" max="2823" width="13.42578125" style="3532" customWidth="1"/>
    <col min="2824" max="2824" width="15.28515625" style="3532" bestFit="1" customWidth="1"/>
    <col min="2825" max="2825" width="14.140625" style="3532" bestFit="1" customWidth="1"/>
    <col min="2826" max="2826" width="15.28515625" style="3532" customWidth="1"/>
    <col min="2827" max="2827" width="15.85546875" style="3532" customWidth="1"/>
    <col min="2828" max="2828" width="17" style="3532" bestFit="1" customWidth="1"/>
    <col min="2829" max="2829" width="12.7109375" style="3532" customWidth="1"/>
    <col min="2830" max="2830" width="13.7109375" style="3532" customWidth="1"/>
    <col min="2831" max="2831" width="13.85546875" style="3532" bestFit="1" customWidth="1"/>
    <col min="2832" max="2832" width="15.42578125" style="3532" bestFit="1" customWidth="1"/>
    <col min="2833" max="2833" width="16.140625" style="3532" customWidth="1"/>
    <col min="2834" max="2834" width="16.7109375" style="3532" bestFit="1" customWidth="1"/>
    <col min="2835" max="2836" width="20.42578125" style="3532" bestFit="1" customWidth="1"/>
    <col min="2837" max="2837" width="16.42578125" style="3532" bestFit="1" customWidth="1"/>
    <col min="2838" max="2838" width="14.28515625" style="3532" customWidth="1"/>
    <col min="2839" max="2839" width="14.85546875" style="3532" bestFit="1" customWidth="1"/>
    <col min="2840" max="2840" width="13.42578125" style="3532" bestFit="1" customWidth="1"/>
    <col min="2841" max="2841" width="12.42578125" style="3532" bestFit="1" customWidth="1"/>
    <col min="2842" max="2842" width="14" style="3532" bestFit="1" customWidth="1"/>
    <col min="2843" max="2843" width="6" style="3532" bestFit="1" customWidth="1"/>
    <col min="2844" max="2844" width="15" style="3532" customWidth="1"/>
    <col min="2845" max="2845" width="14.85546875" style="3532" bestFit="1" customWidth="1"/>
    <col min="2846" max="2846" width="16.140625" style="3532" bestFit="1" customWidth="1"/>
    <col min="2847" max="3073" width="8.85546875" style="3532"/>
    <col min="3074" max="3074" width="24" style="3532" bestFit="1" customWidth="1"/>
    <col min="3075" max="3075" width="45.7109375" style="3532" bestFit="1" customWidth="1"/>
    <col min="3076" max="3076" width="19.7109375" style="3532" bestFit="1" customWidth="1"/>
    <col min="3077" max="3077" width="17.140625" style="3532" bestFit="1" customWidth="1"/>
    <col min="3078" max="3078" width="19.85546875" style="3532" bestFit="1" customWidth="1"/>
    <col min="3079" max="3079" width="13.42578125" style="3532" customWidth="1"/>
    <col min="3080" max="3080" width="15.28515625" style="3532" bestFit="1" customWidth="1"/>
    <col min="3081" max="3081" width="14.140625" style="3532" bestFit="1" customWidth="1"/>
    <col min="3082" max="3082" width="15.28515625" style="3532" customWidth="1"/>
    <col min="3083" max="3083" width="15.85546875" style="3532" customWidth="1"/>
    <col min="3084" max="3084" width="17" style="3532" bestFit="1" customWidth="1"/>
    <col min="3085" max="3085" width="12.7109375" style="3532" customWidth="1"/>
    <col min="3086" max="3086" width="13.7109375" style="3532" customWidth="1"/>
    <col min="3087" max="3087" width="13.85546875" style="3532" bestFit="1" customWidth="1"/>
    <col min="3088" max="3088" width="15.42578125" style="3532" bestFit="1" customWidth="1"/>
    <col min="3089" max="3089" width="16.140625" style="3532" customWidth="1"/>
    <col min="3090" max="3090" width="16.7109375" style="3532" bestFit="1" customWidth="1"/>
    <col min="3091" max="3092" width="20.42578125" style="3532" bestFit="1" customWidth="1"/>
    <col min="3093" max="3093" width="16.42578125" style="3532" bestFit="1" customWidth="1"/>
    <col min="3094" max="3094" width="14.28515625" style="3532" customWidth="1"/>
    <col min="3095" max="3095" width="14.85546875" style="3532" bestFit="1" customWidth="1"/>
    <col min="3096" max="3096" width="13.42578125" style="3532" bestFit="1" customWidth="1"/>
    <col min="3097" max="3097" width="12.42578125" style="3532" bestFit="1" customWidth="1"/>
    <col min="3098" max="3098" width="14" style="3532" bestFit="1" customWidth="1"/>
    <col min="3099" max="3099" width="6" style="3532" bestFit="1" customWidth="1"/>
    <col min="3100" max="3100" width="15" style="3532" customWidth="1"/>
    <col min="3101" max="3101" width="14.85546875" style="3532" bestFit="1" customWidth="1"/>
    <col min="3102" max="3102" width="16.140625" style="3532" bestFit="1" customWidth="1"/>
    <col min="3103" max="3329" width="8.85546875" style="3532"/>
    <col min="3330" max="3330" width="24" style="3532" bestFit="1" customWidth="1"/>
    <col min="3331" max="3331" width="45.7109375" style="3532" bestFit="1" customWidth="1"/>
    <col min="3332" max="3332" width="19.7109375" style="3532" bestFit="1" customWidth="1"/>
    <col min="3333" max="3333" width="17.140625" style="3532" bestFit="1" customWidth="1"/>
    <col min="3334" max="3334" width="19.85546875" style="3532" bestFit="1" customWidth="1"/>
    <col min="3335" max="3335" width="13.42578125" style="3532" customWidth="1"/>
    <col min="3336" max="3336" width="15.28515625" style="3532" bestFit="1" customWidth="1"/>
    <col min="3337" max="3337" width="14.140625" style="3532" bestFit="1" customWidth="1"/>
    <col min="3338" max="3338" width="15.28515625" style="3532" customWidth="1"/>
    <col min="3339" max="3339" width="15.85546875" style="3532" customWidth="1"/>
    <col min="3340" max="3340" width="17" style="3532" bestFit="1" customWidth="1"/>
    <col min="3341" max="3341" width="12.7109375" style="3532" customWidth="1"/>
    <col min="3342" max="3342" width="13.7109375" style="3532" customWidth="1"/>
    <col min="3343" max="3343" width="13.85546875" style="3532" bestFit="1" customWidth="1"/>
    <col min="3344" max="3344" width="15.42578125" style="3532" bestFit="1" customWidth="1"/>
    <col min="3345" max="3345" width="16.140625" style="3532" customWidth="1"/>
    <col min="3346" max="3346" width="16.7109375" style="3532" bestFit="1" customWidth="1"/>
    <col min="3347" max="3348" width="20.42578125" style="3532" bestFit="1" customWidth="1"/>
    <col min="3349" max="3349" width="16.42578125" style="3532" bestFit="1" customWidth="1"/>
    <col min="3350" max="3350" width="14.28515625" style="3532" customWidth="1"/>
    <col min="3351" max="3351" width="14.85546875" style="3532" bestFit="1" customWidth="1"/>
    <col min="3352" max="3352" width="13.42578125" style="3532" bestFit="1" customWidth="1"/>
    <col min="3353" max="3353" width="12.42578125" style="3532" bestFit="1" customWidth="1"/>
    <col min="3354" max="3354" width="14" style="3532" bestFit="1" customWidth="1"/>
    <col min="3355" max="3355" width="6" style="3532" bestFit="1" customWidth="1"/>
    <col min="3356" max="3356" width="15" style="3532" customWidth="1"/>
    <col min="3357" max="3357" width="14.85546875" style="3532" bestFit="1" customWidth="1"/>
    <col min="3358" max="3358" width="16.140625" style="3532" bestFit="1" customWidth="1"/>
    <col min="3359" max="3585" width="8.85546875" style="3532"/>
    <col min="3586" max="3586" width="24" style="3532" bestFit="1" customWidth="1"/>
    <col min="3587" max="3587" width="45.7109375" style="3532" bestFit="1" customWidth="1"/>
    <col min="3588" max="3588" width="19.7109375" style="3532" bestFit="1" customWidth="1"/>
    <col min="3589" max="3589" width="17.140625" style="3532" bestFit="1" customWidth="1"/>
    <col min="3590" max="3590" width="19.85546875" style="3532" bestFit="1" customWidth="1"/>
    <col min="3591" max="3591" width="13.42578125" style="3532" customWidth="1"/>
    <col min="3592" max="3592" width="15.28515625" style="3532" bestFit="1" customWidth="1"/>
    <col min="3593" max="3593" width="14.140625" style="3532" bestFit="1" customWidth="1"/>
    <col min="3594" max="3594" width="15.28515625" style="3532" customWidth="1"/>
    <col min="3595" max="3595" width="15.85546875" style="3532" customWidth="1"/>
    <col min="3596" max="3596" width="17" style="3532" bestFit="1" customWidth="1"/>
    <col min="3597" max="3597" width="12.7109375" style="3532" customWidth="1"/>
    <col min="3598" max="3598" width="13.7109375" style="3532" customWidth="1"/>
    <col min="3599" max="3599" width="13.85546875" style="3532" bestFit="1" customWidth="1"/>
    <col min="3600" max="3600" width="15.42578125" style="3532" bestFit="1" customWidth="1"/>
    <col min="3601" max="3601" width="16.140625" style="3532" customWidth="1"/>
    <col min="3602" max="3602" width="16.7109375" style="3532" bestFit="1" customWidth="1"/>
    <col min="3603" max="3604" width="20.42578125" style="3532" bestFit="1" customWidth="1"/>
    <col min="3605" max="3605" width="16.42578125" style="3532" bestFit="1" customWidth="1"/>
    <col min="3606" max="3606" width="14.28515625" style="3532" customWidth="1"/>
    <col min="3607" max="3607" width="14.85546875" style="3532" bestFit="1" customWidth="1"/>
    <col min="3608" max="3608" width="13.42578125" style="3532" bestFit="1" customWidth="1"/>
    <col min="3609" max="3609" width="12.42578125" style="3532" bestFit="1" customWidth="1"/>
    <col min="3610" max="3610" width="14" style="3532" bestFit="1" customWidth="1"/>
    <col min="3611" max="3611" width="6" style="3532" bestFit="1" customWidth="1"/>
    <col min="3612" max="3612" width="15" style="3532" customWidth="1"/>
    <col min="3613" max="3613" width="14.85546875" style="3532" bestFit="1" customWidth="1"/>
    <col min="3614" max="3614" width="16.140625" style="3532" bestFit="1" customWidth="1"/>
    <col min="3615" max="3841" width="8.85546875" style="3532"/>
    <col min="3842" max="3842" width="24" style="3532" bestFit="1" customWidth="1"/>
    <col min="3843" max="3843" width="45.7109375" style="3532" bestFit="1" customWidth="1"/>
    <col min="3844" max="3844" width="19.7109375" style="3532" bestFit="1" customWidth="1"/>
    <col min="3845" max="3845" width="17.140625" style="3532" bestFit="1" customWidth="1"/>
    <col min="3846" max="3846" width="19.85546875" style="3532" bestFit="1" customWidth="1"/>
    <col min="3847" max="3847" width="13.42578125" style="3532" customWidth="1"/>
    <col min="3848" max="3848" width="15.28515625" style="3532" bestFit="1" customWidth="1"/>
    <col min="3849" max="3849" width="14.140625" style="3532" bestFit="1" customWidth="1"/>
    <col min="3850" max="3850" width="15.28515625" style="3532" customWidth="1"/>
    <col min="3851" max="3851" width="15.85546875" style="3532" customWidth="1"/>
    <col min="3852" max="3852" width="17" style="3532" bestFit="1" customWidth="1"/>
    <col min="3853" max="3853" width="12.7109375" style="3532" customWidth="1"/>
    <col min="3854" max="3854" width="13.7109375" style="3532" customWidth="1"/>
    <col min="3855" max="3855" width="13.85546875" style="3532" bestFit="1" customWidth="1"/>
    <col min="3856" max="3856" width="15.42578125" style="3532" bestFit="1" customWidth="1"/>
    <col min="3857" max="3857" width="16.140625" style="3532" customWidth="1"/>
    <col min="3858" max="3858" width="16.7109375" style="3532" bestFit="1" customWidth="1"/>
    <col min="3859" max="3860" width="20.42578125" style="3532" bestFit="1" customWidth="1"/>
    <col min="3861" max="3861" width="16.42578125" style="3532" bestFit="1" customWidth="1"/>
    <col min="3862" max="3862" width="14.28515625" style="3532" customWidth="1"/>
    <col min="3863" max="3863" width="14.85546875" style="3532" bestFit="1" customWidth="1"/>
    <col min="3864" max="3864" width="13.42578125" style="3532" bestFit="1" customWidth="1"/>
    <col min="3865" max="3865" width="12.42578125" style="3532" bestFit="1" customWidth="1"/>
    <col min="3866" max="3866" width="14" style="3532" bestFit="1" customWidth="1"/>
    <col min="3867" max="3867" width="6" style="3532" bestFit="1" customWidth="1"/>
    <col min="3868" max="3868" width="15" style="3532" customWidth="1"/>
    <col min="3869" max="3869" width="14.85546875" style="3532" bestFit="1" customWidth="1"/>
    <col min="3870" max="3870" width="16.140625" style="3532" bestFit="1" customWidth="1"/>
    <col min="3871" max="4097" width="8.85546875" style="3532"/>
    <col min="4098" max="4098" width="24" style="3532" bestFit="1" customWidth="1"/>
    <col min="4099" max="4099" width="45.7109375" style="3532" bestFit="1" customWidth="1"/>
    <col min="4100" max="4100" width="19.7109375" style="3532" bestFit="1" customWidth="1"/>
    <col min="4101" max="4101" width="17.140625" style="3532" bestFit="1" customWidth="1"/>
    <col min="4102" max="4102" width="19.85546875" style="3532" bestFit="1" customWidth="1"/>
    <col min="4103" max="4103" width="13.42578125" style="3532" customWidth="1"/>
    <col min="4104" max="4104" width="15.28515625" style="3532" bestFit="1" customWidth="1"/>
    <col min="4105" max="4105" width="14.140625" style="3532" bestFit="1" customWidth="1"/>
    <col min="4106" max="4106" width="15.28515625" style="3532" customWidth="1"/>
    <col min="4107" max="4107" width="15.85546875" style="3532" customWidth="1"/>
    <col min="4108" max="4108" width="17" style="3532" bestFit="1" customWidth="1"/>
    <col min="4109" max="4109" width="12.7109375" style="3532" customWidth="1"/>
    <col min="4110" max="4110" width="13.7109375" style="3532" customWidth="1"/>
    <col min="4111" max="4111" width="13.85546875" style="3532" bestFit="1" customWidth="1"/>
    <col min="4112" max="4112" width="15.42578125" style="3532" bestFit="1" customWidth="1"/>
    <col min="4113" max="4113" width="16.140625" style="3532" customWidth="1"/>
    <col min="4114" max="4114" width="16.7109375" style="3532" bestFit="1" customWidth="1"/>
    <col min="4115" max="4116" width="20.42578125" style="3532" bestFit="1" customWidth="1"/>
    <col min="4117" max="4117" width="16.42578125" style="3532" bestFit="1" customWidth="1"/>
    <col min="4118" max="4118" width="14.28515625" style="3532" customWidth="1"/>
    <col min="4119" max="4119" width="14.85546875" style="3532" bestFit="1" customWidth="1"/>
    <col min="4120" max="4120" width="13.42578125" style="3532" bestFit="1" customWidth="1"/>
    <col min="4121" max="4121" width="12.42578125" style="3532" bestFit="1" customWidth="1"/>
    <col min="4122" max="4122" width="14" style="3532" bestFit="1" customWidth="1"/>
    <col min="4123" max="4123" width="6" style="3532" bestFit="1" customWidth="1"/>
    <col min="4124" max="4124" width="15" style="3532" customWidth="1"/>
    <col min="4125" max="4125" width="14.85546875" style="3532" bestFit="1" customWidth="1"/>
    <col min="4126" max="4126" width="16.140625" style="3532" bestFit="1" customWidth="1"/>
    <col min="4127" max="4353" width="8.85546875" style="3532"/>
    <col min="4354" max="4354" width="24" style="3532" bestFit="1" customWidth="1"/>
    <col min="4355" max="4355" width="45.7109375" style="3532" bestFit="1" customWidth="1"/>
    <col min="4356" max="4356" width="19.7109375" style="3532" bestFit="1" customWidth="1"/>
    <col min="4357" max="4357" width="17.140625" style="3532" bestFit="1" customWidth="1"/>
    <col min="4358" max="4358" width="19.85546875" style="3532" bestFit="1" customWidth="1"/>
    <col min="4359" max="4359" width="13.42578125" style="3532" customWidth="1"/>
    <col min="4360" max="4360" width="15.28515625" style="3532" bestFit="1" customWidth="1"/>
    <col min="4361" max="4361" width="14.140625" style="3532" bestFit="1" customWidth="1"/>
    <col min="4362" max="4362" width="15.28515625" style="3532" customWidth="1"/>
    <col min="4363" max="4363" width="15.85546875" style="3532" customWidth="1"/>
    <col min="4364" max="4364" width="17" style="3532" bestFit="1" customWidth="1"/>
    <col min="4365" max="4365" width="12.7109375" style="3532" customWidth="1"/>
    <col min="4366" max="4366" width="13.7109375" style="3532" customWidth="1"/>
    <col min="4367" max="4367" width="13.85546875" style="3532" bestFit="1" customWidth="1"/>
    <col min="4368" max="4368" width="15.42578125" style="3532" bestFit="1" customWidth="1"/>
    <col min="4369" max="4369" width="16.140625" style="3532" customWidth="1"/>
    <col min="4370" max="4370" width="16.7109375" style="3532" bestFit="1" customWidth="1"/>
    <col min="4371" max="4372" width="20.42578125" style="3532" bestFit="1" customWidth="1"/>
    <col min="4373" max="4373" width="16.42578125" style="3532" bestFit="1" customWidth="1"/>
    <col min="4374" max="4374" width="14.28515625" style="3532" customWidth="1"/>
    <col min="4375" max="4375" width="14.85546875" style="3532" bestFit="1" customWidth="1"/>
    <col min="4376" max="4376" width="13.42578125" style="3532" bestFit="1" customWidth="1"/>
    <col min="4377" max="4377" width="12.42578125" style="3532" bestFit="1" customWidth="1"/>
    <col min="4378" max="4378" width="14" style="3532" bestFit="1" customWidth="1"/>
    <col min="4379" max="4379" width="6" style="3532" bestFit="1" customWidth="1"/>
    <col min="4380" max="4380" width="15" style="3532" customWidth="1"/>
    <col min="4381" max="4381" width="14.85546875" style="3532" bestFit="1" customWidth="1"/>
    <col min="4382" max="4382" width="16.140625" style="3532" bestFit="1" customWidth="1"/>
    <col min="4383" max="4609" width="8.85546875" style="3532"/>
    <col min="4610" max="4610" width="24" style="3532" bestFit="1" customWidth="1"/>
    <col min="4611" max="4611" width="45.7109375" style="3532" bestFit="1" customWidth="1"/>
    <col min="4612" max="4612" width="19.7109375" style="3532" bestFit="1" customWidth="1"/>
    <col min="4613" max="4613" width="17.140625" style="3532" bestFit="1" customWidth="1"/>
    <col min="4614" max="4614" width="19.85546875" style="3532" bestFit="1" customWidth="1"/>
    <col min="4615" max="4615" width="13.42578125" style="3532" customWidth="1"/>
    <col min="4616" max="4616" width="15.28515625" style="3532" bestFit="1" customWidth="1"/>
    <col min="4617" max="4617" width="14.140625" style="3532" bestFit="1" customWidth="1"/>
    <col min="4618" max="4618" width="15.28515625" style="3532" customWidth="1"/>
    <col min="4619" max="4619" width="15.85546875" style="3532" customWidth="1"/>
    <col min="4620" max="4620" width="17" style="3532" bestFit="1" customWidth="1"/>
    <col min="4621" max="4621" width="12.7109375" style="3532" customWidth="1"/>
    <col min="4622" max="4622" width="13.7109375" style="3532" customWidth="1"/>
    <col min="4623" max="4623" width="13.85546875" style="3532" bestFit="1" customWidth="1"/>
    <col min="4624" max="4624" width="15.42578125" style="3532" bestFit="1" customWidth="1"/>
    <col min="4625" max="4625" width="16.140625" style="3532" customWidth="1"/>
    <col min="4626" max="4626" width="16.7109375" style="3532" bestFit="1" customWidth="1"/>
    <col min="4627" max="4628" width="20.42578125" style="3532" bestFit="1" customWidth="1"/>
    <col min="4629" max="4629" width="16.42578125" style="3532" bestFit="1" customWidth="1"/>
    <col min="4630" max="4630" width="14.28515625" style="3532" customWidth="1"/>
    <col min="4631" max="4631" width="14.85546875" style="3532" bestFit="1" customWidth="1"/>
    <col min="4632" max="4632" width="13.42578125" style="3532" bestFit="1" customWidth="1"/>
    <col min="4633" max="4633" width="12.42578125" style="3532" bestFit="1" customWidth="1"/>
    <col min="4634" max="4634" width="14" style="3532" bestFit="1" customWidth="1"/>
    <col min="4635" max="4635" width="6" style="3532" bestFit="1" customWidth="1"/>
    <col min="4636" max="4636" width="15" style="3532" customWidth="1"/>
    <col min="4637" max="4637" width="14.85546875" style="3532" bestFit="1" customWidth="1"/>
    <col min="4638" max="4638" width="16.140625" style="3532" bestFit="1" customWidth="1"/>
    <col min="4639" max="4865" width="8.85546875" style="3532"/>
    <col min="4866" max="4866" width="24" style="3532" bestFit="1" customWidth="1"/>
    <col min="4867" max="4867" width="45.7109375" style="3532" bestFit="1" customWidth="1"/>
    <col min="4868" max="4868" width="19.7109375" style="3532" bestFit="1" customWidth="1"/>
    <col min="4869" max="4869" width="17.140625" style="3532" bestFit="1" customWidth="1"/>
    <col min="4870" max="4870" width="19.85546875" style="3532" bestFit="1" customWidth="1"/>
    <col min="4871" max="4871" width="13.42578125" style="3532" customWidth="1"/>
    <col min="4872" max="4872" width="15.28515625" style="3532" bestFit="1" customWidth="1"/>
    <col min="4873" max="4873" width="14.140625" style="3532" bestFit="1" customWidth="1"/>
    <col min="4874" max="4874" width="15.28515625" style="3532" customWidth="1"/>
    <col min="4875" max="4875" width="15.85546875" style="3532" customWidth="1"/>
    <col min="4876" max="4876" width="17" style="3532" bestFit="1" customWidth="1"/>
    <col min="4877" max="4877" width="12.7109375" style="3532" customWidth="1"/>
    <col min="4878" max="4878" width="13.7109375" style="3532" customWidth="1"/>
    <col min="4879" max="4879" width="13.85546875" style="3532" bestFit="1" customWidth="1"/>
    <col min="4880" max="4880" width="15.42578125" style="3532" bestFit="1" customWidth="1"/>
    <col min="4881" max="4881" width="16.140625" style="3532" customWidth="1"/>
    <col min="4882" max="4882" width="16.7109375" style="3532" bestFit="1" customWidth="1"/>
    <col min="4883" max="4884" width="20.42578125" style="3532" bestFit="1" customWidth="1"/>
    <col min="4885" max="4885" width="16.42578125" style="3532" bestFit="1" customWidth="1"/>
    <col min="4886" max="4886" width="14.28515625" style="3532" customWidth="1"/>
    <col min="4887" max="4887" width="14.85546875" style="3532" bestFit="1" customWidth="1"/>
    <col min="4888" max="4888" width="13.42578125" style="3532" bestFit="1" customWidth="1"/>
    <col min="4889" max="4889" width="12.42578125" style="3532" bestFit="1" customWidth="1"/>
    <col min="4890" max="4890" width="14" style="3532" bestFit="1" customWidth="1"/>
    <col min="4891" max="4891" width="6" style="3532" bestFit="1" customWidth="1"/>
    <col min="4892" max="4892" width="15" style="3532" customWidth="1"/>
    <col min="4893" max="4893" width="14.85546875" style="3532" bestFit="1" customWidth="1"/>
    <col min="4894" max="4894" width="16.140625" style="3532" bestFit="1" customWidth="1"/>
    <col min="4895" max="5121" width="8.85546875" style="3532"/>
    <col min="5122" max="5122" width="24" style="3532" bestFit="1" customWidth="1"/>
    <col min="5123" max="5123" width="45.7109375" style="3532" bestFit="1" customWidth="1"/>
    <col min="5124" max="5124" width="19.7109375" style="3532" bestFit="1" customWidth="1"/>
    <col min="5125" max="5125" width="17.140625" style="3532" bestFit="1" customWidth="1"/>
    <col min="5126" max="5126" width="19.85546875" style="3532" bestFit="1" customWidth="1"/>
    <col min="5127" max="5127" width="13.42578125" style="3532" customWidth="1"/>
    <col min="5128" max="5128" width="15.28515625" style="3532" bestFit="1" customWidth="1"/>
    <col min="5129" max="5129" width="14.140625" style="3532" bestFit="1" customWidth="1"/>
    <col min="5130" max="5130" width="15.28515625" style="3532" customWidth="1"/>
    <col min="5131" max="5131" width="15.85546875" style="3532" customWidth="1"/>
    <col min="5132" max="5132" width="17" style="3532" bestFit="1" customWidth="1"/>
    <col min="5133" max="5133" width="12.7109375" style="3532" customWidth="1"/>
    <col min="5134" max="5134" width="13.7109375" style="3532" customWidth="1"/>
    <col min="5135" max="5135" width="13.85546875" style="3532" bestFit="1" customWidth="1"/>
    <col min="5136" max="5136" width="15.42578125" style="3532" bestFit="1" customWidth="1"/>
    <col min="5137" max="5137" width="16.140625" style="3532" customWidth="1"/>
    <col min="5138" max="5138" width="16.7109375" style="3532" bestFit="1" customWidth="1"/>
    <col min="5139" max="5140" width="20.42578125" style="3532" bestFit="1" customWidth="1"/>
    <col min="5141" max="5141" width="16.42578125" style="3532" bestFit="1" customWidth="1"/>
    <col min="5142" max="5142" width="14.28515625" style="3532" customWidth="1"/>
    <col min="5143" max="5143" width="14.85546875" style="3532" bestFit="1" customWidth="1"/>
    <col min="5144" max="5144" width="13.42578125" style="3532" bestFit="1" customWidth="1"/>
    <col min="5145" max="5145" width="12.42578125" style="3532" bestFit="1" customWidth="1"/>
    <col min="5146" max="5146" width="14" style="3532" bestFit="1" customWidth="1"/>
    <col min="5147" max="5147" width="6" style="3532" bestFit="1" customWidth="1"/>
    <col min="5148" max="5148" width="15" style="3532" customWidth="1"/>
    <col min="5149" max="5149" width="14.85546875" style="3532" bestFit="1" customWidth="1"/>
    <col min="5150" max="5150" width="16.140625" style="3532" bestFit="1" customWidth="1"/>
    <col min="5151" max="5377" width="8.85546875" style="3532"/>
    <col min="5378" max="5378" width="24" style="3532" bestFit="1" customWidth="1"/>
    <col min="5379" max="5379" width="45.7109375" style="3532" bestFit="1" customWidth="1"/>
    <col min="5380" max="5380" width="19.7109375" style="3532" bestFit="1" customWidth="1"/>
    <col min="5381" max="5381" width="17.140625" style="3532" bestFit="1" customWidth="1"/>
    <col min="5382" max="5382" width="19.85546875" style="3532" bestFit="1" customWidth="1"/>
    <col min="5383" max="5383" width="13.42578125" style="3532" customWidth="1"/>
    <col min="5384" max="5384" width="15.28515625" style="3532" bestFit="1" customWidth="1"/>
    <col min="5385" max="5385" width="14.140625" style="3532" bestFit="1" customWidth="1"/>
    <col min="5386" max="5386" width="15.28515625" style="3532" customWidth="1"/>
    <col min="5387" max="5387" width="15.85546875" style="3532" customWidth="1"/>
    <col min="5388" max="5388" width="17" style="3532" bestFit="1" customWidth="1"/>
    <col min="5389" max="5389" width="12.7109375" style="3532" customWidth="1"/>
    <col min="5390" max="5390" width="13.7109375" style="3532" customWidth="1"/>
    <col min="5391" max="5391" width="13.85546875" style="3532" bestFit="1" customWidth="1"/>
    <col min="5392" max="5392" width="15.42578125" style="3532" bestFit="1" customWidth="1"/>
    <col min="5393" max="5393" width="16.140625" style="3532" customWidth="1"/>
    <col min="5394" max="5394" width="16.7109375" style="3532" bestFit="1" customWidth="1"/>
    <col min="5395" max="5396" width="20.42578125" style="3532" bestFit="1" customWidth="1"/>
    <col min="5397" max="5397" width="16.42578125" style="3532" bestFit="1" customWidth="1"/>
    <col min="5398" max="5398" width="14.28515625" style="3532" customWidth="1"/>
    <col min="5399" max="5399" width="14.85546875" style="3532" bestFit="1" customWidth="1"/>
    <col min="5400" max="5400" width="13.42578125" style="3532" bestFit="1" customWidth="1"/>
    <col min="5401" max="5401" width="12.42578125" style="3532" bestFit="1" customWidth="1"/>
    <col min="5402" max="5402" width="14" style="3532" bestFit="1" customWidth="1"/>
    <col min="5403" max="5403" width="6" style="3532" bestFit="1" customWidth="1"/>
    <col min="5404" max="5404" width="15" style="3532" customWidth="1"/>
    <col min="5405" max="5405" width="14.85546875" style="3532" bestFit="1" customWidth="1"/>
    <col min="5406" max="5406" width="16.140625" style="3532" bestFit="1" customWidth="1"/>
    <col min="5407" max="5633" width="8.85546875" style="3532"/>
    <col min="5634" max="5634" width="24" style="3532" bestFit="1" customWidth="1"/>
    <col min="5635" max="5635" width="45.7109375" style="3532" bestFit="1" customWidth="1"/>
    <col min="5636" max="5636" width="19.7109375" style="3532" bestFit="1" customWidth="1"/>
    <col min="5637" max="5637" width="17.140625" style="3532" bestFit="1" customWidth="1"/>
    <col min="5638" max="5638" width="19.85546875" style="3532" bestFit="1" customWidth="1"/>
    <col min="5639" max="5639" width="13.42578125" style="3532" customWidth="1"/>
    <col min="5640" max="5640" width="15.28515625" style="3532" bestFit="1" customWidth="1"/>
    <col min="5641" max="5641" width="14.140625" style="3532" bestFit="1" customWidth="1"/>
    <col min="5642" max="5642" width="15.28515625" style="3532" customWidth="1"/>
    <col min="5643" max="5643" width="15.85546875" style="3532" customWidth="1"/>
    <col min="5644" max="5644" width="17" style="3532" bestFit="1" customWidth="1"/>
    <col min="5645" max="5645" width="12.7109375" style="3532" customWidth="1"/>
    <col min="5646" max="5646" width="13.7109375" style="3532" customWidth="1"/>
    <col min="5647" max="5647" width="13.85546875" style="3532" bestFit="1" customWidth="1"/>
    <col min="5648" max="5648" width="15.42578125" style="3532" bestFit="1" customWidth="1"/>
    <col min="5649" max="5649" width="16.140625" style="3532" customWidth="1"/>
    <col min="5650" max="5650" width="16.7109375" style="3532" bestFit="1" customWidth="1"/>
    <col min="5651" max="5652" width="20.42578125" style="3532" bestFit="1" customWidth="1"/>
    <col min="5653" max="5653" width="16.42578125" style="3532" bestFit="1" customWidth="1"/>
    <col min="5654" max="5654" width="14.28515625" style="3532" customWidth="1"/>
    <col min="5655" max="5655" width="14.85546875" style="3532" bestFit="1" customWidth="1"/>
    <col min="5656" max="5656" width="13.42578125" style="3532" bestFit="1" customWidth="1"/>
    <col min="5657" max="5657" width="12.42578125" style="3532" bestFit="1" customWidth="1"/>
    <col min="5658" max="5658" width="14" style="3532" bestFit="1" customWidth="1"/>
    <col min="5659" max="5659" width="6" style="3532" bestFit="1" customWidth="1"/>
    <col min="5660" max="5660" width="15" style="3532" customWidth="1"/>
    <col min="5661" max="5661" width="14.85546875" style="3532" bestFit="1" customWidth="1"/>
    <col min="5662" max="5662" width="16.140625" style="3532" bestFit="1" customWidth="1"/>
    <col min="5663" max="5889" width="8.85546875" style="3532"/>
    <col min="5890" max="5890" width="24" style="3532" bestFit="1" customWidth="1"/>
    <col min="5891" max="5891" width="45.7109375" style="3532" bestFit="1" customWidth="1"/>
    <col min="5892" max="5892" width="19.7109375" style="3532" bestFit="1" customWidth="1"/>
    <col min="5893" max="5893" width="17.140625" style="3532" bestFit="1" customWidth="1"/>
    <col min="5894" max="5894" width="19.85546875" style="3532" bestFit="1" customWidth="1"/>
    <col min="5895" max="5895" width="13.42578125" style="3532" customWidth="1"/>
    <col min="5896" max="5896" width="15.28515625" style="3532" bestFit="1" customWidth="1"/>
    <col min="5897" max="5897" width="14.140625" style="3532" bestFit="1" customWidth="1"/>
    <col min="5898" max="5898" width="15.28515625" style="3532" customWidth="1"/>
    <col min="5899" max="5899" width="15.85546875" style="3532" customWidth="1"/>
    <col min="5900" max="5900" width="17" style="3532" bestFit="1" customWidth="1"/>
    <col min="5901" max="5901" width="12.7109375" style="3532" customWidth="1"/>
    <col min="5902" max="5902" width="13.7109375" style="3532" customWidth="1"/>
    <col min="5903" max="5903" width="13.85546875" style="3532" bestFit="1" customWidth="1"/>
    <col min="5904" max="5904" width="15.42578125" style="3532" bestFit="1" customWidth="1"/>
    <col min="5905" max="5905" width="16.140625" style="3532" customWidth="1"/>
    <col min="5906" max="5906" width="16.7109375" style="3532" bestFit="1" customWidth="1"/>
    <col min="5907" max="5908" width="20.42578125" style="3532" bestFit="1" customWidth="1"/>
    <col min="5909" max="5909" width="16.42578125" style="3532" bestFit="1" customWidth="1"/>
    <col min="5910" max="5910" width="14.28515625" style="3532" customWidth="1"/>
    <col min="5911" max="5911" width="14.85546875" style="3532" bestFit="1" customWidth="1"/>
    <col min="5912" max="5912" width="13.42578125" style="3532" bestFit="1" customWidth="1"/>
    <col min="5913" max="5913" width="12.42578125" style="3532" bestFit="1" customWidth="1"/>
    <col min="5914" max="5914" width="14" style="3532" bestFit="1" customWidth="1"/>
    <col min="5915" max="5915" width="6" style="3532" bestFit="1" customWidth="1"/>
    <col min="5916" max="5916" width="15" style="3532" customWidth="1"/>
    <col min="5917" max="5917" width="14.85546875" style="3532" bestFit="1" customWidth="1"/>
    <col min="5918" max="5918" width="16.140625" style="3532" bestFit="1" customWidth="1"/>
    <col min="5919" max="6145" width="8.85546875" style="3532"/>
    <col min="6146" max="6146" width="24" style="3532" bestFit="1" customWidth="1"/>
    <col min="6147" max="6147" width="45.7109375" style="3532" bestFit="1" customWidth="1"/>
    <col min="6148" max="6148" width="19.7109375" style="3532" bestFit="1" customWidth="1"/>
    <col min="6149" max="6149" width="17.140625" style="3532" bestFit="1" customWidth="1"/>
    <col min="6150" max="6150" width="19.85546875" style="3532" bestFit="1" customWidth="1"/>
    <col min="6151" max="6151" width="13.42578125" style="3532" customWidth="1"/>
    <col min="6152" max="6152" width="15.28515625" style="3532" bestFit="1" customWidth="1"/>
    <col min="6153" max="6153" width="14.140625" style="3532" bestFit="1" customWidth="1"/>
    <col min="6154" max="6154" width="15.28515625" style="3532" customWidth="1"/>
    <col min="6155" max="6155" width="15.85546875" style="3532" customWidth="1"/>
    <col min="6156" max="6156" width="17" style="3532" bestFit="1" customWidth="1"/>
    <col min="6157" max="6157" width="12.7109375" style="3532" customWidth="1"/>
    <col min="6158" max="6158" width="13.7109375" style="3532" customWidth="1"/>
    <col min="6159" max="6159" width="13.85546875" style="3532" bestFit="1" customWidth="1"/>
    <col min="6160" max="6160" width="15.42578125" style="3532" bestFit="1" customWidth="1"/>
    <col min="6161" max="6161" width="16.140625" style="3532" customWidth="1"/>
    <col min="6162" max="6162" width="16.7109375" style="3532" bestFit="1" customWidth="1"/>
    <col min="6163" max="6164" width="20.42578125" style="3532" bestFit="1" customWidth="1"/>
    <col min="6165" max="6165" width="16.42578125" style="3532" bestFit="1" customWidth="1"/>
    <col min="6166" max="6166" width="14.28515625" style="3532" customWidth="1"/>
    <col min="6167" max="6167" width="14.85546875" style="3532" bestFit="1" customWidth="1"/>
    <col min="6168" max="6168" width="13.42578125" style="3532" bestFit="1" customWidth="1"/>
    <col min="6169" max="6169" width="12.42578125" style="3532" bestFit="1" customWidth="1"/>
    <col min="6170" max="6170" width="14" style="3532" bestFit="1" customWidth="1"/>
    <col min="6171" max="6171" width="6" style="3532" bestFit="1" customWidth="1"/>
    <col min="6172" max="6172" width="15" style="3532" customWidth="1"/>
    <col min="6173" max="6173" width="14.85546875" style="3532" bestFit="1" customWidth="1"/>
    <col min="6174" max="6174" width="16.140625" style="3532" bestFit="1" customWidth="1"/>
    <col min="6175" max="6401" width="8.85546875" style="3532"/>
    <col min="6402" max="6402" width="24" style="3532" bestFit="1" customWidth="1"/>
    <col min="6403" max="6403" width="45.7109375" style="3532" bestFit="1" customWidth="1"/>
    <col min="6404" max="6404" width="19.7109375" style="3532" bestFit="1" customWidth="1"/>
    <col min="6405" max="6405" width="17.140625" style="3532" bestFit="1" customWidth="1"/>
    <col min="6406" max="6406" width="19.85546875" style="3532" bestFit="1" customWidth="1"/>
    <col min="6407" max="6407" width="13.42578125" style="3532" customWidth="1"/>
    <col min="6408" max="6408" width="15.28515625" style="3532" bestFit="1" customWidth="1"/>
    <col min="6409" max="6409" width="14.140625" style="3532" bestFit="1" customWidth="1"/>
    <col min="6410" max="6410" width="15.28515625" style="3532" customWidth="1"/>
    <col min="6411" max="6411" width="15.85546875" style="3532" customWidth="1"/>
    <col min="6412" max="6412" width="17" style="3532" bestFit="1" customWidth="1"/>
    <col min="6413" max="6413" width="12.7109375" style="3532" customWidth="1"/>
    <col min="6414" max="6414" width="13.7109375" style="3532" customWidth="1"/>
    <col min="6415" max="6415" width="13.85546875" style="3532" bestFit="1" customWidth="1"/>
    <col min="6416" max="6416" width="15.42578125" style="3532" bestFit="1" customWidth="1"/>
    <col min="6417" max="6417" width="16.140625" style="3532" customWidth="1"/>
    <col min="6418" max="6418" width="16.7109375" style="3532" bestFit="1" customWidth="1"/>
    <col min="6419" max="6420" width="20.42578125" style="3532" bestFit="1" customWidth="1"/>
    <col min="6421" max="6421" width="16.42578125" style="3532" bestFit="1" customWidth="1"/>
    <col min="6422" max="6422" width="14.28515625" style="3532" customWidth="1"/>
    <col min="6423" max="6423" width="14.85546875" style="3532" bestFit="1" customWidth="1"/>
    <col min="6424" max="6424" width="13.42578125" style="3532" bestFit="1" customWidth="1"/>
    <col min="6425" max="6425" width="12.42578125" style="3532" bestFit="1" customWidth="1"/>
    <col min="6426" max="6426" width="14" style="3532" bestFit="1" customWidth="1"/>
    <col min="6427" max="6427" width="6" style="3532" bestFit="1" customWidth="1"/>
    <col min="6428" max="6428" width="15" style="3532" customWidth="1"/>
    <col min="6429" max="6429" width="14.85546875" style="3532" bestFit="1" customWidth="1"/>
    <col min="6430" max="6430" width="16.140625" style="3532" bestFit="1" customWidth="1"/>
    <col min="6431" max="6657" width="8.85546875" style="3532"/>
    <col min="6658" max="6658" width="24" style="3532" bestFit="1" customWidth="1"/>
    <col min="6659" max="6659" width="45.7109375" style="3532" bestFit="1" customWidth="1"/>
    <col min="6660" max="6660" width="19.7109375" style="3532" bestFit="1" customWidth="1"/>
    <col min="6661" max="6661" width="17.140625" style="3532" bestFit="1" customWidth="1"/>
    <col min="6662" max="6662" width="19.85546875" style="3532" bestFit="1" customWidth="1"/>
    <col min="6663" max="6663" width="13.42578125" style="3532" customWidth="1"/>
    <col min="6664" max="6664" width="15.28515625" style="3532" bestFit="1" customWidth="1"/>
    <col min="6665" max="6665" width="14.140625" style="3532" bestFit="1" customWidth="1"/>
    <col min="6666" max="6666" width="15.28515625" style="3532" customWidth="1"/>
    <col min="6667" max="6667" width="15.85546875" style="3532" customWidth="1"/>
    <col min="6668" max="6668" width="17" style="3532" bestFit="1" customWidth="1"/>
    <col min="6669" max="6669" width="12.7109375" style="3532" customWidth="1"/>
    <col min="6670" max="6670" width="13.7109375" style="3532" customWidth="1"/>
    <col min="6671" max="6671" width="13.85546875" style="3532" bestFit="1" customWidth="1"/>
    <col min="6672" max="6672" width="15.42578125" style="3532" bestFit="1" customWidth="1"/>
    <col min="6673" max="6673" width="16.140625" style="3532" customWidth="1"/>
    <col min="6674" max="6674" width="16.7109375" style="3532" bestFit="1" customWidth="1"/>
    <col min="6675" max="6676" width="20.42578125" style="3532" bestFit="1" customWidth="1"/>
    <col min="6677" max="6677" width="16.42578125" style="3532" bestFit="1" customWidth="1"/>
    <col min="6678" max="6678" width="14.28515625" style="3532" customWidth="1"/>
    <col min="6679" max="6679" width="14.85546875" style="3532" bestFit="1" customWidth="1"/>
    <col min="6680" max="6680" width="13.42578125" style="3532" bestFit="1" customWidth="1"/>
    <col min="6681" max="6681" width="12.42578125" style="3532" bestFit="1" customWidth="1"/>
    <col min="6682" max="6682" width="14" style="3532" bestFit="1" customWidth="1"/>
    <col min="6683" max="6683" width="6" style="3532" bestFit="1" customWidth="1"/>
    <col min="6684" max="6684" width="15" style="3532" customWidth="1"/>
    <col min="6685" max="6685" width="14.85546875" style="3532" bestFit="1" customWidth="1"/>
    <col min="6686" max="6686" width="16.140625" style="3532" bestFit="1" customWidth="1"/>
    <col min="6687" max="6913" width="8.85546875" style="3532"/>
    <col min="6914" max="6914" width="24" style="3532" bestFit="1" customWidth="1"/>
    <col min="6915" max="6915" width="45.7109375" style="3532" bestFit="1" customWidth="1"/>
    <col min="6916" max="6916" width="19.7109375" style="3532" bestFit="1" customWidth="1"/>
    <col min="6917" max="6917" width="17.140625" style="3532" bestFit="1" customWidth="1"/>
    <col min="6918" max="6918" width="19.85546875" style="3532" bestFit="1" customWidth="1"/>
    <col min="6919" max="6919" width="13.42578125" style="3532" customWidth="1"/>
    <col min="6920" max="6920" width="15.28515625" style="3532" bestFit="1" customWidth="1"/>
    <col min="6921" max="6921" width="14.140625" style="3532" bestFit="1" customWidth="1"/>
    <col min="6922" max="6922" width="15.28515625" style="3532" customWidth="1"/>
    <col min="6923" max="6923" width="15.85546875" style="3532" customWidth="1"/>
    <col min="6924" max="6924" width="17" style="3532" bestFit="1" customWidth="1"/>
    <col min="6925" max="6925" width="12.7109375" style="3532" customWidth="1"/>
    <col min="6926" max="6926" width="13.7109375" style="3532" customWidth="1"/>
    <col min="6927" max="6927" width="13.85546875" style="3532" bestFit="1" customWidth="1"/>
    <col min="6928" max="6928" width="15.42578125" style="3532" bestFit="1" customWidth="1"/>
    <col min="6929" max="6929" width="16.140625" style="3532" customWidth="1"/>
    <col min="6930" max="6930" width="16.7109375" style="3532" bestFit="1" customWidth="1"/>
    <col min="6931" max="6932" width="20.42578125" style="3532" bestFit="1" customWidth="1"/>
    <col min="6933" max="6933" width="16.42578125" style="3532" bestFit="1" customWidth="1"/>
    <col min="6934" max="6934" width="14.28515625" style="3532" customWidth="1"/>
    <col min="6935" max="6935" width="14.85546875" style="3532" bestFit="1" customWidth="1"/>
    <col min="6936" max="6936" width="13.42578125" style="3532" bestFit="1" customWidth="1"/>
    <col min="6937" max="6937" width="12.42578125" style="3532" bestFit="1" customWidth="1"/>
    <col min="6938" max="6938" width="14" style="3532" bestFit="1" customWidth="1"/>
    <col min="6939" max="6939" width="6" style="3532" bestFit="1" customWidth="1"/>
    <col min="6940" max="6940" width="15" style="3532" customWidth="1"/>
    <col min="6941" max="6941" width="14.85546875" style="3532" bestFit="1" customWidth="1"/>
    <col min="6942" max="6942" width="16.140625" style="3532" bestFit="1" customWidth="1"/>
    <col min="6943" max="7169" width="8.85546875" style="3532"/>
    <col min="7170" max="7170" width="24" style="3532" bestFit="1" customWidth="1"/>
    <col min="7171" max="7171" width="45.7109375" style="3532" bestFit="1" customWidth="1"/>
    <col min="7172" max="7172" width="19.7109375" style="3532" bestFit="1" customWidth="1"/>
    <col min="7173" max="7173" width="17.140625" style="3532" bestFit="1" customWidth="1"/>
    <col min="7174" max="7174" width="19.85546875" style="3532" bestFit="1" customWidth="1"/>
    <col min="7175" max="7175" width="13.42578125" style="3532" customWidth="1"/>
    <col min="7176" max="7176" width="15.28515625" style="3532" bestFit="1" customWidth="1"/>
    <col min="7177" max="7177" width="14.140625" style="3532" bestFit="1" customWidth="1"/>
    <col min="7178" max="7178" width="15.28515625" style="3532" customWidth="1"/>
    <col min="7179" max="7179" width="15.85546875" style="3532" customWidth="1"/>
    <col min="7180" max="7180" width="17" style="3532" bestFit="1" customWidth="1"/>
    <col min="7181" max="7181" width="12.7109375" style="3532" customWidth="1"/>
    <col min="7182" max="7182" width="13.7109375" style="3532" customWidth="1"/>
    <col min="7183" max="7183" width="13.85546875" style="3532" bestFit="1" customWidth="1"/>
    <col min="7184" max="7184" width="15.42578125" style="3532" bestFit="1" customWidth="1"/>
    <col min="7185" max="7185" width="16.140625" style="3532" customWidth="1"/>
    <col min="7186" max="7186" width="16.7109375" style="3532" bestFit="1" customWidth="1"/>
    <col min="7187" max="7188" width="20.42578125" style="3532" bestFit="1" customWidth="1"/>
    <col min="7189" max="7189" width="16.42578125" style="3532" bestFit="1" customWidth="1"/>
    <col min="7190" max="7190" width="14.28515625" style="3532" customWidth="1"/>
    <col min="7191" max="7191" width="14.85546875" style="3532" bestFit="1" customWidth="1"/>
    <col min="7192" max="7192" width="13.42578125" style="3532" bestFit="1" customWidth="1"/>
    <col min="7193" max="7193" width="12.42578125" style="3532" bestFit="1" customWidth="1"/>
    <col min="7194" max="7194" width="14" style="3532" bestFit="1" customWidth="1"/>
    <col min="7195" max="7195" width="6" style="3532" bestFit="1" customWidth="1"/>
    <col min="7196" max="7196" width="15" style="3532" customWidth="1"/>
    <col min="7197" max="7197" width="14.85546875" style="3532" bestFit="1" customWidth="1"/>
    <col min="7198" max="7198" width="16.140625" style="3532" bestFit="1" customWidth="1"/>
    <col min="7199" max="7425" width="8.85546875" style="3532"/>
    <col min="7426" max="7426" width="24" style="3532" bestFit="1" customWidth="1"/>
    <col min="7427" max="7427" width="45.7109375" style="3532" bestFit="1" customWidth="1"/>
    <col min="7428" max="7428" width="19.7109375" style="3532" bestFit="1" customWidth="1"/>
    <col min="7429" max="7429" width="17.140625" style="3532" bestFit="1" customWidth="1"/>
    <col min="7430" max="7430" width="19.85546875" style="3532" bestFit="1" customWidth="1"/>
    <col min="7431" max="7431" width="13.42578125" style="3532" customWidth="1"/>
    <col min="7432" max="7432" width="15.28515625" style="3532" bestFit="1" customWidth="1"/>
    <col min="7433" max="7433" width="14.140625" style="3532" bestFit="1" customWidth="1"/>
    <col min="7434" max="7434" width="15.28515625" style="3532" customWidth="1"/>
    <col min="7435" max="7435" width="15.85546875" style="3532" customWidth="1"/>
    <col min="7436" max="7436" width="17" style="3532" bestFit="1" customWidth="1"/>
    <col min="7437" max="7437" width="12.7109375" style="3532" customWidth="1"/>
    <col min="7438" max="7438" width="13.7109375" style="3532" customWidth="1"/>
    <col min="7439" max="7439" width="13.85546875" style="3532" bestFit="1" customWidth="1"/>
    <col min="7440" max="7440" width="15.42578125" style="3532" bestFit="1" customWidth="1"/>
    <col min="7441" max="7441" width="16.140625" style="3532" customWidth="1"/>
    <col min="7442" max="7442" width="16.7109375" style="3532" bestFit="1" customWidth="1"/>
    <col min="7443" max="7444" width="20.42578125" style="3532" bestFit="1" customWidth="1"/>
    <col min="7445" max="7445" width="16.42578125" style="3532" bestFit="1" customWidth="1"/>
    <col min="7446" max="7446" width="14.28515625" style="3532" customWidth="1"/>
    <col min="7447" max="7447" width="14.85546875" style="3532" bestFit="1" customWidth="1"/>
    <col min="7448" max="7448" width="13.42578125" style="3532" bestFit="1" customWidth="1"/>
    <col min="7449" max="7449" width="12.42578125" style="3532" bestFit="1" customWidth="1"/>
    <col min="7450" max="7450" width="14" style="3532" bestFit="1" customWidth="1"/>
    <col min="7451" max="7451" width="6" style="3532" bestFit="1" customWidth="1"/>
    <col min="7452" max="7452" width="15" style="3532" customWidth="1"/>
    <col min="7453" max="7453" width="14.85546875" style="3532" bestFit="1" customWidth="1"/>
    <col min="7454" max="7454" width="16.140625" style="3532" bestFit="1" customWidth="1"/>
    <col min="7455" max="7681" width="8.85546875" style="3532"/>
    <col min="7682" max="7682" width="24" style="3532" bestFit="1" customWidth="1"/>
    <col min="7683" max="7683" width="45.7109375" style="3532" bestFit="1" customWidth="1"/>
    <col min="7684" max="7684" width="19.7109375" style="3532" bestFit="1" customWidth="1"/>
    <col min="7685" max="7685" width="17.140625" style="3532" bestFit="1" customWidth="1"/>
    <col min="7686" max="7686" width="19.85546875" style="3532" bestFit="1" customWidth="1"/>
    <col min="7687" max="7687" width="13.42578125" style="3532" customWidth="1"/>
    <col min="7688" max="7688" width="15.28515625" style="3532" bestFit="1" customWidth="1"/>
    <col min="7689" max="7689" width="14.140625" style="3532" bestFit="1" customWidth="1"/>
    <col min="7690" max="7690" width="15.28515625" style="3532" customWidth="1"/>
    <col min="7691" max="7691" width="15.85546875" style="3532" customWidth="1"/>
    <col min="7692" max="7692" width="17" style="3532" bestFit="1" customWidth="1"/>
    <col min="7693" max="7693" width="12.7109375" style="3532" customWidth="1"/>
    <col min="7694" max="7694" width="13.7109375" style="3532" customWidth="1"/>
    <col min="7695" max="7695" width="13.85546875" style="3532" bestFit="1" customWidth="1"/>
    <col min="7696" max="7696" width="15.42578125" style="3532" bestFit="1" customWidth="1"/>
    <col min="7697" max="7697" width="16.140625" style="3532" customWidth="1"/>
    <col min="7698" max="7698" width="16.7109375" style="3532" bestFit="1" customWidth="1"/>
    <col min="7699" max="7700" width="20.42578125" style="3532" bestFit="1" customWidth="1"/>
    <col min="7701" max="7701" width="16.42578125" style="3532" bestFit="1" customWidth="1"/>
    <col min="7702" max="7702" width="14.28515625" style="3532" customWidth="1"/>
    <col min="7703" max="7703" width="14.85546875" style="3532" bestFit="1" customWidth="1"/>
    <col min="7704" max="7704" width="13.42578125" style="3532" bestFit="1" customWidth="1"/>
    <col min="7705" max="7705" width="12.42578125" style="3532" bestFit="1" customWidth="1"/>
    <col min="7706" max="7706" width="14" style="3532" bestFit="1" customWidth="1"/>
    <col min="7707" max="7707" width="6" style="3532" bestFit="1" customWidth="1"/>
    <col min="7708" max="7708" width="15" style="3532" customWidth="1"/>
    <col min="7709" max="7709" width="14.85546875" style="3532" bestFit="1" customWidth="1"/>
    <col min="7710" max="7710" width="16.140625" style="3532" bestFit="1" customWidth="1"/>
    <col min="7711" max="7937" width="8.85546875" style="3532"/>
    <col min="7938" max="7938" width="24" style="3532" bestFit="1" customWidth="1"/>
    <col min="7939" max="7939" width="45.7109375" style="3532" bestFit="1" customWidth="1"/>
    <col min="7940" max="7940" width="19.7109375" style="3532" bestFit="1" customWidth="1"/>
    <col min="7941" max="7941" width="17.140625" style="3532" bestFit="1" customWidth="1"/>
    <col min="7942" max="7942" width="19.85546875" style="3532" bestFit="1" customWidth="1"/>
    <col min="7943" max="7943" width="13.42578125" style="3532" customWidth="1"/>
    <col min="7944" max="7944" width="15.28515625" style="3532" bestFit="1" customWidth="1"/>
    <col min="7945" max="7945" width="14.140625" style="3532" bestFit="1" customWidth="1"/>
    <col min="7946" max="7946" width="15.28515625" style="3532" customWidth="1"/>
    <col min="7947" max="7947" width="15.85546875" style="3532" customWidth="1"/>
    <col min="7948" max="7948" width="17" style="3532" bestFit="1" customWidth="1"/>
    <col min="7949" max="7949" width="12.7109375" style="3532" customWidth="1"/>
    <col min="7950" max="7950" width="13.7109375" style="3532" customWidth="1"/>
    <col min="7951" max="7951" width="13.85546875" style="3532" bestFit="1" customWidth="1"/>
    <col min="7952" max="7952" width="15.42578125" style="3532" bestFit="1" customWidth="1"/>
    <col min="7953" max="7953" width="16.140625" style="3532" customWidth="1"/>
    <col min="7954" max="7954" width="16.7109375" style="3532" bestFit="1" customWidth="1"/>
    <col min="7955" max="7956" width="20.42578125" style="3532" bestFit="1" customWidth="1"/>
    <col min="7957" max="7957" width="16.42578125" style="3532" bestFit="1" customWidth="1"/>
    <col min="7958" max="7958" width="14.28515625" style="3532" customWidth="1"/>
    <col min="7959" max="7959" width="14.85546875" style="3532" bestFit="1" customWidth="1"/>
    <col min="7960" max="7960" width="13.42578125" style="3532" bestFit="1" customWidth="1"/>
    <col min="7961" max="7961" width="12.42578125" style="3532" bestFit="1" customWidth="1"/>
    <col min="7962" max="7962" width="14" style="3532" bestFit="1" customWidth="1"/>
    <col min="7963" max="7963" width="6" style="3532" bestFit="1" customWidth="1"/>
    <col min="7964" max="7964" width="15" style="3532" customWidth="1"/>
    <col min="7965" max="7965" width="14.85546875" style="3532" bestFit="1" customWidth="1"/>
    <col min="7966" max="7966" width="16.140625" style="3532" bestFit="1" customWidth="1"/>
    <col min="7967" max="8193" width="8.85546875" style="3532"/>
    <col min="8194" max="8194" width="24" style="3532" bestFit="1" customWidth="1"/>
    <col min="8195" max="8195" width="45.7109375" style="3532" bestFit="1" customWidth="1"/>
    <col min="8196" max="8196" width="19.7109375" style="3532" bestFit="1" customWidth="1"/>
    <col min="8197" max="8197" width="17.140625" style="3532" bestFit="1" customWidth="1"/>
    <col min="8198" max="8198" width="19.85546875" style="3532" bestFit="1" customWidth="1"/>
    <col min="8199" max="8199" width="13.42578125" style="3532" customWidth="1"/>
    <col min="8200" max="8200" width="15.28515625" style="3532" bestFit="1" customWidth="1"/>
    <col min="8201" max="8201" width="14.140625" style="3532" bestFit="1" customWidth="1"/>
    <col min="8202" max="8202" width="15.28515625" style="3532" customWidth="1"/>
    <col min="8203" max="8203" width="15.85546875" style="3532" customWidth="1"/>
    <col min="8204" max="8204" width="17" style="3532" bestFit="1" customWidth="1"/>
    <col min="8205" max="8205" width="12.7109375" style="3532" customWidth="1"/>
    <col min="8206" max="8206" width="13.7109375" style="3532" customWidth="1"/>
    <col min="8207" max="8207" width="13.85546875" style="3532" bestFit="1" customWidth="1"/>
    <col min="8208" max="8208" width="15.42578125" style="3532" bestFit="1" customWidth="1"/>
    <col min="8209" max="8209" width="16.140625" style="3532" customWidth="1"/>
    <col min="8210" max="8210" width="16.7109375" style="3532" bestFit="1" customWidth="1"/>
    <col min="8211" max="8212" width="20.42578125" style="3532" bestFit="1" customWidth="1"/>
    <col min="8213" max="8213" width="16.42578125" style="3532" bestFit="1" customWidth="1"/>
    <col min="8214" max="8214" width="14.28515625" style="3532" customWidth="1"/>
    <col min="8215" max="8215" width="14.85546875" style="3532" bestFit="1" customWidth="1"/>
    <col min="8216" max="8216" width="13.42578125" style="3532" bestFit="1" customWidth="1"/>
    <col min="8217" max="8217" width="12.42578125" style="3532" bestFit="1" customWidth="1"/>
    <col min="8218" max="8218" width="14" style="3532" bestFit="1" customWidth="1"/>
    <col min="8219" max="8219" width="6" style="3532" bestFit="1" customWidth="1"/>
    <col min="8220" max="8220" width="15" style="3532" customWidth="1"/>
    <col min="8221" max="8221" width="14.85546875" style="3532" bestFit="1" customWidth="1"/>
    <col min="8222" max="8222" width="16.140625" style="3532" bestFit="1" customWidth="1"/>
    <col min="8223" max="8449" width="8.85546875" style="3532"/>
    <col min="8450" max="8450" width="24" style="3532" bestFit="1" customWidth="1"/>
    <col min="8451" max="8451" width="45.7109375" style="3532" bestFit="1" customWidth="1"/>
    <col min="8452" max="8452" width="19.7109375" style="3532" bestFit="1" customWidth="1"/>
    <col min="8453" max="8453" width="17.140625" style="3532" bestFit="1" customWidth="1"/>
    <col min="8454" max="8454" width="19.85546875" style="3532" bestFit="1" customWidth="1"/>
    <col min="8455" max="8455" width="13.42578125" style="3532" customWidth="1"/>
    <col min="8456" max="8456" width="15.28515625" style="3532" bestFit="1" customWidth="1"/>
    <col min="8457" max="8457" width="14.140625" style="3532" bestFit="1" customWidth="1"/>
    <col min="8458" max="8458" width="15.28515625" style="3532" customWidth="1"/>
    <col min="8459" max="8459" width="15.85546875" style="3532" customWidth="1"/>
    <col min="8460" max="8460" width="17" style="3532" bestFit="1" customWidth="1"/>
    <col min="8461" max="8461" width="12.7109375" style="3532" customWidth="1"/>
    <col min="8462" max="8462" width="13.7109375" style="3532" customWidth="1"/>
    <col min="8463" max="8463" width="13.85546875" style="3532" bestFit="1" customWidth="1"/>
    <col min="8464" max="8464" width="15.42578125" style="3532" bestFit="1" customWidth="1"/>
    <col min="8465" max="8465" width="16.140625" style="3532" customWidth="1"/>
    <col min="8466" max="8466" width="16.7109375" style="3532" bestFit="1" customWidth="1"/>
    <col min="8467" max="8468" width="20.42578125" style="3532" bestFit="1" customWidth="1"/>
    <col min="8469" max="8469" width="16.42578125" style="3532" bestFit="1" customWidth="1"/>
    <col min="8470" max="8470" width="14.28515625" style="3532" customWidth="1"/>
    <col min="8471" max="8471" width="14.85546875" style="3532" bestFit="1" customWidth="1"/>
    <col min="8472" max="8472" width="13.42578125" style="3532" bestFit="1" customWidth="1"/>
    <col min="8473" max="8473" width="12.42578125" style="3532" bestFit="1" customWidth="1"/>
    <col min="8474" max="8474" width="14" style="3532" bestFit="1" customWidth="1"/>
    <col min="8475" max="8475" width="6" style="3532" bestFit="1" customWidth="1"/>
    <col min="8476" max="8476" width="15" style="3532" customWidth="1"/>
    <col min="8477" max="8477" width="14.85546875" style="3532" bestFit="1" customWidth="1"/>
    <col min="8478" max="8478" width="16.140625" style="3532" bestFit="1" customWidth="1"/>
    <col min="8479" max="8705" width="8.85546875" style="3532"/>
    <col min="8706" max="8706" width="24" style="3532" bestFit="1" customWidth="1"/>
    <col min="8707" max="8707" width="45.7109375" style="3532" bestFit="1" customWidth="1"/>
    <col min="8708" max="8708" width="19.7109375" style="3532" bestFit="1" customWidth="1"/>
    <col min="8709" max="8709" width="17.140625" style="3532" bestFit="1" customWidth="1"/>
    <col min="8710" max="8710" width="19.85546875" style="3532" bestFit="1" customWidth="1"/>
    <col min="8711" max="8711" width="13.42578125" style="3532" customWidth="1"/>
    <col min="8712" max="8712" width="15.28515625" style="3532" bestFit="1" customWidth="1"/>
    <col min="8713" max="8713" width="14.140625" style="3532" bestFit="1" customWidth="1"/>
    <col min="8714" max="8714" width="15.28515625" style="3532" customWidth="1"/>
    <col min="8715" max="8715" width="15.85546875" style="3532" customWidth="1"/>
    <col min="8716" max="8716" width="17" style="3532" bestFit="1" customWidth="1"/>
    <col min="8717" max="8717" width="12.7109375" style="3532" customWidth="1"/>
    <col min="8718" max="8718" width="13.7109375" style="3532" customWidth="1"/>
    <col min="8719" max="8719" width="13.85546875" style="3532" bestFit="1" customWidth="1"/>
    <col min="8720" max="8720" width="15.42578125" style="3532" bestFit="1" customWidth="1"/>
    <col min="8721" max="8721" width="16.140625" style="3532" customWidth="1"/>
    <col min="8722" max="8722" width="16.7109375" style="3532" bestFit="1" customWidth="1"/>
    <col min="8723" max="8724" width="20.42578125" style="3532" bestFit="1" customWidth="1"/>
    <col min="8725" max="8725" width="16.42578125" style="3532" bestFit="1" customWidth="1"/>
    <col min="8726" max="8726" width="14.28515625" style="3532" customWidth="1"/>
    <col min="8727" max="8727" width="14.85546875" style="3532" bestFit="1" customWidth="1"/>
    <col min="8728" max="8728" width="13.42578125" style="3532" bestFit="1" customWidth="1"/>
    <col min="8729" max="8729" width="12.42578125" style="3532" bestFit="1" customWidth="1"/>
    <col min="8730" max="8730" width="14" style="3532" bestFit="1" customWidth="1"/>
    <col min="8731" max="8731" width="6" style="3532" bestFit="1" customWidth="1"/>
    <col min="8732" max="8732" width="15" style="3532" customWidth="1"/>
    <col min="8733" max="8733" width="14.85546875" style="3532" bestFit="1" customWidth="1"/>
    <col min="8734" max="8734" width="16.140625" style="3532" bestFit="1" customWidth="1"/>
    <col min="8735" max="8961" width="8.85546875" style="3532"/>
    <col min="8962" max="8962" width="24" style="3532" bestFit="1" customWidth="1"/>
    <col min="8963" max="8963" width="45.7109375" style="3532" bestFit="1" customWidth="1"/>
    <col min="8964" max="8964" width="19.7109375" style="3532" bestFit="1" customWidth="1"/>
    <col min="8965" max="8965" width="17.140625" style="3532" bestFit="1" customWidth="1"/>
    <col min="8966" max="8966" width="19.85546875" style="3532" bestFit="1" customWidth="1"/>
    <col min="8967" max="8967" width="13.42578125" style="3532" customWidth="1"/>
    <col min="8968" max="8968" width="15.28515625" style="3532" bestFit="1" customWidth="1"/>
    <col min="8969" max="8969" width="14.140625" style="3532" bestFit="1" customWidth="1"/>
    <col min="8970" max="8970" width="15.28515625" style="3532" customWidth="1"/>
    <col min="8971" max="8971" width="15.85546875" style="3532" customWidth="1"/>
    <col min="8972" max="8972" width="17" style="3532" bestFit="1" customWidth="1"/>
    <col min="8973" max="8973" width="12.7109375" style="3532" customWidth="1"/>
    <col min="8974" max="8974" width="13.7109375" style="3532" customWidth="1"/>
    <col min="8975" max="8975" width="13.85546875" style="3532" bestFit="1" customWidth="1"/>
    <col min="8976" max="8976" width="15.42578125" style="3532" bestFit="1" customWidth="1"/>
    <col min="8977" max="8977" width="16.140625" style="3532" customWidth="1"/>
    <col min="8978" max="8978" width="16.7109375" style="3532" bestFit="1" customWidth="1"/>
    <col min="8979" max="8980" width="20.42578125" style="3532" bestFit="1" customWidth="1"/>
    <col min="8981" max="8981" width="16.42578125" style="3532" bestFit="1" customWidth="1"/>
    <col min="8982" max="8982" width="14.28515625" style="3532" customWidth="1"/>
    <col min="8983" max="8983" width="14.85546875" style="3532" bestFit="1" customWidth="1"/>
    <col min="8984" max="8984" width="13.42578125" style="3532" bestFit="1" customWidth="1"/>
    <col min="8985" max="8985" width="12.42578125" style="3532" bestFit="1" customWidth="1"/>
    <col min="8986" max="8986" width="14" style="3532" bestFit="1" customWidth="1"/>
    <col min="8987" max="8987" width="6" style="3532" bestFit="1" customWidth="1"/>
    <col min="8988" max="8988" width="15" style="3532" customWidth="1"/>
    <col min="8989" max="8989" width="14.85546875" style="3532" bestFit="1" customWidth="1"/>
    <col min="8990" max="8990" width="16.140625" style="3532" bestFit="1" customWidth="1"/>
    <col min="8991" max="9217" width="8.85546875" style="3532"/>
    <col min="9218" max="9218" width="24" style="3532" bestFit="1" customWidth="1"/>
    <col min="9219" max="9219" width="45.7109375" style="3532" bestFit="1" customWidth="1"/>
    <col min="9220" max="9220" width="19.7109375" style="3532" bestFit="1" customWidth="1"/>
    <col min="9221" max="9221" width="17.140625" style="3532" bestFit="1" customWidth="1"/>
    <col min="9222" max="9222" width="19.85546875" style="3532" bestFit="1" customWidth="1"/>
    <col min="9223" max="9223" width="13.42578125" style="3532" customWidth="1"/>
    <col min="9224" max="9224" width="15.28515625" style="3532" bestFit="1" customWidth="1"/>
    <col min="9225" max="9225" width="14.140625" style="3532" bestFit="1" customWidth="1"/>
    <col min="9226" max="9226" width="15.28515625" style="3532" customWidth="1"/>
    <col min="9227" max="9227" width="15.85546875" style="3532" customWidth="1"/>
    <col min="9228" max="9228" width="17" style="3532" bestFit="1" customWidth="1"/>
    <col min="9229" max="9229" width="12.7109375" style="3532" customWidth="1"/>
    <col min="9230" max="9230" width="13.7109375" style="3532" customWidth="1"/>
    <col min="9231" max="9231" width="13.85546875" style="3532" bestFit="1" customWidth="1"/>
    <col min="9232" max="9232" width="15.42578125" style="3532" bestFit="1" customWidth="1"/>
    <col min="9233" max="9233" width="16.140625" style="3532" customWidth="1"/>
    <col min="9234" max="9234" width="16.7109375" style="3532" bestFit="1" customWidth="1"/>
    <col min="9235" max="9236" width="20.42578125" style="3532" bestFit="1" customWidth="1"/>
    <col min="9237" max="9237" width="16.42578125" style="3532" bestFit="1" customWidth="1"/>
    <col min="9238" max="9238" width="14.28515625" style="3532" customWidth="1"/>
    <col min="9239" max="9239" width="14.85546875" style="3532" bestFit="1" customWidth="1"/>
    <col min="9240" max="9240" width="13.42578125" style="3532" bestFit="1" customWidth="1"/>
    <col min="9241" max="9241" width="12.42578125" style="3532" bestFit="1" customWidth="1"/>
    <col min="9242" max="9242" width="14" style="3532" bestFit="1" customWidth="1"/>
    <col min="9243" max="9243" width="6" style="3532" bestFit="1" customWidth="1"/>
    <col min="9244" max="9244" width="15" style="3532" customWidth="1"/>
    <col min="9245" max="9245" width="14.85546875" style="3532" bestFit="1" customWidth="1"/>
    <col min="9246" max="9246" width="16.140625" style="3532" bestFit="1" customWidth="1"/>
    <col min="9247" max="9473" width="8.85546875" style="3532"/>
    <col min="9474" max="9474" width="24" style="3532" bestFit="1" customWidth="1"/>
    <col min="9475" max="9475" width="45.7109375" style="3532" bestFit="1" customWidth="1"/>
    <col min="9476" max="9476" width="19.7109375" style="3532" bestFit="1" customWidth="1"/>
    <col min="9477" max="9477" width="17.140625" style="3532" bestFit="1" customWidth="1"/>
    <col min="9478" max="9478" width="19.85546875" style="3532" bestFit="1" customWidth="1"/>
    <col min="9479" max="9479" width="13.42578125" style="3532" customWidth="1"/>
    <col min="9480" max="9480" width="15.28515625" style="3532" bestFit="1" customWidth="1"/>
    <col min="9481" max="9481" width="14.140625" style="3532" bestFit="1" customWidth="1"/>
    <col min="9482" max="9482" width="15.28515625" style="3532" customWidth="1"/>
    <col min="9483" max="9483" width="15.85546875" style="3532" customWidth="1"/>
    <col min="9484" max="9484" width="17" style="3532" bestFit="1" customWidth="1"/>
    <col min="9485" max="9485" width="12.7109375" style="3532" customWidth="1"/>
    <col min="9486" max="9486" width="13.7109375" style="3532" customWidth="1"/>
    <col min="9487" max="9487" width="13.85546875" style="3532" bestFit="1" customWidth="1"/>
    <col min="9488" max="9488" width="15.42578125" style="3532" bestFit="1" customWidth="1"/>
    <col min="9489" max="9489" width="16.140625" style="3532" customWidth="1"/>
    <col min="9490" max="9490" width="16.7109375" style="3532" bestFit="1" customWidth="1"/>
    <col min="9491" max="9492" width="20.42578125" style="3532" bestFit="1" customWidth="1"/>
    <col min="9493" max="9493" width="16.42578125" style="3532" bestFit="1" customWidth="1"/>
    <col min="9494" max="9494" width="14.28515625" style="3532" customWidth="1"/>
    <col min="9495" max="9495" width="14.85546875" style="3532" bestFit="1" customWidth="1"/>
    <col min="9496" max="9496" width="13.42578125" style="3532" bestFit="1" customWidth="1"/>
    <col min="9497" max="9497" width="12.42578125" style="3532" bestFit="1" customWidth="1"/>
    <col min="9498" max="9498" width="14" style="3532" bestFit="1" customWidth="1"/>
    <col min="9499" max="9499" width="6" style="3532" bestFit="1" customWidth="1"/>
    <col min="9500" max="9500" width="15" style="3532" customWidth="1"/>
    <col min="9501" max="9501" width="14.85546875" style="3532" bestFit="1" customWidth="1"/>
    <col min="9502" max="9502" width="16.140625" style="3532" bestFit="1" customWidth="1"/>
    <col min="9503" max="9729" width="8.85546875" style="3532"/>
    <col min="9730" max="9730" width="24" style="3532" bestFit="1" customWidth="1"/>
    <col min="9731" max="9731" width="45.7109375" style="3532" bestFit="1" customWidth="1"/>
    <col min="9732" max="9732" width="19.7109375" style="3532" bestFit="1" customWidth="1"/>
    <col min="9733" max="9733" width="17.140625" style="3532" bestFit="1" customWidth="1"/>
    <col min="9734" max="9734" width="19.85546875" style="3532" bestFit="1" customWidth="1"/>
    <col min="9735" max="9735" width="13.42578125" style="3532" customWidth="1"/>
    <col min="9736" max="9736" width="15.28515625" style="3532" bestFit="1" customWidth="1"/>
    <col min="9737" max="9737" width="14.140625" style="3532" bestFit="1" customWidth="1"/>
    <col min="9738" max="9738" width="15.28515625" style="3532" customWidth="1"/>
    <col min="9739" max="9739" width="15.85546875" style="3532" customWidth="1"/>
    <col min="9740" max="9740" width="17" style="3532" bestFit="1" customWidth="1"/>
    <col min="9741" max="9741" width="12.7109375" style="3532" customWidth="1"/>
    <col min="9742" max="9742" width="13.7109375" style="3532" customWidth="1"/>
    <col min="9743" max="9743" width="13.85546875" style="3532" bestFit="1" customWidth="1"/>
    <col min="9744" max="9744" width="15.42578125" style="3532" bestFit="1" customWidth="1"/>
    <col min="9745" max="9745" width="16.140625" style="3532" customWidth="1"/>
    <col min="9746" max="9746" width="16.7109375" style="3532" bestFit="1" customWidth="1"/>
    <col min="9747" max="9748" width="20.42578125" style="3532" bestFit="1" customWidth="1"/>
    <col min="9749" max="9749" width="16.42578125" style="3532" bestFit="1" customWidth="1"/>
    <col min="9750" max="9750" width="14.28515625" style="3532" customWidth="1"/>
    <col min="9751" max="9751" width="14.85546875" style="3532" bestFit="1" customWidth="1"/>
    <col min="9752" max="9752" width="13.42578125" style="3532" bestFit="1" customWidth="1"/>
    <col min="9753" max="9753" width="12.42578125" style="3532" bestFit="1" customWidth="1"/>
    <col min="9754" max="9754" width="14" style="3532" bestFit="1" customWidth="1"/>
    <col min="9755" max="9755" width="6" style="3532" bestFit="1" customWidth="1"/>
    <col min="9756" max="9756" width="15" style="3532" customWidth="1"/>
    <col min="9757" max="9757" width="14.85546875" style="3532" bestFit="1" customWidth="1"/>
    <col min="9758" max="9758" width="16.140625" style="3532" bestFit="1" customWidth="1"/>
    <col min="9759" max="9985" width="8.85546875" style="3532"/>
    <col min="9986" max="9986" width="24" style="3532" bestFit="1" customWidth="1"/>
    <col min="9987" max="9987" width="45.7109375" style="3532" bestFit="1" customWidth="1"/>
    <col min="9988" max="9988" width="19.7109375" style="3532" bestFit="1" customWidth="1"/>
    <col min="9989" max="9989" width="17.140625" style="3532" bestFit="1" customWidth="1"/>
    <col min="9990" max="9990" width="19.85546875" style="3532" bestFit="1" customWidth="1"/>
    <col min="9991" max="9991" width="13.42578125" style="3532" customWidth="1"/>
    <col min="9992" max="9992" width="15.28515625" style="3532" bestFit="1" customWidth="1"/>
    <col min="9993" max="9993" width="14.140625" style="3532" bestFit="1" customWidth="1"/>
    <col min="9994" max="9994" width="15.28515625" style="3532" customWidth="1"/>
    <col min="9995" max="9995" width="15.85546875" style="3532" customWidth="1"/>
    <col min="9996" max="9996" width="17" style="3532" bestFit="1" customWidth="1"/>
    <col min="9997" max="9997" width="12.7109375" style="3532" customWidth="1"/>
    <col min="9998" max="9998" width="13.7109375" style="3532" customWidth="1"/>
    <col min="9999" max="9999" width="13.85546875" style="3532" bestFit="1" customWidth="1"/>
    <col min="10000" max="10000" width="15.42578125" style="3532" bestFit="1" customWidth="1"/>
    <col min="10001" max="10001" width="16.140625" style="3532" customWidth="1"/>
    <col min="10002" max="10002" width="16.7109375" style="3532" bestFit="1" customWidth="1"/>
    <col min="10003" max="10004" width="20.42578125" style="3532" bestFit="1" customWidth="1"/>
    <col min="10005" max="10005" width="16.42578125" style="3532" bestFit="1" customWidth="1"/>
    <col min="10006" max="10006" width="14.28515625" style="3532" customWidth="1"/>
    <col min="10007" max="10007" width="14.85546875" style="3532" bestFit="1" customWidth="1"/>
    <col min="10008" max="10008" width="13.42578125" style="3532" bestFit="1" customWidth="1"/>
    <col min="10009" max="10009" width="12.42578125" style="3532" bestFit="1" customWidth="1"/>
    <col min="10010" max="10010" width="14" style="3532" bestFit="1" customWidth="1"/>
    <col min="10011" max="10011" width="6" style="3532" bestFit="1" customWidth="1"/>
    <col min="10012" max="10012" width="15" style="3532" customWidth="1"/>
    <col min="10013" max="10013" width="14.85546875" style="3532" bestFit="1" customWidth="1"/>
    <col min="10014" max="10014" width="16.140625" style="3532" bestFit="1" customWidth="1"/>
    <col min="10015" max="10241" width="8.85546875" style="3532"/>
    <col min="10242" max="10242" width="24" style="3532" bestFit="1" customWidth="1"/>
    <col min="10243" max="10243" width="45.7109375" style="3532" bestFit="1" customWidth="1"/>
    <col min="10244" max="10244" width="19.7109375" style="3532" bestFit="1" customWidth="1"/>
    <col min="10245" max="10245" width="17.140625" style="3532" bestFit="1" customWidth="1"/>
    <col min="10246" max="10246" width="19.85546875" style="3532" bestFit="1" customWidth="1"/>
    <col min="10247" max="10247" width="13.42578125" style="3532" customWidth="1"/>
    <col min="10248" max="10248" width="15.28515625" style="3532" bestFit="1" customWidth="1"/>
    <col min="10249" max="10249" width="14.140625" style="3532" bestFit="1" customWidth="1"/>
    <col min="10250" max="10250" width="15.28515625" style="3532" customWidth="1"/>
    <col min="10251" max="10251" width="15.85546875" style="3532" customWidth="1"/>
    <col min="10252" max="10252" width="17" style="3532" bestFit="1" customWidth="1"/>
    <col min="10253" max="10253" width="12.7109375" style="3532" customWidth="1"/>
    <col min="10254" max="10254" width="13.7109375" style="3532" customWidth="1"/>
    <col min="10255" max="10255" width="13.85546875" style="3532" bestFit="1" customWidth="1"/>
    <col min="10256" max="10256" width="15.42578125" style="3532" bestFit="1" customWidth="1"/>
    <col min="10257" max="10257" width="16.140625" style="3532" customWidth="1"/>
    <col min="10258" max="10258" width="16.7109375" style="3532" bestFit="1" customWidth="1"/>
    <col min="10259" max="10260" width="20.42578125" style="3532" bestFit="1" customWidth="1"/>
    <col min="10261" max="10261" width="16.42578125" style="3532" bestFit="1" customWidth="1"/>
    <col min="10262" max="10262" width="14.28515625" style="3532" customWidth="1"/>
    <col min="10263" max="10263" width="14.85546875" style="3532" bestFit="1" customWidth="1"/>
    <col min="10264" max="10264" width="13.42578125" style="3532" bestFit="1" customWidth="1"/>
    <col min="10265" max="10265" width="12.42578125" style="3532" bestFit="1" customWidth="1"/>
    <col min="10266" max="10266" width="14" style="3532" bestFit="1" customWidth="1"/>
    <col min="10267" max="10267" width="6" style="3532" bestFit="1" customWidth="1"/>
    <col min="10268" max="10268" width="15" style="3532" customWidth="1"/>
    <col min="10269" max="10269" width="14.85546875" style="3532" bestFit="1" customWidth="1"/>
    <col min="10270" max="10270" width="16.140625" style="3532" bestFit="1" customWidth="1"/>
    <col min="10271" max="10497" width="8.85546875" style="3532"/>
    <col min="10498" max="10498" width="24" style="3532" bestFit="1" customWidth="1"/>
    <col min="10499" max="10499" width="45.7109375" style="3532" bestFit="1" customWidth="1"/>
    <col min="10500" max="10500" width="19.7109375" style="3532" bestFit="1" customWidth="1"/>
    <col min="10501" max="10501" width="17.140625" style="3532" bestFit="1" customWidth="1"/>
    <col min="10502" max="10502" width="19.85546875" style="3532" bestFit="1" customWidth="1"/>
    <col min="10503" max="10503" width="13.42578125" style="3532" customWidth="1"/>
    <col min="10504" max="10504" width="15.28515625" style="3532" bestFit="1" customWidth="1"/>
    <col min="10505" max="10505" width="14.140625" style="3532" bestFit="1" customWidth="1"/>
    <col min="10506" max="10506" width="15.28515625" style="3532" customWidth="1"/>
    <col min="10507" max="10507" width="15.85546875" style="3532" customWidth="1"/>
    <col min="10508" max="10508" width="17" style="3532" bestFit="1" customWidth="1"/>
    <col min="10509" max="10509" width="12.7109375" style="3532" customWidth="1"/>
    <col min="10510" max="10510" width="13.7109375" style="3532" customWidth="1"/>
    <col min="10511" max="10511" width="13.85546875" style="3532" bestFit="1" customWidth="1"/>
    <col min="10512" max="10512" width="15.42578125" style="3532" bestFit="1" customWidth="1"/>
    <col min="10513" max="10513" width="16.140625" style="3532" customWidth="1"/>
    <col min="10514" max="10514" width="16.7109375" style="3532" bestFit="1" customWidth="1"/>
    <col min="10515" max="10516" width="20.42578125" style="3532" bestFit="1" customWidth="1"/>
    <col min="10517" max="10517" width="16.42578125" style="3532" bestFit="1" customWidth="1"/>
    <col min="10518" max="10518" width="14.28515625" style="3532" customWidth="1"/>
    <col min="10519" max="10519" width="14.85546875" style="3532" bestFit="1" customWidth="1"/>
    <col min="10520" max="10520" width="13.42578125" style="3532" bestFit="1" customWidth="1"/>
    <col min="10521" max="10521" width="12.42578125" style="3532" bestFit="1" customWidth="1"/>
    <col min="10522" max="10522" width="14" style="3532" bestFit="1" customWidth="1"/>
    <col min="10523" max="10523" width="6" style="3532" bestFit="1" customWidth="1"/>
    <col min="10524" max="10524" width="15" style="3532" customWidth="1"/>
    <col min="10525" max="10525" width="14.85546875" style="3532" bestFit="1" customWidth="1"/>
    <col min="10526" max="10526" width="16.140625" style="3532" bestFit="1" customWidth="1"/>
    <col min="10527" max="10753" width="8.85546875" style="3532"/>
    <col min="10754" max="10754" width="24" style="3532" bestFit="1" customWidth="1"/>
    <col min="10755" max="10755" width="45.7109375" style="3532" bestFit="1" customWidth="1"/>
    <col min="10756" max="10756" width="19.7109375" style="3532" bestFit="1" customWidth="1"/>
    <col min="10757" max="10757" width="17.140625" style="3532" bestFit="1" customWidth="1"/>
    <col min="10758" max="10758" width="19.85546875" style="3532" bestFit="1" customWidth="1"/>
    <col min="10759" max="10759" width="13.42578125" style="3532" customWidth="1"/>
    <col min="10760" max="10760" width="15.28515625" style="3532" bestFit="1" customWidth="1"/>
    <col min="10761" max="10761" width="14.140625" style="3532" bestFit="1" customWidth="1"/>
    <col min="10762" max="10762" width="15.28515625" style="3532" customWidth="1"/>
    <col min="10763" max="10763" width="15.85546875" style="3532" customWidth="1"/>
    <col min="10764" max="10764" width="17" style="3532" bestFit="1" customWidth="1"/>
    <col min="10765" max="10765" width="12.7109375" style="3532" customWidth="1"/>
    <col min="10766" max="10766" width="13.7109375" style="3532" customWidth="1"/>
    <col min="10767" max="10767" width="13.85546875" style="3532" bestFit="1" customWidth="1"/>
    <col min="10768" max="10768" width="15.42578125" style="3532" bestFit="1" customWidth="1"/>
    <col min="10769" max="10769" width="16.140625" style="3532" customWidth="1"/>
    <col min="10770" max="10770" width="16.7109375" style="3532" bestFit="1" customWidth="1"/>
    <col min="10771" max="10772" width="20.42578125" style="3532" bestFit="1" customWidth="1"/>
    <col min="10773" max="10773" width="16.42578125" style="3532" bestFit="1" customWidth="1"/>
    <col min="10774" max="10774" width="14.28515625" style="3532" customWidth="1"/>
    <col min="10775" max="10775" width="14.85546875" style="3532" bestFit="1" customWidth="1"/>
    <col min="10776" max="10776" width="13.42578125" style="3532" bestFit="1" customWidth="1"/>
    <col min="10777" max="10777" width="12.42578125" style="3532" bestFit="1" customWidth="1"/>
    <col min="10778" max="10778" width="14" style="3532" bestFit="1" customWidth="1"/>
    <col min="10779" max="10779" width="6" style="3532" bestFit="1" customWidth="1"/>
    <col min="10780" max="10780" width="15" style="3532" customWidth="1"/>
    <col min="10781" max="10781" width="14.85546875" style="3532" bestFit="1" customWidth="1"/>
    <col min="10782" max="10782" width="16.140625" style="3532" bestFit="1" customWidth="1"/>
    <col min="10783" max="11009" width="8.85546875" style="3532"/>
    <col min="11010" max="11010" width="24" style="3532" bestFit="1" customWidth="1"/>
    <col min="11011" max="11011" width="45.7109375" style="3532" bestFit="1" customWidth="1"/>
    <col min="11012" max="11012" width="19.7109375" style="3532" bestFit="1" customWidth="1"/>
    <col min="11013" max="11013" width="17.140625" style="3532" bestFit="1" customWidth="1"/>
    <col min="11014" max="11014" width="19.85546875" style="3532" bestFit="1" customWidth="1"/>
    <col min="11015" max="11015" width="13.42578125" style="3532" customWidth="1"/>
    <col min="11016" max="11016" width="15.28515625" style="3532" bestFit="1" customWidth="1"/>
    <col min="11017" max="11017" width="14.140625" style="3532" bestFit="1" customWidth="1"/>
    <col min="11018" max="11018" width="15.28515625" style="3532" customWidth="1"/>
    <col min="11019" max="11019" width="15.85546875" style="3532" customWidth="1"/>
    <col min="11020" max="11020" width="17" style="3532" bestFit="1" customWidth="1"/>
    <col min="11021" max="11021" width="12.7109375" style="3532" customWidth="1"/>
    <col min="11022" max="11022" width="13.7109375" style="3532" customWidth="1"/>
    <col min="11023" max="11023" width="13.85546875" style="3532" bestFit="1" customWidth="1"/>
    <col min="11024" max="11024" width="15.42578125" style="3532" bestFit="1" customWidth="1"/>
    <col min="11025" max="11025" width="16.140625" style="3532" customWidth="1"/>
    <col min="11026" max="11026" width="16.7109375" style="3532" bestFit="1" customWidth="1"/>
    <col min="11027" max="11028" width="20.42578125" style="3532" bestFit="1" customWidth="1"/>
    <col min="11029" max="11029" width="16.42578125" style="3532" bestFit="1" customWidth="1"/>
    <col min="11030" max="11030" width="14.28515625" style="3532" customWidth="1"/>
    <col min="11031" max="11031" width="14.85546875" style="3532" bestFit="1" customWidth="1"/>
    <col min="11032" max="11032" width="13.42578125" style="3532" bestFit="1" customWidth="1"/>
    <col min="11033" max="11033" width="12.42578125" style="3532" bestFit="1" customWidth="1"/>
    <col min="11034" max="11034" width="14" style="3532" bestFit="1" customWidth="1"/>
    <col min="11035" max="11035" width="6" style="3532" bestFit="1" customWidth="1"/>
    <col min="11036" max="11036" width="15" style="3532" customWidth="1"/>
    <col min="11037" max="11037" width="14.85546875" style="3532" bestFit="1" customWidth="1"/>
    <col min="11038" max="11038" width="16.140625" style="3532" bestFit="1" customWidth="1"/>
    <col min="11039" max="11265" width="8.85546875" style="3532"/>
    <col min="11266" max="11266" width="24" style="3532" bestFit="1" customWidth="1"/>
    <col min="11267" max="11267" width="45.7109375" style="3532" bestFit="1" customWidth="1"/>
    <col min="11268" max="11268" width="19.7109375" style="3532" bestFit="1" customWidth="1"/>
    <col min="11269" max="11269" width="17.140625" style="3532" bestFit="1" customWidth="1"/>
    <col min="11270" max="11270" width="19.85546875" style="3532" bestFit="1" customWidth="1"/>
    <col min="11271" max="11271" width="13.42578125" style="3532" customWidth="1"/>
    <col min="11272" max="11272" width="15.28515625" style="3532" bestFit="1" customWidth="1"/>
    <col min="11273" max="11273" width="14.140625" style="3532" bestFit="1" customWidth="1"/>
    <col min="11274" max="11274" width="15.28515625" style="3532" customWidth="1"/>
    <col min="11275" max="11275" width="15.85546875" style="3532" customWidth="1"/>
    <col min="11276" max="11276" width="17" style="3532" bestFit="1" customWidth="1"/>
    <col min="11277" max="11277" width="12.7109375" style="3532" customWidth="1"/>
    <col min="11278" max="11278" width="13.7109375" style="3532" customWidth="1"/>
    <col min="11279" max="11279" width="13.85546875" style="3532" bestFit="1" customWidth="1"/>
    <col min="11280" max="11280" width="15.42578125" style="3532" bestFit="1" customWidth="1"/>
    <col min="11281" max="11281" width="16.140625" style="3532" customWidth="1"/>
    <col min="11282" max="11282" width="16.7109375" style="3532" bestFit="1" customWidth="1"/>
    <col min="11283" max="11284" width="20.42578125" style="3532" bestFit="1" customWidth="1"/>
    <col min="11285" max="11285" width="16.42578125" style="3532" bestFit="1" customWidth="1"/>
    <col min="11286" max="11286" width="14.28515625" style="3532" customWidth="1"/>
    <col min="11287" max="11287" width="14.85546875" style="3532" bestFit="1" customWidth="1"/>
    <col min="11288" max="11288" width="13.42578125" style="3532" bestFit="1" customWidth="1"/>
    <col min="11289" max="11289" width="12.42578125" style="3532" bestFit="1" customWidth="1"/>
    <col min="11290" max="11290" width="14" style="3532" bestFit="1" customWidth="1"/>
    <col min="11291" max="11291" width="6" style="3532" bestFit="1" customWidth="1"/>
    <col min="11292" max="11292" width="15" style="3532" customWidth="1"/>
    <col min="11293" max="11293" width="14.85546875" style="3532" bestFit="1" customWidth="1"/>
    <col min="11294" max="11294" width="16.140625" style="3532" bestFit="1" customWidth="1"/>
    <col min="11295" max="11521" width="8.85546875" style="3532"/>
    <col min="11522" max="11522" width="24" style="3532" bestFit="1" customWidth="1"/>
    <col min="11523" max="11523" width="45.7109375" style="3532" bestFit="1" customWidth="1"/>
    <col min="11524" max="11524" width="19.7109375" style="3532" bestFit="1" customWidth="1"/>
    <col min="11525" max="11525" width="17.140625" style="3532" bestFit="1" customWidth="1"/>
    <col min="11526" max="11526" width="19.85546875" style="3532" bestFit="1" customWidth="1"/>
    <col min="11527" max="11527" width="13.42578125" style="3532" customWidth="1"/>
    <col min="11528" max="11528" width="15.28515625" style="3532" bestFit="1" customWidth="1"/>
    <col min="11529" max="11529" width="14.140625" style="3532" bestFit="1" customWidth="1"/>
    <col min="11530" max="11530" width="15.28515625" style="3532" customWidth="1"/>
    <col min="11531" max="11531" width="15.85546875" style="3532" customWidth="1"/>
    <col min="11532" max="11532" width="17" style="3532" bestFit="1" customWidth="1"/>
    <col min="11533" max="11533" width="12.7109375" style="3532" customWidth="1"/>
    <col min="11534" max="11534" width="13.7109375" style="3532" customWidth="1"/>
    <col min="11535" max="11535" width="13.85546875" style="3532" bestFit="1" customWidth="1"/>
    <col min="11536" max="11536" width="15.42578125" style="3532" bestFit="1" customWidth="1"/>
    <col min="11537" max="11537" width="16.140625" style="3532" customWidth="1"/>
    <col min="11538" max="11538" width="16.7109375" style="3532" bestFit="1" customWidth="1"/>
    <col min="11539" max="11540" width="20.42578125" style="3532" bestFit="1" customWidth="1"/>
    <col min="11541" max="11541" width="16.42578125" style="3532" bestFit="1" customWidth="1"/>
    <col min="11542" max="11542" width="14.28515625" style="3532" customWidth="1"/>
    <col min="11543" max="11543" width="14.85546875" style="3532" bestFit="1" customWidth="1"/>
    <col min="11544" max="11544" width="13.42578125" style="3532" bestFit="1" customWidth="1"/>
    <col min="11545" max="11545" width="12.42578125" style="3532" bestFit="1" customWidth="1"/>
    <col min="11546" max="11546" width="14" style="3532" bestFit="1" customWidth="1"/>
    <col min="11547" max="11547" width="6" style="3532" bestFit="1" customWidth="1"/>
    <col min="11548" max="11548" width="15" style="3532" customWidth="1"/>
    <col min="11549" max="11549" width="14.85546875" style="3532" bestFit="1" customWidth="1"/>
    <col min="11550" max="11550" width="16.140625" style="3532" bestFit="1" customWidth="1"/>
    <col min="11551" max="11777" width="8.85546875" style="3532"/>
    <col min="11778" max="11778" width="24" style="3532" bestFit="1" customWidth="1"/>
    <col min="11779" max="11779" width="45.7109375" style="3532" bestFit="1" customWidth="1"/>
    <col min="11780" max="11780" width="19.7109375" style="3532" bestFit="1" customWidth="1"/>
    <col min="11781" max="11781" width="17.140625" style="3532" bestFit="1" customWidth="1"/>
    <col min="11782" max="11782" width="19.85546875" style="3532" bestFit="1" customWidth="1"/>
    <col min="11783" max="11783" width="13.42578125" style="3532" customWidth="1"/>
    <col min="11784" max="11784" width="15.28515625" style="3532" bestFit="1" customWidth="1"/>
    <col min="11785" max="11785" width="14.140625" style="3532" bestFit="1" customWidth="1"/>
    <col min="11786" max="11786" width="15.28515625" style="3532" customWidth="1"/>
    <col min="11787" max="11787" width="15.85546875" style="3532" customWidth="1"/>
    <col min="11788" max="11788" width="17" style="3532" bestFit="1" customWidth="1"/>
    <col min="11789" max="11789" width="12.7109375" style="3532" customWidth="1"/>
    <col min="11790" max="11790" width="13.7109375" style="3532" customWidth="1"/>
    <col min="11791" max="11791" width="13.85546875" style="3532" bestFit="1" customWidth="1"/>
    <col min="11792" max="11792" width="15.42578125" style="3532" bestFit="1" customWidth="1"/>
    <col min="11793" max="11793" width="16.140625" style="3532" customWidth="1"/>
    <col min="11794" max="11794" width="16.7109375" style="3532" bestFit="1" customWidth="1"/>
    <col min="11795" max="11796" width="20.42578125" style="3532" bestFit="1" customWidth="1"/>
    <col min="11797" max="11797" width="16.42578125" style="3532" bestFit="1" customWidth="1"/>
    <col min="11798" max="11798" width="14.28515625" style="3532" customWidth="1"/>
    <col min="11799" max="11799" width="14.85546875" style="3532" bestFit="1" customWidth="1"/>
    <col min="11800" max="11800" width="13.42578125" style="3532" bestFit="1" customWidth="1"/>
    <col min="11801" max="11801" width="12.42578125" style="3532" bestFit="1" customWidth="1"/>
    <col min="11802" max="11802" width="14" style="3532" bestFit="1" customWidth="1"/>
    <col min="11803" max="11803" width="6" style="3532" bestFit="1" customWidth="1"/>
    <col min="11804" max="11804" width="15" style="3532" customWidth="1"/>
    <col min="11805" max="11805" width="14.85546875" style="3532" bestFit="1" customWidth="1"/>
    <col min="11806" max="11806" width="16.140625" style="3532" bestFit="1" customWidth="1"/>
    <col min="11807" max="12033" width="8.85546875" style="3532"/>
    <col min="12034" max="12034" width="24" style="3532" bestFit="1" customWidth="1"/>
    <col min="12035" max="12035" width="45.7109375" style="3532" bestFit="1" customWidth="1"/>
    <col min="12036" max="12036" width="19.7109375" style="3532" bestFit="1" customWidth="1"/>
    <col min="12037" max="12037" width="17.140625" style="3532" bestFit="1" customWidth="1"/>
    <col min="12038" max="12038" width="19.85546875" style="3532" bestFit="1" customWidth="1"/>
    <col min="12039" max="12039" width="13.42578125" style="3532" customWidth="1"/>
    <col min="12040" max="12040" width="15.28515625" style="3532" bestFit="1" customWidth="1"/>
    <col min="12041" max="12041" width="14.140625" style="3532" bestFit="1" customWidth="1"/>
    <col min="12042" max="12042" width="15.28515625" style="3532" customWidth="1"/>
    <col min="12043" max="12043" width="15.85546875" style="3532" customWidth="1"/>
    <col min="12044" max="12044" width="17" style="3532" bestFit="1" customWidth="1"/>
    <col min="12045" max="12045" width="12.7109375" style="3532" customWidth="1"/>
    <col min="12046" max="12046" width="13.7109375" style="3532" customWidth="1"/>
    <col min="12047" max="12047" width="13.85546875" style="3532" bestFit="1" customWidth="1"/>
    <col min="12048" max="12048" width="15.42578125" style="3532" bestFit="1" customWidth="1"/>
    <col min="12049" max="12049" width="16.140625" style="3532" customWidth="1"/>
    <col min="12050" max="12050" width="16.7109375" style="3532" bestFit="1" customWidth="1"/>
    <col min="12051" max="12052" width="20.42578125" style="3532" bestFit="1" customWidth="1"/>
    <col min="12053" max="12053" width="16.42578125" style="3532" bestFit="1" customWidth="1"/>
    <col min="12054" max="12054" width="14.28515625" style="3532" customWidth="1"/>
    <col min="12055" max="12055" width="14.85546875" style="3532" bestFit="1" customWidth="1"/>
    <col min="12056" max="12056" width="13.42578125" style="3532" bestFit="1" customWidth="1"/>
    <col min="12057" max="12057" width="12.42578125" style="3532" bestFit="1" customWidth="1"/>
    <col min="12058" max="12058" width="14" style="3532" bestFit="1" customWidth="1"/>
    <col min="12059" max="12059" width="6" style="3532" bestFit="1" customWidth="1"/>
    <col min="12060" max="12060" width="15" style="3532" customWidth="1"/>
    <col min="12061" max="12061" width="14.85546875" style="3532" bestFit="1" customWidth="1"/>
    <col min="12062" max="12062" width="16.140625" style="3532" bestFit="1" customWidth="1"/>
    <col min="12063" max="12289" width="8.85546875" style="3532"/>
    <col min="12290" max="12290" width="24" style="3532" bestFit="1" customWidth="1"/>
    <col min="12291" max="12291" width="45.7109375" style="3532" bestFit="1" customWidth="1"/>
    <col min="12292" max="12292" width="19.7109375" style="3532" bestFit="1" customWidth="1"/>
    <col min="12293" max="12293" width="17.140625" style="3532" bestFit="1" customWidth="1"/>
    <col min="12294" max="12294" width="19.85546875" style="3532" bestFit="1" customWidth="1"/>
    <col min="12295" max="12295" width="13.42578125" style="3532" customWidth="1"/>
    <col min="12296" max="12296" width="15.28515625" style="3532" bestFit="1" customWidth="1"/>
    <col min="12297" max="12297" width="14.140625" style="3532" bestFit="1" customWidth="1"/>
    <col min="12298" max="12298" width="15.28515625" style="3532" customWidth="1"/>
    <col min="12299" max="12299" width="15.85546875" style="3532" customWidth="1"/>
    <col min="12300" max="12300" width="17" style="3532" bestFit="1" customWidth="1"/>
    <col min="12301" max="12301" width="12.7109375" style="3532" customWidth="1"/>
    <col min="12302" max="12302" width="13.7109375" style="3532" customWidth="1"/>
    <col min="12303" max="12303" width="13.85546875" style="3532" bestFit="1" customWidth="1"/>
    <col min="12304" max="12304" width="15.42578125" style="3532" bestFit="1" customWidth="1"/>
    <col min="12305" max="12305" width="16.140625" style="3532" customWidth="1"/>
    <col min="12306" max="12306" width="16.7109375" style="3532" bestFit="1" customWidth="1"/>
    <col min="12307" max="12308" width="20.42578125" style="3532" bestFit="1" customWidth="1"/>
    <col min="12309" max="12309" width="16.42578125" style="3532" bestFit="1" customWidth="1"/>
    <col min="12310" max="12310" width="14.28515625" style="3532" customWidth="1"/>
    <col min="12311" max="12311" width="14.85546875" style="3532" bestFit="1" customWidth="1"/>
    <col min="12312" max="12312" width="13.42578125" style="3532" bestFit="1" customWidth="1"/>
    <col min="12313" max="12313" width="12.42578125" style="3532" bestFit="1" customWidth="1"/>
    <col min="12314" max="12314" width="14" style="3532" bestFit="1" customWidth="1"/>
    <col min="12315" max="12315" width="6" style="3532" bestFit="1" customWidth="1"/>
    <col min="12316" max="12316" width="15" style="3532" customWidth="1"/>
    <col min="12317" max="12317" width="14.85546875" style="3532" bestFit="1" customWidth="1"/>
    <col min="12318" max="12318" width="16.140625" style="3532" bestFit="1" customWidth="1"/>
    <col min="12319" max="12545" width="8.85546875" style="3532"/>
    <col min="12546" max="12546" width="24" style="3532" bestFit="1" customWidth="1"/>
    <col min="12547" max="12547" width="45.7109375" style="3532" bestFit="1" customWidth="1"/>
    <col min="12548" max="12548" width="19.7109375" style="3532" bestFit="1" customWidth="1"/>
    <col min="12549" max="12549" width="17.140625" style="3532" bestFit="1" customWidth="1"/>
    <col min="12550" max="12550" width="19.85546875" style="3532" bestFit="1" customWidth="1"/>
    <col min="12551" max="12551" width="13.42578125" style="3532" customWidth="1"/>
    <col min="12552" max="12552" width="15.28515625" style="3532" bestFit="1" customWidth="1"/>
    <col min="12553" max="12553" width="14.140625" style="3532" bestFit="1" customWidth="1"/>
    <col min="12554" max="12554" width="15.28515625" style="3532" customWidth="1"/>
    <col min="12555" max="12555" width="15.85546875" style="3532" customWidth="1"/>
    <col min="12556" max="12556" width="17" style="3532" bestFit="1" customWidth="1"/>
    <col min="12557" max="12557" width="12.7109375" style="3532" customWidth="1"/>
    <col min="12558" max="12558" width="13.7109375" style="3532" customWidth="1"/>
    <col min="12559" max="12559" width="13.85546875" style="3532" bestFit="1" customWidth="1"/>
    <col min="12560" max="12560" width="15.42578125" style="3532" bestFit="1" customWidth="1"/>
    <col min="12561" max="12561" width="16.140625" style="3532" customWidth="1"/>
    <col min="12562" max="12562" width="16.7109375" style="3532" bestFit="1" customWidth="1"/>
    <col min="12563" max="12564" width="20.42578125" style="3532" bestFit="1" customWidth="1"/>
    <col min="12565" max="12565" width="16.42578125" style="3532" bestFit="1" customWidth="1"/>
    <col min="12566" max="12566" width="14.28515625" style="3532" customWidth="1"/>
    <col min="12567" max="12567" width="14.85546875" style="3532" bestFit="1" customWidth="1"/>
    <col min="12568" max="12568" width="13.42578125" style="3532" bestFit="1" customWidth="1"/>
    <col min="12569" max="12569" width="12.42578125" style="3532" bestFit="1" customWidth="1"/>
    <col min="12570" max="12570" width="14" style="3532" bestFit="1" customWidth="1"/>
    <col min="12571" max="12571" width="6" style="3532" bestFit="1" customWidth="1"/>
    <col min="12572" max="12572" width="15" style="3532" customWidth="1"/>
    <col min="12573" max="12573" width="14.85546875" style="3532" bestFit="1" customWidth="1"/>
    <col min="12574" max="12574" width="16.140625" style="3532" bestFit="1" customWidth="1"/>
    <col min="12575" max="12801" width="8.85546875" style="3532"/>
    <col min="12802" max="12802" width="24" style="3532" bestFit="1" customWidth="1"/>
    <col min="12803" max="12803" width="45.7109375" style="3532" bestFit="1" customWidth="1"/>
    <col min="12804" max="12804" width="19.7109375" style="3532" bestFit="1" customWidth="1"/>
    <col min="12805" max="12805" width="17.140625" style="3532" bestFit="1" customWidth="1"/>
    <col min="12806" max="12806" width="19.85546875" style="3532" bestFit="1" customWidth="1"/>
    <col min="12807" max="12807" width="13.42578125" style="3532" customWidth="1"/>
    <col min="12808" max="12808" width="15.28515625" style="3532" bestFit="1" customWidth="1"/>
    <col min="12809" max="12809" width="14.140625" style="3532" bestFit="1" customWidth="1"/>
    <col min="12810" max="12810" width="15.28515625" style="3532" customWidth="1"/>
    <col min="12811" max="12811" width="15.85546875" style="3532" customWidth="1"/>
    <col min="12812" max="12812" width="17" style="3532" bestFit="1" customWidth="1"/>
    <col min="12813" max="12813" width="12.7109375" style="3532" customWidth="1"/>
    <col min="12814" max="12814" width="13.7109375" style="3532" customWidth="1"/>
    <col min="12815" max="12815" width="13.85546875" style="3532" bestFit="1" customWidth="1"/>
    <col min="12816" max="12816" width="15.42578125" style="3532" bestFit="1" customWidth="1"/>
    <col min="12817" max="12817" width="16.140625" style="3532" customWidth="1"/>
    <col min="12818" max="12818" width="16.7109375" style="3532" bestFit="1" customWidth="1"/>
    <col min="12819" max="12820" width="20.42578125" style="3532" bestFit="1" customWidth="1"/>
    <col min="12821" max="12821" width="16.42578125" style="3532" bestFit="1" customWidth="1"/>
    <col min="12822" max="12822" width="14.28515625" style="3532" customWidth="1"/>
    <col min="12823" max="12823" width="14.85546875" style="3532" bestFit="1" customWidth="1"/>
    <col min="12824" max="12824" width="13.42578125" style="3532" bestFit="1" customWidth="1"/>
    <col min="12825" max="12825" width="12.42578125" style="3532" bestFit="1" customWidth="1"/>
    <col min="12826" max="12826" width="14" style="3532" bestFit="1" customWidth="1"/>
    <col min="12827" max="12827" width="6" style="3532" bestFit="1" customWidth="1"/>
    <col min="12828" max="12828" width="15" style="3532" customWidth="1"/>
    <col min="12829" max="12829" width="14.85546875" style="3532" bestFit="1" customWidth="1"/>
    <col min="12830" max="12830" width="16.140625" style="3532" bestFit="1" customWidth="1"/>
    <col min="12831" max="13057" width="8.85546875" style="3532"/>
    <col min="13058" max="13058" width="24" style="3532" bestFit="1" customWidth="1"/>
    <col min="13059" max="13059" width="45.7109375" style="3532" bestFit="1" customWidth="1"/>
    <col min="13060" max="13060" width="19.7109375" style="3532" bestFit="1" customWidth="1"/>
    <col min="13061" max="13061" width="17.140625" style="3532" bestFit="1" customWidth="1"/>
    <col min="13062" max="13062" width="19.85546875" style="3532" bestFit="1" customWidth="1"/>
    <col min="13063" max="13063" width="13.42578125" style="3532" customWidth="1"/>
    <col min="13064" max="13064" width="15.28515625" style="3532" bestFit="1" customWidth="1"/>
    <col min="13065" max="13065" width="14.140625" style="3532" bestFit="1" customWidth="1"/>
    <col min="13066" max="13066" width="15.28515625" style="3532" customWidth="1"/>
    <col min="13067" max="13067" width="15.85546875" style="3532" customWidth="1"/>
    <col min="13068" max="13068" width="17" style="3532" bestFit="1" customWidth="1"/>
    <col min="13069" max="13069" width="12.7109375" style="3532" customWidth="1"/>
    <col min="13070" max="13070" width="13.7109375" style="3532" customWidth="1"/>
    <col min="13071" max="13071" width="13.85546875" style="3532" bestFit="1" customWidth="1"/>
    <col min="13072" max="13072" width="15.42578125" style="3532" bestFit="1" customWidth="1"/>
    <col min="13073" max="13073" width="16.140625" style="3532" customWidth="1"/>
    <col min="13074" max="13074" width="16.7109375" style="3532" bestFit="1" customWidth="1"/>
    <col min="13075" max="13076" width="20.42578125" style="3532" bestFit="1" customWidth="1"/>
    <col min="13077" max="13077" width="16.42578125" style="3532" bestFit="1" customWidth="1"/>
    <col min="13078" max="13078" width="14.28515625" style="3532" customWidth="1"/>
    <col min="13079" max="13079" width="14.85546875" style="3532" bestFit="1" customWidth="1"/>
    <col min="13080" max="13080" width="13.42578125" style="3532" bestFit="1" customWidth="1"/>
    <col min="13081" max="13081" width="12.42578125" style="3532" bestFit="1" customWidth="1"/>
    <col min="13082" max="13082" width="14" style="3532" bestFit="1" customWidth="1"/>
    <col min="13083" max="13083" width="6" style="3532" bestFit="1" customWidth="1"/>
    <col min="13084" max="13084" width="15" style="3532" customWidth="1"/>
    <col min="13085" max="13085" width="14.85546875" style="3532" bestFit="1" customWidth="1"/>
    <col min="13086" max="13086" width="16.140625" style="3532" bestFit="1" customWidth="1"/>
    <col min="13087" max="13313" width="8.85546875" style="3532"/>
    <col min="13314" max="13314" width="24" style="3532" bestFit="1" customWidth="1"/>
    <col min="13315" max="13315" width="45.7109375" style="3532" bestFit="1" customWidth="1"/>
    <col min="13316" max="13316" width="19.7109375" style="3532" bestFit="1" customWidth="1"/>
    <col min="13317" max="13317" width="17.140625" style="3532" bestFit="1" customWidth="1"/>
    <col min="13318" max="13318" width="19.85546875" style="3532" bestFit="1" customWidth="1"/>
    <col min="13319" max="13319" width="13.42578125" style="3532" customWidth="1"/>
    <col min="13320" max="13320" width="15.28515625" style="3532" bestFit="1" customWidth="1"/>
    <col min="13321" max="13321" width="14.140625" style="3532" bestFit="1" customWidth="1"/>
    <col min="13322" max="13322" width="15.28515625" style="3532" customWidth="1"/>
    <col min="13323" max="13323" width="15.85546875" style="3532" customWidth="1"/>
    <col min="13324" max="13324" width="17" style="3532" bestFit="1" customWidth="1"/>
    <col min="13325" max="13325" width="12.7109375" style="3532" customWidth="1"/>
    <col min="13326" max="13326" width="13.7109375" style="3532" customWidth="1"/>
    <col min="13327" max="13327" width="13.85546875" style="3532" bestFit="1" customWidth="1"/>
    <col min="13328" max="13328" width="15.42578125" style="3532" bestFit="1" customWidth="1"/>
    <col min="13329" max="13329" width="16.140625" style="3532" customWidth="1"/>
    <col min="13330" max="13330" width="16.7109375" style="3532" bestFit="1" customWidth="1"/>
    <col min="13331" max="13332" width="20.42578125" style="3532" bestFit="1" customWidth="1"/>
    <col min="13333" max="13333" width="16.42578125" style="3532" bestFit="1" customWidth="1"/>
    <col min="13334" max="13334" width="14.28515625" style="3532" customWidth="1"/>
    <col min="13335" max="13335" width="14.85546875" style="3532" bestFit="1" customWidth="1"/>
    <col min="13336" max="13336" width="13.42578125" style="3532" bestFit="1" customWidth="1"/>
    <col min="13337" max="13337" width="12.42578125" style="3532" bestFit="1" customWidth="1"/>
    <col min="13338" max="13338" width="14" style="3532" bestFit="1" customWidth="1"/>
    <col min="13339" max="13339" width="6" style="3532" bestFit="1" customWidth="1"/>
    <col min="13340" max="13340" width="15" style="3532" customWidth="1"/>
    <col min="13341" max="13341" width="14.85546875" style="3532" bestFit="1" customWidth="1"/>
    <col min="13342" max="13342" width="16.140625" style="3532" bestFit="1" customWidth="1"/>
    <col min="13343" max="13569" width="8.85546875" style="3532"/>
    <col min="13570" max="13570" width="24" style="3532" bestFit="1" customWidth="1"/>
    <col min="13571" max="13571" width="45.7109375" style="3532" bestFit="1" customWidth="1"/>
    <col min="13572" max="13572" width="19.7109375" style="3532" bestFit="1" customWidth="1"/>
    <col min="13573" max="13573" width="17.140625" style="3532" bestFit="1" customWidth="1"/>
    <col min="13574" max="13574" width="19.85546875" style="3532" bestFit="1" customWidth="1"/>
    <col min="13575" max="13575" width="13.42578125" style="3532" customWidth="1"/>
    <col min="13576" max="13576" width="15.28515625" style="3532" bestFit="1" customWidth="1"/>
    <col min="13577" max="13577" width="14.140625" style="3532" bestFit="1" customWidth="1"/>
    <col min="13578" max="13578" width="15.28515625" style="3532" customWidth="1"/>
    <col min="13579" max="13579" width="15.85546875" style="3532" customWidth="1"/>
    <col min="13580" max="13580" width="17" style="3532" bestFit="1" customWidth="1"/>
    <col min="13581" max="13581" width="12.7109375" style="3532" customWidth="1"/>
    <col min="13582" max="13582" width="13.7109375" style="3532" customWidth="1"/>
    <col min="13583" max="13583" width="13.85546875" style="3532" bestFit="1" customWidth="1"/>
    <col min="13584" max="13584" width="15.42578125" style="3532" bestFit="1" customWidth="1"/>
    <col min="13585" max="13585" width="16.140625" style="3532" customWidth="1"/>
    <col min="13586" max="13586" width="16.7109375" style="3532" bestFit="1" customWidth="1"/>
    <col min="13587" max="13588" width="20.42578125" style="3532" bestFit="1" customWidth="1"/>
    <col min="13589" max="13589" width="16.42578125" style="3532" bestFit="1" customWidth="1"/>
    <col min="13590" max="13590" width="14.28515625" style="3532" customWidth="1"/>
    <col min="13591" max="13591" width="14.85546875" style="3532" bestFit="1" customWidth="1"/>
    <col min="13592" max="13592" width="13.42578125" style="3532" bestFit="1" customWidth="1"/>
    <col min="13593" max="13593" width="12.42578125" style="3532" bestFit="1" customWidth="1"/>
    <col min="13594" max="13594" width="14" style="3532" bestFit="1" customWidth="1"/>
    <col min="13595" max="13595" width="6" style="3532" bestFit="1" customWidth="1"/>
    <col min="13596" max="13596" width="15" style="3532" customWidth="1"/>
    <col min="13597" max="13597" width="14.85546875" style="3532" bestFit="1" customWidth="1"/>
    <col min="13598" max="13598" width="16.140625" style="3532" bestFit="1" customWidth="1"/>
    <col min="13599" max="13825" width="8.85546875" style="3532"/>
    <col min="13826" max="13826" width="24" style="3532" bestFit="1" customWidth="1"/>
    <col min="13827" max="13827" width="45.7109375" style="3532" bestFit="1" customWidth="1"/>
    <col min="13828" max="13828" width="19.7109375" style="3532" bestFit="1" customWidth="1"/>
    <col min="13829" max="13829" width="17.140625" style="3532" bestFit="1" customWidth="1"/>
    <col min="13830" max="13830" width="19.85546875" style="3532" bestFit="1" customWidth="1"/>
    <col min="13831" max="13831" width="13.42578125" style="3532" customWidth="1"/>
    <col min="13832" max="13832" width="15.28515625" style="3532" bestFit="1" customWidth="1"/>
    <col min="13833" max="13833" width="14.140625" style="3532" bestFit="1" customWidth="1"/>
    <col min="13834" max="13834" width="15.28515625" style="3532" customWidth="1"/>
    <col min="13835" max="13835" width="15.85546875" style="3532" customWidth="1"/>
    <col min="13836" max="13836" width="17" style="3532" bestFit="1" customWidth="1"/>
    <col min="13837" max="13837" width="12.7109375" style="3532" customWidth="1"/>
    <col min="13838" max="13838" width="13.7109375" style="3532" customWidth="1"/>
    <col min="13839" max="13839" width="13.85546875" style="3532" bestFit="1" customWidth="1"/>
    <col min="13840" max="13840" width="15.42578125" style="3532" bestFit="1" customWidth="1"/>
    <col min="13841" max="13841" width="16.140625" style="3532" customWidth="1"/>
    <col min="13842" max="13842" width="16.7109375" style="3532" bestFit="1" customWidth="1"/>
    <col min="13843" max="13844" width="20.42578125" style="3532" bestFit="1" customWidth="1"/>
    <col min="13845" max="13845" width="16.42578125" style="3532" bestFit="1" customWidth="1"/>
    <col min="13846" max="13846" width="14.28515625" style="3532" customWidth="1"/>
    <col min="13847" max="13847" width="14.85546875" style="3532" bestFit="1" customWidth="1"/>
    <col min="13848" max="13848" width="13.42578125" style="3532" bestFit="1" customWidth="1"/>
    <col min="13849" max="13849" width="12.42578125" style="3532" bestFit="1" customWidth="1"/>
    <col min="13850" max="13850" width="14" style="3532" bestFit="1" customWidth="1"/>
    <col min="13851" max="13851" width="6" style="3532" bestFit="1" customWidth="1"/>
    <col min="13852" max="13852" width="15" style="3532" customWidth="1"/>
    <col min="13853" max="13853" width="14.85546875" style="3532" bestFit="1" customWidth="1"/>
    <col min="13854" max="13854" width="16.140625" style="3532" bestFit="1" customWidth="1"/>
    <col min="13855" max="14081" width="8.85546875" style="3532"/>
    <col min="14082" max="14082" width="24" style="3532" bestFit="1" customWidth="1"/>
    <col min="14083" max="14083" width="45.7109375" style="3532" bestFit="1" customWidth="1"/>
    <col min="14084" max="14084" width="19.7109375" style="3532" bestFit="1" customWidth="1"/>
    <col min="14085" max="14085" width="17.140625" style="3532" bestFit="1" customWidth="1"/>
    <col min="14086" max="14086" width="19.85546875" style="3532" bestFit="1" customWidth="1"/>
    <col min="14087" max="14087" width="13.42578125" style="3532" customWidth="1"/>
    <col min="14088" max="14088" width="15.28515625" style="3532" bestFit="1" customWidth="1"/>
    <col min="14089" max="14089" width="14.140625" style="3532" bestFit="1" customWidth="1"/>
    <col min="14090" max="14090" width="15.28515625" style="3532" customWidth="1"/>
    <col min="14091" max="14091" width="15.85546875" style="3532" customWidth="1"/>
    <col min="14092" max="14092" width="17" style="3532" bestFit="1" customWidth="1"/>
    <col min="14093" max="14093" width="12.7109375" style="3532" customWidth="1"/>
    <col min="14094" max="14094" width="13.7109375" style="3532" customWidth="1"/>
    <col min="14095" max="14095" width="13.85546875" style="3532" bestFit="1" customWidth="1"/>
    <col min="14096" max="14096" width="15.42578125" style="3532" bestFit="1" customWidth="1"/>
    <col min="14097" max="14097" width="16.140625" style="3532" customWidth="1"/>
    <col min="14098" max="14098" width="16.7109375" style="3532" bestFit="1" customWidth="1"/>
    <col min="14099" max="14100" width="20.42578125" style="3532" bestFit="1" customWidth="1"/>
    <col min="14101" max="14101" width="16.42578125" style="3532" bestFit="1" customWidth="1"/>
    <col min="14102" max="14102" width="14.28515625" style="3532" customWidth="1"/>
    <col min="14103" max="14103" width="14.85546875" style="3532" bestFit="1" customWidth="1"/>
    <col min="14104" max="14104" width="13.42578125" style="3532" bestFit="1" customWidth="1"/>
    <col min="14105" max="14105" width="12.42578125" style="3532" bestFit="1" customWidth="1"/>
    <col min="14106" max="14106" width="14" style="3532" bestFit="1" customWidth="1"/>
    <col min="14107" max="14107" width="6" style="3532" bestFit="1" customWidth="1"/>
    <col min="14108" max="14108" width="15" style="3532" customWidth="1"/>
    <col min="14109" max="14109" width="14.85546875" style="3532" bestFit="1" customWidth="1"/>
    <col min="14110" max="14110" width="16.140625" style="3532" bestFit="1" customWidth="1"/>
    <col min="14111" max="14337" width="8.85546875" style="3532"/>
    <col min="14338" max="14338" width="24" style="3532" bestFit="1" customWidth="1"/>
    <col min="14339" max="14339" width="45.7109375" style="3532" bestFit="1" customWidth="1"/>
    <col min="14340" max="14340" width="19.7109375" style="3532" bestFit="1" customWidth="1"/>
    <col min="14341" max="14341" width="17.140625" style="3532" bestFit="1" customWidth="1"/>
    <col min="14342" max="14342" width="19.85546875" style="3532" bestFit="1" customWidth="1"/>
    <col min="14343" max="14343" width="13.42578125" style="3532" customWidth="1"/>
    <col min="14344" max="14344" width="15.28515625" style="3532" bestFit="1" customWidth="1"/>
    <col min="14345" max="14345" width="14.140625" style="3532" bestFit="1" customWidth="1"/>
    <col min="14346" max="14346" width="15.28515625" style="3532" customWidth="1"/>
    <col min="14347" max="14347" width="15.85546875" style="3532" customWidth="1"/>
    <col min="14348" max="14348" width="17" style="3532" bestFit="1" customWidth="1"/>
    <col min="14349" max="14349" width="12.7109375" style="3532" customWidth="1"/>
    <col min="14350" max="14350" width="13.7109375" style="3532" customWidth="1"/>
    <col min="14351" max="14351" width="13.85546875" style="3532" bestFit="1" customWidth="1"/>
    <col min="14352" max="14352" width="15.42578125" style="3532" bestFit="1" customWidth="1"/>
    <col min="14353" max="14353" width="16.140625" style="3532" customWidth="1"/>
    <col min="14354" max="14354" width="16.7109375" style="3532" bestFit="1" customWidth="1"/>
    <col min="14355" max="14356" width="20.42578125" style="3532" bestFit="1" customWidth="1"/>
    <col min="14357" max="14357" width="16.42578125" style="3532" bestFit="1" customWidth="1"/>
    <col min="14358" max="14358" width="14.28515625" style="3532" customWidth="1"/>
    <col min="14359" max="14359" width="14.85546875" style="3532" bestFit="1" customWidth="1"/>
    <col min="14360" max="14360" width="13.42578125" style="3532" bestFit="1" customWidth="1"/>
    <col min="14361" max="14361" width="12.42578125" style="3532" bestFit="1" customWidth="1"/>
    <col min="14362" max="14362" width="14" style="3532" bestFit="1" customWidth="1"/>
    <col min="14363" max="14363" width="6" style="3532" bestFit="1" customWidth="1"/>
    <col min="14364" max="14364" width="15" style="3532" customWidth="1"/>
    <col min="14365" max="14365" width="14.85546875" style="3532" bestFit="1" customWidth="1"/>
    <col min="14366" max="14366" width="16.140625" style="3532" bestFit="1" customWidth="1"/>
    <col min="14367" max="14593" width="8.85546875" style="3532"/>
    <col min="14594" max="14594" width="24" style="3532" bestFit="1" customWidth="1"/>
    <col min="14595" max="14595" width="45.7109375" style="3532" bestFit="1" customWidth="1"/>
    <col min="14596" max="14596" width="19.7109375" style="3532" bestFit="1" customWidth="1"/>
    <col min="14597" max="14597" width="17.140625" style="3532" bestFit="1" customWidth="1"/>
    <col min="14598" max="14598" width="19.85546875" style="3532" bestFit="1" customWidth="1"/>
    <col min="14599" max="14599" width="13.42578125" style="3532" customWidth="1"/>
    <col min="14600" max="14600" width="15.28515625" style="3532" bestFit="1" customWidth="1"/>
    <col min="14601" max="14601" width="14.140625" style="3532" bestFit="1" customWidth="1"/>
    <col min="14602" max="14602" width="15.28515625" style="3532" customWidth="1"/>
    <col min="14603" max="14603" width="15.85546875" style="3532" customWidth="1"/>
    <col min="14604" max="14604" width="17" style="3532" bestFit="1" customWidth="1"/>
    <col min="14605" max="14605" width="12.7109375" style="3532" customWidth="1"/>
    <col min="14606" max="14606" width="13.7109375" style="3532" customWidth="1"/>
    <col min="14607" max="14607" width="13.85546875" style="3532" bestFit="1" customWidth="1"/>
    <col min="14608" max="14608" width="15.42578125" style="3532" bestFit="1" customWidth="1"/>
    <col min="14609" max="14609" width="16.140625" style="3532" customWidth="1"/>
    <col min="14610" max="14610" width="16.7109375" style="3532" bestFit="1" customWidth="1"/>
    <col min="14611" max="14612" width="20.42578125" style="3532" bestFit="1" customWidth="1"/>
    <col min="14613" max="14613" width="16.42578125" style="3532" bestFit="1" customWidth="1"/>
    <col min="14614" max="14614" width="14.28515625" style="3532" customWidth="1"/>
    <col min="14615" max="14615" width="14.85546875" style="3532" bestFit="1" customWidth="1"/>
    <col min="14616" max="14616" width="13.42578125" style="3532" bestFit="1" customWidth="1"/>
    <col min="14617" max="14617" width="12.42578125" style="3532" bestFit="1" customWidth="1"/>
    <col min="14618" max="14618" width="14" style="3532" bestFit="1" customWidth="1"/>
    <col min="14619" max="14619" width="6" style="3532" bestFit="1" customWidth="1"/>
    <col min="14620" max="14620" width="15" style="3532" customWidth="1"/>
    <col min="14621" max="14621" width="14.85546875" style="3532" bestFit="1" customWidth="1"/>
    <col min="14622" max="14622" width="16.140625" style="3532" bestFit="1" customWidth="1"/>
    <col min="14623" max="14849" width="8.85546875" style="3532"/>
    <col min="14850" max="14850" width="24" style="3532" bestFit="1" customWidth="1"/>
    <col min="14851" max="14851" width="45.7109375" style="3532" bestFit="1" customWidth="1"/>
    <col min="14852" max="14852" width="19.7109375" style="3532" bestFit="1" customWidth="1"/>
    <col min="14853" max="14853" width="17.140625" style="3532" bestFit="1" customWidth="1"/>
    <col min="14854" max="14854" width="19.85546875" style="3532" bestFit="1" customWidth="1"/>
    <col min="14855" max="14855" width="13.42578125" style="3532" customWidth="1"/>
    <col min="14856" max="14856" width="15.28515625" style="3532" bestFit="1" customWidth="1"/>
    <col min="14857" max="14857" width="14.140625" style="3532" bestFit="1" customWidth="1"/>
    <col min="14858" max="14858" width="15.28515625" style="3532" customWidth="1"/>
    <col min="14859" max="14859" width="15.85546875" style="3532" customWidth="1"/>
    <col min="14860" max="14860" width="17" style="3532" bestFit="1" customWidth="1"/>
    <col min="14861" max="14861" width="12.7109375" style="3532" customWidth="1"/>
    <col min="14862" max="14862" width="13.7109375" style="3532" customWidth="1"/>
    <col min="14863" max="14863" width="13.85546875" style="3532" bestFit="1" customWidth="1"/>
    <col min="14864" max="14864" width="15.42578125" style="3532" bestFit="1" customWidth="1"/>
    <col min="14865" max="14865" width="16.140625" style="3532" customWidth="1"/>
    <col min="14866" max="14866" width="16.7109375" style="3532" bestFit="1" customWidth="1"/>
    <col min="14867" max="14868" width="20.42578125" style="3532" bestFit="1" customWidth="1"/>
    <col min="14869" max="14869" width="16.42578125" style="3532" bestFit="1" customWidth="1"/>
    <col min="14870" max="14870" width="14.28515625" style="3532" customWidth="1"/>
    <col min="14871" max="14871" width="14.85546875" style="3532" bestFit="1" customWidth="1"/>
    <col min="14872" max="14872" width="13.42578125" style="3532" bestFit="1" customWidth="1"/>
    <col min="14873" max="14873" width="12.42578125" style="3532" bestFit="1" customWidth="1"/>
    <col min="14874" max="14874" width="14" style="3532" bestFit="1" customWidth="1"/>
    <col min="14875" max="14875" width="6" style="3532" bestFit="1" customWidth="1"/>
    <col min="14876" max="14876" width="15" style="3532" customWidth="1"/>
    <col min="14877" max="14877" width="14.85546875" style="3532" bestFit="1" customWidth="1"/>
    <col min="14878" max="14878" width="16.140625" style="3532" bestFit="1" customWidth="1"/>
    <col min="14879" max="15105" width="8.85546875" style="3532"/>
    <col min="15106" max="15106" width="24" style="3532" bestFit="1" customWidth="1"/>
    <col min="15107" max="15107" width="45.7109375" style="3532" bestFit="1" customWidth="1"/>
    <col min="15108" max="15108" width="19.7109375" style="3532" bestFit="1" customWidth="1"/>
    <col min="15109" max="15109" width="17.140625" style="3532" bestFit="1" customWidth="1"/>
    <col min="15110" max="15110" width="19.85546875" style="3532" bestFit="1" customWidth="1"/>
    <col min="15111" max="15111" width="13.42578125" style="3532" customWidth="1"/>
    <col min="15112" max="15112" width="15.28515625" style="3532" bestFit="1" customWidth="1"/>
    <col min="15113" max="15113" width="14.140625" style="3532" bestFit="1" customWidth="1"/>
    <col min="15114" max="15114" width="15.28515625" style="3532" customWidth="1"/>
    <col min="15115" max="15115" width="15.85546875" style="3532" customWidth="1"/>
    <col min="15116" max="15116" width="17" style="3532" bestFit="1" customWidth="1"/>
    <col min="15117" max="15117" width="12.7109375" style="3532" customWidth="1"/>
    <col min="15118" max="15118" width="13.7109375" style="3532" customWidth="1"/>
    <col min="15119" max="15119" width="13.85546875" style="3532" bestFit="1" customWidth="1"/>
    <col min="15120" max="15120" width="15.42578125" style="3532" bestFit="1" customWidth="1"/>
    <col min="15121" max="15121" width="16.140625" style="3532" customWidth="1"/>
    <col min="15122" max="15122" width="16.7109375" style="3532" bestFit="1" customWidth="1"/>
    <col min="15123" max="15124" width="20.42578125" style="3532" bestFit="1" customWidth="1"/>
    <col min="15125" max="15125" width="16.42578125" style="3532" bestFit="1" customWidth="1"/>
    <col min="15126" max="15126" width="14.28515625" style="3532" customWidth="1"/>
    <col min="15127" max="15127" width="14.85546875" style="3532" bestFit="1" customWidth="1"/>
    <col min="15128" max="15128" width="13.42578125" style="3532" bestFit="1" customWidth="1"/>
    <col min="15129" max="15129" width="12.42578125" style="3532" bestFit="1" customWidth="1"/>
    <col min="15130" max="15130" width="14" style="3532" bestFit="1" customWidth="1"/>
    <col min="15131" max="15131" width="6" style="3532" bestFit="1" customWidth="1"/>
    <col min="15132" max="15132" width="15" style="3532" customWidth="1"/>
    <col min="15133" max="15133" width="14.85546875" style="3532" bestFit="1" customWidth="1"/>
    <col min="15134" max="15134" width="16.140625" style="3532" bestFit="1" customWidth="1"/>
    <col min="15135" max="15361" width="8.85546875" style="3532"/>
    <col min="15362" max="15362" width="24" style="3532" bestFit="1" customWidth="1"/>
    <col min="15363" max="15363" width="45.7109375" style="3532" bestFit="1" customWidth="1"/>
    <col min="15364" max="15364" width="19.7109375" style="3532" bestFit="1" customWidth="1"/>
    <col min="15365" max="15365" width="17.140625" style="3532" bestFit="1" customWidth="1"/>
    <col min="15366" max="15366" width="19.85546875" style="3532" bestFit="1" customWidth="1"/>
    <col min="15367" max="15367" width="13.42578125" style="3532" customWidth="1"/>
    <col min="15368" max="15368" width="15.28515625" style="3532" bestFit="1" customWidth="1"/>
    <col min="15369" max="15369" width="14.140625" style="3532" bestFit="1" customWidth="1"/>
    <col min="15370" max="15370" width="15.28515625" style="3532" customWidth="1"/>
    <col min="15371" max="15371" width="15.85546875" style="3532" customWidth="1"/>
    <col min="15372" max="15372" width="17" style="3532" bestFit="1" customWidth="1"/>
    <col min="15373" max="15373" width="12.7109375" style="3532" customWidth="1"/>
    <col min="15374" max="15374" width="13.7109375" style="3532" customWidth="1"/>
    <col min="15375" max="15375" width="13.85546875" style="3532" bestFit="1" customWidth="1"/>
    <col min="15376" max="15376" width="15.42578125" style="3532" bestFit="1" customWidth="1"/>
    <col min="15377" max="15377" width="16.140625" style="3532" customWidth="1"/>
    <col min="15378" max="15378" width="16.7109375" style="3532" bestFit="1" customWidth="1"/>
    <col min="15379" max="15380" width="20.42578125" style="3532" bestFit="1" customWidth="1"/>
    <col min="15381" max="15381" width="16.42578125" style="3532" bestFit="1" customWidth="1"/>
    <col min="15382" max="15382" width="14.28515625" style="3532" customWidth="1"/>
    <col min="15383" max="15383" width="14.85546875" style="3532" bestFit="1" customWidth="1"/>
    <col min="15384" max="15384" width="13.42578125" style="3532" bestFit="1" customWidth="1"/>
    <col min="15385" max="15385" width="12.42578125" style="3532" bestFit="1" customWidth="1"/>
    <col min="15386" max="15386" width="14" style="3532" bestFit="1" customWidth="1"/>
    <col min="15387" max="15387" width="6" style="3532" bestFit="1" customWidth="1"/>
    <col min="15388" max="15388" width="15" style="3532" customWidth="1"/>
    <col min="15389" max="15389" width="14.85546875" style="3532" bestFit="1" customWidth="1"/>
    <col min="15390" max="15390" width="16.140625" style="3532" bestFit="1" customWidth="1"/>
    <col min="15391" max="15617" width="8.85546875" style="3532"/>
    <col min="15618" max="15618" width="24" style="3532" bestFit="1" customWidth="1"/>
    <col min="15619" max="15619" width="45.7109375" style="3532" bestFit="1" customWidth="1"/>
    <col min="15620" max="15620" width="19.7109375" style="3532" bestFit="1" customWidth="1"/>
    <col min="15621" max="15621" width="17.140625" style="3532" bestFit="1" customWidth="1"/>
    <col min="15622" max="15622" width="19.85546875" style="3532" bestFit="1" customWidth="1"/>
    <col min="15623" max="15623" width="13.42578125" style="3532" customWidth="1"/>
    <col min="15624" max="15624" width="15.28515625" style="3532" bestFit="1" customWidth="1"/>
    <col min="15625" max="15625" width="14.140625" style="3532" bestFit="1" customWidth="1"/>
    <col min="15626" max="15626" width="15.28515625" style="3532" customWidth="1"/>
    <col min="15627" max="15627" width="15.85546875" style="3532" customWidth="1"/>
    <col min="15628" max="15628" width="17" style="3532" bestFit="1" customWidth="1"/>
    <col min="15629" max="15629" width="12.7109375" style="3532" customWidth="1"/>
    <col min="15630" max="15630" width="13.7109375" style="3532" customWidth="1"/>
    <col min="15631" max="15631" width="13.85546875" style="3532" bestFit="1" customWidth="1"/>
    <col min="15632" max="15632" width="15.42578125" style="3532" bestFit="1" customWidth="1"/>
    <col min="15633" max="15633" width="16.140625" style="3532" customWidth="1"/>
    <col min="15634" max="15634" width="16.7109375" style="3532" bestFit="1" customWidth="1"/>
    <col min="15635" max="15636" width="20.42578125" style="3532" bestFit="1" customWidth="1"/>
    <col min="15637" max="15637" width="16.42578125" style="3532" bestFit="1" customWidth="1"/>
    <col min="15638" max="15638" width="14.28515625" style="3532" customWidth="1"/>
    <col min="15639" max="15639" width="14.85546875" style="3532" bestFit="1" customWidth="1"/>
    <col min="15640" max="15640" width="13.42578125" style="3532" bestFit="1" customWidth="1"/>
    <col min="15641" max="15641" width="12.42578125" style="3532" bestFit="1" customWidth="1"/>
    <col min="15642" max="15642" width="14" style="3532" bestFit="1" customWidth="1"/>
    <col min="15643" max="15643" width="6" style="3532" bestFit="1" customWidth="1"/>
    <col min="15644" max="15644" width="15" style="3532" customWidth="1"/>
    <col min="15645" max="15645" width="14.85546875" style="3532" bestFit="1" customWidth="1"/>
    <col min="15646" max="15646" width="16.140625" style="3532" bestFit="1" customWidth="1"/>
    <col min="15647" max="15873" width="8.85546875" style="3532"/>
    <col min="15874" max="15874" width="24" style="3532" bestFit="1" customWidth="1"/>
    <col min="15875" max="15875" width="45.7109375" style="3532" bestFit="1" customWidth="1"/>
    <col min="15876" max="15876" width="19.7109375" style="3532" bestFit="1" customWidth="1"/>
    <col min="15877" max="15877" width="17.140625" style="3532" bestFit="1" customWidth="1"/>
    <col min="15878" max="15878" width="19.85546875" style="3532" bestFit="1" customWidth="1"/>
    <col min="15879" max="15879" width="13.42578125" style="3532" customWidth="1"/>
    <col min="15880" max="15880" width="15.28515625" style="3532" bestFit="1" customWidth="1"/>
    <col min="15881" max="15881" width="14.140625" style="3532" bestFit="1" customWidth="1"/>
    <col min="15882" max="15882" width="15.28515625" style="3532" customWidth="1"/>
    <col min="15883" max="15883" width="15.85546875" style="3532" customWidth="1"/>
    <col min="15884" max="15884" width="17" style="3532" bestFit="1" customWidth="1"/>
    <col min="15885" max="15885" width="12.7109375" style="3532" customWidth="1"/>
    <col min="15886" max="15886" width="13.7109375" style="3532" customWidth="1"/>
    <col min="15887" max="15887" width="13.85546875" style="3532" bestFit="1" customWidth="1"/>
    <col min="15888" max="15888" width="15.42578125" style="3532" bestFit="1" customWidth="1"/>
    <col min="15889" max="15889" width="16.140625" style="3532" customWidth="1"/>
    <col min="15890" max="15890" width="16.7109375" style="3532" bestFit="1" customWidth="1"/>
    <col min="15891" max="15892" width="20.42578125" style="3532" bestFit="1" customWidth="1"/>
    <col min="15893" max="15893" width="16.42578125" style="3532" bestFit="1" customWidth="1"/>
    <col min="15894" max="15894" width="14.28515625" style="3532" customWidth="1"/>
    <col min="15895" max="15895" width="14.85546875" style="3532" bestFit="1" customWidth="1"/>
    <col min="15896" max="15896" width="13.42578125" style="3532" bestFit="1" customWidth="1"/>
    <col min="15897" max="15897" width="12.42578125" style="3532" bestFit="1" customWidth="1"/>
    <col min="15898" max="15898" width="14" style="3532" bestFit="1" customWidth="1"/>
    <col min="15899" max="15899" width="6" style="3532" bestFit="1" customWidth="1"/>
    <col min="15900" max="15900" width="15" style="3532" customWidth="1"/>
    <col min="15901" max="15901" width="14.85546875" style="3532" bestFit="1" customWidth="1"/>
    <col min="15902" max="15902" width="16.140625" style="3532" bestFit="1" customWidth="1"/>
    <col min="15903" max="16129" width="8.85546875" style="3532"/>
    <col min="16130" max="16130" width="24" style="3532" bestFit="1" customWidth="1"/>
    <col min="16131" max="16131" width="45.7109375" style="3532" bestFit="1" customWidth="1"/>
    <col min="16132" max="16132" width="19.7109375" style="3532" bestFit="1" customWidth="1"/>
    <col min="16133" max="16133" width="17.140625" style="3532" bestFit="1" customWidth="1"/>
    <col min="16134" max="16134" width="19.85546875" style="3532" bestFit="1" customWidth="1"/>
    <col min="16135" max="16135" width="13.42578125" style="3532" customWidth="1"/>
    <col min="16136" max="16136" width="15.28515625" style="3532" bestFit="1" customWidth="1"/>
    <col min="16137" max="16137" width="14.140625" style="3532" bestFit="1" customWidth="1"/>
    <col min="16138" max="16138" width="15.28515625" style="3532" customWidth="1"/>
    <col min="16139" max="16139" width="15.85546875" style="3532" customWidth="1"/>
    <col min="16140" max="16140" width="17" style="3532" bestFit="1" customWidth="1"/>
    <col min="16141" max="16141" width="12.7109375" style="3532" customWidth="1"/>
    <col min="16142" max="16142" width="13.7109375" style="3532" customWidth="1"/>
    <col min="16143" max="16143" width="13.85546875" style="3532" bestFit="1" customWidth="1"/>
    <col min="16144" max="16144" width="15.42578125" style="3532" bestFit="1" customWidth="1"/>
    <col min="16145" max="16145" width="16.140625" style="3532" customWidth="1"/>
    <col min="16146" max="16146" width="16.7109375" style="3532" bestFit="1" customWidth="1"/>
    <col min="16147" max="16148" width="20.42578125" style="3532" bestFit="1" customWidth="1"/>
    <col min="16149" max="16149" width="16.42578125" style="3532" bestFit="1" customWidth="1"/>
    <col min="16150" max="16150" width="14.28515625" style="3532" customWidth="1"/>
    <col min="16151" max="16151" width="14.85546875" style="3532" bestFit="1" customWidth="1"/>
    <col min="16152" max="16152" width="13.42578125" style="3532" bestFit="1" customWidth="1"/>
    <col min="16153" max="16153" width="12.42578125" style="3532" bestFit="1" customWidth="1"/>
    <col min="16154" max="16154" width="14" style="3532" bestFit="1" customWidth="1"/>
    <col min="16155" max="16155" width="6" style="3532" bestFit="1" customWidth="1"/>
    <col min="16156" max="16156" width="15" style="3532" customWidth="1"/>
    <col min="16157" max="16157" width="14.85546875" style="3532" bestFit="1" customWidth="1"/>
    <col min="16158" max="16158" width="16.140625" style="3532" bestFit="1" customWidth="1"/>
    <col min="16159" max="16384" width="8.85546875" style="3532"/>
  </cols>
  <sheetData>
    <row r="1" spans="2:24" ht="42.75" customHeight="1"/>
    <row r="2" spans="2:24" ht="16.5" thickBot="1">
      <c r="B2" s="4490"/>
      <c r="F2" s="3536"/>
      <c r="G2" s="3536">
        <f>C4</f>
        <v>18230501</v>
      </c>
      <c r="H2" s="3536" t="str">
        <f>C5</f>
        <v>SF Existing ARRA Wx - Electric</v>
      </c>
      <c r="I2" s="3536"/>
    </row>
    <row r="3" spans="2:24" ht="16.5" thickBot="1">
      <c r="B3" s="3536" t="s">
        <v>109</v>
      </c>
      <c r="C3" s="3537" t="str">
        <f>VLOOKUP(C4,luOrderNum,3)</f>
        <v>E214</v>
      </c>
      <c r="G3" s="3538" t="s">
        <v>8</v>
      </c>
      <c r="Q3" s="5133"/>
      <c r="R3" s="5133"/>
      <c r="S3" s="5124" t="s">
        <v>110</v>
      </c>
      <c r="T3" s="5125"/>
      <c r="U3" s="5126"/>
      <c r="V3" s="5118" t="s">
        <v>111</v>
      </c>
    </row>
    <row r="4" spans="2:24" ht="16.5" thickBot="1">
      <c r="B4" s="3537" t="s">
        <v>6</v>
      </c>
      <c r="C4" s="3537">
        <v>18230501</v>
      </c>
      <c r="G4" s="3539" t="s">
        <v>9</v>
      </c>
      <c r="H4" s="3540" t="s">
        <v>10</v>
      </c>
      <c r="I4" s="3540" t="s">
        <v>11</v>
      </c>
      <c r="J4" s="3540" t="s">
        <v>12</v>
      </c>
      <c r="K4" s="3540" t="s">
        <v>13</v>
      </c>
      <c r="L4" s="3540" t="s">
        <v>14</v>
      </c>
      <c r="M4" s="3540" t="s">
        <v>15</v>
      </c>
      <c r="N4" s="3540" t="s">
        <v>16</v>
      </c>
      <c r="O4" s="3540" t="s">
        <v>112</v>
      </c>
      <c r="P4" s="3540" t="s">
        <v>113</v>
      </c>
      <c r="Q4" s="3541" t="s">
        <v>18</v>
      </c>
      <c r="R4" s="3541" t="s">
        <v>114</v>
      </c>
      <c r="S4" s="3542" t="s">
        <v>115</v>
      </c>
      <c r="T4" s="3542" t="s">
        <v>12</v>
      </c>
      <c r="U4" s="3543" t="s">
        <v>116</v>
      </c>
      <c r="V4" s="5119"/>
      <c r="W4" s="3580" t="s">
        <v>7</v>
      </c>
      <c r="X4" s="296" t="s">
        <v>7</v>
      </c>
    </row>
    <row r="5" spans="2:24" ht="16.5" thickBot="1">
      <c r="B5" s="3537" t="s">
        <v>117</v>
      </c>
      <c r="C5" s="4506" t="str">
        <f>VLOOKUP(C4,luOrderNum,2)</f>
        <v>SF Existing ARRA Wx - Electric</v>
      </c>
      <c r="F5" s="3536">
        <v>2011</v>
      </c>
      <c r="G5" s="3544"/>
      <c r="H5" s="3545"/>
      <c r="I5" s="3545"/>
      <c r="J5" s="3545"/>
      <c r="K5" s="3545"/>
      <c r="L5" s="3545"/>
      <c r="M5" s="3545"/>
      <c r="N5" s="3545"/>
      <c r="O5" s="3545"/>
      <c r="P5" s="3545"/>
      <c r="Q5" s="3546"/>
      <c r="R5" s="210">
        <f>T56</f>
        <v>0</v>
      </c>
      <c r="S5" s="3636" t="e">
        <f>O5/Q5</f>
        <v>#DIV/0!</v>
      </c>
      <c r="T5" s="3636" t="e">
        <f>(J5+(H5*1.63))/Q5</f>
        <v>#DIV/0!</v>
      </c>
      <c r="U5" s="3636" t="e">
        <f>L5/Q5</f>
        <v>#DIV/0!</v>
      </c>
      <c r="V5" s="2095" t="e">
        <f>Q5/R5</f>
        <v>#DIV/0!</v>
      </c>
    </row>
    <row r="6" spans="2:24" ht="16.5" thickBot="1">
      <c r="B6" s="3536" t="s">
        <v>33</v>
      </c>
      <c r="F6" s="3536">
        <v>2012</v>
      </c>
      <c r="G6" s="3547">
        <f>D14</f>
        <v>0</v>
      </c>
      <c r="H6" s="3548">
        <f>D19</f>
        <v>0</v>
      </c>
      <c r="I6" s="3548">
        <f>D24</f>
        <v>0</v>
      </c>
      <c r="J6" s="3548">
        <f>D29</f>
        <v>0</v>
      </c>
      <c r="K6" s="3548">
        <f>D34</f>
        <v>0</v>
      </c>
      <c r="L6" s="3548">
        <f>D39</f>
        <v>0</v>
      </c>
      <c r="M6" s="3548">
        <f>D44</f>
        <v>0</v>
      </c>
      <c r="N6" s="3548">
        <f>D49</f>
        <v>0</v>
      </c>
      <c r="O6" s="3548">
        <f>D54</f>
        <v>0</v>
      </c>
      <c r="P6" s="3548">
        <f>D55</f>
        <v>0</v>
      </c>
      <c r="Q6" s="3549">
        <f>SUM(G6:P6)</f>
        <v>0</v>
      </c>
      <c r="R6" s="216">
        <f>P56</f>
        <v>0</v>
      </c>
      <c r="S6" s="3637" t="e">
        <f>O6/Q6</f>
        <v>#DIV/0!</v>
      </c>
      <c r="T6" s="3637" t="e">
        <f>(J6+(H6*1.63))/Q6</f>
        <v>#DIV/0!</v>
      </c>
      <c r="U6" s="3637" t="e">
        <f>L6/Q6</f>
        <v>#DIV/0!</v>
      </c>
      <c r="V6" s="2096" t="e">
        <f>Q6/R6</f>
        <v>#DIV/0!</v>
      </c>
    </row>
    <row r="7" spans="2:24" ht="16.5" thickBot="1">
      <c r="B7" s="3536"/>
      <c r="F7" s="4249" t="s">
        <v>1168</v>
      </c>
      <c r="G7" s="4241"/>
      <c r="H7" s="4242"/>
      <c r="I7" s="4242"/>
      <c r="J7" s="4242"/>
      <c r="K7" s="4242"/>
      <c r="L7" s="4242"/>
      <c r="M7" s="4242"/>
      <c r="N7" s="4242"/>
      <c r="O7" s="4242"/>
      <c r="P7" s="4242"/>
      <c r="Q7" s="4507"/>
      <c r="R7" s="4508"/>
      <c r="S7" s="3637"/>
      <c r="T7" s="3637"/>
      <c r="U7" s="3637"/>
      <c r="V7" s="2096"/>
    </row>
    <row r="8" spans="2:24" ht="16.5" thickBot="1">
      <c r="C8" s="3536" t="str">
        <f>VLOOKUP(C4,luOrderNum,6)</f>
        <v>Malcolm McCulloch</v>
      </c>
      <c r="F8" s="4281" t="s">
        <v>1169</v>
      </c>
      <c r="G8" s="4192">
        <f>E14</f>
        <v>0</v>
      </c>
      <c r="H8" s="4193">
        <f>E19</f>
        <v>0</v>
      </c>
      <c r="I8" s="4193">
        <v>27</v>
      </c>
      <c r="J8" s="4193">
        <f>E29</f>
        <v>0</v>
      </c>
      <c r="K8" s="4193">
        <f>E34</f>
        <v>0</v>
      </c>
      <c r="L8" s="4193">
        <f>E39</f>
        <v>0</v>
      </c>
      <c r="M8" s="4193">
        <f>E44</f>
        <v>0</v>
      </c>
      <c r="N8" s="4193">
        <f>E49</f>
        <v>0</v>
      </c>
      <c r="O8" s="4193">
        <f>E54</f>
        <v>741140.27802919003</v>
      </c>
      <c r="P8" s="4193">
        <f>E55</f>
        <v>0</v>
      </c>
      <c r="Q8" s="4194">
        <f>SUM(G8:P8)</f>
        <v>741167.27802919003</v>
      </c>
      <c r="R8" s="4497">
        <f>Q56</f>
        <v>2845321.04</v>
      </c>
      <c r="S8" s="3637">
        <f>O8/Q8</f>
        <v>0.9999635709767547</v>
      </c>
      <c r="T8" s="3637">
        <f>(J8+(H8*1.63))/Q8</f>
        <v>0</v>
      </c>
      <c r="U8" s="3637">
        <f>L8/Q8</f>
        <v>0</v>
      </c>
      <c r="V8" s="2096">
        <f>Q8/R8</f>
        <v>0.2604863449887504</v>
      </c>
      <c r="W8" s="4113" t="s">
        <v>7</v>
      </c>
      <c r="X8" s="4491" t="s">
        <v>7</v>
      </c>
    </row>
    <row r="9" spans="2:24" ht="16.5" thickBot="1">
      <c r="C9" s="3550" t="str">
        <f>VLOOKUP(C4,luOrderNum,5)</f>
        <v>Dealer Channel</v>
      </c>
      <c r="F9" s="221" t="s">
        <v>1235</v>
      </c>
      <c r="G9" s="222">
        <f t="shared" ref="G9:P9" si="0">SUM(G6:G8)</f>
        <v>0</v>
      </c>
      <c r="H9" s="222">
        <f t="shared" si="0"/>
        <v>0</v>
      </c>
      <c r="I9" s="222">
        <f t="shared" si="0"/>
        <v>27</v>
      </c>
      <c r="J9" s="222">
        <f t="shared" si="0"/>
        <v>0</v>
      </c>
      <c r="K9" s="222">
        <f t="shared" si="0"/>
        <v>0</v>
      </c>
      <c r="L9" s="222">
        <f t="shared" si="0"/>
        <v>0</v>
      </c>
      <c r="M9" s="222">
        <f t="shared" si="0"/>
        <v>0</v>
      </c>
      <c r="N9" s="222">
        <f t="shared" si="0"/>
        <v>0</v>
      </c>
      <c r="O9" s="222">
        <f t="shared" si="0"/>
        <v>741140.27802919003</v>
      </c>
      <c r="P9" s="222">
        <f t="shared" si="0"/>
        <v>0</v>
      </c>
      <c r="Q9" s="4492">
        <f>SUM(G9:P9)</f>
        <v>741167.27802919003</v>
      </c>
      <c r="R9" s="223">
        <f>R56</f>
        <v>2845321.04</v>
      </c>
      <c r="S9" s="3637">
        <f>O9/Q9</f>
        <v>0.9999635709767547</v>
      </c>
      <c r="T9" s="3637">
        <f>(J9+(H9*1.63))/Q9</f>
        <v>0</v>
      </c>
      <c r="U9" s="3637">
        <f>L9/Q9</f>
        <v>0</v>
      </c>
      <c r="V9" s="2096">
        <f>Q9/R9</f>
        <v>0.2604863449887504</v>
      </c>
    </row>
    <row r="11" spans="2:24" ht="20.25" customHeight="1" thickBot="1">
      <c r="C11" s="3551" t="s">
        <v>118</v>
      </c>
      <c r="D11" s="5120" t="s">
        <v>119</v>
      </c>
      <c r="E11" s="5120"/>
      <c r="I11" s="5121" t="s">
        <v>120</v>
      </c>
      <c r="J11" s="5121"/>
      <c r="K11" s="5121"/>
      <c r="L11" s="5121"/>
      <c r="M11" s="5131" t="s">
        <v>119</v>
      </c>
      <c r="N11" s="5131"/>
    </row>
    <row r="12" spans="2:24" ht="16.5" thickBot="1">
      <c r="B12" s="3552" t="s">
        <v>121</v>
      </c>
      <c r="C12" s="5122" t="s">
        <v>122</v>
      </c>
      <c r="D12" s="5122"/>
      <c r="E12" s="5122"/>
      <c r="F12" s="5123"/>
      <c r="I12" s="5124" t="s">
        <v>123</v>
      </c>
      <c r="J12" s="5125"/>
      <c r="K12" s="5125"/>
      <c r="L12" s="5126"/>
      <c r="M12" s="5124" t="s">
        <v>124</v>
      </c>
      <c r="N12" s="5125"/>
      <c r="O12" s="5126"/>
      <c r="P12" s="5124" t="s">
        <v>125</v>
      </c>
      <c r="Q12" s="5125"/>
      <c r="R12" s="5126"/>
      <c r="T12" s="4883"/>
    </row>
    <row r="13" spans="2:24" ht="16.5" thickBot="1">
      <c r="B13" s="3553">
        <v>2011</v>
      </c>
      <c r="C13" s="3554" t="s">
        <v>127</v>
      </c>
      <c r="D13" s="3555">
        <v>2012</v>
      </c>
      <c r="E13" s="3555">
        <v>2013</v>
      </c>
      <c r="F13" s="3555" t="s">
        <v>128</v>
      </c>
      <c r="H13" s="3556"/>
      <c r="I13" s="5127" t="s">
        <v>129</v>
      </c>
      <c r="J13" s="5128"/>
      <c r="K13" s="5129"/>
      <c r="L13" s="3557" t="s">
        <v>130</v>
      </c>
      <c r="M13" s="3558" t="s">
        <v>131</v>
      </c>
      <c r="N13" s="3559" t="s">
        <v>132</v>
      </c>
      <c r="O13" s="3560" t="s">
        <v>133</v>
      </c>
      <c r="P13" s="3558" t="s">
        <v>134</v>
      </c>
      <c r="Q13" s="3558" t="s">
        <v>135</v>
      </c>
      <c r="R13" s="3560" t="s">
        <v>136</v>
      </c>
      <c r="T13" s="4861"/>
    </row>
    <row r="14" spans="2:24" ht="13.5" thickBot="1">
      <c r="B14" s="3578">
        <v>156817</v>
      </c>
      <c r="C14" s="3561" t="s">
        <v>138</v>
      </c>
      <c r="D14" s="3562">
        <f>SUM(D15:D18)</f>
        <v>0</v>
      </c>
      <c r="E14" s="3562">
        <f>SUM(E15:E18)</f>
        <v>0</v>
      </c>
      <c r="F14" s="3563">
        <f>D14+E14</f>
        <v>0</v>
      </c>
      <c r="H14" s="3535"/>
      <c r="I14" s="4498" t="str">
        <f t="shared" ref="I14:I55" si="1">C64</f>
        <v>Elec - Manufactured Home Duct Sealing- Level 1</v>
      </c>
      <c r="J14" s="4499"/>
      <c r="K14" s="4500"/>
      <c r="L14" s="4501">
        <f t="shared" ref="L14:L55" si="2">D64</f>
        <v>600</v>
      </c>
      <c r="M14" s="243">
        <v>0</v>
      </c>
      <c r="N14" s="4505">
        <v>838.42</v>
      </c>
      <c r="O14" s="4493">
        <f t="shared" ref="O14:O55" si="3">M14+N14</f>
        <v>838.42</v>
      </c>
      <c r="P14" s="4135">
        <f t="shared" ref="P14:R29" si="4">M14*$D64</f>
        <v>0</v>
      </c>
      <c r="Q14" s="4135">
        <f t="shared" si="4"/>
        <v>503052</v>
      </c>
      <c r="R14" s="4136">
        <f t="shared" si="4"/>
        <v>503052</v>
      </c>
      <c r="T14" s="4891"/>
    </row>
    <row r="15" spans="2:24">
      <c r="B15" s="3565"/>
      <c r="C15" s="3566" t="s">
        <v>139</v>
      </c>
      <c r="D15" s="3567"/>
      <c r="E15" s="3567"/>
      <c r="F15" s="3567">
        <f>SUM(D15:E15)</f>
        <v>0</v>
      </c>
      <c r="H15" s="3535"/>
      <c r="I15" s="4502" t="str">
        <f t="shared" si="1"/>
        <v>Elec - Manufactured Home Duct Sealing- Level 2</v>
      </c>
      <c r="J15" s="4503"/>
      <c r="K15" s="4504"/>
      <c r="L15" s="4501">
        <f t="shared" si="2"/>
        <v>800</v>
      </c>
      <c r="M15" s="243">
        <v>0</v>
      </c>
      <c r="N15" s="4505">
        <v>725.12</v>
      </c>
      <c r="O15" s="4493">
        <f t="shared" si="3"/>
        <v>725.12</v>
      </c>
      <c r="P15" s="4135">
        <f t="shared" si="4"/>
        <v>0</v>
      </c>
      <c r="Q15" s="4135">
        <f t="shared" si="4"/>
        <v>580096</v>
      </c>
      <c r="R15" s="4136">
        <f t="shared" si="4"/>
        <v>580096</v>
      </c>
      <c r="T15" s="4891"/>
    </row>
    <row r="16" spans="2:24">
      <c r="B16" s="3571"/>
      <c r="C16" s="3572" t="s">
        <v>140</v>
      </c>
      <c r="D16" s="3573"/>
      <c r="E16" s="3573"/>
      <c r="F16" s="3567">
        <f>SUM(D16:E16)</f>
        <v>0</v>
      </c>
      <c r="H16" s="3535"/>
      <c r="I16" s="4502" t="str">
        <f t="shared" si="1"/>
        <v>Elec - Manufactured Home Duct Sealing- Level 3</v>
      </c>
      <c r="J16" s="4503"/>
      <c r="K16" s="4504"/>
      <c r="L16" s="4501">
        <f t="shared" si="2"/>
        <v>1000</v>
      </c>
      <c r="M16" s="243">
        <v>0</v>
      </c>
      <c r="N16" s="4505">
        <v>702.46</v>
      </c>
      <c r="O16" s="4493">
        <f t="shared" si="3"/>
        <v>702.46</v>
      </c>
      <c r="P16" s="4135">
        <f t="shared" si="4"/>
        <v>0</v>
      </c>
      <c r="Q16" s="4135">
        <f t="shared" si="4"/>
        <v>702460</v>
      </c>
      <c r="R16" s="4136">
        <f t="shared" si="4"/>
        <v>702460</v>
      </c>
      <c r="T16" s="4891"/>
    </row>
    <row r="17" spans="2:20">
      <c r="B17" s="3571"/>
      <c r="C17" s="3572" t="s">
        <v>141</v>
      </c>
      <c r="D17" s="3575"/>
      <c r="E17" s="3575"/>
      <c r="F17" s="3567">
        <f>SUM(D17:E17)</f>
        <v>0</v>
      </c>
      <c r="H17" s="3535"/>
      <c r="I17" s="4502" t="str">
        <f t="shared" si="1"/>
        <v>Elec - MHDS Showerhead - Leave Behind</v>
      </c>
      <c r="J17" s="4503"/>
      <c r="K17" s="4504"/>
      <c r="L17" s="4501">
        <f t="shared" si="2"/>
        <v>260</v>
      </c>
      <c r="M17" s="243">
        <v>0</v>
      </c>
      <c r="N17" s="4505">
        <v>1912.5039999999999</v>
      </c>
      <c r="O17" s="4493">
        <f t="shared" si="3"/>
        <v>1912.5039999999999</v>
      </c>
      <c r="P17" s="4135">
        <f t="shared" si="4"/>
        <v>0</v>
      </c>
      <c r="Q17" s="4135">
        <f t="shared" si="4"/>
        <v>497251.04</v>
      </c>
      <c r="R17" s="4136">
        <f t="shared" si="4"/>
        <v>497251.04</v>
      </c>
      <c r="T17" s="4891"/>
    </row>
    <row r="18" spans="2:20" ht="13.5" thickBot="1">
      <c r="B18" s="3571"/>
      <c r="C18" s="3572" t="s">
        <v>142</v>
      </c>
      <c r="D18" s="3575"/>
      <c r="E18" s="3575"/>
      <c r="F18" s="3567">
        <f>SUM(D18:E18)</f>
        <v>0</v>
      </c>
      <c r="H18" s="3535"/>
      <c r="I18" s="4502" t="str">
        <f t="shared" si="1"/>
        <v>Elec - MHDS Direct Install CFL</v>
      </c>
      <c r="J18" s="4503"/>
      <c r="K18" s="4504"/>
      <c r="L18" s="4501">
        <f t="shared" si="2"/>
        <v>23</v>
      </c>
      <c r="M18" s="243">
        <v>0</v>
      </c>
      <c r="N18" s="4505">
        <v>20394</v>
      </c>
      <c r="O18" s="4493">
        <f t="shared" si="3"/>
        <v>20394</v>
      </c>
      <c r="P18" s="4135">
        <f t="shared" si="4"/>
        <v>0</v>
      </c>
      <c r="Q18" s="4135">
        <f t="shared" si="4"/>
        <v>469062</v>
      </c>
      <c r="R18" s="4136">
        <f t="shared" si="4"/>
        <v>469062</v>
      </c>
      <c r="T18" s="4891"/>
    </row>
    <row r="19" spans="2:20" ht="13.5" thickBot="1">
      <c r="B19" s="3578">
        <v>20754</v>
      </c>
      <c r="C19" s="3561" t="s">
        <v>143</v>
      </c>
      <c r="D19" s="3562">
        <f>SUM(D20:D23)</f>
        <v>0</v>
      </c>
      <c r="E19" s="3562">
        <f>SUM(E20:E23)</f>
        <v>0</v>
      </c>
      <c r="F19" s="3563">
        <f>D19+E19</f>
        <v>0</v>
      </c>
      <c r="H19" s="3535"/>
      <c r="I19" s="4502" t="str">
        <f t="shared" si="1"/>
        <v>Elec - Furnace Filter</v>
      </c>
      <c r="J19" s="4503"/>
      <c r="K19" s="4504"/>
      <c r="L19" s="4501">
        <f t="shared" si="2"/>
        <v>0</v>
      </c>
      <c r="M19" s="243">
        <v>0</v>
      </c>
      <c r="N19" s="4505">
        <v>4532</v>
      </c>
      <c r="O19" s="4493">
        <f t="shared" si="3"/>
        <v>4532</v>
      </c>
      <c r="P19" s="4135">
        <f t="shared" si="4"/>
        <v>0</v>
      </c>
      <c r="Q19" s="4135">
        <f t="shared" si="4"/>
        <v>0</v>
      </c>
      <c r="R19" s="4136">
        <f t="shared" si="4"/>
        <v>0</v>
      </c>
      <c r="T19" s="4891"/>
    </row>
    <row r="20" spans="2:20">
      <c r="B20" s="3565"/>
      <c r="C20" s="3566" t="s">
        <v>139</v>
      </c>
      <c r="D20" s="3567"/>
      <c r="E20" s="3567"/>
      <c r="F20" s="3567">
        <f>SUM(D20:E20)</f>
        <v>0</v>
      </c>
      <c r="H20" s="3535"/>
      <c r="I20" s="4502" t="str">
        <f t="shared" si="1"/>
        <v>Elec - MHDS Showerhead ONLY - Leave Behind</v>
      </c>
      <c r="J20" s="4503"/>
      <c r="K20" s="4504"/>
      <c r="L20" s="4501">
        <f t="shared" si="2"/>
        <v>260</v>
      </c>
      <c r="M20" s="243">
        <v>0</v>
      </c>
      <c r="N20" s="4505">
        <v>200</v>
      </c>
      <c r="O20" s="4493">
        <f t="shared" si="3"/>
        <v>200</v>
      </c>
      <c r="P20" s="4135">
        <f t="shared" si="4"/>
        <v>0</v>
      </c>
      <c r="Q20" s="4135">
        <f t="shared" si="4"/>
        <v>52000</v>
      </c>
      <c r="R20" s="4136">
        <f t="shared" si="4"/>
        <v>52000</v>
      </c>
      <c r="T20" s="4891"/>
    </row>
    <row r="21" spans="2:20">
      <c r="B21" s="3571"/>
      <c r="C21" s="3572" t="s">
        <v>140</v>
      </c>
      <c r="D21" s="3573"/>
      <c r="E21" s="3573"/>
      <c r="F21" s="3567">
        <f>SUM(D21:E21)</f>
        <v>0</v>
      </c>
      <c r="H21" s="3535"/>
      <c r="I21" s="4502" t="str">
        <f t="shared" si="1"/>
        <v>Elec - MHDS Direct Install CFL ONLY</v>
      </c>
      <c r="J21" s="4503"/>
      <c r="K21" s="4504"/>
      <c r="L21" s="4501">
        <f t="shared" si="2"/>
        <v>23</v>
      </c>
      <c r="M21" s="243">
        <v>0</v>
      </c>
      <c r="N21" s="4505">
        <v>1800</v>
      </c>
      <c r="O21" s="4493">
        <f t="shared" si="3"/>
        <v>1800</v>
      </c>
      <c r="P21" s="4135">
        <f t="shared" si="4"/>
        <v>0</v>
      </c>
      <c r="Q21" s="4135">
        <f t="shared" si="4"/>
        <v>41400</v>
      </c>
      <c r="R21" s="4136">
        <f t="shared" si="4"/>
        <v>41400</v>
      </c>
      <c r="T21" s="4891"/>
    </row>
    <row r="22" spans="2:20">
      <c r="B22" s="3571"/>
      <c r="C22" s="3572" t="s">
        <v>141</v>
      </c>
      <c r="D22" s="3575"/>
      <c r="E22" s="3575"/>
      <c r="F22" s="3567">
        <f>SUM(D22:E22)</f>
        <v>0</v>
      </c>
      <c r="H22" s="3535"/>
      <c r="I22" s="3568" t="str">
        <f t="shared" si="1"/>
        <v>Measure 9</v>
      </c>
      <c r="J22" s="3569"/>
      <c r="K22" s="3570"/>
      <c r="L22" s="242">
        <f t="shared" si="2"/>
        <v>0</v>
      </c>
      <c r="M22" s="3574">
        <v>0</v>
      </c>
      <c r="N22" s="3574">
        <v>0</v>
      </c>
      <c r="O22" s="3564">
        <f t="shared" si="3"/>
        <v>0</v>
      </c>
      <c r="P22" s="4135">
        <f t="shared" si="4"/>
        <v>0</v>
      </c>
      <c r="Q22" s="4135">
        <f t="shared" si="4"/>
        <v>0</v>
      </c>
      <c r="R22" s="4136">
        <f t="shared" si="4"/>
        <v>0</v>
      </c>
      <c r="T22" s="4891"/>
    </row>
    <row r="23" spans="2:20" ht="13.5" thickBot="1">
      <c r="B23" s="3571"/>
      <c r="C23" s="3572" t="s">
        <v>142</v>
      </c>
      <c r="D23" s="3575"/>
      <c r="E23" s="3575"/>
      <c r="F23" s="3567">
        <f>SUM(D23:E23)</f>
        <v>0</v>
      </c>
      <c r="H23" s="3535"/>
      <c r="I23" s="3568" t="str">
        <f t="shared" si="1"/>
        <v>Measure 10</v>
      </c>
      <c r="J23" s="3569"/>
      <c r="K23" s="3570"/>
      <c r="L23" s="242">
        <f t="shared" si="2"/>
        <v>0</v>
      </c>
      <c r="M23" s="3574">
        <v>0</v>
      </c>
      <c r="N23" s="3574">
        <v>0</v>
      </c>
      <c r="O23" s="3564">
        <f t="shared" si="3"/>
        <v>0</v>
      </c>
      <c r="P23" s="4135">
        <f t="shared" si="4"/>
        <v>0</v>
      </c>
      <c r="Q23" s="4135">
        <f t="shared" si="4"/>
        <v>0</v>
      </c>
      <c r="R23" s="4136">
        <f t="shared" si="4"/>
        <v>0</v>
      </c>
      <c r="T23" s="4891"/>
    </row>
    <row r="24" spans="2:20" ht="13.5" thickBot="1">
      <c r="B24" s="3578">
        <v>111870</v>
      </c>
      <c r="C24" s="3561" t="s">
        <v>144</v>
      </c>
      <c r="D24" s="3562">
        <f>SUM(D25:D28)</f>
        <v>0</v>
      </c>
      <c r="E24" s="4494">
        <v>26.57</v>
      </c>
      <c r="F24" s="3563">
        <f>D24+E24</f>
        <v>26.57</v>
      </c>
      <c r="G24" s="3534"/>
      <c r="H24" s="3535"/>
      <c r="I24" s="3568" t="str">
        <f t="shared" si="1"/>
        <v>Measure 11</v>
      </c>
      <c r="J24" s="3569"/>
      <c r="K24" s="3570"/>
      <c r="L24" s="242">
        <f t="shared" si="2"/>
        <v>0</v>
      </c>
      <c r="M24" s="3574">
        <v>0</v>
      </c>
      <c r="N24" s="3574">
        <v>0</v>
      </c>
      <c r="O24" s="3564">
        <f t="shared" si="3"/>
        <v>0</v>
      </c>
      <c r="P24" s="4135">
        <f t="shared" si="4"/>
        <v>0</v>
      </c>
      <c r="Q24" s="4135">
        <f t="shared" si="4"/>
        <v>0</v>
      </c>
      <c r="R24" s="4136">
        <f t="shared" si="4"/>
        <v>0</v>
      </c>
      <c r="T24" s="4891"/>
    </row>
    <row r="25" spans="2:20">
      <c r="B25" s="3565"/>
      <c r="C25" s="3566" t="s">
        <v>1436</v>
      </c>
      <c r="D25" s="3567">
        <f>0.63*D14</f>
        <v>0</v>
      </c>
      <c r="E25" s="3567">
        <f>0.7*E14</f>
        <v>0</v>
      </c>
      <c r="F25" s="3567">
        <f>SUM(D25:E25)</f>
        <v>0</v>
      </c>
      <c r="H25" s="3535"/>
      <c r="I25" s="3568" t="str">
        <f t="shared" si="1"/>
        <v>Measure 12</v>
      </c>
      <c r="J25" s="3569"/>
      <c r="K25" s="3570"/>
      <c r="L25" s="242">
        <f t="shared" si="2"/>
        <v>0</v>
      </c>
      <c r="M25" s="3574">
        <v>0</v>
      </c>
      <c r="N25" s="3574">
        <v>0</v>
      </c>
      <c r="O25" s="3564">
        <f t="shared" si="3"/>
        <v>0</v>
      </c>
      <c r="P25" s="4135">
        <f t="shared" si="4"/>
        <v>0</v>
      </c>
      <c r="Q25" s="4135">
        <f t="shared" si="4"/>
        <v>0</v>
      </c>
      <c r="R25" s="4136">
        <f t="shared" si="4"/>
        <v>0</v>
      </c>
      <c r="T25" s="4891"/>
    </row>
    <row r="26" spans="2:20">
      <c r="B26" s="3565"/>
      <c r="C26" s="3566" t="s">
        <v>1437</v>
      </c>
      <c r="D26" s="3573">
        <f>0.63*D19</f>
        <v>0</v>
      </c>
      <c r="E26" s="3573">
        <f>0.7*E19</f>
        <v>0</v>
      </c>
      <c r="F26" s="3567">
        <f>SUM(D26:E26)</f>
        <v>0</v>
      </c>
      <c r="H26" s="3535"/>
      <c r="I26" s="3568" t="str">
        <f t="shared" si="1"/>
        <v>Measure 13</v>
      </c>
      <c r="J26" s="3569"/>
      <c r="K26" s="3570"/>
      <c r="L26" s="242">
        <f t="shared" si="2"/>
        <v>0</v>
      </c>
      <c r="M26" s="3574">
        <v>0</v>
      </c>
      <c r="N26" s="3574">
        <v>0</v>
      </c>
      <c r="O26" s="3564">
        <f t="shared" si="3"/>
        <v>0</v>
      </c>
      <c r="P26" s="4135">
        <f t="shared" si="4"/>
        <v>0</v>
      </c>
      <c r="Q26" s="4135">
        <f t="shared" si="4"/>
        <v>0</v>
      </c>
      <c r="R26" s="4136">
        <f t="shared" si="4"/>
        <v>0</v>
      </c>
      <c r="T26" s="4891"/>
    </row>
    <row r="27" spans="2:20">
      <c r="B27" s="3571"/>
      <c r="C27" s="3572"/>
      <c r="D27" s="3575"/>
      <c r="E27" s="3575"/>
      <c r="F27" s="3575"/>
      <c r="H27" s="3535"/>
      <c r="I27" s="3568" t="str">
        <f t="shared" si="1"/>
        <v>Measure 14</v>
      </c>
      <c r="J27" s="3569"/>
      <c r="K27" s="3570"/>
      <c r="L27" s="242">
        <f t="shared" si="2"/>
        <v>0</v>
      </c>
      <c r="M27" s="3574">
        <v>0</v>
      </c>
      <c r="N27" s="3574">
        <v>0</v>
      </c>
      <c r="O27" s="3564">
        <f t="shared" si="3"/>
        <v>0</v>
      </c>
      <c r="P27" s="4135">
        <f t="shared" si="4"/>
        <v>0</v>
      </c>
      <c r="Q27" s="4135">
        <f t="shared" si="4"/>
        <v>0</v>
      </c>
      <c r="R27" s="4136">
        <f t="shared" si="4"/>
        <v>0</v>
      </c>
      <c r="T27" s="4891"/>
    </row>
    <row r="28" spans="2:20" ht="13.5" thickBot="1">
      <c r="B28" s="3571"/>
      <c r="C28" s="3572"/>
      <c r="D28" s="3575"/>
      <c r="E28" s="3575"/>
      <c r="F28" s="3575"/>
      <c r="H28" s="3535"/>
      <c r="I28" s="3568" t="str">
        <f t="shared" si="1"/>
        <v>Measure 15</v>
      </c>
      <c r="J28" s="3569"/>
      <c r="K28" s="3570"/>
      <c r="L28" s="242">
        <f t="shared" si="2"/>
        <v>0</v>
      </c>
      <c r="M28" s="3574">
        <v>0</v>
      </c>
      <c r="N28" s="3574">
        <v>0</v>
      </c>
      <c r="O28" s="3564">
        <f t="shared" si="3"/>
        <v>0</v>
      </c>
      <c r="P28" s="4135">
        <f t="shared" si="4"/>
        <v>0</v>
      </c>
      <c r="Q28" s="4135">
        <f t="shared" si="4"/>
        <v>0</v>
      </c>
      <c r="R28" s="4136">
        <f t="shared" si="4"/>
        <v>0</v>
      </c>
      <c r="T28" s="4891"/>
    </row>
    <row r="29" spans="2:20" ht="13.5" thickBot="1">
      <c r="B29" s="3578">
        <v>78000</v>
      </c>
      <c r="C29" s="3561" t="s">
        <v>145</v>
      </c>
      <c r="D29" s="3562">
        <f>SUM(D30:D33)</f>
        <v>0</v>
      </c>
      <c r="E29" s="3562">
        <f>SUM(E30:E33)</f>
        <v>0</v>
      </c>
      <c r="F29" s="3563">
        <f>D29+E29</f>
        <v>0</v>
      </c>
      <c r="H29" s="3535"/>
      <c r="I29" s="3568" t="str">
        <f t="shared" si="1"/>
        <v>Measure 16</v>
      </c>
      <c r="J29" s="3569"/>
      <c r="K29" s="3570"/>
      <c r="L29" s="242">
        <f t="shared" si="2"/>
        <v>0</v>
      </c>
      <c r="M29" s="3574">
        <v>0</v>
      </c>
      <c r="N29" s="3574">
        <v>0</v>
      </c>
      <c r="O29" s="3564">
        <f t="shared" si="3"/>
        <v>0</v>
      </c>
      <c r="P29" s="4135">
        <f t="shared" si="4"/>
        <v>0</v>
      </c>
      <c r="Q29" s="4135">
        <f t="shared" si="4"/>
        <v>0</v>
      </c>
      <c r="R29" s="4136">
        <f t="shared" si="4"/>
        <v>0</v>
      </c>
      <c r="T29" s="4891"/>
    </row>
    <row r="30" spans="2:20">
      <c r="B30" s="3565"/>
      <c r="C30" s="3566" t="s">
        <v>139</v>
      </c>
      <c r="D30" s="3567"/>
      <c r="E30" s="3567"/>
      <c r="F30" s="3567">
        <f>SUM(D30:E30)</f>
        <v>0</v>
      </c>
      <c r="H30" s="3535"/>
      <c r="I30" s="3568" t="str">
        <f t="shared" si="1"/>
        <v>Measure 17</v>
      </c>
      <c r="J30" s="3569"/>
      <c r="K30" s="3570"/>
      <c r="L30" s="242">
        <f t="shared" si="2"/>
        <v>0</v>
      </c>
      <c r="M30" s="3574">
        <v>0</v>
      </c>
      <c r="N30" s="3574">
        <v>0</v>
      </c>
      <c r="O30" s="3564">
        <f t="shared" si="3"/>
        <v>0</v>
      </c>
      <c r="P30" s="4135">
        <f t="shared" ref="P30:R45" si="5">M30*$D80</f>
        <v>0</v>
      </c>
      <c r="Q30" s="4135">
        <f t="shared" si="5"/>
        <v>0</v>
      </c>
      <c r="R30" s="4136">
        <f t="shared" si="5"/>
        <v>0</v>
      </c>
      <c r="T30" s="4891"/>
    </row>
    <row r="31" spans="2:20">
      <c r="B31" s="3571"/>
      <c r="C31" s="3572" t="s">
        <v>140</v>
      </c>
      <c r="D31" s="3573"/>
      <c r="E31" s="3573"/>
      <c r="F31" s="3567">
        <f>SUM(D31:E31)</f>
        <v>0</v>
      </c>
      <c r="H31" s="3535"/>
      <c r="I31" s="3568" t="str">
        <f t="shared" si="1"/>
        <v>Measure 18</v>
      </c>
      <c r="J31" s="3569"/>
      <c r="K31" s="3570"/>
      <c r="L31" s="242">
        <f t="shared" si="2"/>
        <v>0</v>
      </c>
      <c r="M31" s="3574">
        <v>0</v>
      </c>
      <c r="N31" s="3574">
        <v>0</v>
      </c>
      <c r="O31" s="3564">
        <f t="shared" si="3"/>
        <v>0</v>
      </c>
      <c r="P31" s="4135">
        <f t="shared" si="5"/>
        <v>0</v>
      </c>
      <c r="Q31" s="4135">
        <f t="shared" si="5"/>
        <v>0</v>
      </c>
      <c r="R31" s="4136">
        <f t="shared" si="5"/>
        <v>0</v>
      </c>
      <c r="T31" s="4891"/>
    </row>
    <row r="32" spans="2:20">
      <c r="B32" s="3571"/>
      <c r="C32" s="3572" t="s">
        <v>141</v>
      </c>
      <c r="D32" s="3573"/>
      <c r="E32" s="3573"/>
      <c r="F32" s="3567">
        <f>SUM(D32:E32)</f>
        <v>0</v>
      </c>
      <c r="H32" s="3535"/>
      <c r="I32" s="3568" t="str">
        <f t="shared" si="1"/>
        <v>Measure 19</v>
      </c>
      <c r="J32" s="3569"/>
      <c r="K32" s="3570"/>
      <c r="L32" s="242">
        <f t="shared" si="2"/>
        <v>0</v>
      </c>
      <c r="M32" s="3574">
        <v>0</v>
      </c>
      <c r="N32" s="3574">
        <v>0</v>
      </c>
      <c r="O32" s="3564">
        <f t="shared" si="3"/>
        <v>0</v>
      </c>
      <c r="P32" s="4135">
        <f t="shared" si="5"/>
        <v>0</v>
      </c>
      <c r="Q32" s="4135">
        <f t="shared" si="5"/>
        <v>0</v>
      </c>
      <c r="R32" s="4136">
        <f t="shared" si="5"/>
        <v>0</v>
      </c>
      <c r="T32" s="4891"/>
    </row>
    <row r="33" spans="2:20" ht="13.5" thickBot="1">
      <c r="B33" s="3571"/>
      <c r="C33" s="3572" t="s">
        <v>142</v>
      </c>
      <c r="D33" s="3573"/>
      <c r="E33" s="3573"/>
      <c r="F33" s="3567">
        <f>SUM(D33:E33)</f>
        <v>0</v>
      </c>
      <c r="H33" s="3535"/>
      <c r="I33" s="3568" t="str">
        <f t="shared" si="1"/>
        <v>Measure 20</v>
      </c>
      <c r="J33" s="3569"/>
      <c r="K33" s="3570"/>
      <c r="L33" s="242">
        <f t="shared" si="2"/>
        <v>0</v>
      </c>
      <c r="M33" s="3574">
        <v>0</v>
      </c>
      <c r="N33" s="3574">
        <v>0</v>
      </c>
      <c r="O33" s="3564">
        <f t="shared" si="3"/>
        <v>0</v>
      </c>
      <c r="P33" s="4135">
        <f t="shared" si="5"/>
        <v>0</v>
      </c>
      <c r="Q33" s="4135">
        <f t="shared" si="5"/>
        <v>0</v>
      </c>
      <c r="R33" s="4136">
        <f t="shared" si="5"/>
        <v>0</v>
      </c>
      <c r="T33" s="4891"/>
    </row>
    <row r="34" spans="2:20" ht="13.5" thickBot="1">
      <c r="B34" s="3578">
        <v>6000</v>
      </c>
      <c r="C34" s="3561" t="s">
        <v>146</v>
      </c>
      <c r="D34" s="3562">
        <f>SUM(D35:D38)</f>
        <v>0</v>
      </c>
      <c r="E34" s="3562">
        <f>SUM(E35:E38)</f>
        <v>0</v>
      </c>
      <c r="F34" s="3563">
        <f>D34+E34</f>
        <v>0</v>
      </c>
      <c r="H34" s="3535"/>
      <c r="I34" s="3568" t="str">
        <f t="shared" si="1"/>
        <v>Measure 21</v>
      </c>
      <c r="J34" s="3569"/>
      <c r="K34" s="3570"/>
      <c r="L34" s="242">
        <f t="shared" si="2"/>
        <v>0</v>
      </c>
      <c r="M34" s="3574">
        <v>0</v>
      </c>
      <c r="N34" s="3574">
        <v>0</v>
      </c>
      <c r="O34" s="3564">
        <f t="shared" si="3"/>
        <v>0</v>
      </c>
      <c r="P34" s="4135">
        <f t="shared" si="5"/>
        <v>0</v>
      </c>
      <c r="Q34" s="4135">
        <f t="shared" si="5"/>
        <v>0</v>
      </c>
      <c r="R34" s="4136">
        <f t="shared" si="5"/>
        <v>0</v>
      </c>
      <c r="T34" s="4891"/>
    </row>
    <row r="35" spans="2:20">
      <c r="B35" s="3571"/>
      <c r="C35" s="3572" t="s">
        <v>139</v>
      </c>
      <c r="D35" s="3573"/>
      <c r="E35" s="3573"/>
      <c r="F35" s="3567">
        <f>SUM(D35:E35)</f>
        <v>0</v>
      </c>
      <c r="H35" s="3535"/>
      <c r="I35" s="3568" t="str">
        <f t="shared" si="1"/>
        <v>Measure 22</v>
      </c>
      <c r="J35" s="3569"/>
      <c r="K35" s="3570"/>
      <c r="L35" s="242">
        <f t="shared" si="2"/>
        <v>0</v>
      </c>
      <c r="M35" s="3574">
        <v>0</v>
      </c>
      <c r="N35" s="3574">
        <v>0</v>
      </c>
      <c r="O35" s="3564">
        <f t="shared" si="3"/>
        <v>0</v>
      </c>
      <c r="P35" s="4135">
        <f t="shared" si="5"/>
        <v>0</v>
      </c>
      <c r="Q35" s="4135">
        <f t="shared" si="5"/>
        <v>0</v>
      </c>
      <c r="R35" s="4136">
        <f t="shared" si="5"/>
        <v>0</v>
      </c>
      <c r="T35" s="4891"/>
    </row>
    <row r="36" spans="2:20">
      <c r="B36" s="3571"/>
      <c r="C36" s="3572" t="s">
        <v>140</v>
      </c>
      <c r="D36" s="3573"/>
      <c r="E36" s="3573"/>
      <c r="F36" s="3567">
        <f>SUM(D36:E36)</f>
        <v>0</v>
      </c>
      <c r="H36" s="3535"/>
      <c r="I36" s="3568" t="str">
        <f t="shared" si="1"/>
        <v>Measure 23</v>
      </c>
      <c r="J36" s="3569"/>
      <c r="K36" s="3570"/>
      <c r="L36" s="242">
        <f t="shared" si="2"/>
        <v>0</v>
      </c>
      <c r="M36" s="3574">
        <v>0</v>
      </c>
      <c r="N36" s="3574">
        <v>0</v>
      </c>
      <c r="O36" s="3564">
        <f t="shared" si="3"/>
        <v>0</v>
      </c>
      <c r="P36" s="4135">
        <f t="shared" si="5"/>
        <v>0</v>
      </c>
      <c r="Q36" s="4135">
        <f t="shared" si="5"/>
        <v>0</v>
      </c>
      <c r="R36" s="4136">
        <f t="shared" si="5"/>
        <v>0</v>
      </c>
      <c r="T36" s="4891"/>
    </row>
    <row r="37" spans="2:20">
      <c r="B37" s="3571"/>
      <c r="C37" s="3572" t="s">
        <v>141</v>
      </c>
      <c r="D37" s="3573"/>
      <c r="E37" s="3573"/>
      <c r="F37" s="3567">
        <f>SUM(D37:E37)</f>
        <v>0</v>
      </c>
      <c r="H37" s="3535"/>
      <c r="I37" s="3568" t="str">
        <f t="shared" si="1"/>
        <v>Measure 24</v>
      </c>
      <c r="J37" s="3569"/>
      <c r="K37" s="3570"/>
      <c r="L37" s="242">
        <f t="shared" si="2"/>
        <v>0</v>
      </c>
      <c r="M37" s="3574">
        <v>0</v>
      </c>
      <c r="N37" s="3574">
        <v>0</v>
      </c>
      <c r="O37" s="3564">
        <f t="shared" si="3"/>
        <v>0</v>
      </c>
      <c r="P37" s="4135">
        <f t="shared" si="5"/>
        <v>0</v>
      </c>
      <c r="Q37" s="4135">
        <f t="shared" si="5"/>
        <v>0</v>
      </c>
      <c r="R37" s="4136">
        <f t="shared" si="5"/>
        <v>0</v>
      </c>
      <c r="T37" s="4891"/>
    </row>
    <row r="38" spans="2:20" ht="13.5" thickBot="1">
      <c r="B38" s="3571"/>
      <c r="C38" s="3572" t="s">
        <v>142</v>
      </c>
      <c r="D38" s="3573"/>
      <c r="E38" s="3573"/>
      <c r="F38" s="3567">
        <f>SUM(D38:E38)</f>
        <v>0</v>
      </c>
      <c r="H38" s="3535"/>
      <c r="I38" s="3568" t="str">
        <f t="shared" si="1"/>
        <v>Measure 25</v>
      </c>
      <c r="J38" s="3569"/>
      <c r="K38" s="3570"/>
      <c r="L38" s="242">
        <f t="shared" si="2"/>
        <v>0</v>
      </c>
      <c r="M38" s="3574">
        <v>0</v>
      </c>
      <c r="N38" s="3574">
        <v>0</v>
      </c>
      <c r="O38" s="3564">
        <f t="shared" si="3"/>
        <v>0</v>
      </c>
      <c r="P38" s="4135">
        <f t="shared" si="5"/>
        <v>0</v>
      </c>
      <c r="Q38" s="4135">
        <f t="shared" si="5"/>
        <v>0</v>
      </c>
      <c r="R38" s="4136">
        <f t="shared" si="5"/>
        <v>0</v>
      </c>
      <c r="T38" s="4891"/>
    </row>
    <row r="39" spans="2:20" ht="13.5" thickBot="1">
      <c r="B39" s="3578">
        <v>66000</v>
      </c>
      <c r="C39" s="3561" t="s">
        <v>147</v>
      </c>
      <c r="D39" s="3562">
        <f>SUM(D40:D43)</f>
        <v>0</v>
      </c>
      <c r="E39" s="3562">
        <f>SUM(E40:E43)</f>
        <v>0</v>
      </c>
      <c r="F39" s="3563">
        <f>D39+E39</f>
        <v>0</v>
      </c>
      <c r="H39" s="3535"/>
      <c r="I39" s="3568" t="str">
        <f t="shared" si="1"/>
        <v>Measure 26</v>
      </c>
      <c r="J39" s="3569"/>
      <c r="K39" s="3576"/>
      <c r="L39" s="242">
        <f t="shared" si="2"/>
        <v>0</v>
      </c>
      <c r="M39" s="3574">
        <v>0</v>
      </c>
      <c r="N39" s="3574">
        <v>0</v>
      </c>
      <c r="O39" s="3564">
        <f t="shared" si="3"/>
        <v>0</v>
      </c>
      <c r="P39" s="4135">
        <f t="shared" si="5"/>
        <v>0</v>
      </c>
      <c r="Q39" s="4135">
        <f t="shared" si="5"/>
        <v>0</v>
      </c>
      <c r="R39" s="4136">
        <f t="shared" si="5"/>
        <v>0</v>
      </c>
      <c r="T39" s="4891"/>
    </row>
    <row r="40" spans="2:20">
      <c r="B40" s="3571"/>
      <c r="C40" s="3572" t="s">
        <v>139</v>
      </c>
      <c r="D40" s="3573"/>
      <c r="E40" s="3573"/>
      <c r="F40" s="3567">
        <f>SUM(D40:E40)</f>
        <v>0</v>
      </c>
      <c r="H40" s="3535"/>
      <c r="I40" s="3568" t="str">
        <f t="shared" si="1"/>
        <v>Measure 27</v>
      </c>
      <c r="J40" s="3569"/>
      <c r="K40" s="3576"/>
      <c r="L40" s="242">
        <f t="shared" si="2"/>
        <v>0</v>
      </c>
      <c r="M40" s="3574">
        <v>0</v>
      </c>
      <c r="N40" s="3574">
        <v>0</v>
      </c>
      <c r="O40" s="3564">
        <f t="shared" si="3"/>
        <v>0</v>
      </c>
      <c r="P40" s="4135">
        <f t="shared" si="5"/>
        <v>0</v>
      </c>
      <c r="Q40" s="4135">
        <f t="shared" si="5"/>
        <v>0</v>
      </c>
      <c r="R40" s="4136">
        <f t="shared" si="5"/>
        <v>0</v>
      </c>
      <c r="T40" s="4891"/>
    </row>
    <row r="41" spans="2:20">
      <c r="B41" s="3571"/>
      <c r="C41" s="3572" t="s">
        <v>140</v>
      </c>
      <c r="D41" s="3573"/>
      <c r="E41" s="3573"/>
      <c r="F41" s="3567">
        <f>SUM(D41:E41)</f>
        <v>0</v>
      </c>
      <c r="H41" s="3535"/>
      <c r="I41" s="3568" t="str">
        <f t="shared" si="1"/>
        <v>Measure 28</v>
      </c>
      <c r="J41" s="3569"/>
      <c r="K41" s="3576"/>
      <c r="L41" s="242">
        <f t="shared" si="2"/>
        <v>0</v>
      </c>
      <c r="M41" s="3574">
        <v>0</v>
      </c>
      <c r="N41" s="3574">
        <v>0</v>
      </c>
      <c r="O41" s="3564">
        <f t="shared" si="3"/>
        <v>0</v>
      </c>
      <c r="P41" s="4135">
        <f t="shared" si="5"/>
        <v>0</v>
      </c>
      <c r="Q41" s="4135">
        <f t="shared" si="5"/>
        <v>0</v>
      </c>
      <c r="R41" s="4136">
        <f t="shared" si="5"/>
        <v>0</v>
      </c>
      <c r="T41" s="4891"/>
    </row>
    <row r="42" spans="2:20">
      <c r="B42" s="3571"/>
      <c r="C42" s="3572" t="s">
        <v>141</v>
      </c>
      <c r="D42" s="3573"/>
      <c r="E42" s="3573"/>
      <c r="F42" s="3567">
        <f>SUM(D42:E42)</f>
        <v>0</v>
      </c>
      <c r="H42" s="3535"/>
      <c r="I42" s="3568" t="str">
        <f t="shared" si="1"/>
        <v>Measure 29</v>
      </c>
      <c r="J42" s="3569"/>
      <c r="K42" s="3576"/>
      <c r="L42" s="242">
        <f t="shared" si="2"/>
        <v>0</v>
      </c>
      <c r="M42" s="3574">
        <v>0</v>
      </c>
      <c r="N42" s="3574">
        <v>0</v>
      </c>
      <c r="O42" s="3564">
        <f t="shared" si="3"/>
        <v>0</v>
      </c>
      <c r="P42" s="4135">
        <f t="shared" si="5"/>
        <v>0</v>
      </c>
      <c r="Q42" s="4135">
        <f t="shared" si="5"/>
        <v>0</v>
      </c>
      <c r="R42" s="4136">
        <f t="shared" si="5"/>
        <v>0</v>
      </c>
      <c r="T42" s="4891"/>
    </row>
    <row r="43" spans="2:20" ht="13.5" thickBot="1">
      <c r="B43" s="3571"/>
      <c r="C43" s="3572" t="s">
        <v>142</v>
      </c>
      <c r="D43" s="3573"/>
      <c r="E43" s="3573"/>
      <c r="F43" s="3567">
        <f>SUM(D43:E43)</f>
        <v>0</v>
      </c>
      <c r="H43" s="3535"/>
      <c r="I43" s="3568" t="str">
        <f t="shared" si="1"/>
        <v>Measure 30</v>
      </c>
      <c r="J43" s="3569"/>
      <c r="K43" s="3576"/>
      <c r="L43" s="242">
        <f t="shared" si="2"/>
        <v>0</v>
      </c>
      <c r="M43" s="3574">
        <v>0</v>
      </c>
      <c r="N43" s="3574">
        <v>0</v>
      </c>
      <c r="O43" s="3564">
        <f t="shared" si="3"/>
        <v>0</v>
      </c>
      <c r="P43" s="4135">
        <f t="shared" si="5"/>
        <v>0</v>
      </c>
      <c r="Q43" s="4135">
        <f t="shared" si="5"/>
        <v>0</v>
      </c>
      <c r="R43" s="4136">
        <f t="shared" si="5"/>
        <v>0</v>
      </c>
      <c r="T43" s="4891"/>
    </row>
    <row r="44" spans="2:20" ht="13.5" thickBot="1">
      <c r="B44" s="3578">
        <v>6000</v>
      </c>
      <c r="C44" s="3561" t="s">
        <v>148</v>
      </c>
      <c r="D44" s="3562">
        <f>SUM(D45:D48)</f>
        <v>0</v>
      </c>
      <c r="E44" s="3562">
        <f>SUM(E45:E48)</f>
        <v>0</v>
      </c>
      <c r="F44" s="3563">
        <f>D44+E44</f>
        <v>0</v>
      </c>
      <c r="H44" s="3535"/>
      <c r="I44" s="3568" t="str">
        <f t="shared" si="1"/>
        <v>Measure 31</v>
      </c>
      <c r="J44" s="3569"/>
      <c r="K44" s="3576"/>
      <c r="L44" s="242">
        <f t="shared" si="2"/>
        <v>0</v>
      </c>
      <c r="M44" s="3574">
        <v>0</v>
      </c>
      <c r="N44" s="3574">
        <v>0</v>
      </c>
      <c r="O44" s="3564">
        <f t="shared" si="3"/>
        <v>0</v>
      </c>
      <c r="P44" s="4135">
        <f t="shared" si="5"/>
        <v>0</v>
      </c>
      <c r="Q44" s="4135">
        <f t="shared" si="5"/>
        <v>0</v>
      </c>
      <c r="R44" s="4136">
        <f t="shared" si="5"/>
        <v>0</v>
      </c>
      <c r="T44" s="4891"/>
    </row>
    <row r="45" spans="2:20">
      <c r="B45" s="3571"/>
      <c r="C45" s="3572" t="s">
        <v>139</v>
      </c>
      <c r="D45" s="3573"/>
      <c r="E45" s="3573"/>
      <c r="F45" s="3567">
        <f>SUM(D45:E45)</f>
        <v>0</v>
      </c>
      <c r="H45" s="3535"/>
      <c r="I45" s="3568" t="str">
        <f t="shared" si="1"/>
        <v>Measure 32</v>
      </c>
      <c r="J45" s="3569"/>
      <c r="K45" s="3576"/>
      <c r="L45" s="242">
        <f t="shared" si="2"/>
        <v>0</v>
      </c>
      <c r="M45" s="3574">
        <v>0</v>
      </c>
      <c r="N45" s="3574">
        <v>0</v>
      </c>
      <c r="O45" s="3564">
        <f t="shared" si="3"/>
        <v>0</v>
      </c>
      <c r="P45" s="4135">
        <f t="shared" si="5"/>
        <v>0</v>
      </c>
      <c r="Q45" s="4135">
        <f t="shared" si="5"/>
        <v>0</v>
      </c>
      <c r="R45" s="4136">
        <f t="shared" si="5"/>
        <v>0</v>
      </c>
      <c r="T45" s="4891"/>
    </row>
    <row r="46" spans="2:20">
      <c r="B46" s="3571"/>
      <c r="C46" s="3572" t="s">
        <v>140</v>
      </c>
      <c r="D46" s="3573"/>
      <c r="E46" s="3573"/>
      <c r="F46" s="3567">
        <f>SUM(D46:E46)</f>
        <v>0</v>
      </c>
      <c r="H46" s="3535"/>
      <c r="I46" s="3568" t="str">
        <f t="shared" si="1"/>
        <v>Measure 33</v>
      </c>
      <c r="J46" s="3569"/>
      <c r="K46" s="3576"/>
      <c r="L46" s="242">
        <f t="shared" si="2"/>
        <v>0</v>
      </c>
      <c r="M46" s="3574">
        <v>0</v>
      </c>
      <c r="N46" s="3574">
        <v>0</v>
      </c>
      <c r="O46" s="3564">
        <f t="shared" si="3"/>
        <v>0</v>
      </c>
      <c r="P46" s="4135">
        <f t="shared" ref="P46:R55" si="6">M46*$D96</f>
        <v>0</v>
      </c>
      <c r="Q46" s="4135">
        <f t="shared" si="6"/>
        <v>0</v>
      </c>
      <c r="R46" s="4136">
        <f t="shared" si="6"/>
        <v>0</v>
      </c>
      <c r="T46" s="4891"/>
    </row>
    <row r="47" spans="2:20">
      <c r="B47" s="3571"/>
      <c r="C47" s="3572" t="s">
        <v>141</v>
      </c>
      <c r="D47" s="3573"/>
      <c r="E47" s="3573"/>
      <c r="F47" s="3567">
        <f>SUM(D47:E47)</f>
        <v>0</v>
      </c>
      <c r="H47" s="3535"/>
      <c r="I47" s="3568" t="str">
        <f t="shared" si="1"/>
        <v>Measure 34</v>
      </c>
      <c r="J47" s="3569"/>
      <c r="K47" s="3576"/>
      <c r="L47" s="242">
        <f t="shared" si="2"/>
        <v>0</v>
      </c>
      <c r="M47" s="3574">
        <v>0</v>
      </c>
      <c r="N47" s="3574">
        <v>0</v>
      </c>
      <c r="O47" s="3564">
        <f t="shared" si="3"/>
        <v>0</v>
      </c>
      <c r="P47" s="4135">
        <f t="shared" si="6"/>
        <v>0</v>
      </c>
      <c r="Q47" s="4135">
        <f t="shared" si="6"/>
        <v>0</v>
      </c>
      <c r="R47" s="4136">
        <f t="shared" si="6"/>
        <v>0</v>
      </c>
      <c r="T47" s="4891"/>
    </row>
    <row r="48" spans="2:20" ht="13.5" thickBot="1">
      <c r="B48" s="3571"/>
      <c r="C48" s="3572" t="s">
        <v>142</v>
      </c>
      <c r="D48" s="3573"/>
      <c r="E48" s="3573"/>
      <c r="F48" s="3567">
        <f>SUM(D48:E48)</f>
        <v>0</v>
      </c>
      <c r="H48" s="3535"/>
      <c r="I48" s="3568" t="str">
        <f t="shared" si="1"/>
        <v>Measure 35</v>
      </c>
      <c r="J48" s="3569"/>
      <c r="K48" s="3576"/>
      <c r="L48" s="242">
        <f t="shared" si="2"/>
        <v>0</v>
      </c>
      <c r="M48" s="3574">
        <v>0</v>
      </c>
      <c r="N48" s="3574">
        <v>0</v>
      </c>
      <c r="O48" s="3564">
        <f t="shared" si="3"/>
        <v>0</v>
      </c>
      <c r="P48" s="4135">
        <f t="shared" si="6"/>
        <v>0</v>
      </c>
      <c r="Q48" s="4135">
        <f t="shared" si="6"/>
        <v>0</v>
      </c>
      <c r="R48" s="4136">
        <f t="shared" si="6"/>
        <v>0</v>
      </c>
      <c r="T48" s="4891"/>
    </row>
    <row r="49" spans="2:27" ht="13.5" thickBot="1">
      <c r="B49" s="3578">
        <v>24000</v>
      </c>
      <c r="C49" s="3561" t="s">
        <v>149</v>
      </c>
      <c r="D49" s="3562">
        <f>SUM(D50:D53)</f>
        <v>0</v>
      </c>
      <c r="E49" s="3562">
        <f>SUM(E50:E53)</f>
        <v>0</v>
      </c>
      <c r="F49" s="3563">
        <f>D49+E49</f>
        <v>0</v>
      </c>
      <c r="H49" s="3535"/>
      <c r="I49" s="3568" t="str">
        <f t="shared" si="1"/>
        <v>Measure 36</v>
      </c>
      <c r="J49" s="3569"/>
      <c r="K49" s="3576"/>
      <c r="L49" s="242">
        <f t="shared" si="2"/>
        <v>0</v>
      </c>
      <c r="M49" s="3574">
        <v>0</v>
      </c>
      <c r="N49" s="3574">
        <v>0</v>
      </c>
      <c r="O49" s="3564">
        <f t="shared" si="3"/>
        <v>0</v>
      </c>
      <c r="P49" s="4135">
        <f t="shared" si="6"/>
        <v>0</v>
      </c>
      <c r="Q49" s="4135">
        <f t="shared" si="6"/>
        <v>0</v>
      </c>
      <c r="R49" s="4136">
        <f t="shared" si="6"/>
        <v>0</v>
      </c>
      <c r="T49" s="4891"/>
    </row>
    <row r="50" spans="2:27">
      <c r="B50" s="3571"/>
      <c r="C50" s="3572" t="s">
        <v>139</v>
      </c>
      <c r="D50" s="3573"/>
      <c r="E50" s="3573"/>
      <c r="F50" s="3567">
        <f>SUM(D50:E50)</f>
        <v>0</v>
      </c>
      <c r="H50" s="3535"/>
      <c r="I50" s="3568" t="str">
        <f t="shared" si="1"/>
        <v>Measure 37</v>
      </c>
      <c r="J50" s="3569"/>
      <c r="K50" s="3576"/>
      <c r="L50" s="242">
        <f t="shared" si="2"/>
        <v>0</v>
      </c>
      <c r="M50" s="3574">
        <v>0</v>
      </c>
      <c r="N50" s="3574">
        <v>0</v>
      </c>
      <c r="O50" s="3564">
        <f t="shared" si="3"/>
        <v>0</v>
      </c>
      <c r="P50" s="4135">
        <f t="shared" si="6"/>
        <v>0</v>
      </c>
      <c r="Q50" s="4135">
        <f t="shared" si="6"/>
        <v>0</v>
      </c>
      <c r="R50" s="4136">
        <f t="shared" si="6"/>
        <v>0</v>
      </c>
      <c r="T50" s="4891"/>
    </row>
    <row r="51" spans="2:27">
      <c r="B51" s="3571"/>
      <c r="C51" s="3572" t="s">
        <v>140</v>
      </c>
      <c r="D51" s="3573"/>
      <c r="E51" s="3573"/>
      <c r="F51" s="3567">
        <f>SUM(D51:E51)</f>
        <v>0</v>
      </c>
      <c r="I51" s="3568" t="str">
        <f t="shared" si="1"/>
        <v>Measure 38</v>
      </c>
      <c r="J51" s="3569"/>
      <c r="K51" s="3570"/>
      <c r="L51" s="242">
        <f t="shared" si="2"/>
        <v>0</v>
      </c>
      <c r="M51" s="3574">
        <v>0</v>
      </c>
      <c r="N51" s="3574">
        <v>0</v>
      </c>
      <c r="O51" s="3564">
        <f t="shared" si="3"/>
        <v>0</v>
      </c>
      <c r="P51" s="4135">
        <f t="shared" si="6"/>
        <v>0</v>
      </c>
      <c r="Q51" s="4135">
        <f t="shared" si="6"/>
        <v>0</v>
      </c>
      <c r="R51" s="4136">
        <f t="shared" si="6"/>
        <v>0</v>
      </c>
      <c r="T51" s="4891"/>
    </row>
    <row r="52" spans="2:27">
      <c r="B52" s="3571"/>
      <c r="C52" s="3572" t="s">
        <v>141</v>
      </c>
      <c r="D52" s="3573"/>
      <c r="E52" s="3573"/>
      <c r="F52" s="3567">
        <f>SUM(D52:E52)</f>
        <v>0</v>
      </c>
      <c r="I52" s="3568" t="str">
        <f t="shared" si="1"/>
        <v>Measure 39</v>
      </c>
      <c r="J52" s="3569"/>
      <c r="K52" s="3570"/>
      <c r="L52" s="242">
        <f t="shared" si="2"/>
        <v>0</v>
      </c>
      <c r="M52" s="3574">
        <v>0</v>
      </c>
      <c r="N52" s="3574">
        <v>0</v>
      </c>
      <c r="O52" s="3564">
        <f t="shared" si="3"/>
        <v>0</v>
      </c>
      <c r="P52" s="4135">
        <f t="shared" si="6"/>
        <v>0</v>
      </c>
      <c r="Q52" s="4135">
        <f t="shared" si="6"/>
        <v>0</v>
      </c>
      <c r="R52" s="4136">
        <f t="shared" si="6"/>
        <v>0</v>
      </c>
      <c r="T52" s="4891"/>
    </row>
    <row r="53" spans="2:27" ht="13.5" thickBot="1">
      <c r="B53" s="3571"/>
      <c r="C53" s="3572" t="s">
        <v>142</v>
      </c>
      <c r="D53" s="3573"/>
      <c r="E53" s="3573"/>
      <c r="F53" s="3567">
        <f>SUM(D53:E53)</f>
        <v>0</v>
      </c>
      <c r="I53" s="3568" t="str">
        <f t="shared" si="1"/>
        <v>Measure 40</v>
      </c>
      <c r="J53" s="3569"/>
      <c r="K53" s="3570"/>
      <c r="L53" s="242">
        <f t="shared" si="2"/>
        <v>0</v>
      </c>
      <c r="M53" s="3574">
        <v>0</v>
      </c>
      <c r="N53" s="3574">
        <v>0</v>
      </c>
      <c r="O53" s="3564">
        <f t="shared" si="3"/>
        <v>0</v>
      </c>
      <c r="P53" s="4135">
        <f t="shared" si="6"/>
        <v>0</v>
      </c>
      <c r="Q53" s="4135">
        <f t="shared" si="6"/>
        <v>0</v>
      </c>
      <c r="R53" s="4136">
        <f t="shared" si="6"/>
        <v>0</v>
      </c>
      <c r="T53" s="4891"/>
    </row>
    <row r="54" spans="2:27" ht="13.5" thickBot="1">
      <c r="B54" s="3578">
        <v>1592000</v>
      </c>
      <c r="C54" s="3561" t="s">
        <v>150</v>
      </c>
      <c r="D54" s="3562">
        <f>T106</f>
        <v>0</v>
      </c>
      <c r="E54" s="3562">
        <f>U106</f>
        <v>741140.27802919003</v>
      </c>
      <c r="F54" s="3563">
        <f>V106</f>
        <v>741140.27802919003</v>
      </c>
      <c r="G54" s="3577" t="s">
        <v>151</v>
      </c>
      <c r="I54" s="3568" t="str">
        <f t="shared" si="1"/>
        <v>Measure 41</v>
      </c>
      <c r="J54" s="3569"/>
      <c r="K54" s="3570"/>
      <c r="L54" s="242">
        <f t="shared" si="2"/>
        <v>0</v>
      </c>
      <c r="M54" s="3574">
        <v>0</v>
      </c>
      <c r="N54" s="3574">
        <v>0</v>
      </c>
      <c r="O54" s="3564">
        <f t="shared" si="3"/>
        <v>0</v>
      </c>
      <c r="P54" s="4135">
        <f t="shared" si="6"/>
        <v>0</v>
      </c>
      <c r="Q54" s="4135">
        <f t="shared" si="6"/>
        <v>0</v>
      </c>
      <c r="R54" s="4136">
        <f t="shared" si="6"/>
        <v>0</v>
      </c>
      <c r="T54" s="4891"/>
    </row>
    <row r="55" spans="2:27" ht="13.5" thickBot="1">
      <c r="B55" s="3578">
        <v>0</v>
      </c>
      <c r="C55" s="3561" t="s">
        <v>152</v>
      </c>
      <c r="D55" s="3562">
        <v>0</v>
      </c>
      <c r="E55" s="3562">
        <v>0</v>
      </c>
      <c r="F55" s="3563">
        <v>0</v>
      </c>
      <c r="I55" s="3568" t="str">
        <f t="shared" si="1"/>
        <v>Measure 42</v>
      </c>
      <c r="J55" s="3569"/>
      <c r="K55" s="3570"/>
      <c r="L55" s="242">
        <f t="shared" si="2"/>
        <v>0</v>
      </c>
      <c r="M55" s="3574">
        <v>0</v>
      </c>
      <c r="N55" s="3574">
        <v>0</v>
      </c>
      <c r="O55" s="3564">
        <f t="shared" si="3"/>
        <v>0</v>
      </c>
      <c r="P55" s="4135">
        <f t="shared" si="6"/>
        <v>0</v>
      </c>
      <c r="Q55" s="4135">
        <f t="shared" si="6"/>
        <v>0</v>
      </c>
      <c r="R55" s="4136">
        <f t="shared" si="6"/>
        <v>0</v>
      </c>
      <c r="T55" s="4891"/>
    </row>
    <row r="56" spans="2:27">
      <c r="B56" s="3579">
        <f>B14+B19+B24+B29+B34+B39+B44+B49+B54+B55</f>
        <v>2061441</v>
      </c>
      <c r="C56" s="3580" t="s">
        <v>153</v>
      </c>
      <c r="D56" s="3579">
        <f>D14+D19+D24+D29+D34+D39+D44+D49+D54+D55</f>
        <v>0</v>
      </c>
      <c r="E56" s="3579">
        <f>E14+E19+E24+E29+E34+E39+E44+E49+E54+E55</f>
        <v>741166.84802918998</v>
      </c>
      <c r="F56" s="3579">
        <f>F14+F19+F24+F29+F34+F39+F44+F49+F54+F55</f>
        <v>741166.84802918998</v>
      </c>
      <c r="P56" s="265">
        <f>SUM(P14:P55)</f>
        <v>0</v>
      </c>
      <c r="Q56" s="265">
        <f>SUM(Q14:Q55)</f>
        <v>2845321.04</v>
      </c>
      <c r="R56" s="265">
        <f>SUM(R14:R55)</f>
        <v>2845321.04</v>
      </c>
      <c r="T56" s="4892"/>
    </row>
    <row r="57" spans="2:27">
      <c r="C57" s="3580"/>
      <c r="D57" s="3579"/>
      <c r="E57" s="3579"/>
      <c r="F57" s="3579"/>
    </row>
    <row r="58" spans="2:27">
      <c r="C58" s="3580" t="s">
        <v>154</v>
      </c>
      <c r="D58" s="3579">
        <f>D56-D54</f>
        <v>0</v>
      </c>
      <c r="E58" s="3579">
        <f>E56-E54</f>
        <v>26.569999999948777</v>
      </c>
      <c r="F58" s="3579">
        <f>F56-F54</f>
        <v>26.569999999948777</v>
      </c>
    </row>
    <row r="59" spans="2:27">
      <c r="C59" s="3580" t="s">
        <v>155</v>
      </c>
      <c r="D59" s="3581">
        <f>D54</f>
        <v>0</v>
      </c>
      <c r="E59" s="3581">
        <f>E54</f>
        <v>741140.27802919003</v>
      </c>
      <c r="F59" s="3581">
        <f>F54</f>
        <v>741140.27802919003</v>
      </c>
      <c r="G59" s="3634">
        <f>F59/(F58+F59)</f>
        <v>0.99996415112188219</v>
      </c>
      <c r="H59" s="3582" t="s">
        <v>156</v>
      </c>
    </row>
    <row r="60" spans="2:27" ht="13.5" thickBot="1"/>
    <row r="61" spans="2:27" ht="16.5" thickBot="1">
      <c r="B61" s="3583" t="s">
        <v>157</v>
      </c>
      <c r="C61" s="3584"/>
      <c r="D61" s="5130" t="s">
        <v>158</v>
      </c>
      <c r="E61" s="5131"/>
      <c r="F61" s="5131"/>
      <c r="G61" s="5131"/>
      <c r="H61" s="5131"/>
      <c r="K61" s="3585"/>
    </row>
    <row r="62" spans="2:27" ht="16.5" thickBot="1">
      <c r="B62" s="5124" t="s">
        <v>159</v>
      </c>
      <c r="C62" s="5125"/>
      <c r="D62" s="5125"/>
      <c r="E62" s="5125"/>
      <c r="F62" s="5125"/>
      <c r="G62" s="5125"/>
      <c r="H62" s="5125"/>
      <c r="I62" s="5125"/>
      <c r="J62" s="5125"/>
      <c r="K62" s="5126"/>
      <c r="L62" s="5124" t="s">
        <v>160</v>
      </c>
      <c r="M62" s="5125"/>
      <c r="N62" s="5125"/>
      <c r="O62" s="5125"/>
      <c r="P62" s="5125"/>
      <c r="Q62" s="5125"/>
      <c r="R62" s="5126"/>
      <c r="S62" s="5124" t="s">
        <v>161</v>
      </c>
      <c r="T62" s="5125"/>
      <c r="U62" s="5126"/>
      <c r="V62" s="5124" t="s">
        <v>110</v>
      </c>
      <c r="W62" s="5125"/>
      <c r="X62" s="5126"/>
    </row>
    <row r="63" spans="2:27" ht="13.5" thickBot="1">
      <c r="B63" s="3586" t="s">
        <v>162</v>
      </c>
      <c r="C63" s="3587" t="s">
        <v>129</v>
      </c>
      <c r="D63" s="3587" t="s">
        <v>130</v>
      </c>
      <c r="E63" s="3587" t="s">
        <v>163</v>
      </c>
      <c r="F63" s="3587" t="s">
        <v>164</v>
      </c>
      <c r="G63" s="3587" t="s">
        <v>165</v>
      </c>
      <c r="H63" s="3587" t="s">
        <v>166</v>
      </c>
      <c r="I63" s="3587" t="s">
        <v>167</v>
      </c>
      <c r="J63" s="3587" t="s">
        <v>168</v>
      </c>
      <c r="K63" s="3588" t="s">
        <v>169</v>
      </c>
      <c r="L63" s="4441" t="s">
        <v>1211</v>
      </c>
      <c r="M63" s="3589" t="s">
        <v>170</v>
      </c>
      <c r="N63" s="3590" t="s">
        <v>171</v>
      </c>
      <c r="O63" s="3590" t="s">
        <v>172</v>
      </c>
      <c r="P63" s="3590" t="s">
        <v>173</v>
      </c>
      <c r="Q63" s="3591" t="s">
        <v>174</v>
      </c>
      <c r="R63" s="3591" t="s">
        <v>175</v>
      </c>
      <c r="S63" s="3591" t="s">
        <v>176</v>
      </c>
      <c r="T63" s="3542" t="s">
        <v>177</v>
      </c>
      <c r="U63" s="3542" t="s">
        <v>178</v>
      </c>
      <c r="V63" s="3543" t="s">
        <v>179</v>
      </c>
      <c r="W63" s="3542" t="s">
        <v>115</v>
      </c>
      <c r="X63" s="3542" t="s">
        <v>12</v>
      </c>
      <c r="Y63" s="3543" t="s">
        <v>116</v>
      </c>
    </row>
    <row r="64" spans="2:27">
      <c r="B64" s="3593"/>
      <c r="C64" s="4458" t="s">
        <v>1236</v>
      </c>
      <c r="D64" s="4458">
        <v>600</v>
      </c>
      <c r="E64" s="4458" t="s">
        <v>181</v>
      </c>
      <c r="F64" s="4458" t="s">
        <v>186</v>
      </c>
      <c r="G64" s="4466">
        <v>222.79000000000002</v>
      </c>
      <c r="H64" s="4466">
        <v>222.79000000000002</v>
      </c>
      <c r="I64" s="4495">
        <v>0.17679973293980211</v>
      </c>
      <c r="J64" s="4439">
        <v>20</v>
      </c>
      <c r="K64" s="4439" t="s">
        <v>260</v>
      </c>
      <c r="L64" s="4442"/>
      <c r="M64" s="278">
        <f t="shared" ref="M64:M106" si="7">Q64/O64</f>
        <v>5.4316552239919238</v>
      </c>
      <c r="N64" s="278">
        <f t="shared" ref="N64:N106" si="8">((L64/S64)+R64)/P64</f>
        <v>5.9748207463911163</v>
      </c>
      <c r="O64" s="3548">
        <f t="shared" ref="O64:O105" si="9">(($I64*$F$58)+$V64)/$S64</f>
        <v>172799.5276308087</v>
      </c>
      <c r="P64" s="3548">
        <f t="shared" ref="P64:P105" si="10">(($I64*$F$58)+($G64*$O14))/$S64</f>
        <v>172799.5276308087</v>
      </c>
      <c r="Q64" s="3548">
        <f>IF(K64=0, 0, (HLOOKUP(K64,'[4]E-CESTDWO'!$A$5:$O$35,J64+1,FALSE)*R14))</f>
        <v>938587.45695921883</v>
      </c>
      <c r="R64" s="3548">
        <f>IF(K64=0, 0, (HLOOKUP(K64,'[4]E-CESTD'!$A$5:$O$35,J64+1,FALSE)*R14))</f>
        <v>1032446.2026551408</v>
      </c>
      <c r="S64" s="3592">
        <v>1.081</v>
      </c>
      <c r="T64" s="4150">
        <f t="shared" ref="T64:V105" si="11">M14*$H64</f>
        <v>0</v>
      </c>
      <c r="U64" s="4150">
        <f t="shared" si="11"/>
        <v>186791.59179999999</v>
      </c>
      <c r="V64" s="4150">
        <f t="shared" si="11"/>
        <v>186791.59179999999</v>
      </c>
      <c r="W64" s="3635">
        <f t="shared" ref="W64:W82" si="12">V64/(V64+(I64*F$58))</f>
        <v>0.99997485191531332</v>
      </c>
      <c r="X64" s="3635">
        <f t="shared" ref="X64:X82" si="13">(I64*((F$19*1.63)+F$29))/(V64+(I64*F$58))</f>
        <v>0</v>
      </c>
      <c r="Y64" s="3635">
        <f t="shared" ref="Y64:Y82" si="14">(I64*F$39)/(V64+(I64*F$58))</f>
        <v>0</v>
      </c>
      <c r="AA64" s="3597">
        <f t="shared" ref="AA64:AA71" si="15">I64*F$58</f>
        <v>4.6975689042014857</v>
      </c>
    </row>
    <row r="65" spans="2:27">
      <c r="B65" s="3593"/>
      <c r="C65" s="4458" t="s">
        <v>1237</v>
      </c>
      <c r="D65" s="4458">
        <v>800</v>
      </c>
      <c r="E65" s="4458" t="s">
        <v>181</v>
      </c>
      <c r="F65" s="4458" t="s">
        <v>186</v>
      </c>
      <c r="G65" s="4466">
        <v>222.79000000000002</v>
      </c>
      <c r="H65" s="4466">
        <v>222.79000000000002</v>
      </c>
      <c r="I65" s="4495">
        <v>0.20387716951616819</v>
      </c>
      <c r="J65" s="4439">
        <v>20</v>
      </c>
      <c r="K65" s="4439" t="s">
        <v>260</v>
      </c>
      <c r="L65" s="4442"/>
      <c r="M65" s="278">
        <f t="shared" si="7"/>
        <v>7.2421462566201082</v>
      </c>
      <c r="N65" s="278">
        <f t="shared" si="8"/>
        <v>7.9663608822821175</v>
      </c>
      <c r="O65" s="3548">
        <f t="shared" si="9"/>
        <v>149449.49289213138</v>
      </c>
      <c r="P65" s="3548">
        <f t="shared" si="10"/>
        <v>149449.49289213138</v>
      </c>
      <c r="Q65" s="3548">
        <f>IF(K65=0, 0, (HLOOKUP(K65,'[4]E-CESTDWO'!$A$5:$O$35,J65+1,FALSE)*R15))</f>
        <v>1082335.0855025228</v>
      </c>
      <c r="R65" s="3548">
        <f>IF(K65=0, 0, (HLOOKUP(K65,'[4]E-CESTD'!$A$5:$O$35,J65+1,FALSE)*R15))</f>
        <v>1190568.5940527748</v>
      </c>
      <c r="S65" s="3592">
        <v>1.081</v>
      </c>
      <c r="T65" s="4150">
        <f t="shared" si="11"/>
        <v>0</v>
      </c>
      <c r="U65" s="4150">
        <f t="shared" si="11"/>
        <v>161549.48480000001</v>
      </c>
      <c r="V65" s="4150">
        <f t="shared" si="11"/>
        <v>161549.48480000001</v>
      </c>
      <c r="W65" s="3635">
        <f t="shared" si="12"/>
        <v>0.99996646950149382</v>
      </c>
      <c r="X65" s="3635">
        <f t="shared" si="13"/>
        <v>0</v>
      </c>
      <c r="Y65" s="3635">
        <f t="shared" si="14"/>
        <v>0</v>
      </c>
      <c r="AA65" s="3597">
        <f t="shared" si="15"/>
        <v>5.417016394034146</v>
      </c>
    </row>
    <row r="66" spans="2:27">
      <c r="B66" s="3593"/>
      <c r="C66" s="4458" t="s">
        <v>1238</v>
      </c>
      <c r="D66" s="4458">
        <v>1000</v>
      </c>
      <c r="E66" s="4458" t="s">
        <v>181</v>
      </c>
      <c r="F66" s="4458" t="s">
        <v>186</v>
      </c>
      <c r="G66" s="4466">
        <v>222.79000000000002</v>
      </c>
      <c r="H66" s="4466">
        <v>222.79000000000002</v>
      </c>
      <c r="I66" s="4495">
        <v>0.24688250996098493</v>
      </c>
      <c r="J66" s="4439">
        <v>20</v>
      </c>
      <c r="K66" s="4439" t="s">
        <v>260</v>
      </c>
      <c r="L66" s="4442"/>
      <c r="M66" s="278">
        <f t="shared" si="7"/>
        <v>9.052606936169294</v>
      </c>
      <c r="N66" s="278">
        <f t="shared" si="8"/>
        <v>9.9578676297862234</v>
      </c>
      <c r="O66" s="3548">
        <f t="shared" si="9"/>
        <v>144780.40986890811</v>
      </c>
      <c r="P66" s="3548">
        <f t="shared" si="10"/>
        <v>144780.40986890811</v>
      </c>
      <c r="Q66" s="3548">
        <f>IF(K66=0, 0, (HLOOKUP(K66,'[4]E-CESTDWO'!$A$5:$O$35,J66+1,FALSE)*R16))</f>
        <v>1310640.142600711</v>
      </c>
      <c r="R66" s="3548">
        <f>IF(K66=0, 0, (HLOOKUP(K66,'[4]E-CESTD'!$A$5:$O$35,J66+1,FALSE)*R16))</f>
        <v>1441704.1568607821</v>
      </c>
      <c r="S66" s="3592">
        <v>1.081</v>
      </c>
      <c r="T66" s="4150">
        <f t="shared" si="11"/>
        <v>0</v>
      </c>
      <c r="U66" s="4150">
        <f t="shared" si="11"/>
        <v>156501.06340000001</v>
      </c>
      <c r="V66" s="4150">
        <f t="shared" si="11"/>
        <v>156501.06340000001</v>
      </c>
      <c r="W66" s="3635">
        <f t="shared" si="12"/>
        <v>0.99995808722820623</v>
      </c>
      <c r="X66" s="3635">
        <f t="shared" si="13"/>
        <v>0</v>
      </c>
      <c r="Y66" s="3635">
        <f t="shared" si="14"/>
        <v>0</v>
      </c>
      <c r="AA66" s="3597">
        <f t="shared" si="15"/>
        <v>6.5596682896507232</v>
      </c>
    </row>
    <row r="67" spans="2:27">
      <c r="B67" s="3593"/>
      <c r="C67" s="4458" t="s">
        <v>1239</v>
      </c>
      <c r="D67" s="4458">
        <v>260</v>
      </c>
      <c r="E67" s="4458" t="s">
        <v>181</v>
      </c>
      <c r="F67" s="4458" t="s">
        <v>186</v>
      </c>
      <c r="G67" s="4466">
        <v>35.75</v>
      </c>
      <c r="H67" s="4466">
        <v>35.75</v>
      </c>
      <c r="I67" s="4495">
        <v>0.17476096124464041</v>
      </c>
      <c r="J67" s="4439">
        <v>10</v>
      </c>
      <c r="K67" s="4439" t="s">
        <v>233</v>
      </c>
      <c r="L67" s="4442">
        <v>316314.55</v>
      </c>
      <c r="M67" s="278">
        <f t="shared" si="7"/>
        <v>5.5206218733187464</v>
      </c>
      <c r="N67" s="278">
        <f t="shared" si="8"/>
        <v>10.698744232781628</v>
      </c>
      <c r="O67" s="3548">
        <f t="shared" si="9"/>
        <v>63253.155780518275</v>
      </c>
      <c r="P67" s="3548">
        <f t="shared" si="10"/>
        <v>63253.155780518275</v>
      </c>
      <c r="Q67" s="3548">
        <f>IF(K67=0, 0, (HLOOKUP(K67,'[4]E-CESTDWO'!$A$5:$O$35,J67+1,FALSE)*R17))</f>
        <v>349196.75535836729</v>
      </c>
      <c r="R67" s="3548">
        <f>IF(K67=0, 0, (HLOOKUP(K67,'[4]E-CESTD'!$A$5:$O$35,J67+1,FALSE)*R17))</f>
        <v>384116.43089420401</v>
      </c>
      <c r="S67" s="3592">
        <v>1.081</v>
      </c>
      <c r="T67" s="4150">
        <f t="shared" si="11"/>
        <v>0</v>
      </c>
      <c r="U67" s="4150">
        <f t="shared" si="11"/>
        <v>68372.017999999996</v>
      </c>
      <c r="V67" s="4150">
        <f t="shared" si="11"/>
        <v>68372.017999999996</v>
      </c>
      <c r="W67" s="3635">
        <f t="shared" si="12"/>
        <v>0.99993209088239654</v>
      </c>
      <c r="X67" s="3635">
        <f t="shared" si="13"/>
        <v>0</v>
      </c>
      <c r="Y67" s="3635">
        <f t="shared" si="14"/>
        <v>0</v>
      </c>
      <c r="AA67" s="3597">
        <f t="shared" si="15"/>
        <v>4.6433987402611443</v>
      </c>
    </row>
    <row r="68" spans="2:27">
      <c r="B68" s="3593"/>
      <c r="C68" s="4458" t="s">
        <v>1240</v>
      </c>
      <c r="D68" s="4458">
        <v>23</v>
      </c>
      <c r="E68" s="4458" t="s">
        <v>181</v>
      </c>
      <c r="F68" s="4458" t="s">
        <v>186</v>
      </c>
      <c r="G68" s="4466">
        <v>3.16</v>
      </c>
      <c r="H68" s="4466">
        <v>3.16</v>
      </c>
      <c r="I68" s="4495">
        <v>0.16485380503846414</v>
      </c>
      <c r="J68" s="4439">
        <v>5</v>
      </c>
      <c r="K68" s="4439" t="s">
        <v>183</v>
      </c>
      <c r="L68" s="4442"/>
      <c r="M68" s="278">
        <f t="shared" si="7"/>
        <v>3.1881226222787697</v>
      </c>
      <c r="N68" s="278">
        <f t="shared" si="8"/>
        <v>3.5069348845066464</v>
      </c>
      <c r="O68" s="3548">
        <f t="shared" si="9"/>
        <v>59620.185167067408</v>
      </c>
      <c r="P68" s="3548">
        <f t="shared" si="10"/>
        <v>59620.185167067408</v>
      </c>
      <c r="Q68" s="3548">
        <f>IF(K68=0, 0, (HLOOKUP(K68,'[4]E-CESTDWO'!$A$5:$O$35,J68+1,FALSE)*R18))</f>
        <v>190076.46107557675</v>
      </c>
      <c r="R68" s="3548">
        <f>IF(K68=0, 0, (HLOOKUP(K68,'[4]E-CESTD'!$A$5:$O$35,J68+1,FALSE)*R18))</f>
        <v>209084.10718313442</v>
      </c>
      <c r="S68" s="3592">
        <v>1.081</v>
      </c>
      <c r="T68" s="4150">
        <f t="shared" si="11"/>
        <v>0</v>
      </c>
      <c r="U68" s="4150">
        <f t="shared" si="11"/>
        <v>64445.04</v>
      </c>
      <c r="V68" s="4150">
        <f t="shared" si="11"/>
        <v>64445.04</v>
      </c>
      <c r="W68" s="3635">
        <f t="shared" si="12"/>
        <v>0.99993203716048018</v>
      </c>
      <c r="X68" s="3635">
        <f t="shared" si="13"/>
        <v>0</v>
      </c>
      <c r="Y68" s="3635">
        <f t="shared" si="14"/>
        <v>0</v>
      </c>
      <c r="AA68" s="3597">
        <f t="shared" si="15"/>
        <v>4.380165599863548</v>
      </c>
    </row>
    <row r="69" spans="2:27">
      <c r="B69" s="3593"/>
      <c r="C69" s="4458" t="s">
        <v>1241</v>
      </c>
      <c r="D69" s="4458">
        <v>0</v>
      </c>
      <c r="E69" s="4458" t="s">
        <v>181</v>
      </c>
      <c r="F69" s="4458" t="s">
        <v>186</v>
      </c>
      <c r="G69" s="4496">
        <v>20</v>
      </c>
      <c r="H69" s="4466">
        <v>20</v>
      </c>
      <c r="I69" s="4495">
        <v>0</v>
      </c>
      <c r="J69" s="4439">
        <v>1</v>
      </c>
      <c r="K69" s="4439" t="s">
        <v>260</v>
      </c>
      <c r="L69" s="4442">
        <v>90640</v>
      </c>
      <c r="M69" s="278">
        <f t="shared" si="7"/>
        <v>0</v>
      </c>
      <c r="N69" s="278">
        <f t="shared" si="8"/>
        <v>1</v>
      </c>
      <c r="O69" s="3548">
        <f t="shared" si="9"/>
        <v>83848.288621646629</v>
      </c>
      <c r="P69" s="3548">
        <f t="shared" si="10"/>
        <v>83848.288621646629</v>
      </c>
      <c r="Q69" s="3548">
        <f>IF(K69=0, 0, (HLOOKUP(K69,'[4]E-CESTDWO'!$A$5:$O$35,J69+1,FALSE)*R19))</f>
        <v>0</v>
      </c>
      <c r="R69" s="3548">
        <f>IF(K69=0, 0, (HLOOKUP(K69,'[4]E-CESTD'!$A$5:$O$35,J69+1,FALSE)*R19))</f>
        <v>0</v>
      </c>
      <c r="S69" s="3592">
        <v>1.081</v>
      </c>
      <c r="T69" s="4150">
        <f t="shared" si="11"/>
        <v>0</v>
      </c>
      <c r="U69" s="4150">
        <f t="shared" si="11"/>
        <v>90640</v>
      </c>
      <c r="V69" s="4150">
        <f t="shared" si="11"/>
        <v>90640</v>
      </c>
      <c r="W69" s="3635">
        <f t="shared" si="12"/>
        <v>1</v>
      </c>
      <c r="X69" s="3635">
        <f t="shared" si="13"/>
        <v>0</v>
      </c>
      <c r="Y69" s="3635">
        <f t="shared" si="14"/>
        <v>0</v>
      </c>
      <c r="AA69" s="3597">
        <f t="shared" si="15"/>
        <v>0</v>
      </c>
    </row>
    <row r="70" spans="2:27">
      <c r="B70" s="3593"/>
      <c r="C70" s="4458" t="s">
        <v>1242</v>
      </c>
      <c r="D70" s="4458">
        <v>260</v>
      </c>
      <c r="E70" s="4458" t="s">
        <v>181</v>
      </c>
      <c r="F70" s="4458" t="s">
        <v>186</v>
      </c>
      <c r="G70" s="4479">
        <v>35.746047190464608</v>
      </c>
      <c r="H70" s="4466">
        <v>35.746047190464608</v>
      </c>
      <c r="I70" s="4495">
        <v>1.8275617854356427E-2</v>
      </c>
      <c r="J70" s="4439">
        <v>10</v>
      </c>
      <c r="K70" s="4439" t="s">
        <v>233</v>
      </c>
      <c r="L70" s="4442">
        <v>33070</v>
      </c>
      <c r="M70" s="278">
        <f t="shared" si="7"/>
        <v>5.5212323040215177</v>
      </c>
      <c r="N70" s="278">
        <f t="shared" si="8"/>
        <v>10.698727651929069</v>
      </c>
      <c r="O70" s="3548">
        <f t="shared" si="9"/>
        <v>6613.9639419605101</v>
      </c>
      <c r="P70" s="3548">
        <f t="shared" si="10"/>
        <v>6613.9639419605101</v>
      </c>
      <c r="Q70" s="3548">
        <f>IF(K70=0, 0, (HLOOKUP(K70,'[4]E-CESTDWO'!$A$5:$O$35,J70+1,FALSE)*R20))</f>
        <v>36517.231373985866</v>
      </c>
      <c r="R70" s="3548">
        <f>IF(K70=0, 0, (HLOOKUP(K70,'[4]E-CESTD'!$A$5:$O$35,J70+1,FALSE)*R20))</f>
        <v>40168.954511384451</v>
      </c>
      <c r="S70" s="3592">
        <v>1.081</v>
      </c>
      <c r="T70" s="4150">
        <f t="shared" si="11"/>
        <v>0</v>
      </c>
      <c r="U70" s="4150">
        <f t="shared" si="11"/>
        <v>7149.209438092922</v>
      </c>
      <c r="V70" s="4150">
        <f t="shared" si="11"/>
        <v>7149.209438092922</v>
      </c>
      <c r="W70" s="3635">
        <f t="shared" si="12"/>
        <v>0.99993208337349426</v>
      </c>
      <c r="X70" s="3635">
        <f t="shared" si="13"/>
        <v>0</v>
      </c>
      <c r="Y70" s="3635">
        <f t="shared" si="14"/>
        <v>0</v>
      </c>
      <c r="AA70" s="3597">
        <f t="shared" si="15"/>
        <v>0.48558316638931415</v>
      </c>
    </row>
    <row r="71" spans="2:27">
      <c r="B71" s="3593"/>
      <c r="C71" s="4458" t="s">
        <v>1243</v>
      </c>
      <c r="D71" s="4458">
        <v>23</v>
      </c>
      <c r="E71" s="4458" t="s">
        <v>181</v>
      </c>
      <c r="F71" s="4458" t="s">
        <v>186</v>
      </c>
      <c r="G71" s="4466">
        <v>3.1621503283872539</v>
      </c>
      <c r="H71" s="4466">
        <v>3.1621503283872539</v>
      </c>
      <c r="I71" s="4495">
        <v>1.4550203445583771E-2</v>
      </c>
      <c r="J71" s="4439">
        <v>5</v>
      </c>
      <c r="K71" s="4439" t="s">
        <v>183</v>
      </c>
      <c r="L71" s="4442"/>
      <c r="M71" s="278">
        <f t="shared" si="7"/>
        <v>3.1859547794308054</v>
      </c>
      <c r="N71" s="278">
        <f t="shared" si="8"/>
        <v>3.5045502573738863</v>
      </c>
      <c r="O71" s="3548">
        <f t="shared" si="9"/>
        <v>5265.7328307147136</v>
      </c>
      <c r="P71" s="3548">
        <f t="shared" si="10"/>
        <v>5265.7328307147136</v>
      </c>
      <c r="Q71" s="3548">
        <f>IF(K71=0, 0, (HLOOKUP(K71,'[4]E-CESTDWO'!$A$5:$O$35,J71+1,FALSE)*R21))</f>
        <v>16776.386679221247</v>
      </c>
      <c r="R71" s="3548">
        <f>IF(K71=0, 0, (HLOOKUP(K71,'[4]E-CESTD'!$A$5:$O$35,J71+1,FALSE)*R21))</f>
        <v>18454.025347143372</v>
      </c>
      <c r="S71" s="3592">
        <v>1.081</v>
      </c>
      <c r="T71" s="4150">
        <f t="shared" si="11"/>
        <v>0</v>
      </c>
      <c r="U71" s="4150">
        <f t="shared" si="11"/>
        <v>5691.8705910970566</v>
      </c>
      <c r="V71" s="4150">
        <f t="shared" si="11"/>
        <v>5691.8705910970566</v>
      </c>
      <c r="W71" s="3635">
        <f t="shared" si="12"/>
        <v>0.99993208337349415</v>
      </c>
      <c r="X71" s="3635">
        <f t="shared" si="13"/>
        <v>0</v>
      </c>
      <c r="Y71" s="3635">
        <f t="shared" si="14"/>
        <v>0</v>
      </c>
      <c r="AA71" s="3597">
        <f t="shared" si="15"/>
        <v>0.38659890554841547</v>
      </c>
    </row>
    <row r="72" spans="2:27">
      <c r="B72" s="3593"/>
      <c r="C72" s="3593" t="s">
        <v>193</v>
      </c>
      <c r="D72" s="3593">
        <v>0</v>
      </c>
      <c r="E72" s="3593" t="s">
        <v>181</v>
      </c>
      <c r="F72" s="3593" t="s">
        <v>186</v>
      </c>
      <c r="G72" s="3594"/>
      <c r="H72" s="3594"/>
      <c r="I72" s="4156">
        <v>0</v>
      </c>
      <c r="J72" s="3574"/>
      <c r="K72" s="3574"/>
      <c r="L72" s="3574"/>
      <c r="M72" s="278" t="e">
        <f t="shared" si="7"/>
        <v>#DIV/0!</v>
      </c>
      <c r="N72" s="278" t="e">
        <f t="shared" si="8"/>
        <v>#DIV/0!</v>
      </c>
      <c r="O72" s="3548">
        <f t="shared" si="9"/>
        <v>0</v>
      </c>
      <c r="P72" s="3548">
        <f t="shared" si="10"/>
        <v>0</v>
      </c>
      <c r="Q72" s="3548">
        <f>IF(K72=0, 0, (HLOOKUP(K72,'[4]E-CESTDWO'!$A$5:$O$35,J72+1,FALSE)*R22))</f>
        <v>0</v>
      </c>
      <c r="R72" s="3548">
        <f>IF(K72=0, 0, (HLOOKUP(K72,'[4]E-CESTD'!$A$5:$O$35,J72+1,FALSE)*R22))</f>
        <v>0</v>
      </c>
      <c r="S72" s="3592">
        <v>1.081</v>
      </c>
      <c r="T72" s="4150">
        <f t="shared" si="11"/>
        <v>0</v>
      </c>
      <c r="U72" s="4150">
        <f t="shared" si="11"/>
        <v>0</v>
      </c>
      <c r="V72" s="4150">
        <f t="shared" si="11"/>
        <v>0</v>
      </c>
      <c r="W72" s="3635" t="e">
        <f t="shared" si="12"/>
        <v>#DIV/0!</v>
      </c>
      <c r="X72" s="3635" t="e">
        <f t="shared" si="13"/>
        <v>#DIV/0!</v>
      </c>
      <c r="Y72" s="3635" t="e">
        <f t="shared" si="14"/>
        <v>#DIV/0!</v>
      </c>
    </row>
    <row r="73" spans="2:27">
      <c r="B73" s="3593"/>
      <c r="C73" s="3593" t="s">
        <v>194</v>
      </c>
      <c r="D73" s="3593">
        <v>0</v>
      </c>
      <c r="E73" s="3593" t="s">
        <v>181</v>
      </c>
      <c r="F73" s="3593" t="s">
        <v>186</v>
      </c>
      <c r="G73" s="3594"/>
      <c r="H73" s="3594"/>
      <c r="I73" s="4156">
        <v>0</v>
      </c>
      <c r="J73" s="3574"/>
      <c r="K73" s="3574"/>
      <c r="L73" s="3574"/>
      <c r="M73" s="278" t="e">
        <f t="shared" si="7"/>
        <v>#DIV/0!</v>
      </c>
      <c r="N73" s="278" t="e">
        <f t="shared" si="8"/>
        <v>#DIV/0!</v>
      </c>
      <c r="O73" s="3548">
        <f t="shared" si="9"/>
        <v>0</v>
      </c>
      <c r="P73" s="3548">
        <f t="shared" si="10"/>
        <v>0</v>
      </c>
      <c r="Q73" s="3548">
        <f>IF(K73=0, 0, (HLOOKUP(K73,'[4]E-CESTDWO'!$A$5:$O$35,J73+1,FALSE)*R23))</f>
        <v>0</v>
      </c>
      <c r="R73" s="3548">
        <f>IF(K73=0, 0, (HLOOKUP(K73,'[4]E-CESTD'!$A$5:$O$35,J73+1,FALSE)*R23))</f>
        <v>0</v>
      </c>
      <c r="S73" s="3592">
        <v>1.081</v>
      </c>
      <c r="T73" s="4150">
        <f t="shared" si="11"/>
        <v>0</v>
      </c>
      <c r="U73" s="4150">
        <f t="shared" si="11"/>
        <v>0</v>
      </c>
      <c r="V73" s="4150">
        <f t="shared" si="11"/>
        <v>0</v>
      </c>
      <c r="W73" s="3635" t="e">
        <f t="shared" si="12"/>
        <v>#DIV/0!</v>
      </c>
      <c r="X73" s="3635" t="e">
        <f t="shared" si="13"/>
        <v>#DIV/0!</v>
      </c>
      <c r="Y73" s="3635" t="e">
        <f t="shared" si="14"/>
        <v>#DIV/0!</v>
      </c>
    </row>
    <row r="74" spans="2:27">
      <c r="B74" s="3593"/>
      <c r="C74" s="3593" t="s">
        <v>195</v>
      </c>
      <c r="D74" s="3593">
        <v>0</v>
      </c>
      <c r="E74" s="3593" t="s">
        <v>181</v>
      </c>
      <c r="F74" s="3593" t="s">
        <v>186</v>
      </c>
      <c r="G74" s="3594"/>
      <c r="H74" s="3594"/>
      <c r="I74" s="4156">
        <v>0</v>
      </c>
      <c r="J74" s="3574"/>
      <c r="K74" s="3574"/>
      <c r="L74" s="3574"/>
      <c r="M74" s="278" t="e">
        <f t="shared" si="7"/>
        <v>#DIV/0!</v>
      </c>
      <c r="N74" s="278" t="e">
        <f t="shared" si="8"/>
        <v>#DIV/0!</v>
      </c>
      <c r="O74" s="3548">
        <f t="shared" si="9"/>
        <v>0</v>
      </c>
      <c r="P74" s="3548">
        <f t="shared" si="10"/>
        <v>0</v>
      </c>
      <c r="Q74" s="3548">
        <f>IF(K74=0, 0, (HLOOKUP(K74,'[4]E-CESTDWO'!$A$5:$O$35,J74+1,FALSE)*R24))</f>
        <v>0</v>
      </c>
      <c r="R74" s="3548">
        <f>IF(K74=0, 0, (HLOOKUP(K74,'[4]E-CESTD'!$A$5:$O$35,J74+1,FALSE)*R24))</f>
        <v>0</v>
      </c>
      <c r="S74" s="3592">
        <v>1.081</v>
      </c>
      <c r="T74" s="4150">
        <f t="shared" si="11"/>
        <v>0</v>
      </c>
      <c r="U74" s="4150">
        <f t="shared" si="11"/>
        <v>0</v>
      </c>
      <c r="V74" s="4150">
        <f t="shared" si="11"/>
        <v>0</v>
      </c>
      <c r="W74" s="3635" t="e">
        <f t="shared" si="12"/>
        <v>#DIV/0!</v>
      </c>
      <c r="X74" s="3635" t="e">
        <f t="shared" si="13"/>
        <v>#DIV/0!</v>
      </c>
      <c r="Y74" s="3635" t="e">
        <f t="shared" si="14"/>
        <v>#DIV/0!</v>
      </c>
    </row>
    <row r="75" spans="2:27">
      <c r="B75" s="3593"/>
      <c r="C75" s="3593" t="s">
        <v>196</v>
      </c>
      <c r="D75" s="3593">
        <v>0</v>
      </c>
      <c r="E75" s="3593" t="s">
        <v>181</v>
      </c>
      <c r="F75" s="3593" t="s">
        <v>186</v>
      </c>
      <c r="G75" s="3594"/>
      <c r="H75" s="3594"/>
      <c r="I75" s="4156">
        <v>0</v>
      </c>
      <c r="J75" s="3574"/>
      <c r="K75" s="3574"/>
      <c r="L75" s="3574"/>
      <c r="M75" s="278" t="e">
        <f t="shared" si="7"/>
        <v>#DIV/0!</v>
      </c>
      <c r="N75" s="278" t="e">
        <f t="shared" si="8"/>
        <v>#DIV/0!</v>
      </c>
      <c r="O75" s="3548">
        <f t="shared" si="9"/>
        <v>0</v>
      </c>
      <c r="P75" s="3548">
        <f t="shared" si="10"/>
        <v>0</v>
      </c>
      <c r="Q75" s="3548">
        <f>IF(K75=0, 0, (HLOOKUP(K75,'[4]E-CESTDWO'!$A$5:$O$35,J75+1,FALSE)*R25))</f>
        <v>0</v>
      </c>
      <c r="R75" s="3548">
        <f>IF(K75=0, 0, (HLOOKUP(K75,'[4]E-CESTD'!$A$5:$O$35,J75+1,FALSE)*R25))</f>
        <v>0</v>
      </c>
      <c r="S75" s="3592">
        <v>1.081</v>
      </c>
      <c r="T75" s="4150">
        <f t="shared" si="11"/>
        <v>0</v>
      </c>
      <c r="U75" s="4150">
        <f t="shared" si="11"/>
        <v>0</v>
      </c>
      <c r="V75" s="4150">
        <f t="shared" si="11"/>
        <v>0</v>
      </c>
      <c r="W75" s="3635" t="e">
        <f t="shared" si="12"/>
        <v>#DIV/0!</v>
      </c>
      <c r="X75" s="3635" t="e">
        <f t="shared" si="13"/>
        <v>#DIV/0!</v>
      </c>
      <c r="Y75" s="3635" t="e">
        <f t="shared" si="14"/>
        <v>#DIV/0!</v>
      </c>
    </row>
    <row r="76" spans="2:27">
      <c r="B76" s="3593"/>
      <c r="C76" s="3593" t="s">
        <v>197</v>
      </c>
      <c r="D76" s="3593">
        <v>0</v>
      </c>
      <c r="E76" s="3593" t="s">
        <v>181</v>
      </c>
      <c r="F76" s="3593" t="s">
        <v>186</v>
      </c>
      <c r="G76" s="3594"/>
      <c r="H76" s="3594"/>
      <c r="I76" s="4156">
        <v>0</v>
      </c>
      <c r="J76" s="3574"/>
      <c r="K76" s="3574"/>
      <c r="L76" s="3574"/>
      <c r="M76" s="278" t="e">
        <f t="shared" si="7"/>
        <v>#DIV/0!</v>
      </c>
      <c r="N76" s="278" t="e">
        <f t="shared" si="8"/>
        <v>#DIV/0!</v>
      </c>
      <c r="O76" s="3548">
        <f t="shared" si="9"/>
        <v>0</v>
      </c>
      <c r="P76" s="3548">
        <f t="shared" si="10"/>
        <v>0</v>
      </c>
      <c r="Q76" s="3548">
        <f>IF(K76=0, 0, (HLOOKUP(K76,'[4]E-CESTDWO'!$A$5:$O$35,J76+1,FALSE)*R26))</f>
        <v>0</v>
      </c>
      <c r="R76" s="3548">
        <f>IF(K76=0, 0, (HLOOKUP(K76,'[4]E-CESTD'!$A$5:$O$35,J76+1,FALSE)*R26))</f>
        <v>0</v>
      </c>
      <c r="S76" s="3592">
        <v>1.081</v>
      </c>
      <c r="T76" s="4150">
        <f t="shared" si="11"/>
        <v>0</v>
      </c>
      <c r="U76" s="4150">
        <f t="shared" si="11"/>
        <v>0</v>
      </c>
      <c r="V76" s="4150">
        <f t="shared" si="11"/>
        <v>0</v>
      </c>
      <c r="W76" s="3635" t="e">
        <f t="shared" si="12"/>
        <v>#DIV/0!</v>
      </c>
      <c r="X76" s="3635" t="e">
        <f t="shared" si="13"/>
        <v>#DIV/0!</v>
      </c>
      <c r="Y76" s="3635" t="e">
        <f t="shared" si="14"/>
        <v>#DIV/0!</v>
      </c>
    </row>
    <row r="77" spans="2:27">
      <c r="B77" s="3593"/>
      <c r="C77" s="3593" t="s">
        <v>198</v>
      </c>
      <c r="D77" s="3593">
        <v>0</v>
      </c>
      <c r="E77" s="3593" t="s">
        <v>181</v>
      </c>
      <c r="F77" s="3593" t="s">
        <v>186</v>
      </c>
      <c r="G77" s="3594"/>
      <c r="H77" s="3594"/>
      <c r="I77" s="4156">
        <v>0</v>
      </c>
      <c r="J77" s="3574"/>
      <c r="K77" s="3574"/>
      <c r="L77" s="3574"/>
      <c r="M77" s="278" t="e">
        <f t="shared" si="7"/>
        <v>#DIV/0!</v>
      </c>
      <c r="N77" s="278" t="e">
        <f t="shared" si="8"/>
        <v>#DIV/0!</v>
      </c>
      <c r="O77" s="3548">
        <f t="shared" si="9"/>
        <v>0</v>
      </c>
      <c r="P77" s="3548">
        <f t="shared" si="10"/>
        <v>0</v>
      </c>
      <c r="Q77" s="3548">
        <f>IF(K77=0, 0, (HLOOKUP(K77,'[4]E-CESTDWO'!$A$5:$O$35,J77+1,FALSE)*R27))</f>
        <v>0</v>
      </c>
      <c r="R77" s="3548">
        <f>IF(K77=0, 0, (HLOOKUP(K77,'[4]E-CESTD'!$A$5:$O$35,J77+1,FALSE)*R27))</f>
        <v>0</v>
      </c>
      <c r="S77" s="3592">
        <v>1.081</v>
      </c>
      <c r="T77" s="4150">
        <f t="shared" si="11"/>
        <v>0</v>
      </c>
      <c r="U77" s="4150">
        <f t="shared" si="11"/>
        <v>0</v>
      </c>
      <c r="V77" s="4150">
        <f t="shared" si="11"/>
        <v>0</v>
      </c>
      <c r="W77" s="3635" t="e">
        <f t="shared" si="12"/>
        <v>#DIV/0!</v>
      </c>
      <c r="X77" s="3635" t="e">
        <f t="shared" si="13"/>
        <v>#DIV/0!</v>
      </c>
      <c r="Y77" s="3635" t="e">
        <f t="shared" si="14"/>
        <v>#DIV/0!</v>
      </c>
    </row>
    <row r="78" spans="2:27">
      <c r="B78" s="3593"/>
      <c r="C78" s="3593" t="s">
        <v>199</v>
      </c>
      <c r="D78" s="3593">
        <v>0</v>
      </c>
      <c r="E78" s="3593" t="s">
        <v>181</v>
      </c>
      <c r="F78" s="3593" t="s">
        <v>186</v>
      </c>
      <c r="G78" s="3594"/>
      <c r="H78" s="3594"/>
      <c r="I78" s="4156">
        <v>0</v>
      </c>
      <c r="J78" s="3574"/>
      <c r="K78" s="3574"/>
      <c r="L78" s="3574"/>
      <c r="M78" s="278" t="e">
        <f t="shared" si="7"/>
        <v>#DIV/0!</v>
      </c>
      <c r="N78" s="278" t="e">
        <f t="shared" si="8"/>
        <v>#DIV/0!</v>
      </c>
      <c r="O78" s="3548">
        <f t="shared" si="9"/>
        <v>0</v>
      </c>
      <c r="P78" s="3548">
        <f t="shared" si="10"/>
        <v>0</v>
      </c>
      <c r="Q78" s="3548">
        <f>IF(K78=0, 0, (HLOOKUP(K78,'[4]E-CESTDWO'!$A$5:$O$35,J78+1,FALSE)*R28))</f>
        <v>0</v>
      </c>
      <c r="R78" s="3548">
        <f>IF(K78=0, 0, (HLOOKUP(K78,'[4]E-CESTD'!$A$5:$O$35,J78+1,FALSE)*R28))</f>
        <v>0</v>
      </c>
      <c r="S78" s="3592">
        <v>1.081</v>
      </c>
      <c r="T78" s="4150">
        <f t="shared" si="11"/>
        <v>0</v>
      </c>
      <c r="U78" s="4150">
        <f t="shared" si="11"/>
        <v>0</v>
      </c>
      <c r="V78" s="4150">
        <f t="shared" si="11"/>
        <v>0</v>
      </c>
      <c r="W78" s="3635" t="e">
        <f t="shared" si="12"/>
        <v>#DIV/0!</v>
      </c>
      <c r="X78" s="3635" t="e">
        <f t="shared" si="13"/>
        <v>#DIV/0!</v>
      </c>
      <c r="Y78" s="3635" t="e">
        <f t="shared" si="14"/>
        <v>#DIV/0!</v>
      </c>
    </row>
    <row r="79" spans="2:27">
      <c r="B79" s="3593"/>
      <c r="C79" s="3593" t="s">
        <v>200</v>
      </c>
      <c r="D79" s="3593">
        <v>0</v>
      </c>
      <c r="E79" s="3593" t="s">
        <v>181</v>
      </c>
      <c r="F79" s="3593" t="s">
        <v>186</v>
      </c>
      <c r="G79" s="3594"/>
      <c r="H79" s="3594"/>
      <c r="I79" s="4156">
        <v>0</v>
      </c>
      <c r="J79" s="3574"/>
      <c r="K79" s="3574"/>
      <c r="L79" s="3574"/>
      <c r="M79" s="278" t="e">
        <f t="shared" si="7"/>
        <v>#DIV/0!</v>
      </c>
      <c r="N79" s="278" t="e">
        <f t="shared" si="8"/>
        <v>#DIV/0!</v>
      </c>
      <c r="O79" s="3548">
        <f t="shared" si="9"/>
        <v>0</v>
      </c>
      <c r="P79" s="3548">
        <f t="shared" si="10"/>
        <v>0</v>
      </c>
      <c r="Q79" s="3548">
        <f>IF(K79=0, 0, (HLOOKUP(K79,'[4]E-CESTDWO'!$A$5:$O$35,J79+1,FALSE)*R29))</f>
        <v>0</v>
      </c>
      <c r="R79" s="3548">
        <f>IF(K79=0, 0, (HLOOKUP(K79,'[4]E-CESTD'!$A$5:$O$35,J79+1,FALSE)*R29))</f>
        <v>0</v>
      </c>
      <c r="S79" s="3592">
        <v>1.081</v>
      </c>
      <c r="T79" s="4150">
        <f t="shared" si="11"/>
        <v>0</v>
      </c>
      <c r="U79" s="4150">
        <f t="shared" si="11"/>
        <v>0</v>
      </c>
      <c r="V79" s="4150">
        <f t="shared" si="11"/>
        <v>0</v>
      </c>
      <c r="W79" s="3635" t="e">
        <f t="shared" si="12"/>
        <v>#DIV/0!</v>
      </c>
      <c r="X79" s="3635" t="e">
        <f t="shared" si="13"/>
        <v>#DIV/0!</v>
      </c>
      <c r="Y79" s="3635" t="e">
        <f t="shared" si="14"/>
        <v>#DIV/0!</v>
      </c>
    </row>
    <row r="80" spans="2:27">
      <c r="B80" s="3593"/>
      <c r="C80" s="3593" t="s">
        <v>201</v>
      </c>
      <c r="D80" s="3593">
        <v>0</v>
      </c>
      <c r="E80" s="3593" t="s">
        <v>181</v>
      </c>
      <c r="F80" s="3593" t="s">
        <v>186</v>
      </c>
      <c r="G80" s="3594"/>
      <c r="H80" s="3594"/>
      <c r="I80" s="4156">
        <v>0</v>
      </c>
      <c r="J80" s="3574"/>
      <c r="K80" s="3574"/>
      <c r="L80" s="3574"/>
      <c r="M80" s="278" t="e">
        <f t="shared" si="7"/>
        <v>#DIV/0!</v>
      </c>
      <c r="N80" s="278" t="e">
        <f t="shared" si="8"/>
        <v>#DIV/0!</v>
      </c>
      <c r="O80" s="3548">
        <f t="shared" si="9"/>
        <v>0</v>
      </c>
      <c r="P80" s="3548">
        <f t="shared" si="10"/>
        <v>0</v>
      </c>
      <c r="Q80" s="3548">
        <f>IF(K80=0, 0, (HLOOKUP(K80,'[4]E-CESTDWO'!$A$5:$O$35,J80+1,FALSE)*R30))</f>
        <v>0</v>
      </c>
      <c r="R80" s="3548">
        <f>IF(K80=0, 0, (HLOOKUP(K80,'[4]E-CESTD'!$A$5:$O$35,J80+1,FALSE)*R30))</f>
        <v>0</v>
      </c>
      <c r="S80" s="3592">
        <v>1.081</v>
      </c>
      <c r="T80" s="4150">
        <f t="shared" si="11"/>
        <v>0</v>
      </c>
      <c r="U80" s="4150">
        <f t="shared" si="11"/>
        <v>0</v>
      </c>
      <c r="V80" s="4150">
        <f t="shared" si="11"/>
        <v>0</v>
      </c>
      <c r="W80" s="3635" t="e">
        <f t="shared" si="12"/>
        <v>#DIV/0!</v>
      </c>
      <c r="X80" s="3635" t="e">
        <f t="shared" si="13"/>
        <v>#DIV/0!</v>
      </c>
      <c r="Y80" s="3635" t="e">
        <f t="shared" si="14"/>
        <v>#DIV/0!</v>
      </c>
    </row>
    <row r="81" spans="2:25">
      <c r="B81" s="3593"/>
      <c r="C81" s="3593" t="s">
        <v>202</v>
      </c>
      <c r="D81" s="3593">
        <v>0</v>
      </c>
      <c r="E81" s="3593" t="s">
        <v>181</v>
      </c>
      <c r="F81" s="3593" t="s">
        <v>186</v>
      </c>
      <c r="G81" s="3594"/>
      <c r="H81" s="3594"/>
      <c r="I81" s="4156">
        <v>0</v>
      </c>
      <c r="J81" s="3574"/>
      <c r="K81" s="3574"/>
      <c r="L81" s="3574"/>
      <c r="M81" s="278" t="e">
        <f t="shared" si="7"/>
        <v>#DIV/0!</v>
      </c>
      <c r="N81" s="278" t="e">
        <f t="shared" si="8"/>
        <v>#DIV/0!</v>
      </c>
      <c r="O81" s="3548">
        <f t="shared" si="9"/>
        <v>0</v>
      </c>
      <c r="P81" s="3548">
        <f t="shared" si="10"/>
        <v>0</v>
      </c>
      <c r="Q81" s="3548">
        <f>IF(K81=0, 0, (HLOOKUP(K81,'[4]E-CESTDWO'!$A$5:$O$35,J81+1,FALSE)*R31))</f>
        <v>0</v>
      </c>
      <c r="R81" s="3548">
        <f>IF(K81=0, 0, (HLOOKUP(K81,'[4]E-CESTD'!$A$5:$O$35,J81+1,FALSE)*R31))</f>
        <v>0</v>
      </c>
      <c r="S81" s="3592">
        <v>1.081</v>
      </c>
      <c r="T81" s="4150">
        <f t="shared" si="11"/>
        <v>0</v>
      </c>
      <c r="U81" s="4150">
        <f t="shared" si="11"/>
        <v>0</v>
      </c>
      <c r="V81" s="4150">
        <f t="shared" si="11"/>
        <v>0</v>
      </c>
      <c r="W81" s="3635" t="e">
        <f t="shared" si="12"/>
        <v>#DIV/0!</v>
      </c>
      <c r="X81" s="3635" t="e">
        <f t="shared" si="13"/>
        <v>#DIV/0!</v>
      </c>
      <c r="Y81" s="3635" t="e">
        <f t="shared" si="14"/>
        <v>#DIV/0!</v>
      </c>
    </row>
    <row r="82" spans="2:25">
      <c r="B82" s="3593"/>
      <c r="C82" s="3593" t="s">
        <v>203</v>
      </c>
      <c r="D82" s="3593">
        <v>0</v>
      </c>
      <c r="E82" s="3593" t="s">
        <v>181</v>
      </c>
      <c r="F82" s="3593" t="s">
        <v>186</v>
      </c>
      <c r="G82" s="3594"/>
      <c r="H82" s="3594"/>
      <c r="I82" s="4156">
        <v>0</v>
      </c>
      <c r="J82" s="3574"/>
      <c r="K82" s="3574"/>
      <c r="L82" s="3574"/>
      <c r="M82" s="278" t="e">
        <f t="shared" si="7"/>
        <v>#DIV/0!</v>
      </c>
      <c r="N82" s="278" t="e">
        <f t="shared" si="8"/>
        <v>#DIV/0!</v>
      </c>
      <c r="O82" s="3548">
        <f t="shared" si="9"/>
        <v>0</v>
      </c>
      <c r="P82" s="3548">
        <f t="shared" si="10"/>
        <v>0</v>
      </c>
      <c r="Q82" s="3548">
        <f>IF(K82=0, 0, (HLOOKUP(K82,'[4]E-CESTDWO'!$A$5:$O$35,J82+1,FALSE)*R32))</f>
        <v>0</v>
      </c>
      <c r="R82" s="3548">
        <f>IF(K82=0, 0, (HLOOKUP(K82,'[4]E-CESTD'!$A$5:$O$35,J82+1,FALSE)*R32))</f>
        <v>0</v>
      </c>
      <c r="S82" s="3592">
        <v>1.081</v>
      </c>
      <c r="T82" s="4150">
        <f t="shared" si="11"/>
        <v>0</v>
      </c>
      <c r="U82" s="4150">
        <f t="shared" si="11"/>
        <v>0</v>
      </c>
      <c r="V82" s="4150">
        <f t="shared" si="11"/>
        <v>0</v>
      </c>
      <c r="W82" s="3635" t="e">
        <f t="shared" si="12"/>
        <v>#DIV/0!</v>
      </c>
      <c r="X82" s="3635" t="e">
        <f t="shared" si="13"/>
        <v>#DIV/0!</v>
      </c>
      <c r="Y82" s="3635" t="e">
        <f t="shared" si="14"/>
        <v>#DIV/0!</v>
      </c>
    </row>
    <row r="83" spans="2:25">
      <c r="B83" s="3593"/>
      <c r="C83" s="3593" t="s">
        <v>204</v>
      </c>
      <c r="D83" s="3593">
        <v>0</v>
      </c>
      <c r="E83" s="3593" t="s">
        <v>181</v>
      </c>
      <c r="F83" s="3593" t="s">
        <v>186</v>
      </c>
      <c r="G83" s="3594"/>
      <c r="H83" s="3594"/>
      <c r="I83" s="4156">
        <v>0</v>
      </c>
      <c r="J83" s="3574"/>
      <c r="K83" s="3574"/>
      <c r="L83" s="3574"/>
      <c r="M83" s="278" t="e">
        <f t="shared" si="7"/>
        <v>#DIV/0!</v>
      </c>
      <c r="N83" s="278" t="e">
        <f t="shared" si="8"/>
        <v>#DIV/0!</v>
      </c>
      <c r="O83" s="3548">
        <f t="shared" si="9"/>
        <v>0</v>
      </c>
      <c r="P83" s="3548">
        <f t="shared" si="10"/>
        <v>0</v>
      </c>
      <c r="Q83" s="3548">
        <f>IF(K83=0, 0, (HLOOKUP(K83,'[4]E-CESTDWO'!$A$5:$O$35,J83+1,FALSE)*R33))</f>
        <v>0</v>
      </c>
      <c r="R83" s="3548">
        <f>IF(K83=0, 0, (HLOOKUP(K83,'[4]E-CESTD'!$A$5:$O$35,J83+1,FALSE)*R33))</f>
        <v>0</v>
      </c>
      <c r="S83" s="3592">
        <v>1.081</v>
      </c>
      <c r="T83" s="4150">
        <f t="shared" si="11"/>
        <v>0</v>
      </c>
      <c r="U83" s="4150">
        <f t="shared" si="11"/>
        <v>0</v>
      </c>
      <c r="V83" s="4150">
        <f t="shared" si="11"/>
        <v>0</v>
      </c>
    </row>
    <row r="84" spans="2:25">
      <c r="B84" s="3593"/>
      <c r="C84" s="3593" t="s">
        <v>205</v>
      </c>
      <c r="D84" s="3595">
        <v>0</v>
      </c>
      <c r="E84" s="3593" t="s">
        <v>181</v>
      </c>
      <c r="F84" s="3593" t="s">
        <v>186</v>
      </c>
      <c r="G84" s="3594"/>
      <c r="H84" s="3594"/>
      <c r="I84" s="4156">
        <v>0</v>
      </c>
      <c r="J84" s="3574"/>
      <c r="K84" s="3574"/>
      <c r="L84" s="3574"/>
      <c r="M84" s="278" t="e">
        <f t="shared" si="7"/>
        <v>#DIV/0!</v>
      </c>
      <c r="N84" s="278" t="e">
        <f t="shared" si="8"/>
        <v>#DIV/0!</v>
      </c>
      <c r="O84" s="3548">
        <f t="shared" si="9"/>
        <v>0</v>
      </c>
      <c r="P84" s="3548">
        <f t="shared" si="10"/>
        <v>0</v>
      </c>
      <c r="Q84" s="3548">
        <f>IF(K84=0, 0, (HLOOKUP(K84,'[4]E-CESTDWO'!$A$5:$O$35,J84+1,FALSE)*R34))</f>
        <v>0</v>
      </c>
      <c r="R84" s="3548">
        <f>IF(K84=0, 0, (HLOOKUP(K84,'[4]E-CESTD'!$A$5:$O$35,J84+1,FALSE)*R34))</f>
        <v>0</v>
      </c>
      <c r="S84" s="3592">
        <v>1.081</v>
      </c>
      <c r="T84" s="4150">
        <f t="shared" si="11"/>
        <v>0</v>
      </c>
      <c r="U84" s="4150">
        <f t="shared" si="11"/>
        <v>0</v>
      </c>
      <c r="V84" s="4150">
        <f t="shared" si="11"/>
        <v>0</v>
      </c>
    </row>
    <row r="85" spans="2:25">
      <c r="B85" s="3593"/>
      <c r="C85" s="3593" t="s">
        <v>206</v>
      </c>
      <c r="D85" s="3595">
        <v>0</v>
      </c>
      <c r="E85" s="3593" t="s">
        <v>181</v>
      </c>
      <c r="F85" s="3593" t="s">
        <v>186</v>
      </c>
      <c r="G85" s="3594"/>
      <c r="H85" s="3594"/>
      <c r="I85" s="4156">
        <v>0</v>
      </c>
      <c r="J85" s="3574"/>
      <c r="K85" s="3574"/>
      <c r="L85" s="3574"/>
      <c r="M85" s="278" t="e">
        <f t="shared" si="7"/>
        <v>#DIV/0!</v>
      </c>
      <c r="N85" s="278" t="e">
        <f t="shared" si="8"/>
        <v>#DIV/0!</v>
      </c>
      <c r="O85" s="3548">
        <f t="shared" si="9"/>
        <v>0</v>
      </c>
      <c r="P85" s="3548">
        <f t="shared" si="10"/>
        <v>0</v>
      </c>
      <c r="Q85" s="3548">
        <f>IF(K85=0, 0, (HLOOKUP(K85,'[4]E-CESTDWO'!$A$5:$O$35,J85+1,FALSE)*R35))</f>
        <v>0</v>
      </c>
      <c r="R85" s="3548">
        <f>IF(K85=0, 0, (HLOOKUP(K85,'[4]E-CESTD'!$A$5:$O$35,J85+1,FALSE)*R35))</f>
        <v>0</v>
      </c>
      <c r="S85" s="3592">
        <v>1.081</v>
      </c>
      <c r="T85" s="4150">
        <f t="shared" si="11"/>
        <v>0</v>
      </c>
      <c r="U85" s="4150">
        <f t="shared" si="11"/>
        <v>0</v>
      </c>
      <c r="V85" s="4150">
        <f t="shared" si="11"/>
        <v>0</v>
      </c>
    </row>
    <row r="86" spans="2:25">
      <c r="B86" s="3593"/>
      <c r="C86" s="3593" t="s">
        <v>207</v>
      </c>
      <c r="D86" s="3595">
        <v>0</v>
      </c>
      <c r="E86" s="3593" t="s">
        <v>181</v>
      </c>
      <c r="F86" s="3593" t="s">
        <v>186</v>
      </c>
      <c r="G86" s="3594"/>
      <c r="H86" s="3594"/>
      <c r="I86" s="4156">
        <v>0</v>
      </c>
      <c r="J86" s="3574"/>
      <c r="K86" s="3574"/>
      <c r="L86" s="3574"/>
      <c r="M86" s="278" t="e">
        <f t="shared" si="7"/>
        <v>#DIV/0!</v>
      </c>
      <c r="N86" s="278" t="e">
        <f t="shared" si="8"/>
        <v>#DIV/0!</v>
      </c>
      <c r="O86" s="3548">
        <f t="shared" si="9"/>
        <v>0</v>
      </c>
      <c r="P86" s="3548">
        <f t="shared" si="10"/>
        <v>0</v>
      </c>
      <c r="Q86" s="3548">
        <f>IF(K86=0, 0, (HLOOKUP(K86,'[4]E-CESTDWO'!$A$5:$O$35,J86+1,FALSE)*R36))</f>
        <v>0</v>
      </c>
      <c r="R86" s="3548">
        <f>IF(K86=0, 0, (HLOOKUP(K86,'[4]E-CESTD'!$A$5:$O$35,J86+1,FALSE)*R36))</f>
        <v>0</v>
      </c>
      <c r="S86" s="3592">
        <v>1.081</v>
      </c>
      <c r="T86" s="4150">
        <f t="shared" si="11"/>
        <v>0</v>
      </c>
      <c r="U86" s="4150">
        <f t="shared" si="11"/>
        <v>0</v>
      </c>
      <c r="V86" s="4150">
        <f t="shared" si="11"/>
        <v>0</v>
      </c>
    </row>
    <row r="87" spans="2:25">
      <c r="B87" s="3593"/>
      <c r="C87" s="3593" t="s">
        <v>208</v>
      </c>
      <c r="D87" s="3595">
        <v>0</v>
      </c>
      <c r="E87" s="3593" t="s">
        <v>181</v>
      </c>
      <c r="F87" s="3593" t="s">
        <v>186</v>
      </c>
      <c r="G87" s="3594"/>
      <c r="H87" s="3594"/>
      <c r="I87" s="4156">
        <v>0</v>
      </c>
      <c r="J87" s="3574"/>
      <c r="K87" s="3574"/>
      <c r="L87" s="3574"/>
      <c r="M87" s="278" t="e">
        <f t="shared" si="7"/>
        <v>#DIV/0!</v>
      </c>
      <c r="N87" s="278" t="e">
        <f t="shared" si="8"/>
        <v>#DIV/0!</v>
      </c>
      <c r="O87" s="3548">
        <f t="shared" si="9"/>
        <v>0</v>
      </c>
      <c r="P87" s="3548">
        <f t="shared" si="10"/>
        <v>0</v>
      </c>
      <c r="Q87" s="3548">
        <f>IF(K87=0, 0, (HLOOKUP(K87,'[4]E-CESTDWO'!$A$5:$O$35,J87+1,FALSE)*R37))</f>
        <v>0</v>
      </c>
      <c r="R87" s="3548">
        <f>IF(K87=0, 0, (HLOOKUP(K87,'[4]E-CESTD'!$A$5:$O$35,J87+1,FALSE)*R37))</f>
        <v>0</v>
      </c>
      <c r="S87" s="3592">
        <v>1.081</v>
      </c>
      <c r="T87" s="4150">
        <f t="shared" si="11"/>
        <v>0</v>
      </c>
      <c r="U87" s="4150">
        <f t="shared" si="11"/>
        <v>0</v>
      </c>
      <c r="V87" s="4150">
        <f t="shared" si="11"/>
        <v>0</v>
      </c>
    </row>
    <row r="88" spans="2:25">
      <c r="B88" s="3593"/>
      <c r="C88" s="3593" t="s">
        <v>209</v>
      </c>
      <c r="D88" s="3595">
        <v>0</v>
      </c>
      <c r="E88" s="3593" t="s">
        <v>181</v>
      </c>
      <c r="F88" s="3593" t="s">
        <v>186</v>
      </c>
      <c r="G88" s="3594"/>
      <c r="H88" s="3594"/>
      <c r="I88" s="4156">
        <v>0</v>
      </c>
      <c r="J88" s="3574"/>
      <c r="K88" s="3574"/>
      <c r="L88" s="3574"/>
      <c r="M88" s="278" t="e">
        <f t="shared" si="7"/>
        <v>#DIV/0!</v>
      </c>
      <c r="N88" s="278" t="e">
        <f t="shared" si="8"/>
        <v>#DIV/0!</v>
      </c>
      <c r="O88" s="3548">
        <f t="shared" si="9"/>
        <v>0</v>
      </c>
      <c r="P88" s="3548">
        <f t="shared" si="10"/>
        <v>0</v>
      </c>
      <c r="Q88" s="3548">
        <f>IF(K88=0, 0, (HLOOKUP(K88,'[4]E-CESTDWO'!$A$5:$O$35,J88+1,FALSE)*R38))</f>
        <v>0</v>
      </c>
      <c r="R88" s="3548">
        <f>IF(K88=0, 0, (HLOOKUP(K88,'[4]E-CESTD'!$A$5:$O$35,J88+1,FALSE)*R38))</f>
        <v>0</v>
      </c>
      <c r="S88" s="3592">
        <v>1.081</v>
      </c>
      <c r="T88" s="4150">
        <f t="shared" si="11"/>
        <v>0</v>
      </c>
      <c r="U88" s="4150">
        <f t="shared" si="11"/>
        <v>0</v>
      </c>
      <c r="V88" s="4150">
        <f t="shared" si="11"/>
        <v>0</v>
      </c>
    </row>
    <row r="89" spans="2:25">
      <c r="B89" s="3593"/>
      <c r="C89" s="3593" t="s">
        <v>210</v>
      </c>
      <c r="D89" s="3595">
        <v>0</v>
      </c>
      <c r="E89" s="3593" t="s">
        <v>181</v>
      </c>
      <c r="F89" s="3593" t="s">
        <v>186</v>
      </c>
      <c r="G89" s="3594"/>
      <c r="H89" s="3594"/>
      <c r="I89" s="4156">
        <v>0</v>
      </c>
      <c r="J89" s="3574"/>
      <c r="K89" s="3574"/>
      <c r="L89" s="3574"/>
      <c r="M89" s="278" t="e">
        <f t="shared" si="7"/>
        <v>#DIV/0!</v>
      </c>
      <c r="N89" s="278" t="e">
        <f t="shared" si="8"/>
        <v>#DIV/0!</v>
      </c>
      <c r="O89" s="3548">
        <f t="shared" si="9"/>
        <v>0</v>
      </c>
      <c r="P89" s="3548">
        <f t="shared" si="10"/>
        <v>0</v>
      </c>
      <c r="Q89" s="3548">
        <f>IF(K89=0, 0, (HLOOKUP(K89,'[4]E-CESTDWO'!$A$5:$O$35,J89+1,FALSE)*R39))</f>
        <v>0</v>
      </c>
      <c r="R89" s="3548">
        <f>IF(K89=0, 0, (HLOOKUP(K89,'[4]E-CESTD'!$A$5:$O$35,J89+1,FALSE)*R39))</f>
        <v>0</v>
      </c>
      <c r="S89" s="3592">
        <v>1.081</v>
      </c>
      <c r="T89" s="4150">
        <f t="shared" si="11"/>
        <v>0</v>
      </c>
      <c r="U89" s="4150">
        <f t="shared" si="11"/>
        <v>0</v>
      </c>
      <c r="V89" s="4150">
        <f t="shared" si="11"/>
        <v>0</v>
      </c>
    </row>
    <row r="90" spans="2:25">
      <c r="B90" s="3593"/>
      <c r="C90" s="3593" t="s">
        <v>211</v>
      </c>
      <c r="D90" s="3595">
        <v>0</v>
      </c>
      <c r="E90" s="3593" t="s">
        <v>181</v>
      </c>
      <c r="F90" s="3593" t="s">
        <v>186</v>
      </c>
      <c r="G90" s="3594"/>
      <c r="H90" s="3594"/>
      <c r="I90" s="4156">
        <v>0</v>
      </c>
      <c r="J90" s="3574"/>
      <c r="K90" s="3574"/>
      <c r="L90" s="3574"/>
      <c r="M90" s="278" t="e">
        <f t="shared" si="7"/>
        <v>#DIV/0!</v>
      </c>
      <c r="N90" s="278" t="e">
        <f t="shared" si="8"/>
        <v>#DIV/0!</v>
      </c>
      <c r="O90" s="3548">
        <f t="shared" si="9"/>
        <v>0</v>
      </c>
      <c r="P90" s="3548">
        <f t="shared" si="10"/>
        <v>0</v>
      </c>
      <c r="Q90" s="3548">
        <f>IF(K90=0, 0, (HLOOKUP(K90,'[4]E-CESTDWO'!$A$5:$O$35,J90+1,FALSE)*R40))</f>
        <v>0</v>
      </c>
      <c r="R90" s="3548">
        <f>IF(K90=0, 0, (HLOOKUP(K90,'[4]E-CESTD'!$A$5:$O$35,J90+1,FALSE)*R40))</f>
        <v>0</v>
      </c>
      <c r="S90" s="3592">
        <v>1.081</v>
      </c>
      <c r="T90" s="4150">
        <f t="shared" si="11"/>
        <v>0</v>
      </c>
      <c r="U90" s="4150">
        <f t="shared" si="11"/>
        <v>0</v>
      </c>
      <c r="V90" s="4150">
        <f t="shared" si="11"/>
        <v>0</v>
      </c>
    </row>
    <row r="91" spans="2:25">
      <c r="B91" s="3593"/>
      <c r="C91" s="3593" t="s">
        <v>212</v>
      </c>
      <c r="D91" s="3595">
        <v>0</v>
      </c>
      <c r="E91" s="3593" t="s">
        <v>181</v>
      </c>
      <c r="F91" s="3593" t="s">
        <v>186</v>
      </c>
      <c r="G91" s="3594"/>
      <c r="H91" s="3594"/>
      <c r="I91" s="4156">
        <v>0</v>
      </c>
      <c r="J91" s="3574"/>
      <c r="K91" s="3574"/>
      <c r="L91" s="3574"/>
      <c r="M91" s="278" t="e">
        <f t="shared" si="7"/>
        <v>#DIV/0!</v>
      </c>
      <c r="N91" s="278" t="e">
        <f t="shared" si="8"/>
        <v>#DIV/0!</v>
      </c>
      <c r="O91" s="3548">
        <f t="shared" si="9"/>
        <v>0</v>
      </c>
      <c r="P91" s="3548">
        <f t="shared" si="10"/>
        <v>0</v>
      </c>
      <c r="Q91" s="3548">
        <f>IF(K91=0, 0, (HLOOKUP(K91,'[4]E-CESTDWO'!$A$5:$O$35,J91+1,FALSE)*R41))</f>
        <v>0</v>
      </c>
      <c r="R91" s="3548">
        <f>IF(K91=0, 0, (HLOOKUP(K91,'[4]E-CESTD'!$A$5:$O$35,J91+1,FALSE)*R41))</f>
        <v>0</v>
      </c>
      <c r="S91" s="3592">
        <v>1.081</v>
      </c>
      <c r="T91" s="4150">
        <f t="shared" si="11"/>
        <v>0</v>
      </c>
      <c r="U91" s="4150">
        <f t="shared" si="11"/>
        <v>0</v>
      </c>
      <c r="V91" s="4150">
        <f t="shared" si="11"/>
        <v>0</v>
      </c>
    </row>
    <row r="92" spans="2:25">
      <c r="B92" s="3593"/>
      <c r="C92" s="3593" t="s">
        <v>213</v>
      </c>
      <c r="D92" s="3595">
        <v>0</v>
      </c>
      <c r="E92" s="3593" t="s">
        <v>181</v>
      </c>
      <c r="F92" s="3593" t="s">
        <v>186</v>
      </c>
      <c r="G92" s="3594"/>
      <c r="H92" s="3594"/>
      <c r="I92" s="4156">
        <v>0</v>
      </c>
      <c r="J92" s="3574"/>
      <c r="K92" s="3574"/>
      <c r="L92" s="3574"/>
      <c r="M92" s="278" t="e">
        <f t="shared" si="7"/>
        <v>#DIV/0!</v>
      </c>
      <c r="N92" s="278" t="e">
        <f t="shared" si="8"/>
        <v>#DIV/0!</v>
      </c>
      <c r="O92" s="3548">
        <f t="shared" si="9"/>
        <v>0</v>
      </c>
      <c r="P92" s="3548">
        <f t="shared" si="10"/>
        <v>0</v>
      </c>
      <c r="Q92" s="3548">
        <f>IF(K92=0, 0, (HLOOKUP(K92,'[4]E-CESTDWO'!$A$5:$O$35,J92+1,FALSE)*R42))</f>
        <v>0</v>
      </c>
      <c r="R92" s="3548">
        <f>IF(K92=0, 0, (HLOOKUP(K92,'[4]E-CESTD'!$A$5:$O$35,J92+1,FALSE)*R42))</f>
        <v>0</v>
      </c>
      <c r="S92" s="3592">
        <v>1.081</v>
      </c>
      <c r="T92" s="4150">
        <f t="shared" si="11"/>
        <v>0</v>
      </c>
      <c r="U92" s="4150">
        <f t="shared" si="11"/>
        <v>0</v>
      </c>
      <c r="V92" s="4150">
        <f t="shared" si="11"/>
        <v>0</v>
      </c>
    </row>
    <row r="93" spans="2:25">
      <c r="B93" s="3593"/>
      <c r="C93" s="3593" t="s">
        <v>214</v>
      </c>
      <c r="D93" s="3595">
        <v>0</v>
      </c>
      <c r="E93" s="3593" t="s">
        <v>181</v>
      </c>
      <c r="F93" s="3593" t="s">
        <v>186</v>
      </c>
      <c r="G93" s="3594"/>
      <c r="H93" s="3594"/>
      <c r="I93" s="4156">
        <v>0</v>
      </c>
      <c r="J93" s="3574"/>
      <c r="K93" s="3574"/>
      <c r="L93" s="3574"/>
      <c r="M93" s="278" t="e">
        <f t="shared" si="7"/>
        <v>#DIV/0!</v>
      </c>
      <c r="N93" s="278" t="e">
        <f t="shared" si="8"/>
        <v>#DIV/0!</v>
      </c>
      <c r="O93" s="3548">
        <f t="shared" si="9"/>
        <v>0</v>
      </c>
      <c r="P93" s="3548">
        <f t="shared" si="10"/>
        <v>0</v>
      </c>
      <c r="Q93" s="3548">
        <f>IF(K93=0, 0, (HLOOKUP(K93,'[4]E-CESTDWO'!$A$5:$O$35,J93+1,FALSE)*R43))</f>
        <v>0</v>
      </c>
      <c r="R93" s="3548">
        <f>IF(K93=0, 0, (HLOOKUP(K93,'[4]E-CESTD'!$A$5:$O$35,J93+1,FALSE)*R43))</f>
        <v>0</v>
      </c>
      <c r="S93" s="3592">
        <v>1.081</v>
      </c>
      <c r="T93" s="4150">
        <f t="shared" si="11"/>
        <v>0</v>
      </c>
      <c r="U93" s="4150">
        <f t="shared" si="11"/>
        <v>0</v>
      </c>
      <c r="V93" s="4150">
        <f t="shared" si="11"/>
        <v>0</v>
      </c>
    </row>
    <row r="94" spans="2:25">
      <c r="B94" s="3593"/>
      <c r="C94" s="3593" t="s">
        <v>215</v>
      </c>
      <c r="D94" s="3595">
        <v>0</v>
      </c>
      <c r="E94" s="3593" t="s">
        <v>181</v>
      </c>
      <c r="F94" s="3593" t="s">
        <v>186</v>
      </c>
      <c r="G94" s="3594"/>
      <c r="H94" s="3594"/>
      <c r="I94" s="4156">
        <v>0</v>
      </c>
      <c r="J94" s="3574"/>
      <c r="K94" s="3574"/>
      <c r="L94" s="3574"/>
      <c r="M94" s="278" t="e">
        <f t="shared" si="7"/>
        <v>#DIV/0!</v>
      </c>
      <c r="N94" s="278" t="e">
        <f t="shared" si="8"/>
        <v>#DIV/0!</v>
      </c>
      <c r="O94" s="3548">
        <f t="shared" si="9"/>
        <v>0</v>
      </c>
      <c r="P94" s="3548">
        <f t="shared" si="10"/>
        <v>0</v>
      </c>
      <c r="Q94" s="3548">
        <f>IF(K94=0, 0, (HLOOKUP(K94,'[4]E-CESTDWO'!$A$5:$O$35,J94+1,FALSE)*R44))</f>
        <v>0</v>
      </c>
      <c r="R94" s="3548">
        <f>IF(K94=0, 0, (HLOOKUP(K94,'[4]E-CESTD'!$A$5:$O$35,J94+1,FALSE)*R44))</f>
        <v>0</v>
      </c>
      <c r="S94" s="3592">
        <v>1.081</v>
      </c>
      <c r="T94" s="4150">
        <f t="shared" si="11"/>
        <v>0</v>
      </c>
      <c r="U94" s="4150">
        <f t="shared" si="11"/>
        <v>0</v>
      </c>
      <c r="V94" s="4150">
        <f t="shared" si="11"/>
        <v>0</v>
      </c>
    </row>
    <row r="95" spans="2:25">
      <c r="B95" s="3593"/>
      <c r="C95" s="3593" t="s">
        <v>216</v>
      </c>
      <c r="D95" s="3595">
        <v>0</v>
      </c>
      <c r="E95" s="3593" t="s">
        <v>181</v>
      </c>
      <c r="F95" s="3593" t="s">
        <v>186</v>
      </c>
      <c r="G95" s="3594"/>
      <c r="H95" s="3594"/>
      <c r="I95" s="4156">
        <v>0</v>
      </c>
      <c r="J95" s="3574"/>
      <c r="K95" s="3574"/>
      <c r="L95" s="3574"/>
      <c r="M95" s="278" t="e">
        <f t="shared" si="7"/>
        <v>#DIV/0!</v>
      </c>
      <c r="N95" s="278" t="e">
        <f t="shared" si="8"/>
        <v>#DIV/0!</v>
      </c>
      <c r="O95" s="3548">
        <f t="shared" si="9"/>
        <v>0</v>
      </c>
      <c r="P95" s="3548">
        <f t="shared" si="10"/>
        <v>0</v>
      </c>
      <c r="Q95" s="3548">
        <f>IF(K95=0, 0, (HLOOKUP(K95,'[4]E-CESTDWO'!$A$5:$O$35,J95+1,FALSE)*R45))</f>
        <v>0</v>
      </c>
      <c r="R95" s="3548">
        <f>IF(K95=0, 0, (HLOOKUP(K95,'[4]E-CESTD'!$A$5:$O$35,J95+1,FALSE)*R45))</f>
        <v>0</v>
      </c>
      <c r="S95" s="3592">
        <v>1.081</v>
      </c>
      <c r="T95" s="4150">
        <f t="shared" si="11"/>
        <v>0</v>
      </c>
      <c r="U95" s="4150">
        <f t="shared" si="11"/>
        <v>0</v>
      </c>
      <c r="V95" s="4150">
        <f t="shared" si="11"/>
        <v>0</v>
      </c>
    </row>
    <row r="96" spans="2:25">
      <c r="B96" s="3593"/>
      <c r="C96" s="3593" t="s">
        <v>217</v>
      </c>
      <c r="D96" s="3595">
        <v>0</v>
      </c>
      <c r="E96" s="3593" t="s">
        <v>181</v>
      </c>
      <c r="F96" s="3593" t="s">
        <v>186</v>
      </c>
      <c r="G96" s="3594"/>
      <c r="H96" s="3594"/>
      <c r="I96" s="4156">
        <v>0</v>
      </c>
      <c r="J96" s="3574"/>
      <c r="K96" s="3574"/>
      <c r="L96" s="3574"/>
      <c r="M96" s="278" t="e">
        <f t="shared" si="7"/>
        <v>#DIV/0!</v>
      </c>
      <c r="N96" s="278" t="e">
        <f t="shared" si="8"/>
        <v>#DIV/0!</v>
      </c>
      <c r="O96" s="3548">
        <f t="shared" si="9"/>
        <v>0</v>
      </c>
      <c r="P96" s="3548">
        <f t="shared" si="10"/>
        <v>0</v>
      </c>
      <c r="Q96" s="3548">
        <f>IF(K96=0, 0, (HLOOKUP(K96,'[4]E-CESTDWO'!$A$5:$O$35,J96+1,FALSE)*R46))</f>
        <v>0</v>
      </c>
      <c r="R96" s="3548">
        <f>IF(K96=0, 0, (HLOOKUP(K96,'[4]E-CESTD'!$A$5:$O$35,J96+1,FALSE)*R46))</f>
        <v>0</v>
      </c>
      <c r="S96" s="3592">
        <v>1.081</v>
      </c>
      <c r="T96" s="4150">
        <f t="shared" si="11"/>
        <v>0</v>
      </c>
      <c r="U96" s="4150">
        <f t="shared" si="11"/>
        <v>0</v>
      </c>
      <c r="V96" s="4150">
        <f t="shared" si="11"/>
        <v>0</v>
      </c>
    </row>
    <row r="97" spans="2:22">
      <c r="B97" s="3593"/>
      <c r="C97" s="3593" t="s">
        <v>218</v>
      </c>
      <c r="D97" s="3595">
        <v>0</v>
      </c>
      <c r="E97" s="3593" t="s">
        <v>181</v>
      </c>
      <c r="F97" s="3593" t="s">
        <v>186</v>
      </c>
      <c r="G97" s="3594"/>
      <c r="H97" s="3594"/>
      <c r="I97" s="4156">
        <v>0</v>
      </c>
      <c r="J97" s="3574"/>
      <c r="K97" s="3574"/>
      <c r="L97" s="3574"/>
      <c r="M97" s="278" t="e">
        <f t="shared" si="7"/>
        <v>#DIV/0!</v>
      </c>
      <c r="N97" s="278" t="e">
        <f t="shared" si="8"/>
        <v>#DIV/0!</v>
      </c>
      <c r="O97" s="3548">
        <f t="shared" si="9"/>
        <v>0</v>
      </c>
      <c r="P97" s="3548">
        <f t="shared" si="10"/>
        <v>0</v>
      </c>
      <c r="Q97" s="3548">
        <f>IF(K97=0, 0, (HLOOKUP(K97,'[4]E-CESTDWO'!$A$5:$O$35,J97+1,FALSE)*R47))</f>
        <v>0</v>
      </c>
      <c r="R97" s="3548">
        <f>IF(K97=0, 0, (HLOOKUP(K97,'[4]E-CESTD'!$A$5:$O$35,J97+1,FALSE)*R47))</f>
        <v>0</v>
      </c>
      <c r="S97" s="3592">
        <v>1.081</v>
      </c>
      <c r="T97" s="4150">
        <f t="shared" si="11"/>
        <v>0</v>
      </c>
      <c r="U97" s="4150">
        <f t="shared" si="11"/>
        <v>0</v>
      </c>
      <c r="V97" s="4150">
        <f t="shared" si="11"/>
        <v>0</v>
      </c>
    </row>
    <row r="98" spans="2:22">
      <c r="B98" s="3593"/>
      <c r="C98" s="3593" t="s">
        <v>219</v>
      </c>
      <c r="D98" s="3595">
        <v>0</v>
      </c>
      <c r="E98" s="3593" t="s">
        <v>181</v>
      </c>
      <c r="F98" s="3593" t="s">
        <v>186</v>
      </c>
      <c r="G98" s="3594"/>
      <c r="H98" s="3594"/>
      <c r="I98" s="4156">
        <v>0</v>
      </c>
      <c r="J98" s="3574"/>
      <c r="K98" s="3574"/>
      <c r="L98" s="3574"/>
      <c r="M98" s="278" t="e">
        <f t="shared" si="7"/>
        <v>#DIV/0!</v>
      </c>
      <c r="N98" s="278" t="e">
        <f t="shared" si="8"/>
        <v>#DIV/0!</v>
      </c>
      <c r="O98" s="3548">
        <f t="shared" si="9"/>
        <v>0</v>
      </c>
      <c r="P98" s="3548">
        <f t="shared" si="10"/>
        <v>0</v>
      </c>
      <c r="Q98" s="3548">
        <f>IF(K98=0, 0, (HLOOKUP(K98,'[4]E-CESTDWO'!$A$5:$O$35,J98+1,FALSE)*R48))</f>
        <v>0</v>
      </c>
      <c r="R98" s="3548">
        <f>IF(K98=0, 0, (HLOOKUP(K98,'[4]E-CESTD'!$A$5:$O$35,J98+1,FALSE)*R48))</f>
        <v>0</v>
      </c>
      <c r="S98" s="3592">
        <v>1.081</v>
      </c>
      <c r="T98" s="4150">
        <f t="shared" si="11"/>
        <v>0</v>
      </c>
      <c r="U98" s="4150">
        <f t="shared" si="11"/>
        <v>0</v>
      </c>
      <c r="V98" s="4150">
        <f t="shared" si="11"/>
        <v>0</v>
      </c>
    </row>
    <row r="99" spans="2:22">
      <c r="B99" s="3593"/>
      <c r="C99" s="3593" t="s">
        <v>220</v>
      </c>
      <c r="D99" s="3595">
        <v>0</v>
      </c>
      <c r="E99" s="3593" t="s">
        <v>181</v>
      </c>
      <c r="F99" s="3593" t="s">
        <v>186</v>
      </c>
      <c r="G99" s="3594"/>
      <c r="H99" s="3594"/>
      <c r="I99" s="4156">
        <v>0</v>
      </c>
      <c r="J99" s="3574"/>
      <c r="K99" s="3574"/>
      <c r="L99" s="3574"/>
      <c r="M99" s="278" t="e">
        <f t="shared" si="7"/>
        <v>#DIV/0!</v>
      </c>
      <c r="N99" s="278" t="e">
        <f t="shared" si="8"/>
        <v>#DIV/0!</v>
      </c>
      <c r="O99" s="3548">
        <f t="shared" si="9"/>
        <v>0</v>
      </c>
      <c r="P99" s="3548">
        <f t="shared" si="10"/>
        <v>0</v>
      </c>
      <c r="Q99" s="3548">
        <f>IF(K99=0, 0, (HLOOKUP(K99,'[4]E-CESTDWO'!$A$5:$O$35,J99+1,FALSE)*R49))</f>
        <v>0</v>
      </c>
      <c r="R99" s="3548">
        <f>IF(K99=0, 0, (HLOOKUP(K99,'[4]E-CESTD'!$A$5:$O$35,J99+1,FALSE)*R49))</f>
        <v>0</v>
      </c>
      <c r="S99" s="3592">
        <v>1.081</v>
      </c>
      <c r="T99" s="4150">
        <f t="shared" si="11"/>
        <v>0</v>
      </c>
      <c r="U99" s="4150">
        <f t="shared" si="11"/>
        <v>0</v>
      </c>
      <c r="V99" s="4150">
        <f t="shared" si="11"/>
        <v>0</v>
      </c>
    </row>
    <row r="100" spans="2:22">
      <c r="B100" s="3593"/>
      <c r="C100" s="3593" t="s">
        <v>221</v>
      </c>
      <c r="D100" s="3595">
        <v>0</v>
      </c>
      <c r="E100" s="3593" t="s">
        <v>181</v>
      </c>
      <c r="F100" s="3593" t="s">
        <v>186</v>
      </c>
      <c r="G100" s="3594"/>
      <c r="H100" s="3594"/>
      <c r="I100" s="4156">
        <v>0</v>
      </c>
      <c r="J100" s="3574"/>
      <c r="K100" s="3574"/>
      <c r="L100" s="3574"/>
      <c r="M100" s="278" t="e">
        <f t="shared" si="7"/>
        <v>#DIV/0!</v>
      </c>
      <c r="N100" s="278" t="e">
        <f t="shared" si="8"/>
        <v>#DIV/0!</v>
      </c>
      <c r="O100" s="3548">
        <f t="shared" si="9"/>
        <v>0</v>
      </c>
      <c r="P100" s="3548">
        <f t="shared" si="10"/>
        <v>0</v>
      </c>
      <c r="Q100" s="3548">
        <f>IF(K100=0, 0, (HLOOKUP(K100,'[4]E-CESTDWO'!$A$5:$O$35,J100+1,FALSE)*R50))</f>
        <v>0</v>
      </c>
      <c r="R100" s="3548">
        <f>IF(K100=0, 0, (HLOOKUP(K100,'[4]E-CESTD'!$A$5:$O$35,J100+1,FALSE)*R50))</f>
        <v>0</v>
      </c>
      <c r="S100" s="3592">
        <v>1.081</v>
      </c>
      <c r="T100" s="4150">
        <f t="shared" si="11"/>
        <v>0</v>
      </c>
      <c r="U100" s="4150">
        <f t="shared" si="11"/>
        <v>0</v>
      </c>
      <c r="V100" s="4150">
        <f t="shared" si="11"/>
        <v>0</v>
      </c>
    </row>
    <row r="101" spans="2:22">
      <c r="B101" s="3593"/>
      <c r="C101" s="3593" t="s">
        <v>222</v>
      </c>
      <c r="D101" s="3595">
        <v>0</v>
      </c>
      <c r="E101" s="3593" t="s">
        <v>181</v>
      </c>
      <c r="F101" s="3593" t="s">
        <v>186</v>
      </c>
      <c r="G101" s="3594"/>
      <c r="H101" s="3594"/>
      <c r="I101" s="4156">
        <v>0</v>
      </c>
      <c r="J101" s="3574"/>
      <c r="K101" s="3574"/>
      <c r="L101" s="3574"/>
      <c r="M101" s="278" t="e">
        <f t="shared" si="7"/>
        <v>#DIV/0!</v>
      </c>
      <c r="N101" s="278" t="e">
        <f t="shared" si="8"/>
        <v>#DIV/0!</v>
      </c>
      <c r="O101" s="3548">
        <f t="shared" si="9"/>
        <v>0</v>
      </c>
      <c r="P101" s="3548">
        <f t="shared" si="10"/>
        <v>0</v>
      </c>
      <c r="Q101" s="3548">
        <f>IF(K101=0, 0, (HLOOKUP(K101,'[4]E-CESTDWO'!$A$5:$O$35,J101+1,FALSE)*R51))</f>
        <v>0</v>
      </c>
      <c r="R101" s="3548">
        <f>IF(K101=0, 0, (HLOOKUP(K101,'[4]E-CESTD'!$A$5:$O$35,J101+1,FALSE)*R51))</f>
        <v>0</v>
      </c>
      <c r="S101" s="3592">
        <v>1.081</v>
      </c>
      <c r="T101" s="4150">
        <f t="shared" si="11"/>
        <v>0</v>
      </c>
      <c r="U101" s="4150">
        <f t="shared" si="11"/>
        <v>0</v>
      </c>
      <c r="V101" s="4150">
        <f t="shared" si="11"/>
        <v>0</v>
      </c>
    </row>
    <row r="102" spans="2:22">
      <c r="B102" s="3593"/>
      <c r="C102" s="3593" t="s">
        <v>223</v>
      </c>
      <c r="D102" s="3595">
        <v>0</v>
      </c>
      <c r="E102" s="3593" t="s">
        <v>181</v>
      </c>
      <c r="F102" s="3593" t="s">
        <v>186</v>
      </c>
      <c r="G102" s="3594"/>
      <c r="H102" s="3594"/>
      <c r="I102" s="4156">
        <v>0</v>
      </c>
      <c r="J102" s="3574"/>
      <c r="K102" s="3574"/>
      <c r="L102" s="3574"/>
      <c r="M102" s="278" t="e">
        <f t="shared" si="7"/>
        <v>#DIV/0!</v>
      </c>
      <c r="N102" s="278" t="e">
        <f t="shared" si="8"/>
        <v>#DIV/0!</v>
      </c>
      <c r="O102" s="3548">
        <f t="shared" si="9"/>
        <v>0</v>
      </c>
      <c r="P102" s="3548">
        <f t="shared" si="10"/>
        <v>0</v>
      </c>
      <c r="Q102" s="3548">
        <f>IF(K102=0, 0, (HLOOKUP(K102,'[4]E-CESTDWO'!$A$5:$O$35,J102+1,FALSE)*R52))</f>
        <v>0</v>
      </c>
      <c r="R102" s="3548">
        <f>IF(K102=0, 0, (HLOOKUP(K102,'[4]E-CESTD'!$A$5:$O$35,J102+1,FALSE)*R52))</f>
        <v>0</v>
      </c>
      <c r="S102" s="3592">
        <v>1.081</v>
      </c>
      <c r="T102" s="4150">
        <f t="shared" si="11"/>
        <v>0</v>
      </c>
      <c r="U102" s="4150">
        <f t="shared" si="11"/>
        <v>0</v>
      </c>
      <c r="V102" s="4150">
        <f t="shared" si="11"/>
        <v>0</v>
      </c>
    </row>
    <row r="103" spans="2:22">
      <c r="B103" s="3593"/>
      <c r="C103" s="3593" t="s">
        <v>224</v>
      </c>
      <c r="D103" s="3595">
        <v>0</v>
      </c>
      <c r="E103" s="3593" t="s">
        <v>181</v>
      </c>
      <c r="F103" s="3593" t="s">
        <v>186</v>
      </c>
      <c r="G103" s="3594"/>
      <c r="H103" s="3594"/>
      <c r="I103" s="4156">
        <v>0</v>
      </c>
      <c r="J103" s="3574"/>
      <c r="K103" s="3574"/>
      <c r="L103" s="3574"/>
      <c r="M103" s="278" t="e">
        <f t="shared" si="7"/>
        <v>#DIV/0!</v>
      </c>
      <c r="N103" s="278" t="e">
        <f t="shared" si="8"/>
        <v>#DIV/0!</v>
      </c>
      <c r="O103" s="3548">
        <f t="shared" si="9"/>
        <v>0</v>
      </c>
      <c r="P103" s="3548">
        <f t="shared" si="10"/>
        <v>0</v>
      </c>
      <c r="Q103" s="3548">
        <f>IF(K103=0, 0, (HLOOKUP(K103,'[4]E-CESTDWO'!$A$5:$O$35,J103+1,FALSE)*R53))</f>
        <v>0</v>
      </c>
      <c r="R103" s="3548">
        <f>IF(K103=0, 0, (HLOOKUP(K103,'[4]E-CESTD'!$A$5:$O$35,J103+1,FALSE)*R53))</f>
        <v>0</v>
      </c>
      <c r="S103" s="3592">
        <v>1.081</v>
      </c>
      <c r="T103" s="4150">
        <f t="shared" si="11"/>
        <v>0</v>
      </c>
      <c r="U103" s="4150">
        <f t="shared" si="11"/>
        <v>0</v>
      </c>
      <c r="V103" s="4150">
        <f t="shared" si="11"/>
        <v>0</v>
      </c>
    </row>
    <row r="104" spans="2:22">
      <c r="B104" s="3593"/>
      <c r="C104" s="3593" t="s">
        <v>225</v>
      </c>
      <c r="D104" s="3595">
        <v>0</v>
      </c>
      <c r="E104" s="3593" t="s">
        <v>181</v>
      </c>
      <c r="F104" s="3593" t="s">
        <v>186</v>
      </c>
      <c r="G104" s="3594"/>
      <c r="H104" s="3594"/>
      <c r="I104" s="4156">
        <v>0</v>
      </c>
      <c r="J104" s="3574"/>
      <c r="K104" s="3574"/>
      <c r="L104" s="3574"/>
      <c r="M104" s="278" t="e">
        <f t="shared" si="7"/>
        <v>#DIV/0!</v>
      </c>
      <c r="N104" s="278" t="e">
        <f t="shared" si="8"/>
        <v>#DIV/0!</v>
      </c>
      <c r="O104" s="3548">
        <f t="shared" si="9"/>
        <v>0</v>
      </c>
      <c r="P104" s="3548">
        <f t="shared" si="10"/>
        <v>0</v>
      </c>
      <c r="Q104" s="3548">
        <f>IF(K104=0, 0, (HLOOKUP(K104,'[4]E-CESTDWO'!$A$5:$O$35,J104+1,FALSE)*R54))</f>
        <v>0</v>
      </c>
      <c r="R104" s="3548">
        <f>IF(K104=0, 0, (HLOOKUP(K104,'[4]E-CESTD'!$A$5:$O$35,J104+1,FALSE)*R54))</f>
        <v>0</v>
      </c>
      <c r="S104" s="3592">
        <v>1.081</v>
      </c>
      <c r="T104" s="4150">
        <f t="shared" si="11"/>
        <v>0</v>
      </c>
      <c r="U104" s="4150">
        <f t="shared" si="11"/>
        <v>0</v>
      </c>
      <c r="V104" s="4150">
        <f t="shared" si="11"/>
        <v>0</v>
      </c>
    </row>
    <row r="105" spans="2:22" ht="13.5" thickBot="1">
      <c r="B105" s="3593"/>
      <c r="C105" s="3593" t="s">
        <v>226</v>
      </c>
      <c r="D105" s="3595">
        <v>0</v>
      </c>
      <c r="E105" s="3593" t="s">
        <v>181</v>
      </c>
      <c r="F105" s="3593" t="s">
        <v>186</v>
      </c>
      <c r="G105" s="3594"/>
      <c r="H105" s="3594"/>
      <c r="I105" s="4156">
        <v>0</v>
      </c>
      <c r="J105" s="3574"/>
      <c r="K105" s="3574"/>
      <c r="L105" s="3574"/>
      <c r="M105" s="278" t="e">
        <f t="shared" si="7"/>
        <v>#DIV/0!</v>
      </c>
      <c r="N105" s="278" t="e">
        <f t="shared" si="8"/>
        <v>#DIV/0!</v>
      </c>
      <c r="O105" s="3548">
        <f t="shared" si="9"/>
        <v>0</v>
      </c>
      <c r="P105" s="3548">
        <f t="shared" si="10"/>
        <v>0</v>
      </c>
      <c r="Q105" s="3548">
        <f>IF(K105=0, 0, (HLOOKUP(K105,'[4]E-CESTDWO'!$A$5:$O$35,J105+1,FALSE)*R55))</f>
        <v>0</v>
      </c>
      <c r="R105" s="3548">
        <f>IF(K105=0, 0, (HLOOKUP(K105,'[4]E-CESTD'!$A$5:$O$35,J105+1,FALSE)*R55))</f>
        <v>0</v>
      </c>
      <c r="S105" s="3592">
        <v>1.081</v>
      </c>
      <c r="T105" s="4150">
        <f t="shared" si="11"/>
        <v>0</v>
      </c>
      <c r="U105" s="4150">
        <f t="shared" si="11"/>
        <v>0</v>
      </c>
      <c r="V105" s="4150">
        <f t="shared" si="11"/>
        <v>0</v>
      </c>
    </row>
    <row r="106" spans="2:22" ht="13.5" thickBot="1">
      <c r="G106" s="3596">
        <f>SUMPRODUCT(G64:G105,O14:O55)</f>
        <v>741140.27802919003</v>
      </c>
      <c r="H106" s="3597">
        <f>V106</f>
        <v>741140.27802919003</v>
      </c>
      <c r="I106" s="3598">
        <f>SUM(I64:I105)</f>
        <v>0.99999999999999989</v>
      </c>
      <c r="J106" s="3599">
        <f>ROUND(SUMPRODUCT(J64:J105,R14:R55)/R56,0)</f>
        <v>15</v>
      </c>
      <c r="K106" s="3580" t="s">
        <v>260</v>
      </c>
      <c r="L106" s="3580">
        <f>SUM(L64:L105)</f>
        <v>440024.55</v>
      </c>
      <c r="M106" s="290">
        <f t="shared" si="7"/>
        <v>5.7233860660562854</v>
      </c>
      <c r="N106" s="278">
        <f t="shared" si="8"/>
        <v>6.8894162971187471</v>
      </c>
      <c r="O106" s="292">
        <f>SUM(O64:O105)</f>
        <v>685630.7567337557</v>
      </c>
      <c r="P106" s="292">
        <f>SUM(P64:P105)</f>
        <v>685630.7567337557</v>
      </c>
      <c r="Q106" s="292">
        <f>SUM(Q64:Q105)</f>
        <v>3924129.519549604</v>
      </c>
      <c r="R106" s="292">
        <f>SUM(R64:R105)</f>
        <v>4316542.4715045644</v>
      </c>
      <c r="S106" s="3600">
        <v>1.081</v>
      </c>
      <c r="T106" s="3601">
        <f>SUM(T64:T105)</f>
        <v>0</v>
      </c>
      <c r="U106" s="3601">
        <f>SUM(U64:U105)</f>
        <v>741140.27802919003</v>
      </c>
      <c r="V106" s="3601">
        <f>SUM(V64:V105)</f>
        <v>741140.27802919003</v>
      </c>
    </row>
  </sheetData>
  <sheetProtection password="9E1F" sheet="1" objects="1" scenarios="1"/>
  <customSheetViews>
    <customSheetView guid="{074EB09C-6289-46D7-9513-012B68BCA7BF}">
      <pane xSplit="1" ySplit="1" topLeftCell="B2" activePane="bottomRight" state="frozen"/>
      <selection pane="bottomRight" activeCell="C27" sqref="C27"/>
      <pageMargins left="0.7" right="0.7" top="0.75" bottom="0.75" header="0.3" footer="0.3"/>
    </customSheetView>
    <customSheetView guid="{AF9F1D33-B8C2-423F-86A1-47612B8F532C}">
      <pane xSplit="1" ySplit="1" topLeftCell="J2" activePane="bottomRight" state="frozenSplit"/>
      <selection pane="bottomRight"/>
      <pageMargins left="0.7" right="0.7" top="0.75" bottom="0.75" header="0.3" footer="0.3"/>
    </customSheetView>
  </customSheetViews>
  <mergeCells count="16">
    <mergeCell ref="Q3:R3"/>
    <mergeCell ref="S3:U3"/>
    <mergeCell ref="V3:V4"/>
    <mergeCell ref="D11:E11"/>
    <mergeCell ref="I11:L11"/>
    <mergeCell ref="M11:N11"/>
    <mergeCell ref="B62:K62"/>
    <mergeCell ref="L62:R62"/>
    <mergeCell ref="S62:U62"/>
    <mergeCell ref="V62:X62"/>
    <mergeCell ref="C12:F12"/>
    <mergeCell ref="I12:L12"/>
    <mergeCell ref="M12:O12"/>
    <mergeCell ref="P12:R12"/>
    <mergeCell ref="I13:K13"/>
    <mergeCell ref="D61:H61"/>
  </mergeCells>
  <pageMargins left="0.7" right="0.23" top="0.32" bottom="0.34" header="0.3" footer="0.3"/>
  <pageSetup paperSize="3" scale="46" orientation="landscape" r:id="rId1"/>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sheetPr enableFormatConditionsCalculation="0">
    <tabColor theme="2" tint="-0.499984740745262"/>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28515625" style="3064" customWidth="1"/>
    <col min="2" max="2" width="19" bestFit="1" customWidth="1"/>
    <col min="3" max="3" width="39.42578125" customWidth="1"/>
    <col min="4" max="4" width="17" style="19" customWidth="1"/>
    <col min="5" max="5" width="17" customWidth="1"/>
    <col min="6" max="6" width="17.140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28515625" bestFit="1" customWidth="1"/>
    <col min="261" max="261" width="15.285156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28515625" bestFit="1" customWidth="1"/>
    <col min="517" max="517" width="15.285156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28515625" bestFit="1" customWidth="1"/>
    <col min="773" max="773" width="15.285156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28515625" bestFit="1" customWidth="1"/>
    <col min="1029" max="1029" width="15.285156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28515625" bestFit="1" customWidth="1"/>
    <col min="1285" max="1285" width="15.285156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28515625" bestFit="1" customWidth="1"/>
    <col min="1541" max="1541" width="15.285156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28515625" bestFit="1" customWidth="1"/>
    <col min="1797" max="1797" width="15.285156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28515625" bestFit="1" customWidth="1"/>
    <col min="2053" max="2053" width="15.285156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28515625" bestFit="1" customWidth="1"/>
    <col min="2309" max="2309" width="15.285156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28515625" bestFit="1" customWidth="1"/>
    <col min="2565" max="2565" width="15.285156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28515625" bestFit="1" customWidth="1"/>
    <col min="2821" max="2821" width="15.285156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28515625" bestFit="1" customWidth="1"/>
    <col min="3077" max="3077" width="15.285156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28515625" bestFit="1" customWidth="1"/>
    <col min="3333" max="3333" width="15.285156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28515625" bestFit="1" customWidth="1"/>
    <col min="3589" max="3589" width="15.285156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28515625" bestFit="1" customWidth="1"/>
    <col min="3845" max="3845" width="15.285156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28515625" bestFit="1" customWidth="1"/>
    <col min="4101" max="4101" width="15.285156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28515625" bestFit="1" customWidth="1"/>
    <col min="4357" max="4357" width="15.285156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28515625" bestFit="1" customWidth="1"/>
    <col min="4613" max="4613" width="15.285156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28515625" bestFit="1" customWidth="1"/>
    <col min="4869" max="4869" width="15.285156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28515625" bestFit="1" customWidth="1"/>
    <col min="5125" max="5125" width="15.285156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28515625" bestFit="1" customWidth="1"/>
    <col min="5381" max="5381" width="15.285156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28515625" bestFit="1" customWidth="1"/>
    <col min="5637" max="5637" width="15.285156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28515625" bestFit="1" customWidth="1"/>
    <col min="5893" max="5893" width="15.285156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28515625" bestFit="1" customWidth="1"/>
    <col min="6149" max="6149" width="15.285156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28515625" bestFit="1" customWidth="1"/>
    <col min="6405" max="6405" width="15.285156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28515625" bestFit="1" customWidth="1"/>
    <col min="6661" max="6661" width="15.285156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28515625" bestFit="1" customWidth="1"/>
    <col min="6917" max="6917" width="15.285156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28515625" bestFit="1" customWidth="1"/>
    <col min="7173" max="7173" width="15.285156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28515625" bestFit="1" customWidth="1"/>
    <col min="7429" max="7429" width="15.285156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28515625" bestFit="1" customWidth="1"/>
    <col min="7685" max="7685" width="15.285156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28515625" bestFit="1" customWidth="1"/>
    <col min="7941" max="7941" width="15.285156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28515625" bestFit="1" customWidth="1"/>
    <col min="8197" max="8197" width="15.285156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28515625" bestFit="1" customWidth="1"/>
    <col min="8453" max="8453" width="15.285156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28515625" bestFit="1" customWidth="1"/>
    <col min="8709" max="8709" width="15.285156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28515625" bestFit="1" customWidth="1"/>
    <col min="8965" max="8965" width="15.285156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28515625" bestFit="1" customWidth="1"/>
    <col min="9221" max="9221" width="15.285156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28515625" bestFit="1" customWidth="1"/>
    <col min="9477" max="9477" width="15.285156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28515625" bestFit="1" customWidth="1"/>
    <col min="9733" max="9733" width="15.285156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28515625" bestFit="1" customWidth="1"/>
    <col min="9989" max="9989" width="15.285156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28515625" bestFit="1" customWidth="1"/>
    <col min="10245" max="10245" width="15.285156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28515625" bestFit="1" customWidth="1"/>
    <col min="10501" max="10501" width="15.285156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28515625" bestFit="1" customWidth="1"/>
    <col min="10757" max="10757" width="15.285156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28515625" bestFit="1" customWidth="1"/>
    <col min="11013" max="11013" width="15.285156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28515625" bestFit="1" customWidth="1"/>
    <col min="11269" max="11269" width="15.285156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28515625" bestFit="1" customWidth="1"/>
    <col min="11525" max="11525" width="15.285156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28515625" bestFit="1" customWidth="1"/>
    <col min="11781" max="11781" width="15.285156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28515625" bestFit="1" customWidth="1"/>
    <col min="12037" max="12037" width="15.285156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28515625" bestFit="1" customWidth="1"/>
    <col min="12293" max="12293" width="15.285156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28515625" bestFit="1" customWidth="1"/>
    <col min="12549" max="12549" width="15.285156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28515625" bestFit="1" customWidth="1"/>
    <col min="12805" max="12805" width="15.285156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28515625" bestFit="1" customWidth="1"/>
    <col min="13061" max="13061" width="15.285156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28515625" bestFit="1" customWidth="1"/>
    <col min="13317" max="13317" width="15.285156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28515625" bestFit="1" customWidth="1"/>
    <col min="13573" max="13573" width="15.285156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28515625" bestFit="1" customWidth="1"/>
    <col min="13829" max="13829" width="15.285156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28515625" bestFit="1" customWidth="1"/>
    <col min="14085" max="14085" width="15.285156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28515625" bestFit="1" customWidth="1"/>
    <col min="14341" max="14341" width="15.285156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28515625" bestFit="1" customWidth="1"/>
    <col min="14597" max="14597" width="15.285156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28515625" bestFit="1" customWidth="1"/>
    <col min="14853" max="14853" width="15.285156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28515625" bestFit="1" customWidth="1"/>
    <col min="15109" max="15109" width="15.285156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28515625" bestFit="1" customWidth="1"/>
    <col min="15365" max="15365" width="15.285156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28515625" bestFit="1" customWidth="1"/>
    <col min="15621" max="15621" width="15.285156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28515625" bestFit="1" customWidth="1"/>
    <col min="15877" max="15877" width="15.285156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28515625" bestFit="1" customWidth="1"/>
    <col min="16133" max="16133" width="15.285156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3.5" customHeight="1" thickBot="1">
      <c r="B1" s="3461"/>
      <c r="F1" s="198"/>
      <c r="G1" s="198">
        <f>C3</f>
        <v>18230461</v>
      </c>
      <c r="H1" s="198" t="str">
        <f>C4</f>
        <v>Home Energy Reports E</v>
      </c>
      <c r="I1" s="198"/>
    </row>
    <row r="2" spans="2:22" ht="16.5" thickBot="1">
      <c r="B2" s="198" t="s">
        <v>109</v>
      </c>
      <c r="C2" s="4360" t="s">
        <v>227</v>
      </c>
      <c r="D2" s="4971"/>
      <c r="G2" s="200" t="s">
        <v>8</v>
      </c>
      <c r="Q2" s="5133"/>
      <c r="R2" s="5133"/>
      <c r="S2" s="5124" t="s">
        <v>110</v>
      </c>
      <c r="T2" s="5125"/>
      <c r="U2" s="5126"/>
      <c r="V2" s="5118" t="s">
        <v>111</v>
      </c>
    </row>
    <row r="3" spans="2:22" ht="16.5" thickBot="1">
      <c r="B3" s="199" t="s">
        <v>6</v>
      </c>
      <c r="C3" s="4970">
        <v>18230461</v>
      </c>
      <c r="D3" s="4971"/>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547</v>
      </c>
      <c r="F4" s="198">
        <v>2011</v>
      </c>
      <c r="G4" s="206">
        <f>B13</f>
        <v>16140</v>
      </c>
      <c r="H4" s="207">
        <f>B18</f>
        <v>2400</v>
      </c>
      <c r="I4" s="207">
        <f>B23</f>
        <v>11680</v>
      </c>
      <c r="J4" s="207">
        <f>B28</f>
        <v>6000</v>
      </c>
      <c r="K4" s="207">
        <f>B33</f>
        <v>1200</v>
      </c>
      <c r="L4" s="207">
        <f>B38</f>
        <v>400404</v>
      </c>
      <c r="M4" s="207">
        <f>B43</f>
        <v>0</v>
      </c>
      <c r="N4" s="207">
        <f>B48</f>
        <v>1800</v>
      </c>
      <c r="O4" s="207">
        <f>B53</f>
        <v>327302</v>
      </c>
      <c r="P4" s="207">
        <f>B54</f>
        <v>0</v>
      </c>
      <c r="Q4" s="209">
        <f>B55</f>
        <v>766926</v>
      </c>
      <c r="R4" s="210">
        <f>T55</f>
        <v>0</v>
      </c>
      <c r="S4" s="316">
        <f>O4/Q4</f>
        <v>0.42677129214552645</v>
      </c>
      <c r="T4" s="316">
        <f>(J4+(H4*1.63))/Q4</f>
        <v>1.2924323859146776E-2</v>
      </c>
      <c r="U4" s="316">
        <f>L4/Q4</f>
        <v>0.52208948451349935</v>
      </c>
      <c r="V4" s="212" t="e">
        <f>Q4/R4</f>
        <v>#DIV/0!</v>
      </c>
    </row>
    <row r="5" spans="2:22" ht="16.5" thickBot="1">
      <c r="B5" s="198" t="s">
        <v>33</v>
      </c>
      <c r="F5" s="198">
        <v>2012</v>
      </c>
      <c r="G5" s="213">
        <f>D13</f>
        <v>19454.400000000001</v>
      </c>
      <c r="H5" s="214">
        <f>D18</f>
        <v>6000</v>
      </c>
      <c r="I5" s="214">
        <f>D23</f>
        <v>16036.272000000001</v>
      </c>
      <c r="J5" s="214">
        <f>D28</f>
        <v>0</v>
      </c>
      <c r="K5" s="214">
        <f>D33</f>
        <v>0</v>
      </c>
      <c r="L5" s="214">
        <f>D38</f>
        <v>86681</v>
      </c>
      <c r="M5" s="214">
        <f>D43</f>
        <v>0</v>
      </c>
      <c r="N5" s="214">
        <f>D48</f>
        <v>0</v>
      </c>
      <c r="O5" s="214">
        <f>D53</f>
        <v>86681</v>
      </c>
      <c r="P5" s="214">
        <f>D54</f>
        <v>0</v>
      </c>
      <c r="Q5" s="215">
        <f>SUM(G5:P5)</f>
        <v>214852.67200000002</v>
      </c>
      <c r="R5" s="216">
        <f>P55</f>
        <v>5498052</v>
      </c>
      <c r="S5" s="317">
        <f>O5/Q5</f>
        <v>0.40344390038584205</v>
      </c>
      <c r="T5" s="317">
        <f>(J5+(H5*1.63))/Q5</f>
        <v>4.5519564215612825E-2</v>
      </c>
      <c r="U5" s="317">
        <f>L5/Q5</f>
        <v>0.40344390038584205</v>
      </c>
      <c r="V5" s="218">
        <f>Q5/R5</f>
        <v>3.9077962885763907E-2</v>
      </c>
    </row>
    <row r="6" spans="2:22" s="3532" customFormat="1" ht="16.5" thickBot="1">
      <c r="B6" s="3536"/>
      <c r="D6" s="3533"/>
      <c r="F6" s="4249" t="s">
        <v>1168</v>
      </c>
      <c r="G6" s="4241">
        <v>20038.025000000001</v>
      </c>
      <c r="H6" s="4242">
        <v>6150</v>
      </c>
      <c r="I6" s="4242">
        <v>16498.455750000001</v>
      </c>
      <c r="J6" s="4242">
        <v>0</v>
      </c>
      <c r="K6" s="4242">
        <v>0</v>
      </c>
      <c r="L6" s="4242">
        <v>173362</v>
      </c>
      <c r="M6" s="4242">
        <v>0</v>
      </c>
      <c r="N6" s="4242">
        <v>0</v>
      </c>
      <c r="O6" s="4242">
        <v>0</v>
      </c>
      <c r="P6" s="4242">
        <v>0</v>
      </c>
      <c r="Q6" s="4243">
        <v>216048.48074999999</v>
      </c>
      <c r="R6" s="219">
        <v>5498052</v>
      </c>
      <c r="S6" s="3637">
        <v>0</v>
      </c>
      <c r="T6" s="3637">
        <v>4.6399307994208147E-2</v>
      </c>
      <c r="U6" s="3637">
        <v>0.80242174996178495</v>
      </c>
      <c r="V6" s="3498">
        <v>3.929545969190542E-2</v>
      </c>
    </row>
    <row r="7" spans="2:22" ht="16.5" thickBot="1">
      <c r="C7" s="198" t="s">
        <v>373</v>
      </c>
      <c r="F7" s="4191" t="s">
        <v>1169</v>
      </c>
      <c r="G7" s="4192">
        <f>E13</f>
        <v>20038.025000000001</v>
      </c>
      <c r="H7" s="4193">
        <f>E18</f>
        <v>6150</v>
      </c>
      <c r="I7" s="4193">
        <f>E23</f>
        <v>18514.933675</v>
      </c>
      <c r="J7" s="4193">
        <f>E28</f>
        <v>0</v>
      </c>
      <c r="K7" s="4193">
        <f>E33</f>
        <v>0</v>
      </c>
      <c r="L7" s="4193">
        <f>E38</f>
        <v>86681</v>
      </c>
      <c r="M7" s="4193">
        <f>E43</f>
        <v>0</v>
      </c>
      <c r="N7" s="4193">
        <f>E48</f>
        <v>0</v>
      </c>
      <c r="O7" s="4193">
        <f>E53</f>
        <v>86681</v>
      </c>
      <c r="P7" s="4193">
        <f>E54</f>
        <v>0</v>
      </c>
      <c r="Q7" s="4244">
        <f>SUM(G7:P7)</f>
        <v>218064.958675</v>
      </c>
      <c r="R7" s="4245">
        <f>Q55</f>
        <v>5498052</v>
      </c>
      <c r="S7" s="317">
        <f>O7/Q7</f>
        <v>0.39750082052012659</v>
      </c>
      <c r="T7" s="317">
        <f>(J7+(H7*1.63))/Q7</f>
        <v>4.5970246943436384E-2</v>
      </c>
      <c r="U7" s="317">
        <f>L7/Q7</f>
        <v>0.39750082052012659</v>
      </c>
      <c r="V7" s="218">
        <f>Q7/R7</f>
        <v>3.9662221942426155E-2</v>
      </c>
    </row>
    <row r="8" spans="2:22" ht="16.5" thickBot="1">
      <c r="C8" s="220"/>
      <c r="F8" s="221" t="s">
        <v>1170</v>
      </c>
      <c r="G8" s="222">
        <f>SUM(G5+G7)</f>
        <v>39492.425000000003</v>
      </c>
      <c r="H8" s="222">
        <f t="shared" ref="H8:Q8" si="0">SUM(H5+H7)</f>
        <v>12150</v>
      </c>
      <c r="I8" s="222">
        <f t="shared" si="0"/>
        <v>34551.205675000005</v>
      </c>
      <c r="J8" s="222">
        <f t="shared" si="0"/>
        <v>0</v>
      </c>
      <c r="K8" s="222">
        <f t="shared" si="0"/>
        <v>0</v>
      </c>
      <c r="L8" s="222">
        <f t="shared" si="0"/>
        <v>173362</v>
      </c>
      <c r="M8" s="222">
        <f t="shared" si="0"/>
        <v>0</v>
      </c>
      <c r="N8" s="222">
        <f t="shared" si="0"/>
        <v>0</v>
      </c>
      <c r="O8" s="222">
        <f t="shared" si="0"/>
        <v>173362</v>
      </c>
      <c r="P8" s="222">
        <f t="shared" si="0"/>
        <v>0</v>
      </c>
      <c r="Q8" s="4248">
        <f t="shared" si="0"/>
        <v>432917.63067500002</v>
      </c>
      <c r="R8" s="223">
        <f>SUM(R5+R7)</f>
        <v>10996104</v>
      </c>
      <c r="S8" s="317">
        <f>O8/Q8</f>
        <v>0.40045031136684367</v>
      </c>
      <c r="T8" s="317">
        <f>(J8+(H8*1.63))/Q8</f>
        <v>4.5746577632149239E-2</v>
      </c>
      <c r="U8" s="317">
        <f>L8/Q8</f>
        <v>0.40045031136684367</v>
      </c>
      <c r="V8" s="218">
        <f>Q8/R8</f>
        <v>3.9370092414095031E-2</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16140</v>
      </c>
      <c r="C13" s="236" t="s">
        <v>138</v>
      </c>
      <c r="D13" s="237">
        <f>SUM(D14:D17)</f>
        <v>19454.400000000001</v>
      </c>
      <c r="E13" s="237">
        <f>SUM(E14:E17)</f>
        <v>20038.025000000001</v>
      </c>
      <c r="F13" s="238">
        <f>D13+E13</f>
        <v>39492.425000000003</v>
      </c>
      <c r="H13" s="132"/>
      <c r="I13" s="239" t="str">
        <f t="shared" ref="I13:I54" si="1">C63</f>
        <v>Home Energy Reports - OPOWER</v>
      </c>
      <c r="J13" s="240"/>
      <c r="K13" s="241"/>
      <c r="L13" s="242">
        <f t="shared" ref="L13:L54" si="2">D63</f>
        <v>222</v>
      </c>
      <c r="M13" s="257">
        <v>24766</v>
      </c>
      <c r="N13" s="257">
        <v>24766</v>
      </c>
      <c r="O13" s="244">
        <f>M13+N13</f>
        <v>49532</v>
      </c>
      <c r="P13" s="245">
        <f t="shared" ref="P13:R28" si="3">M13*$D63</f>
        <v>5498052</v>
      </c>
      <c r="Q13" s="245">
        <f t="shared" si="3"/>
        <v>5498052</v>
      </c>
      <c r="R13" s="246">
        <f t="shared" si="3"/>
        <v>10996104</v>
      </c>
      <c r="T13" s="4891"/>
    </row>
    <row r="14" spans="2:22">
      <c r="B14" s="247"/>
      <c r="C14" s="248" t="s">
        <v>239</v>
      </c>
      <c r="D14" s="249">
        <v>11116.8</v>
      </c>
      <c r="E14" s="249">
        <v>11450.3</v>
      </c>
      <c r="F14" s="249">
        <f>SUM(D14:E14)</f>
        <v>22567.1</v>
      </c>
      <c r="H14" s="132"/>
      <c r="I14" s="250" t="str">
        <f t="shared" si="1"/>
        <v>Personal Energy Efficiency Rewards - Efficiency 2.0</v>
      </c>
      <c r="J14" s="251"/>
      <c r="K14" s="252"/>
      <c r="L14" s="242">
        <f t="shared" si="2"/>
        <v>0</v>
      </c>
      <c r="M14" s="257">
        <v>0</v>
      </c>
      <c r="N14" s="4444">
        <v>0</v>
      </c>
      <c r="O14" s="244">
        <f t="shared" ref="O14:O54" si="4">M14+N14</f>
        <v>0</v>
      </c>
      <c r="P14" s="245">
        <f t="shared" si="3"/>
        <v>0</v>
      </c>
      <c r="Q14" s="245">
        <f t="shared" si="3"/>
        <v>0</v>
      </c>
      <c r="R14" s="246">
        <f t="shared" si="3"/>
        <v>0</v>
      </c>
      <c r="T14" s="4891"/>
    </row>
    <row r="15" spans="2:22">
      <c r="B15" s="254"/>
      <c r="C15" s="255" t="s">
        <v>376</v>
      </c>
      <c r="D15" s="249">
        <v>0</v>
      </c>
      <c r="E15" s="249">
        <v>0</v>
      </c>
      <c r="F15" s="249">
        <f t="shared" ref="F15:F25" si="5">SUM(D15:E15)</f>
        <v>0</v>
      </c>
      <c r="H15" s="132"/>
      <c r="I15" s="250" t="str">
        <f t="shared" si="1"/>
        <v>Measure 3</v>
      </c>
      <c r="J15" s="251"/>
      <c r="K15" s="252"/>
      <c r="L15" s="242">
        <f t="shared" si="2"/>
        <v>0</v>
      </c>
      <c r="M15" s="257">
        <v>0</v>
      </c>
      <c r="N15" s="257">
        <v>0</v>
      </c>
      <c r="O15" s="244">
        <f t="shared" si="4"/>
        <v>0</v>
      </c>
      <c r="P15" s="245">
        <f t="shared" si="3"/>
        <v>0</v>
      </c>
      <c r="Q15" s="245">
        <f t="shared" si="3"/>
        <v>0</v>
      </c>
      <c r="R15" s="246">
        <f t="shared" si="3"/>
        <v>0</v>
      </c>
      <c r="T15" s="4891"/>
    </row>
    <row r="16" spans="2:22">
      <c r="B16" s="254"/>
      <c r="C16" s="255" t="s">
        <v>377</v>
      </c>
      <c r="D16" s="258">
        <v>8337.6</v>
      </c>
      <c r="E16" s="258">
        <v>8587.7250000000004</v>
      </c>
      <c r="F16" s="249">
        <f t="shared" si="5"/>
        <v>16925.325000000001</v>
      </c>
      <c r="H16" s="132"/>
      <c r="I16" s="250" t="str">
        <f t="shared" si="1"/>
        <v>Measure 4</v>
      </c>
      <c r="J16" s="251"/>
      <c r="K16" s="252"/>
      <c r="L16" s="242">
        <f t="shared" si="2"/>
        <v>0</v>
      </c>
      <c r="M16" s="257">
        <v>0</v>
      </c>
      <c r="N16" s="257">
        <v>0</v>
      </c>
      <c r="O16" s="244">
        <f t="shared" si="4"/>
        <v>0</v>
      </c>
      <c r="P16" s="245">
        <f t="shared" si="3"/>
        <v>0</v>
      </c>
      <c r="Q16" s="245">
        <f t="shared" si="3"/>
        <v>0</v>
      </c>
      <c r="R16" s="246">
        <f t="shared" si="3"/>
        <v>0</v>
      </c>
      <c r="T16" s="4891"/>
    </row>
    <row r="17" spans="2:20" ht="13.5" thickBot="1">
      <c r="B17" s="254"/>
      <c r="C17" s="255" t="s">
        <v>378</v>
      </c>
      <c r="D17" s="258">
        <v>0</v>
      </c>
      <c r="E17" s="258">
        <v>0</v>
      </c>
      <c r="F17" s="249">
        <f t="shared" si="5"/>
        <v>0</v>
      </c>
      <c r="H17" s="132"/>
      <c r="I17" s="250" t="str">
        <f t="shared" si="1"/>
        <v>Measure 5</v>
      </c>
      <c r="J17" s="251"/>
      <c r="K17" s="252"/>
      <c r="L17" s="242">
        <f t="shared" si="2"/>
        <v>0</v>
      </c>
      <c r="M17" s="257">
        <v>0</v>
      </c>
      <c r="N17" s="257">
        <v>0</v>
      </c>
      <c r="O17" s="244">
        <f t="shared" si="4"/>
        <v>0</v>
      </c>
      <c r="P17" s="245">
        <f t="shared" si="3"/>
        <v>0</v>
      </c>
      <c r="Q17" s="245">
        <f t="shared" si="3"/>
        <v>0</v>
      </c>
      <c r="R17" s="246">
        <f t="shared" si="3"/>
        <v>0</v>
      </c>
      <c r="T17" s="4891"/>
    </row>
    <row r="18" spans="2:20" ht="13.5" thickBot="1">
      <c r="B18" s="262">
        <v>2400</v>
      </c>
      <c r="C18" s="236" t="s">
        <v>143</v>
      </c>
      <c r="D18" s="237">
        <f>SUM(D19:D22)</f>
        <v>6000</v>
      </c>
      <c r="E18" s="237">
        <f>SUM(E19:E22)</f>
        <v>6150</v>
      </c>
      <c r="F18" s="238">
        <f>D18+E18</f>
        <v>12150</v>
      </c>
      <c r="H18" s="132"/>
      <c r="I18" s="250" t="str">
        <f t="shared" si="1"/>
        <v>Measure 6</v>
      </c>
      <c r="J18" s="251"/>
      <c r="K18" s="252"/>
      <c r="L18" s="242">
        <f t="shared" si="2"/>
        <v>0</v>
      </c>
      <c r="M18" s="257">
        <v>0</v>
      </c>
      <c r="N18" s="257">
        <v>0</v>
      </c>
      <c r="O18" s="244">
        <f t="shared" si="4"/>
        <v>0</v>
      </c>
      <c r="P18" s="245">
        <f t="shared" si="3"/>
        <v>0</v>
      </c>
      <c r="Q18" s="245">
        <f t="shared" si="3"/>
        <v>0</v>
      </c>
      <c r="R18" s="246">
        <f t="shared" si="3"/>
        <v>0</v>
      </c>
      <c r="T18" s="4891"/>
    </row>
    <row r="19" spans="2:20">
      <c r="B19" s="247"/>
      <c r="C19" s="330" t="s">
        <v>379</v>
      </c>
      <c r="D19" s="249">
        <v>3000</v>
      </c>
      <c r="E19" s="249">
        <v>3075</v>
      </c>
      <c r="F19" s="249">
        <f t="shared" si="5"/>
        <v>6075</v>
      </c>
      <c r="H19" s="132"/>
      <c r="I19" s="250" t="str">
        <f t="shared" si="1"/>
        <v>Measure 7</v>
      </c>
      <c r="J19" s="251"/>
      <c r="K19" s="252"/>
      <c r="L19" s="242">
        <f t="shared" si="2"/>
        <v>0</v>
      </c>
      <c r="M19" s="257">
        <v>0</v>
      </c>
      <c r="N19" s="257">
        <v>0</v>
      </c>
      <c r="O19" s="244">
        <f t="shared" si="4"/>
        <v>0</v>
      </c>
      <c r="P19" s="245">
        <f t="shared" si="3"/>
        <v>0</v>
      </c>
      <c r="Q19" s="245">
        <f t="shared" si="3"/>
        <v>0</v>
      </c>
      <c r="R19" s="246">
        <f t="shared" si="3"/>
        <v>0</v>
      </c>
      <c r="T19" s="4891"/>
    </row>
    <row r="20" spans="2:20">
      <c r="B20" s="254"/>
      <c r="C20" s="332" t="s">
        <v>380</v>
      </c>
      <c r="D20" s="249">
        <v>3000</v>
      </c>
      <c r="E20" s="249">
        <v>3075</v>
      </c>
      <c r="F20" s="249">
        <f t="shared" si="5"/>
        <v>6075</v>
      </c>
      <c r="H20" s="132"/>
      <c r="I20" s="250" t="str">
        <f t="shared" si="1"/>
        <v>Measure 8</v>
      </c>
      <c r="J20" s="251"/>
      <c r="K20" s="252"/>
      <c r="L20" s="242">
        <f t="shared" si="2"/>
        <v>0</v>
      </c>
      <c r="M20" s="257">
        <v>0</v>
      </c>
      <c r="N20" s="257">
        <v>0</v>
      </c>
      <c r="O20" s="244">
        <f t="shared" si="4"/>
        <v>0</v>
      </c>
      <c r="P20" s="245">
        <f t="shared" si="3"/>
        <v>0</v>
      </c>
      <c r="Q20" s="245">
        <f t="shared" si="3"/>
        <v>0</v>
      </c>
      <c r="R20" s="246">
        <f t="shared" si="3"/>
        <v>0</v>
      </c>
      <c r="T20" s="4891"/>
    </row>
    <row r="21" spans="2:20">
      <c r="B21" s="254"/>
      <c r="C21" s="255" t="s">
        <v>141</v>
      </c>
      <c r="D21" s="258">
        <v>0</v>
      </c>
      <c r="E21" s="258"/>
      <c r="F21" s="249">
        <f t="shared" si="5"/>
        <v>0</v>
      </c>
      <c r="H21" s="132"/>
      <c r="I21" s="250" t="str">
        <f t="shared" si="1"/>
        <v>Measure 9</v>
      </c>
      <c r="J21" s="251"/>
      <c r="K21" s="252"/>
      <c r="L21" s="242">
        <f t="shared" si="2"/>
        <v>0</v>
      </c>
      <c r="M21" s="257">
        <v>0</v>
      </c>
      <c r="N21" s="257">
        <v>0</v>
      </c>
      <c r="O21" s="244">
        <f t="shared" si="4"/>
        <v>0</v>
      </c>
      <c r="P21" s="245">
        <f t="shared" si="3"/>
        <v>0</v>
      </c>
      <c r="Q21" s="245">
        <f t="shared" si="3"/>
        <v>0</v>
      </c>
      <c r="R21" s="246">
        <f t="shared" si="3"/>
        <v>0</v>
      </c>
      <c r="T21" s="4891"/>
    </row>
    <row r="22" spans="2:20" ht="13.5" thickBot="1">
      <c r="B22" s="254"/>
      <c r="C22" s="255" t="s">
        <v>142</v>
      </c>
      <c r="D22" s="258">
        <v>0</v>
      </c>
      <c r="E22" s="258"/>
      <c r="F22" s="249">
        <f t="shared" si="5"/>
        <v>0</v>
      </c>
      <c r="H22" s="132"/>
      <c r="I22" s="250" t="str">
        <f t="shared" si="1"/>
        <v>Measure 10</v>
      </c>
      <c r="J22" s="251"/>
      <c r="K22" s="252"/>
      <c r="L22" s="242">
        <f t="shared" si="2"/>
        <v>0</v>
      </c>
      <c r="M22" s="257">
        <v>0</v>
      </c>
      <c r="N22" s="257">
        <v>0</v>
      </c>
      <c r="O22" s="244">
        <f t="shared" si="4"/>
        <v>0</v>
      </c>
      <c r="P22" s="245">
        <f t="shared" si="3"/>
        <v>0</v>
      </c>
      <c r="Q22" s="245">
        <f t="shared" si="3"/>
        <v>0</v>
      </c>
      <c r="R22" s="246">
        <f t="shared" si="3"/>
        <v>0</v>
      </c>
      <c r="T22" s="4891"/>
    </row>
    <row r="23" spans="2:20" ht="13.5" thickBot="1">
      <c r="B23" s="262">
        <v>11680</v>
      </c>
      <c r="C23" s="236" t="s">
        <v>144</v>
      </c>
      <c r="D23" s="237">
        <f>SUM(D24:D27)</f>
        <v>16036.272000000001</v>
      </c>
      <c r="E23" s="237">
        <f>SUM(E24:E27)</f>
        <v>18514.933675</v>
      </c>
      <c r="F23" s="238">
        <f>D23+E23</f>
        <v>34551.205675000005</v>
      </c>
      <c r="G23" s="53"/>
      <c r="H23" s="132"/>
      <c r="I23" s="250" t="str">
        <f t="shared" si="1"/>
        <v>Measure 11</v>
      </c>
      <c r="J23" s="251"/>
      <c r="K23" s="252"/>
      <c r="L23" s="242">
        <f t="shared" si="2"/>
        <v>0</v>
      </c>
      <c r="M23" s="257">
        <v>0</v>
      </c>
      <c r="N23" s="257">
        <v>0</v>
      </c>
      <c r="O23" s="244">
        <f t="shared" si="4"/>
        <v>0</v>
      </c>
      <c r="P23" s="245">
        <f t="shared" si="3"/>
        <v>0</v>
      </c>
      <c r="Q23" s="245">
        <f t="shared" si="3"/>
        <v>0</v>
      </c>
      <c r="R23" s="246">
        <f t="shared" si="3"/>
        <v>0</v>
      </c>
      <c r="T23" s="4891"/>
    </row>
    <row r="24" spans="2:20">
      <c r="B24" s="247"/>
      <c r="C24" s="3566" t="s">
        <v>1434</v>
      </c>
      <c r="D24" s="249">
        <f>0.63*D13</f>
        <v>12256.272000000001</v>
      </c>
      <c r="E24" s="249">
        <f>0.707*E13</f>
        <v>14166.883675000001</v>
      </c>
      <c r="F24" s="249">
        <f t="shared" si="5"/>
        <v>26423.155675000002</v>
      </c>
      <c r="H24" s="132"/>
      <c r="I24" s="250" t="str">
        <f t="shared" si="1"/>
        <v>Measure 12</v>
      </c>
      <c r="J24" s="251"/>
      <c r="K24" s="252"/>
      <c r="L24" s="242">
        <f t="shared" si="2"/>
        <v>0</v>
      </c>
      <c r="M24" s="257">
        <v>0</v>
      </c>
      <c r="N24" s="257">
        <v>0</v>
      </c>
      <c r="O24" s="244">
        <f t="shared" si="4"/>
        <v>0</v>
      </c>
      <c r="P24" s="245">
        <f t="shared" si="3"/>
        <v>0</v>
      </c>
      <c r="Q24" s="245">
        <f t="shared" si="3"/>
        <v>0</v>
      </c>
      <c r="R24" s="246">
        <f t="shared" si="3"/>
        <v>0</v>
      </c>
      <c r="T24" s="4891"/>
    </row>
    <row r="25" spans="2:20">
      <c r="B25" s="247"/>
      <c r="C25" s="3566" t="s">
        <v>1435</v>
      </c>
      <c r="D25" s="256">
        <f>0.63*D18</f>
        <v>3780</v>
      </c>
      <c r="E25" s="256">
        <f>0.707*E18</f>
        <v>4348.05</v>
      </c>
      <c r="F25" s="249">
        <f t="shared" si="5"/>
        <v>8128.05</v>
      </c>
      <c r="H25" s="132"/>
      <c r="I25" s="250" t="str">
        <f t="shared" si="1"/>
        <v>Measure 13</v>
      </c>
      <c r="J25" s="251"/>
      <c r="K25" s="252"/>
      <c r="L25" s="242">
        <f t="shared" si="2"/>
        <v>0</v>
      </c>
      <c r="M25" s="257">
        <v>0</v>
      </c>
      <c r="N25" s="257">
        <v>0</v>
      </c>
      <c r="O25" s="244">
        <f t="shared" si="4"/>
        <v>0</v>
      </c>
      <c r="P25" s="245">
        <f t="shared" si="3"/>
        <v>0</v>
      </c>
      <c r="Q25" s="245">
        <f t="shared" si="3"/>
        <v>0</v>
      </c>
      <c r="R25" s="246">
        <f t="shared" si="3"/>
        <v>0</v>
      </c>
      <c r="T25" s="4891"/>
    </row>
    <row r="26" spans="2:20">
      <c r="B26" s="254"/>
      <c r="C26" s="255"/>
      <c r="D26" s="258"/>
      <c r="E26" s="258"/>
      <c r="F26" s="258"/>
      <c r="H26" s="132"/>
      <c r="I26" s="250" t="str">
        <f t="shared" si="1"/>
        <v>Measure 14</v>
      </c>
      <c r="J26" s="251"/>
      <c r="K26" s="252"/>
      <c r="L26" s="242">
        <f t="shared" si="2"/>
        <v>0</v>
      </c>
      <c r="M26" s="257">
        <v>0</v>
      </c>
      <c r="N26" s="257">
        <v>0</v>
      </c>
      <c r="O26" s="244">
        <f t="shared" si="4"/>
        <v>0</v>
      </c>
      <c r="P26" s="245">
        <f t="shared" si="3"/>
        <v>0</v>
      </c>
      <c r="Q26" s="245">
        <f t="shared" si="3"/>
        <v>0</v>
      </c>
      <c r="R26" s="246">
        <f t="shared" si="3"/>
        <v>0</v>
      </c>
      <c r="T26" s="4891"/>
    </row>
    <row r="27" spans="2:20" ht="13.5" thickBot="1">
      <c r="B27" s="254"/>
      <c r="C27" s="255"/>
      <c r="D27" s="258"/>
      <c r="E27" s="258"/>
      <c r="F27" s="258"/>
      <c r="H27" s="132"/>
      <c r="I27" s="250" t="str">
        <f t="shared" si="1"/>
        <v>Measure 15</v>
      </c>
      <c r="J27" s="251"/>
      <c r="K27" s="252"/>
      <c r="L27" s="242">
        <f t="shared" si="2"/>
        <v>0</v>
      </c>
      <c r="M27" s="257">
        <v>0</v>
      </c>
      <c r="N27" s="257">
        <v>0</v>
      </c>
      <c r="O27" s="244">
        <f t="shared" si="4"/>
        <v>0</v>
      </c>
      <c r="P27" s="245">
        <f t="shared" si="3"/>
        <v>0</v>
      </c>
      <c r="Q27" s="245">
        <f t="shared" si="3"/>
        <v>0</v>
      </c>
      <c r="R27" s="246">
        <f t="shared" si="3"/>
        <v>0</v>
      </c>
      <c r="T27" s="4891"/>
    </row>
    <row r="28" spans="2:20" ht="13.5" thickBot="1">
      <c r="B28" s="262">
        <v>6000</v>
      </c>
      <c r="C28" s="236" t="s">
        <v>145</v>
      </c>
      <c r="D28" s="237">
        <f>SUM(D29:D32)</f>
        <v>0</v>
      </c>
      <c r="E28" s="237">
        <f>SUM(E29:E32)</f>
        <v>0</v>
      </c>
      <c r="F28" s="238">
        <f>D28+E28</f>
        <v>0</v>
      </c>
      <c r="H28" s="132"/>
      <c r="I28" s="250" t="str">
        <f t="shared" si="1"/>
        <v>Measure 16</v>
      </c>
      <c r="J28" s="251"/>
      <c r="K28" s="252"/>
      <c r="L28" s="242">
        <f t="shared" si="2"/>
        <v>0</v>
      </c>
      <c r="M28" s="257">
        <v>0</v>
      </c>
      <c r="N28" s="257">
        <v>0</v>
      </c>
      <c r="O28" s="244">
        <f t="shared" si="4"/>
        <v>0</v>
      </c>
      <c r="P28" s="245">
        <f t="shared" si="3"/>
        <v>0</v>
      </c>
      <c r="Q28" s="245">
        <f t="shared" si="3"/>
        <v>0</v>
      </c>
      <c r="R28" s="246">
        <f t="shared" si="3"/>
        <v>0</v>
      </c>
      <c r="T28" s="4891"/>
    </row>
    <row r="29" spans="2:20">
      <c r="B29" s="247"/>
      <c r="C29" s="248" t="s">
        <v>139</v>
      </c>
      <c r="D29" s="249">
        <v>0</v>
      </c>
      <c r="E29" s="249"/>
      <c r="F29" s="249">
        <f t="shared" ref="F29:F37" si="6">SUM(D29:E29)</f>
        <v>0</v>
      </c>
      <c r="H29" s="132"/>
      <c r="I29" s="250" t="str">
        <f t="shared" si="1"/>
        <v>Measure 17</v>
      </c>
      <c r="J29" s="251"/>
      <c r="K29" s="252"/>
      <c r="L29" s="242">
        <f t="shared" si="2"/>
        <v>0</v>
      </c>
      <c r="M29" s="257">
        <v>0</v>
      </c>
      <c r="N29" s="257">
        <v>0</v>
      </c>
      <c r="O29" s="244">
        <f t="shared" si="4"/>
        <v>0</v>
      </c>
      <c r="P29" s="245">
        <f t="shared" ref="P29:R44" si="7">M29*$D79</f>
        <v>0</v>
      </c>
      <c r="Q29" s="245">
        <f t="shared" si="7"/>
        <v>0</v>
      </c>
      <c r="R29" s="246">
        <f t="shared" si="7"/>
        <v>0</v>
      </c>
      <c r="T29" s="4891"/>
    </row>
    <row r="30" spans="2:20">
      <c r="B30" s="254"/>
      <c r="C30" s="255" t="s">
        <v>140</v>
      </c>
      <c r="D30" s="256">
        <v>0</v>
      </c>
      <c r="E30" s="256"/>
      <c r="F30" s="249">
        <f t="shared" si="6"/>
        <v>0</v>
      </c>
      <c r="H30" s="132"/>
      <c r="I30" s="250" t="str">
        <f t="shared" si="1"/>
        <v>Measure 18</v>
      </c>
      <c r="J30" s="251"/>
      <c r="K30" s="252"/>
      <c r="L30" s="242">
        <f t="shared" si="2"/>
        <v>0</v>
      </c>
      <c r="M30" s="257">
        <v>0</v>
      </c>
      <c r="N30" s="257">
        <v>0</v>
      </c>
      <c r="O30" s="244">
        <f t="shared" si="4"/>
        <v>0</v>
      </c>
      <c r="P30" s="245">
        <f t="shared" si="7"/>
        <v>0</v>
      </c>
      <c r="Q30" s="245">
        <f t="shared" si="7"/>
        <v>0</v>
      </c>
      <c r="R30" s="246">
        <f t="shared" si="7"/>
        <v>0</v>
      </c>
      <c r="T30" s="4891"/>
    </row>
    <row r="31" spans="2:20">
      <c r="B31" s="254"/>
      <c r="C31" s="255" t="s">
        <v>141</v>
      </c>
      <c r="D31" s="256">
        <v>0</v>
      </c>
      <c r="E31" s="256"/>
      <c r="F31" s="249">
        <f t="shared" si="6"/>
        <v>0</v>
      </c>
      <c r="H31" s="132"/>
      <c r="I31" s="250" t="str">
        <f t="shared" si="1"/>
        <v>Measure 19</v>
      </c>
      <c r="J31" s="251"/>
      <c r="K31" s="252"/>
      <c r="L31" s="242">
        <f t="shared" si="2"/>
        <v>0</v>
      </c>
      <c r="M31" s="257">
        <v>0</v>
      </c>
      <c r="N31" s="257">
        <v>0</v>
      </c>
      <c r="O31" s="244">
        <f t="shared" si="4"/>
        <v>0</v>
      </c>
      <c r="P31" s="245">
        <f t="shared" si="7"/>
        <v>0</v>
      </c>
      <c r="Q31" s="245">
        <f t="shared" si="7"/>
        <v>0</v>
      </c>
      <c r="R31" s="246">
        <f t="shared" si="7"/>
        <v>0</v>
      </c>
      <c r="T31" s="4891"/>
    </row>
    <row r="32" spans="2:20" ht="13.5" thickBot="1">
      <c r="B32" s="254"/>
      <c r="C32" s="255" t="s">
        <v>142</v>
      </c>
      <c r="D32" s="256">
        <v>0</v>
      </c>
      <c r="E32" s="256"/>
      <c r="F32" s="249">
        <f t="shared" si="6"/>
        <v>0</v>
      </c>
      <c r="H32" s="132"/>
      <c r="I32" s="250" t="str">
        <f t="shared" si="1"/>
        <v>Measure 20</v>
      </c>
      <c r="J32" s="251"/>
      <c r="K32" s="252"/>
      <c r="L32" s="242">
        <f t="shared" si="2"/>
        <v>0</v>
      </c>
      <c r="M32" s="257">
        <v>0</v>
      </c>
      <c r="N32" s="257">
        <v>0</v>
      </c>
      <c r="O32" s="244">
        <f t="shared" si="4"/>
        <v>0</v>
      </c>
      <c r="P32" s="245">
        <f t="shared" si="7"/>
        <v>0</v>
      </c>
      <c r="Q32" s="245">
        <f t="shared" si="7"/>
        <v>0</v>
      </c>
      <c r="R32" s="246">
        <f t="shared" si="7"/>
        <v>0</v>
      </c>
      <c r="T32" s="4891"/>
    </row>
    <row r="33" spans="2:20" ht="13.5" thickBot="1">
      <c r="B33" s="262">
        <v>1200</v>
      </c>
      <c r="C33" s="236" t="s">
        <v>146</v>
      </c>
      <c r="D33" s="237">
        <f>SUM(D34:D37)</f>
        <v>0</v>
      </c>
      <c r="E33" s="237">
        <f>SUM(E34:E37)</f>
        <v>0</v>
      </c>
      <c r="F33" s="238">
        <f>D33+E33</f>
        <v>0</v>
      </c>
      <c r="H33" s="132"/>
      <c r="I33" s="250" t="str">
        <f t="shared" si="1"/>
        <v>Measure 21</v>
      </c>
      <c r="J33" s="251"/>
      <c r="K33" s="252"/>
      <c r="L33" s="242">
        <f t="shared" si="2"/>
        <v>0</v>
      </c>
      <c r="M33" s="257">
        <v>0</v>
      </c>
      <c r="N33" s="257">
        <v>0</v>
      </c>
      <c r="O33" s="244">
        <f t="shared" si="4"/>
        <v>0</v>
      </c>
      <c r="P33" s="245">
        <f t="shared" si="7"/>
        <v>0</v>
      </c>
      <c r="Q33" s="245">
        <f t="shared" si="7"/>
        <v>0</v>
      </c>
      <c r="R33" s="246">
        <f t="shared" si="7"/>
        <v>0</v>
      </c>
      <c r="T33" s="4891"/>
    </row>
    <row r="34" spans="2:20">
      <c r="B34" s="254"/>
      <c r="C34" s="255" t="s">
        <v>139</v>
      </c>
      <c r="D34" s="256">
        <v>0</v>
      </c>
      <c r="E34" s="256"/>
      <c r="F34" s="249">
        <f t="shared" si="6"/>
        <v>0</v>
      </c>
      <c r="H34" s="132"/>
      <c r="I34" s="250" t="str">
        <f t="shared" si="1"/>
        <v>Measure 22</v>
      </c>
      <c r="J34" s="251"/>
      <c r="K34" s="252"/>
      <c r="L34" s="242">
        <f t="shared" si="2"/>
        <v>0</v>
      </c>
      <c r="M34" s="257">
        <v>0</v>
      </c>
      <c r="N34" s="257">
        <v>0</v>
      </c>
      <c r="O34" s="244">
        <f t="shared" si="4"/>
        <v>0</v>
      </c>
      <c r="P34" s="245">
        <f t="shared" si="7"/>
        <v>0</v>
      </c>
      <c r="Q34" s="245">
        <f t="shared" si="7"/>
        <v>0</v>
      </c>
      <c r="R34" s="246">
        <f t="shared" si="7"/>
        <v>0</v>
      </c>
      <c r="T34" s="4891"/>
    </row>
    <row r="35" spans="2:20">
      <c r="B35" s="254"/>
      <c r="C35" s="255" t="s">
        <v>140</v>
      </c>
      <c r="D35" s="256">
        <v>0</v>
      </c>
      <c r="E35" s="256"/>
      <c r="F35" s="249">
        <f t="shared" si="6"/>
        <v>0</v>
      </c>
      <c r="H35" s="132"/>
      <c r="I35" s="250" t="str">
        <f t="shared" si="1"/>
        <v>Measure 23</v>
      </c>
      <c r="J35" s="251"/>
      <c r="K35" s="252"/>
      <c r="L35" s="242">
        <f t="shared" si="2"/>
        <v>0</v>
      </c>
      <c r="M35" s="257">
        <v>0</v>
      </c>
      <c r="N35" s="257">
        <v>0</v>
      </c>
      <c r="O35" s="244">
        <f t="shared" si="4"/>
        <v>0</v>
      </c>
      <c r="P35" s="245">
        <f t="shared" si="7"/>
        <v>0</v>
      </c>
      <c r="Q35" s="245">
        <f t="shared" si="7"/>
        <v>0</v>
      </c>
      <c r="R35" s="246">
        <f t="shared" si="7"/>
        <v>0</v>
      </c>
      <c r="T35" s="4891"/>
    </row>
    <row r="36" spans="2:20">
      <c r="B36" s="254"/>
      <c r="C36" s="255" t="s">
        <v>141</v>
      </c>
      <c r="D36" s="256">
        <v>0</v>
      </c>
      <c r="E36" s="256"/>
      <c r="F36" s="249">
        <f t="shared" si="6"/>
        <v>0</v>
      </c>
      <c r="H36" s="132"/>
      <c r="I36" s="250" t="str">
        <f t="shared" si="1"/>
        <v>Measure 24</v>
      </c>
      <c r="J36" s="251"/>
      <c r="K36" s="252"/>
      <c r="L36" s="242">
        <f t="shared" si="2"/>
        <v>0</v>
      </c>
      <c r="M36" s="257">
        <v>0</v>
      </c>
      <c r="N36" s="257">
        <v>0</v>
      </c>
      <c r="O36" s="244">
        <f t="shared" si="4"/>
        <v>0</v>
      </c>
      <c r="P36" s="245">
        <f t="shared" si="7"/>
        <v>0</v>
      </c>
      <c r="Q36" s="245">
        <f t="shared" si="7"/>
        <v>0</v>
      </c>
      <c r="R36" s="246">
        <f t="shared" si="7"/>
        <v>0</v>
      </c>
      <c r="T36" s="4891"/>
    </row>
    <row r="37" spans="2:20" ht="13.5" thickBot="1">
      <c r="B37" s="254"/>
      <c r="C37" s="255" t="s">
        <v>142</v>
      </c>
      <c r="D37" s="256">
        <v>0</v>
      </c>
      <c r="E37" s="256"/>
      <c r="F37" s="249">
        <f t="shared" si="6"/>
        <v>0</v>
      </c>
      <c r="H37" s="132"/>
      <c r="I37" s="250" t="str">
        <f t="shared" si="1"/>
        <v>Measure 25</v>
      </c>
      <c r="J37" s="251"/>
      <c r="K37" s="252"/>
      <c r="L37" s="242">
        <f t="shared" si="2"/>
        <v>0</v>
      </c>
      <c r="M37" s="257">
        <v>0</v>
      </c>
      <c r="N37" s="257">
        <v>0</v>
      </c>
      <c r="O37" s="244">
        <f t="shared" si="4"/>
        <v>0</v>
      </c>
      <c r="P37" s="245">
        <f t="shared" si="7"/>
        <v>0</v>
      </c>
      <c r="Q37" s="245">
        <f t="shared" si="7"/>
        <v>0</v>
      </c>
      <c r="R37" s="246">
        <f t="shared" si="7"/>
        <v>0</v>
      </c>
      <c r="T37" s="4891"/>
    </row>
    <row r="38" spans="2:20" ht="13.5" thickBot="1">
      <c r="B38" s="262">
        <v>400404</v>
      </c>
      <c r="C38" s="236" t="s">
        <v>147</v>
      </c>
      <c r="D38" s="237">
        <f>SUM(D39:D42)</f>
        <v>86681</v>
      </c>
      <c r="E38" s="237">
        <f>SUM(E39:E42)</f>
        <v>86681</v>
      </c>
      <c r="F38" s="238">
        <f>D38+E38</f>
        <v>173362</v>
      </c>
      <c r="H38" s="132"/>
      <c r="I38" s="250" t="str">
        <f t="shared" si="1"/>
        <v>Measure 26</v>
      </c>
      <c r="J38" s="251"/>
      <c r="K38" s="260"/>
      <c r="L38" s="242">
        <f t="shared" si="2"/>
        <v>0</v>
      </c>
      <c r="M38" s="257">
        <v>0</v>
      </c>
      <c r="N38" s="257">
        <v>0</v>
      </c>
      <c r="O38" s="244">
        <f t="shared" si="4"/>
        <v>0</v>
      </c>
      <c r="P38" s="245">
        <f t="shared" si="7"/>
        <v>0</v>
      </c>
      <c r="Q38" s="245">
        <f t="shared" si="7"/>
        <v>0</v>
      </c>
      <c r="R38" s="246">
        <f t="shared" si="7"/>
        <v>0</v>
      </c>
      <c r="T38" s="4891"/>
    </row>
    <row r="39" spans="2:20">
      <c r="B39" s="254"/>
      <c r="C39" s="255" t="s">
        <v>543</v>
      </c>
      <c r="D39" s="3168">
        <v>86681</v>
      </c>
      <c r="E39" s="3168">
        <v>86681</v>
      </c>
      <c r="F39" s="249">
        <f t="shared" ref="F39:F52" si="8">SUM(D39:E39)</f>
        <v>173362</v>
      </c>
      <c r="H39" s="132"/>
      <c r="I39" s="250" t="str">
        <f t="shared" si="1"/>
        <v>Measure 27</v>
      </c>
      <c r="J39" s="251"/>
      <c r="K39" s="260"/>
      <c r="L39" s="242">
        <f t="shared" si="2"/>
        <v>0</v>
      </c>
      <c r="M39" s="257">
        <v>0</v>
      </c>
      <c r="N39" s="257">
        <v>0</v>
      </c>
      <c r="O39" s="244">
        <f t="shared" si="4"/>
        <v>0</v>
      </c>
      <c r="P39" s="245">
        <f t="shared" si="7"/>
        <v>0</v>
      </c>
      <c r="Q39" s="245">
        <f t="shared" si="7"/>
        <v>0</v>
      </c>
      <c r="R39" s="246">
        <f t="shared" si="7"/>
        <v>0</v>
      </c>
      <c r="T39" s="4891"/>
    </row>
    <row r="40" spans="2:20">
      <c r="B40" s="254"/>
      <c r="C40" s="3572" t="s">
        <v>140</v>
      </c>
      <c r="D40" s="3168">
        <v>0</v>
      </c>
      <c r="E40" s="3168">
        <v>0</v>
      </c>
      <c r="F40" s="249">
        <f t="shared" si="8"/>
        <v>0</v>
      </c>
      <c r="H40" s="132"/>
      <c r="I40" s="250" t="str">
        <f t="shared" si="1"/>
        <v>Measure 28</v>
      </c>
      <c r="J40" s="251"/>
      <c r="K40" s="260"/>
      <c r="L40" s="242">
        <f t="shared" si="2"/>
        <v>0</v>
      </c>
      <c r="M40" s="257">
        <v>0</v>
      </c>
      <c r="N40" s="257">
        <v>0</v>
      </c>
      <c r="O40" s="244">
        <f t="shared" si="4"/>
        <v>0</v>
      </c>
      <c r="P40" s="245">
        <f t="shared" si="7"/>
        <v>0</v>
      </c>
      <c r="Q40" s="245">
        <f t="shared" si="7"/>
        <v>0</v>
      </c>
      <c r="R40" s="246">
        <f t="shared" si="7"/>
        <v>0</v>
      </c>
      <c r="T40" s="4891"/>
    </row>
    <row r="41" spans="2:20">
      <c r="B41" s="254"/>
      <c r="C41" s="3572" t="s">
        <v>141</v>
      </c>
      <c r="D41" s="3168">
        <v>0</v>
      </c>
      <c r="E41" s="3168">
        <v>0</v>
      </c>
      <c r="F41" s="249">
        <f t="shared" si="8"/>
        <v>0</v>
      </c>
      <c r="H41" s="132"/>
      <c r="I41" s="250" t="str">
        <f t="shared" si="1"/>
        <v>Measure 29</v>
      </c>
      <c r="J41" s="251"/>
      <c r="K41" s="260"/>
      <c r="L41" s="242">
        <f t="shared" si="2"/>
        <v>0</v>
      </c>
      <c r="M41" s="257">
        <v>0</v>
      </c>
      <c r="N41" s="257">
        <v>0</v>
      </c>
      <c r="O41" s="244">
        <f t="shared" si="4"/>
        <v>0</v>
      </c>
      <c r="P41" s="245">
        <f t="shared" si="7"/>
        <v>0</v>
      </c>
      <c r="Q41" s="245">
        <f t="shared" si="7"/>
        <v>0</v>
      </c>
      <c r="R41" s="246">
        <f t="shared" si="7"/>
        <v>0</v>
      </c>
      <c r="T41" s="4891"/>
    </row>
    <row r="42" spans="2:20" ht="13.5" thickBot="1">
      <c r="B42" s="254"/>
      <c r="C42" s="255" t="s">
        <v>142</v>
      </c>
      <c r="D42" s="256">
        <v>0</v>
      </c>
      <c r="E42" s="256"/>
      <c r="F42" s="249">
        <f t="shared" si="8"/>
        <v>0</v>
      </c>
      <c r="H42" s="132"/>
      <c r="I42" s="250" t="str">
        <f t="shared" si="1"/>
        <v>Measure 30</v>
      </c>
      <c r="J42" s="251"/>
      <c r="K42" s="260"/>
      <c r="L42" s="242">
        <f t="shared" si="2"/>
        <v>0</v>
      </c>
      <c r="M42" s="257">
        <v>0</v>
      </c>
      <c r="N42" s="257">
        <v>0</v>
      </c>
      <c r="O42" s="244">
        <f t="shared" si="4"/>
        <v>0</v>
      </c>
      <c r="P42" s="245">
        <f t="shared" si="7"/>
        <v>0</v>
      </c>
      <c r="Q42" s="245">
        <f t="shared" si="7"/>
        <v>0</v>
      </c>
      <c r="R42" s="246">
        <f t="shared" si="7"/>
        <v>0</v>
      </c>
      <c r="T42" s="4891"/>
    </row>
    <row r="43" spans="2:20" ht="13.5" thickBot="1">
      <c r="B43" s="262">
        <v>0</v>
      </c>
      <c r="C43" s="236" t="s">
        <v>148</v>
      </c>
      <c r="D43" s="237">
        <f>SUM(D44:D47)</f>
        <v>0</v>
      </c>
      <c r="E43" s="237">
        <f>SUM(E44:E47)</f>
        <v>0</v>
      </c>
      <c r="F43" s="238">
        <f>D43+E43</f>
        <v>0</v>
      </c>
      <c r="H43" s="132"/>
      <c r="I43" s="250" t="str">
        <f t="shared" si="1"/>
        <v>Measure 31</v>
      </c>
      <c r="J43" s="251"/>
      <c r="K43" s="260"/>
      <c r="L43" s="242">
        <f t="shared" si="2"/>
        <v>0</v>
      </c>
      <c r="M43" s="257">
        <v>0</v>
      </c>
      <c r="N43" s="257">
        <v>0</v>
      </c>
      <c r="O43" s="244">
        <f t="shared" si="4"/>
        <v>0</v>
      </c>
      <c r="P43" s="245">
        <f t="shared" si="7"/>
        <v>0</v>
      </c>
      <c r="Q43" s="245">
        <f t="shared" si="7"/>
        <v>0</v>
      </c>
      <c r="R43" s="246">
        <f t="shared" si="7"/>
        <v>0</v>
      </c>
      <c r="T43" s="4891"/>
    </row>
    <row r="44" spans="2:20">
      <c r="B44" s="254"/>
      <c r="C44" s="255" t="s">
        <v>139</v>
      </c>
      <c r="D44" s="256">
        <v>0</v>
      </c>
      <c r="E44" s="256"/>
      <c r="F44" s="249">
        <f t="shared" si="8"/>
        <v>0</v>
      </c>
      <c r="H44" s="132"/>
      <c r="I44" s="250" t="str">
        <f t="shared" si="1"/>
        <v>Measure 32</v>
      </c>
      <c r="J44" s="251"/>
      <c r="K44" s="260"/>
      <c r="L44" s="242">
        <f t="shared" si="2"/>
        <v>0</v>
      </c>
      <c r="M44" s="257">
        <v>0</v>
      </c>
      <c r="N44" s="257">
        <v>0</v>
      </c>
      <c r="O44" s="244">
        <f t="shared" si="4"/>
        <v>0</v>
      </c>
      <c r="P44" s="245">
        <f t="shared" si="7"/>
        <v>0</v>
      </c>
      <c r="Q44" s="245">
        <f t="shared" si="7"/>
        <v>0</v>
      </c>
      <c r="R44" s="246">
        <f t="shared" si="7"/>
        <v>0</v>
      </c>
      <c r="T44" s="4891"/>
    </row>
    <row r="45" spans="2:20">
      <c r="B45" s="254"/>
      <c r="C45" s="255" t="s">
        <v>140</v>
      </c>
      <c r="D45" s="256">
        <v>0</v>
      </c>
      <c r="E45" s="256"/>
      <c r="F45" s="249">
        <f t="shared" si="8"/>
        <v>0</v>
      </c>
      <c r="H45" s="132"/>
      <c r="I45" s="250" t="str">
        <f t="shared" si="1"/>
        <v>Measure 33</v>
      </c>
      <c r="J45" s="251"/>
      <c r="K45" s="260"/>
      <c r="L45" s="242">
        <f t="shared" si="2"/>
        <v>0</v>
      </c>
      <c r="M45" s="257">
        <v>0</v>
      </c>
      <c r="N45" s="257">
        <v>0</v>
      </c>
      <c r="O45" s="244">
        <f t="shared" si="4"/>
        <v>0</v>
      </c>
      <c r="P45" s="245">
        <f t="shared" ref="P45:R54" si="9">M45*$D95</f>
        <v>0</v>
      </c>
      <c r="Q45" s="245">
        <f t="shared" si="9"/>
        <v>0</v>
      </c>
      <c r="R45" s="246">
        <f t="shared" si="9"/>
        <v>0</v>
      </c>
      <c r="T45" s="4891"/>
    </row>
    <row r="46" spans="2:20">
      <c r="B46" s="254"/>
      <c r="C46" s="255" t="s">
        <v>141</v>
      </c>
      <c r="D46" s="256">
        <v>0</v>
      </c>
      <c r="E46" s="256"/>
      <c r="F46" s="249">
        <f t="shared" si="8"/>
        <v>0</v>
      </c>
      <c r="H46" s="132"/>
      <c r="I46" s="250" t="str">
        <f t="shared" si="1"/>
        <v>Measure 34</v>
      </c>
      <c r="J46" s="251"/>
      <c r="K46" s="260"/>
      <c r="L46" s="242">
        <f t="shared" si="2"/>
        <v>0</v>
      </c>
      <c r="M46" s="257">
        <v>0</v>
      </c>
      <c r="N46" s="257">
        <v>0</v>
      </c>
      <c r="O46" s="244">
        <f t="shared" si="4"/>
        <v>0</v>
      </c>
      <c r="P46" s="245">
        <f t="shared" si="9"/>
        <v>0</v>
      </c>
      <c r="Q46" s="245">
        <f t="shared" si="9"/>
        <v>0</v>
      </c>
      <c r="R46" s="246">
        <f t="shared" si="9"/>
        <v>0</v>
      </c>
      <c r="T46" s="4891"/>
    </row>
    <row r="47" spans="2:20" ht="13.5" thickBot="1">
      <c r="B47" s="254"/>
      <c r="C47" s="255" t="s">
        <v>142</v>
      </c>
      <c r="D47" s="256">
        <v>0</v>
      </c>
      <c r="E47" s="256"/>
      <c r="F47" s="249">
        <f t="shared" si="8"/>
        <v>0</v>
      </c>
      <c r="H47" s="132"/>
      <c r="I47" s="250" t="str">
        <f t="shared" si="1"/>
        <v>Measure 35</v>
      </c>
      <c r="J47" s="251"/>
      <c r="K47" s="260"/>
      <c r="L47" s="242">
        <f t="shared" si="2"/>
        <v>0</v>
      </c>
      <c r="M47" s="257">
        <v>0</v>
      </c>
      <c r="N47" s="257">
        <v>0</v>
      </c>
      <c r="O47" s="244">
        <f t="shared" si="4"/>
        <v>0</v>
      </c>
      <c r="P47" s="245">
        <f t="shared" si="9"/>
        <v>0</v>
      </c>
      <c r="Q47" s="245">
        <f t="shared" si="9"/>
        <v>0</v>
      </c>
      <c r="R47" s="246">
        <f t="shared" si="9"/>
        <v>0</v>
      </c>
      <c r="T47" s="4891"/>
    </row>
    <row r="48" spans="2:20" ht="13.5" thickBot="1">
      <c r="B48" s="262">
        <v>1800</v>
      </c>
      <c r="C48" s="236" t="s">
        <v>149</v>
      </c>
      <c r="D48" s="237">
        <f>SUM(D49:D52)</f>
        <v>0</v>
      </c>
      <c r="E48" s="237">
        <f>SUM(E49:E52)</f>
        <v>0</v>
      </c>
      <c r="F48" s="238">
        <f>D48+E48</f>
        <v>0</v>
      </c>
      <c r="H48" s="132"/>
      <c r="I48" s="250" t="str">
        <f t="shared" si="1"/>
        <v>Measure 36</v>
      </c>
      <c r="J48" s="251"/>
      <c r="K48" s="260"/>
      <c r="L48" s="242">
        <f t="shared" si="2"/>
        <v>0</v>
      </c>
      <c r="M48" s="257">
        <v>0</v>
      </c>
      <c r="N48" s="257">
        <v>0</v>
      </c>
      <c r="O48" s="244">
        <f t="shared" si="4"/>
        <v>0</v>
      </c>
      <c r="P48" s="245">
        <f t="shared" si="9"/>
        <v>0</v>
      </c>
      <c r="Q48" s="245">
        <f t="shared" si="9"/>
        <v>0</v>
      </c>
      <c r="R48" s="246">
        <f t="shared" si="9"/>
        <v>0</v>
      </c>
      <c r="T48" s="4891"/>
    </row>
    <row r="49" spans="2:25">
      <c r="B49" s="254"/>
      <c r="C49" s="255" t="s">
        <v>139</v>
      </c>
      <c r="D49" s="256">
        <v>0</v>
      </c>
      <c r="E49" s="256"/>
      <c r="F49" s="249">
        <f t="shared" si="8"/>
        <v>0</v>
      </c>
      <c r="H49" s="132"/>
      <c r="I49" s="250" t="str">
        <f t="shared" si="1"/>
        <v>Measure 37</v>
      </c>
      <c r="J49" s="251"/>
      <c r="K49" s="260"/>
      <c r="L49" s="242">
        <f t="shared" si="2"/>
        <v>0</v>
      </c>
      <c r="M49" s="257">
        <v>0</v>
      </c>
      <c r="N49" s="257">
        <v>0</v>
      </c>
      <c r="O49" s="244">
        <f t="shared" si="4"/>
        <v>0</v>
      </c>
      <c r="P49" s="245">
        <f t="shared" si="9"/>
        <v>0</v>
      </c>
      <c r="Q49" s="245">
        <f t="shared" si="9"/>
        <v>0</v>
      </c>
      <c r="R49" s="246">
        <f t="shared" si="9"/>
        <v>0</v>
      </c>
      <c r="T49" s="4891"/>
    </row>
    <row r="50" spans="2:25">
      <c r="B50" s="254"/>
      <c r="C50" s="255" t="s">
        <v>140</v>
      </c>
      <c r="D50" s="256">
        <v>0</v>
      </c>
      <c r="E50" s="256"/>
      <c r="F50" s="249">
        <f t="shared" si="8"/>
        <v>0</v>
      </c>
      <c r="I50" s="250" t="str">
        <f t="shared" si="1"/>
        <v>Measure 38</v>
      </c>
      <c r="J50" s="251"/>
      <c r="K50" s="252"/>
      <c r="L50" s="242">
        <f t="shared" si="2"/>
        <v>0</v>
      </c>
      <c r="M50" s="257">
        <v>0</v>
      </c>
      <c r="N50" s="257">
        <v>0</v>
      </c>
      <c r="O50" s="244">
        <f t="shared" si="4"/>
        <v>0</v>
      </c>
      <c r="P50" s="245">
        <f t="shared" si="9"/>
        <v>0</v>
      </c>
      <c r="Q50" s="245">
        <f t="shared" si="9"/>
        <v>0</v>
      </c>
      <c r="R50" s="246">
        <f t="shared" si="9"/>
        <v>0</v>
      </c>
      <c r="T50" s="4891"/>
    </row>
    <row r="51" spans="2:25">
      <c r="B51" s="254"/>
      <c r="C51" s="255" t="s">
        <v>141</v>
      </c>
      <c r="D51" s="256">
        <v>0</v>
      </c>
      <c r="E51" s="256"/>
      <c r="F51" s="249">
        <f t="shared" si="8"/>
        <v>0</v>
      </c>
      <c r="I51" s="250" t="str">
        <f t="shared" si="1"/>
        <v>Measure 39</v>
      </c>
      <c r="J51" s="251"/>
      <c r="K51" s="252"/>
      <c r="L51" s="242">
        <f t="shared" si="2"/>
        <v>0</v>
      </c>
      <c r="M51" s="257">
        <v>0</v>
      </c>
      <c r="N51" s="257">
        <v>0</v>
      </c>
      <c r="O51" s="244">
        <f t="shared" si="4"/>
        <v>0</v>
      </c>
      <c r="P51" s="245">
        <f t="shared" si="9"/>
        <v>0</v>
      </c>
      <c r="Q51" s="245">
        <f t="shared" si="9"/>
        <v>0</v>
      </c>
      <c r="R51" s="246">
        <f t="shared" si="9"/>
        <v>0</v>
      </c>
      <c r="T51" s="4891"/>
    </row>
    <row r="52" spans="2:25" ht="13.5" thickBot="1">
      <c r="B52" s="254"/>
      <c r="C52" s="255" t="s">
        <v>142</v>
      </c>
      <c r="D52" s="256">
        <v>0</v>
      </c>
      <c r="E52" s="256"/>
      <c r="F52" s="249">
        <f t="shared" si="8"/>
        <v>0</v>
      </c>
      <c r="I52" s="250" t="str">
        <f t="shared" si="1"/>
        <v>Measure 40</v>
      </c>
      <c r="J52" s="251"/>
      <c r="K52" s="252"/>
      <c r="L52" s="242">
        <f t="shared" si="2"/>
        <v>0</v>
      </c>
      <c r="M52" s="257">
        <v>0</v>
      </c>
      <c r="N52" s="257">
        <v>0</v>
      </c>
      <c r="O52" s="244">
        <f t="shared" si="4"/>
        <v>0</v>
      </c>
      <c r="P52" s="245">
        <f t="shared" si="9"/>
        <v>0</v>
      </c>
      <c r="Q52" s="245">
        <f t="shared" si="9"/>
        <v>0</v>
      </c>
      <c r="R52" s="246">
        <f t="shared" si="9"/>
        <v>0</v>
      </c>
      <c r="T52" s="4891"/>
    </row>
    <row r="53" spans="2:25" ht="13.5" thickBot="1">
      <c r="B53" s="262">
        <v>327302</v>
      </c>
      <c r="C53" s="236" t="s">
        <v>150</v>
      </c>
      <c r="D53" s="237">
        <f>T105</f>
        <v>86681</v>
      </c>
      <c r="E53" s="237">
        <f>U105</f>
        <v>86681</v>
      </c>
      <c r="F53" s="238">
        <f>V105</f>
        <v>173362</v>
      </c>
      <c r="G53" s="261" t="s">
        <v>151</v>
      </c>
      <c r="I53" s="250" t="str">
        <f t="shared" si="1"/>
        <v>Measure 41</v>
      </c>
      <c r="J53" s="251"/>
      <c r="K53" s="252"/>
      <c r="L53" s="242">
        <f t="shared" si="2"/>
        <v>0</v>
      </c>
      <c r="M53" s="257">
        <v>0</v>
      </c>
      <c r="N53" s="257">
        <v>0</v>
      </c>
      <c r="O53" s="244">
        <f t="shared" si="4"/>
        <v>0</v>
      </c>
      <c r="P53" s="245">
        <f t="shared" si="9"/>
        <v>0</v>
      </c>
      <c r="Q53" s="245">
        <f t="shared" si="9"/>
        <v>0</v>
      </c>
      <c r="R53" s="246">
        <f t="shared" si="9"/>
        <v>0</v>
      </c>
      <c r="T53" s="4891"/>
    </row>
    <row r="54" spans="2:25" ht="13.5" thickBot="1">
      <c r="B54" s="262">
        <v>0</v>
      </c>
      <c r="C54" s="236" t="s">
        <v>152</v>
      </c>
      <c r="D54" s="237">
        <v>0</v>
      </c>
      <c r="E54" s="237">
        <v>0</v>
      </c>
      <c r="F54" s="238">
        <v>0</v>
      </c>
      <c r="I54" s="250" t="str">
        <f t="shared" si="1"/>
        <v>Measure 42</v>
      </c>
      <c r="J54" s="251"/>
      <c r="K54" s="252"/>
      <c r="L54" s="242">
        <f t="shared" si="2"/>
        <v>0</v>
      </c>
      <c r="M54" s="257">
        <v>0</v>
      </c>
      <c r="N54" s="257">
        <v>0</v>
      </c>
      <c r="O54" s="244">
        <f t="shared" si="4"/>
        <v>0</v>
      </c>
      <c r="P54" s="245">
        <f t="shared" si="9"/>
        <v>0</v>
      </c>
      <c r="Q54" s="245">
        <f t="shared" si="9"/>
        <v>0</v>
      </c>
      <c r="R54" s="246">
        <f t="shared" si="9"/>
        <v>0</v>
      </c>
      <c r="T54" s="4891"/>
    </row>
    <row r="55" spans="2:25">
      <c r="B55" s="263">
        <f>B13+B18+B23+B28+B33+B38+B43+B48+B53+B54</f>
        <v>766926</v>
      </c>
      <c r="C55" s="264" t="s">
        <v>153</v>
      </c>
      <c r="D55" s="263">
        <f>D13+D18+D23+D28+D33+D38+D43+D48+D53+D54</f>
        <v>214852.67200000002</v>
      </c>
      <c r="E55" s="263">
        <f>E13+E18+E23+E28+E33+E38+E43+E48+E53+E54</f>
        <v>218064.958675</v>
      </c>
      <c r="F55" s="263">
        <f>F13+F18+F23+F28+F33+F38+F43+F48+F53+F54</f>
        <v>432917.63067500002</v>
      </c>
      <c r="P55" s="265">
        <f>SUM(P13:P54)</f>
        <v>5498052</v>
      </c>
      <c r="Q55" s="265">
        <f>SUM(Q13:Q54)</f>
        <v>5498052</v>
      </c>
      <c r="R55" s="265">
        <f>SUM(R13:R54)</f>
        <v>10996104</v>
      </c>
      <c r="T55" s="4892"/>
    </row>
    <row r="56" spans="2:25">
      <c r="C56" s="264"/>
      <c r="D56" s="263"/>
      <c r="E56" s="263"/>
      <c r="F56" s="263"/>
    </row>
    <row r="57" spans="2:25">
      <c r="C57" s="264" t="s">
        <v>154</v>
      </c>
      <c r="D57" s="263">
        <f>D55-D53</f>
        <v>128171.67200000002</v>
      </c>
      <c r="E57" s="263">
        <f>E55-E53</f>
        <v>131383.958675</v>
      </c>
      <c r="F57" s="263">
        <f>F55-F53</f>
        <v>259555.63067500002</v>
      </c>
    </row>
    <row r="58" spans="2:25">
      <c r="C58" s="264" t="s">
        <v>155</v>
      </c>
      <c r="D58" s="266">
        <f>D53</f>
        <v>86681</v>
      </c>
      <c r="E58" s="266">
        <f>E53</f>
        <v>86681</v>
      </c>
      <c r="F58" s="266">
        <f>F53</f>
        <v>173362</v>
      </c>
      <c r="G58" s="319">
        <f>F58/(F57+F58)</f>
        <v>0.40045031136684367</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282" t="s">
        <v>544</v>
      </c>
      <c r="D63" s="257">
        <v>222</v>
      </c>
      <c r="E63" s="257" t="s">
        <v>181</v>
      </c>
      <c r="F63" s="257" t="s">
        <v>186</v>
      </c>
      <c r="G63" s="4470">
        <v>3.5</v>
      </c>
      <c r="H63" s="4483">
        <v>3.5</v>
      </c>
      <c r="I63" s="311">
        <v>1</v>
      </c>
      <c r="J63" s="257">
        <v>1</v>
      </c>
      <c r="K63" s="257" t="s">
        <v>183</v>
      </c>
      <c r="L63" s="3574"/>
      <c r="M63" s="3447">
        <f>Q63/O63</f>
        <v>2.474470330035234</v>
      </c>
      <c r="N63" s="3447">
        <f>R63/P63</f>
        <v>2.7219173630387576</v>
      </c>
      <c r="O63" s="214">
        <f t="shared" ref="O63:O104" si="10">(($I63*$F$57)+$V63)/$S63</f>
        <v>400478.84428769659</v>
      </c>
      <c r="P63" s="214">
        <f t="shared" ref="P63:P104" si="11">(($I63*$F$57)+($G63*$O13))/$S63</f>
        <v>400478.84428769659</v>
      </c>
      <c r="Q63" s="214">
        <f>IF(K63=0, 0, (HLOOKUP(K63,'[1]E-CESTDWO'!$A$5:$O$35,J63+1,FALSE)*R13))</f>
        <v>990973.01799670572</v>
      </c>
      <c r="R63" s="214">
        <f>IF(K63=0, 0, (HLOOKUP(K63,'[1]E-CESTD'!$A$5:$O$35,J63+1,FALSE)*R13))</f>
        <v>1090070.3197963764</v>
      </c>
      <c r="S63" s="279">
        <v>1.081</v>
      </c>
      <c r="T63" s="280">
        <f t="shared" ref="T63:T104" si="12">M13*$H63</f>
        <v>86681</v>
      </c>
      <c r="U63" s="280">
        <f t="shared" ref="U63:U104" si="13">N13*$H63</f>
        <v>86681</v>
      </c>
      <c r="V63" s="280">
        <f t="shared" ref="V63:V104" si="14">O13*$H63</f>
        <v>173362</v>
      </c>
      <c r="W63" s="322">
        <f t="shared" ref="W63:W81" si="15">V63/(V63+(I63*F$57))</f>
        <v>0.40045031136684367</v>
      </c>
      <c r="X63" s="322">
        <f t="shared" ref="X63:X81" si="16">(I63*((F$18*1.63)+F$28))/(V63+(I63*F$57))</f>
        <v>4.5746577632149239E-2</v>
      </c>
      <c r="Y63" s="322">
        <f t="shared" ref="Y63:Y81" si="17">(I63*F$38)/(V63+(I63*F$57))</f>
        <v>0.40045031136684367</v>
      </c>
    </row>
    <row r="64" spans="2:25">
      <c r="B64" s="282"/>
      <c r="C64" s="4576" t="s">
        <v>545</v>
      </c>
      <c r="D64" s="282">
        <v>0</v>
      </c>
      <c r="E64" s="282" t="s">
        <v>181</v>
      </c>
      <c r="F64" s="257" t="s">
        <v>186</v>
      </c>
      <c r="G64" s="4470">
        <v>0</v>
      </c>
      <c r="H64" s="313"/>
      <c r="I64" s="311">
        <v>0</v>
      </c>
      <c r="J64" s="257">
        <v>1</v>
      </c>
      <c r="K64" s="257" t="s">
        <v>183</v>
      </c>
      <c r="L64" s="3574"/>
      <c r="M64" s="3447" t="e">
        <f t="shared" ref="M64:N104" si="18">Q64/O64</f>
        <v>#DIV/0!</v>
      </c>
      <c r="N64" s="3447" t="e">
        <f t="shared" si="18"/>
        <v>#DIV/0!</v>
      </c>
      <c r="O64" s="214">
        <f t="shared" si="10"/>
        <v>0</v>
      </c>
      <c r="P64" s="214">
        <f t="shared" si="11"/>
        <v>0</v>
      </c>
      <c r="Q64" s="214">
        <f>IF(K64=0, 0, (HLOOKUP(K64,'[1]E-CESTDWO'!$A$5:$O$35,J64+1,FALSE)*R14))</f>
        <v>0</v>
      </c>
      <c r="R64" s="214">
        <f>IF(K64=0, 0, (HLOOKUP(K64,'[1]E-CESTD'!$A$5:$O$35,J64+1,FALSE)*R14))</f>
        <v>0</v>
      </c>
      <c r="S64" s="279">
        <v>1.081</v>
      </c>
      <c r="T64" s="280">
        <f t="shared" si="12"/>
        <v>0</v>
      </c>
      <c r="U64" s="280">
        <f t="shared" si="13"/>
        <v>0</v>
      </c>
      <c r="V64" s="280">
        <f t="shared" si="14"/>
        <v>0</v>
      </c>
      <c r="W64" s="322" t="e">
        <f t="shared" si="15"/>
        <v>#DIV/0!</v>
      </c>
      <c r="X64" s="322" t="e">
        <f t="shared" si="16"/>
        <v>#DIV/0!</v>
      </c>
      <c r="Y64" s="322" t="e">
        <f t="shared" si="17"/>
        <v>#DIV/0!</v>
      </c>
    </row>
    <row r="65" spans="2:25">
      <c r="B65" s="282"/>
      <c r="C65" s="282" t="s">
        <v>370</v>
      </c>
      <c r="D65" s="282">
        <v>0</v>
      </c>
      <c r="E65" s="282" t="s">
        <v>181</v>
      </c>
      <c r="F65" s="282" t="s">
        <v>186</v>
      </c>
      <c r="G65" s="283"/>
      <c r="H65" s="283"/>
      <c r="I65" s="311">
        <v>0</v>
      </c>
      <c r="J65" s="257"/>
      <c r="K65" s="257"/>
      <c r="L65" s="3574"/>
      <c r="M65" s="3447" t="e">
        <f t="shared" si="18"/>
        <v>#DIV/0!</v>
      </c>
      <c r="N65" s="3447" t="e">
        <f t="shared" si="18"/>
        <v>#DIV/0!</v>
      </c>
      <c r="O65" s="214">
        <f t="shared" si="10"/>
        <v>0</v>
      </c>
      <c r="P65" s="214">
        <f t="shared" si="11"/>
        <v>0</v>
      </c>
      <c r="Q65" s="214">
        <f>IF(K65=0, 0, (HLOOKUP(K65,'[1]E-CESTDWO'!$A$5:$O$35,J65+1,FALSE)*R15))</f>
        <v>0</v>
      </c>
      <c r="R65" s="214">
        <f>IF(K65=0, 0, (HLOOKUP(K65,'[1]E-CESTD'!$A$5:$O$35,J65+1,FALSE)*R15))</f>
        <v>0</v>
      </c>
      <c r="S65" s="279">
        <v>1.081</v>
      </c>
      <c r="T65" s="280">
        <f t="shared" si="12"/>
        <v>0</v>
      </c>
      <c r="U65" s="280">
        <f t="shared" si="13"/>
        <v>0</v>
      </c>
      <c r="V65" s="280">
        <f t="shared" si="14"/>
        <v>0</v>
      </c>
      <c r="W65" s="322" t="e">
        <f t="shared" si="15"/>
        <v>#DIV/0!</v>
      </c>
      <c r="X65" s="322" t="e">
        <f t="shared" si="16"/>
        <v>#DIV/0!</v>
      </c>
      <c r="Y65" s="322" t="e">
        <f t="shared" si="17"/>
        <v>#DIV/0!</v>
      </c>
    </row>
    <row r="66" spans="2:25">
      <c r="B66" s="282"/>
      <c r="C66" s="282" t="s">
        <v>188</v>
      </c>
      <c r="D66" s="282">
        <v>0</v>
      </c>
      <c r="E66" s="282" t="s">
        <v>181</v>
      </c>
      <c r="F66" s="282" t="s">
        <v>186</v>
      </c>
      <c r="G66" s="283"/>
      <c r="H66" s="283"/>
      <c r="I66" s="311">
        <v>0</v>
      </c>
      <c r="J66" s="257"/>
      <c r="K66" s="257"/>
      <c r="L66" s="3574"/>
      <c r="M66" s="3447" t="e">
        <f t="shared" si="18"/>
        <v>#DIV/0!</v>
      </c>
      <c r="N66" s="3447" t="e">
        <f t="shared" si="18"/>
        <v>#DIV/0!</v>
      </c>
      <c r="O66" s="214">
        <f t="shared" si="10"/>
        <v>0</v>
      </c>
      <c r="P66" s="214">
        <f t="shared" si="11"/>
        <v>0</v>
      </c>
      <c r="Q66" s="214">
        <f>IF(K66=0, 0, (HLOOKUP(K66,'[1]E-CESTDWO'!$A$5:$O$35,J66+1,FALSE)*R16))</f>
        <v>0</v>
      </c>
      <c r="R66" s="214">
        <f>IF(K66=0, 0, (HLOOKUP(K66,'[1]E-CESTD'!$A$5:$O$35,J66+1,FALSE)*R16))</f>
        <v>0</v>
      </c>
      <c r="S66" s="279">
        <v>1.081</v>
      </c>
      <c r="T66" s="280">
        <f t="shared" si="12"/>
        <v>0</v>
      </c>
      <c r="U66" s="280">
        <f t="shared" si="13"/>
        <v>0</v>
      </c>
      <c r="V66" s="280">
        <f t="shared" si="14"/>
        <v>0</v>
      </c>
      <c r="W66" s="322" t="e">
        <f t="shared" si="15"/>
        <v>#DIV/0!</v>
      </c>
      <c r="X66" s="322" t="e">
        <f t="shared" si="16"/>
        <v>#DIV/0!</v>
      </c>
      <c r="Y66" s="322" t="e">
        <f t="shared" si="17"/>
        <v>#DIV/0!</v>
      </c>
    </row>
    <row r="67" spans="2:25">
      <c r="B67" s="282"/>
      <c r="C67" s="282" t="s">
        <v>189</v>
      </c>
      <c r="D67" s="282">
        <v>0</v>
      </c>
      <c r="E67" s="282" t="s">
        <v>181</v>
      </c>
      <c r="F67" s="282" t="s">
        <v>186</v>
      </c>
      <c r="G67" s="283"/>
      <c r="H67" s="283"/>
      <c r="I67" s="311">
        <v>0</v>
      </c>
      <c r="J67" s="257"/>
      <c r="K67" s="257"/>
      <c r="L67" s="3574"/>
      <c r="M67" s="3447" t="e">
        <f t="shared" si="18"/>
        <v>#DIV/0!</v>
      </c>
      <c r="N67" s="3447" t="e">
        <f t="shared" si="18"/>
        <v>#DIV/0!</v>
      </c>
      <c r="O67" s="214">
        <f t="shared" si="10"/>
        <v>0</v>
      </c>
      <c r="P67" s="214">
        <f t="shared" si="11"/>
        <v>0</v>
      </c>
      <c r="Q67" s="214">
        <f>IF(K67=0, 0, (HLOOKUP(K67,'[1]E-CESTDWO'!$A$5:$O$35,J67+1,FALSE)*R17))</f>
        <v>0</v>
      </c>
      <c r="R67" s="214">
        <f>IF(K67=0, 0, (HLOOKUP(K67,'[1]E-CESTD'!$A$5:$O$35,J67+1,FALSE)*R17))</f>
        <v>0</v>
      </c>
      <c r="S67" s="279">
        <v>1.081</v>
      </c>
      <c r="T67" s="280">
        <f t="shared" si="12"/>
        <v>0</v>
      </c>
      <c r="U67" s="280">
        <f t="shared" si="13"/>
        <v>0</v>
      </c>
      <c r="V67" s="280">
        <f t="shared" si="14"/>
        <v>0</v>
      </c>
      <c r="W67" s="322" t="e">
        <f t="shared" si="15"/>
        <v>#DIV/0!</v>
      </c>
      <c r="X67" s="322" t="e">
        <f t="shared" si="16"/>
        <v>#DIV/0!</v>
      </c>
      <c r="Y67" s="322" t="e">
        <f t="shared" si="17"/>
        <v>#DIV/0!</v>
      </c>
    </row>
    <row r="68" spans="2:25">
      <c r="B68" s="282"/>
      <c r="C68" s="282" t="s">
        <v>190</v>
      </c>
      <c r="D68" s="282">
        <v>0</v>
      </c>
      <c r="E68" s="282" t="s">
        <v>181</v>
      </c>
      <c r="F68" s="282" t="s">
        <v>186</v>
      </c>
      <c r="G68" s="283"/>
      <c r="H68" s="283"/>
      <c r="I68" s="311">
        <v>0</v>
      </c>
      <c r="J68" s="257"/>
      <c r="K68" s="257"/>
      <c r="L68" s="3574"/>
      <c r="M68" s="3447" t="e">
        <f t="shared" si="18"/>
        <v>#DIV/0!</v>
      </c>
      <c r="N68" s="3447" t="e">
        <f t="shared" si="18"/>
        <v>#DIV/0!</v>
      </c>
      <c r="O68" s="214">
        <f t="shared" si="10"/>
        <v>0</v>
      </c>
      <c r="P68" s="214">
        <f t="shared" si="11"/>
        <v>0</v>
      </c>
      <c r="Q68" s="214">
        <f>IF(K68=0, 0, (HLOOKUP(K68,'[1]E-CESTDWO'!$A$5:$O$35,J68+1,FALSE)*R18))</f>
        <v>0</v>
      </c>
      <c r="R68" s="214">
        <f>IF(K68=0, 0, (HLOOKUP(K68,'[1]E-CESTD'!$A$5:$O$35,J68+1,FALSE)*R18))</f>
        <v>0</v>
      </c>
      <c r="S68" s="279">
        <v>1.081</v>
      </c>
      <c r="T68" s="280">
        <f t="shared" si="12"/>
        <v>0</v>
      </c>
      <c r="U68" s="280">
        <f t="shared" si="13"/>
        <v>0</v>
      </c>
      <c r="V68" s="280">
        <f t="shared" si="14"/>
        <v>0</v>
      </c>
      <c r="W68" s="322" t="e">
        <f t="shared" si="15"/>
        <v>#DIV/0!</v>
      </c>
      <c r="X68" s="322" t="e">
        <f t="shared" si="16"/>
        <v>#DIV/0!</v>
      </c>
      <c r="Y68" s="322" t="e">
        <f t="shared" si="17"/>
        <v>#DIV/0!</v>
      </c>
    </row>
    <row r="69" spans="2:25">
      <c r="B69" s="282"/>
      <c r="C69" s="282" t="s">
        <v>191</v>
      </c>
      <c r="D69" s="282">
        <v>0</v>
      </c>
      <c r="E69" s="282" t="s">
        <v>181</v>
      </c>
      <c r="F69" s="282" t="s">
        <v>186</v>
      </c>
      <c r="G69" s="283"/>
      <c r="H69" s="283"/>
      <c r="I69" s="311">
        <v>0</v>
      </c>
      <c r="J69" s="257"/>
      <c r="K69" s="257"/>
      <c r="L69" s="3574"/>
      <c r="M69" s="3447" t="e">
        <f t="shared" si="18"/>
        <v>#DIV/0!</v>
      </c>
      <c r="N69" s="3447" t="e">
        <f t="shared" si="18"/>
        <v>#DIV/0!</v>
      </c>
      <c r="O69" s="214">
        <f t="shared" si="10"/>
        <v>0</v>
      </c>
      <c r="P69" s="214">
        <f t="shared" si="11"/>
        <v>0</v>
      </c>
      <c r="Q69" s="214">
        <f>IF(K69=0, 0, (HLOOKUP(K69,'[1]E-CESTDWO'!$A$5:$O$35,J69+1,FALSE)*R19))</f>
        <v>0</v>
      </c>
      <c r="R69" s="214">
        <f>IF(K69=0, 0, (HLOOKUP(K69,'[1]E-CESTD'!$A$5:$O$35,J69+1,FALSE)*R19))</f>
        <v>0</v>
      </c>
      <c r="S69" s="279">
        <v>1.081</v>
      </c>
      <c r="T69" s="280">
        <f t="shared" si="12"/>
        <v>0</v>
      </c>
      <c r="U69" s="280">
        <f t="shared" si="13"/>
        <v>0</v>
      </c>
      <c r="V69" s="280">
        <f t="shared" si="14"/>
        <v>0</v>
      </c>
      <c r="W69" s="322" t="e">
        <f t="shared" si="15"/>
        <v>#DIV/0!</v>
      </c>
      <c r="X69" s="322" t="e">
        <f t="shared" si="16"/>
        <v>#DIV/0!</v>
      </c>
      <c r="Y69" s="322" t="e">
        <f t="shared" si="17"/>
        <v>#DIV/0!</v>
      </c>
    </row>
    <row r="70" spans="2:25">
      <c r="B70" s="282"/>
      <c r="C70" s="282" t="s">
        <v>192</v>
      </c>
      <c r="D70" s="282">
        <v>0</v>
      </c>
      <c r="E70" s="282" t="s">
        <v>181</v>
      </c>
      <c r="F70" s="282" t="s">
        <v>186</v>
      </c>
      <c r="G70" s="283"/>
      <c r="H70" s="283"/>
      <c r="I70" s="311">
        <v>0</v>
      </c>
      <c r="J70" s="257"/>
      <c r="K70" s="257"/>
      <c r="L70" s="3574"/>
      <c r="M70" s="3447" t="e">
        <f t="shared" si="18"/>
        <v>#DIV/0!</v>
      </c>
      <c r="N70" s="3447" t="e">
        <f t="shared" si="18"/>
        <v>#DIV/0!</v>
      </c>
      <c r="O70" s="214">
        <f t="shared" si="10"/>
        <v>0</v>
      </c>
      <c r="P70" s="214">
        <f t="shared" si="11"/>
        <v>0</v>
      </c>
      <c r="Q70" s="214">
        <f>IF(K70=0, 0, (HLOOKUP(K70,'[1]E-CESTDWO'!$A$5:$O$35,J70+1,FALSE)*R20))</f>
        <v>0</v>
      </c>
      <c r="R70" s="214">
        <f>IF(K70=0, 0, (HLOOKUP(K70,'[1]E-CESTD'!$A$5:$O$35,J70+1,FALSE)*R20))</f>
        <v>0</v>
      </c>
      <c r="S70" s="279">
        <v>1.081</v>
      </c>
      <c r="T70" s="280">
        <f t="shared" si="12"/>
        <v>0</v>
      </c>
      <c r="U70" s="280">
        <f t="shared" si="13"/>
        <v>0</v>
      </c>
      <c r="V70" s="280">
        <f t="shared" si="14"/>
        <v>0</v>
      </c>
      <c r="W70" s="322" t="e">
        <f t="shared" si="15"/>
        <v>#DIV/0!</v>
      </c>
      <c r="X70" s="322" t="e">
        <f t="shared" si="16"/>
        <v>#DIV/0!</v>
      </c>
      <c r="Y70" s="322" t="e">
        <f t="shared" si="17"/>
        <v>#DIV/0!</v>
      </c>
    </row>
    <row r="71" spans="2:25">
      <c r="B71" s="282"/>
      <c r="C71" s="282" t="s">
        <v>193</v>
      </c>
      <c r="D71" s="282">
        <v>0</v>
      </c>
      <c r="E71" s="282" t="s">
        <v>181</v>
      </c>
      <c r="F71" s="282" t="s">
        <v>186</v>
      </c>
      <c r="G71" s="283"/>
      <c r="H71" s="283"/>
      <c r="I71" s="311">
        <v>0</v>
      </c>
      <c r="J71" s="257"/>
      <c r="K71" s="257"/>
      <c r="L71" s="3574"/>
      <c r="M71" s="3447" t="e">
        <f t="shared" si="18"/>
        <v>#DIV/0!</v>
      </c>
      <c r="N71" s="3447" t="e">
        <f t="shared" si="18"/>
        <v>#DIV/0!</v>
      </c>
      <c r="O71" s="214">
        <f t="shared" si="10"/>
        <v>0</v>
      </c>
      <c r="P71" s="214">
        <f t="shared" si="11"/>
        <v>0</v>
      </c>
      <c r="Q71" s="214">
        <f>IF(K71=0, 0, (HLOOKUP(K71,'[1]E-CESTDWO'!$A$5:$O$35,J71+1,FALSE)*R21))</f>
        <v>0</v>
      </c>
      <c r="R71" s="214">
        <f>IF(K71=0, 0, (HLOOKUP(K71,'[1]E-CESTD'!$A$5:$O$35,J71+1,FALSE)*R21))</f>
        <v>0</v>
      </c>
      <c r="S71" s="279">
        <v>1.081</v>
      </c>
      <c r="T71" s="280">
        <f t="shared" si="12"/>
        <v>0</v>
      </c>
      <c r="U71" s="280">
        <f t="shared" si="13"/>
        <v>0</v>
      </c>
      <c r="V71" s="280">
        <f t="shared" si="14"/>
        <v>0</v>
      </c>
      <c r="W71" s="322" t="e">
        <f t="shared" si="15"/>
        <v>#DIV/0!</v>
      </c>
      <c r="X71" s="322" t="e">
        <f t="shared" si="16"/>
        <v>#DIV/0!</v>
      </c>
      <c r="Y71" s="322" t="e">
        <f t="shared" si="17"/>
        <v>#DIV/0!</v>
      </c>
    </row>
    <row r="72" spans="2:25">
      <c r="B72" s="282"/>
      <c r="C72" s="282" t="s">
        <v>194</v>
      </c>
      <c r="D72" s="282">
        <v>0</v>
      </c>
      <c r="E72" s="282" t="s">
        <v>181</v>
      </c>
      <c r="F72" s="282" t="s">
        <v>186</v>
      </c>
      <c r="G72" s="283"/>
      <c r="H72" s="283"/>
      <c r="I72" s="311">
        <v>0</v>
      </c>
      <c r="J72" s="257"/>
      <c r="K72" s="257"/>
      <c r="L72" s="3574"/>
      <c r="M72" s="3447" t="e">
        <f t="shared" si="18"/>
        <v>#DIV/0!</v>
      </c>
      <c r="N72" s="3447" t="e">
        <f t="shared" si="18"/>
        <v>#DIV/0!</v>
      </c>
      <c r="O72" s="214">
        <f t="shared" si="10"/>
        <v>0</v>
      </c>
      <c r="P72" s="214">
        <f t="shared" si="11"/>
        <v>0</v>
      </c>
      <c r="Q72" s="214">
        <f>IF(K72=0, 0, (HLOOKUP(K72,'[1]E-CESTDWO'!$A$5:$O$35,J72+1,FALSE)*R22))</f>
        <v>0</v>
      </c>
      <c r="R72" s="214">
        <f>IF(K72=0, 0, (HLOOKUP(K72,'[1]E-CESTD'!$A$5:$O$35,J72+1,FALSE)*R22))</f>
        <v>0</v>
      </c>
      <c r="S72" s="279">
        <v>1.081</v>
      </c>
      <c r="T72" s="280">
        <f t="shared" si="12"/>
        <v>0</v>
      </c>
      <c r="U72" s="280">
        <f t="shared" si="13"/>
        <v>0</v>
      </c>
      <c r="V72" s="280">
        <f t="shared" si="14"/>
        <v>0</v>
      </c>
      <c r="W72" s="322" t="e">
        <f t="shared" si="15"/>
        <v>#DIV/0!</v>
      </c>
      <c r="X72" s="322" t="e">
        <f t="shared" si="16"/>
        <v>#DIV/0!</v>
      </c>
      <c r="Y72" s="322" t="e">
        <f t="shared" si="17"/>
        <v>#DIV/0!</v>
      </c>
    </row>
    <row r="73" spans="2:25">
      <c r="B73" s="282"/>
      <c r="C73" s="282" t="s">
        <v>195</v>
      </c>
      <c r="D73" s="282">
        <v>0</v>
      </c>
      <c r="E73" s="282" t="s">
        <v>181</v>
      </c>
      <c r="F73" s="282" t="s">
        <v>186</v>
      </c>
      <c r="G73" s="283"/>
      <c r="H73" s="283"/>
      <c r="I73" s="311">
        <v>0</v>
      </c>
      <c r="J73" s="257"/>
      <c r="K73" s="257"/>
      <c r="L73" s="3574"/>
      <c r="M73" s="3447" t="e">
        <f t="shared" si="18"/>
        <v>#DIV/0!</v>
      </c>
      <c r="N73" s="3447" t="e">
        <f t="shared" si="18"/>
        <v>#DIV/0!</v>
      </c>
      <c r="O73" s="214">
        <f t="shared" si="10"/>
        <v>0</v>
      </c>
      <c r="P73" s="214">
        <f t="shared" si="11"/>
        <v>0</v>
      </c>
      <c r="Q73" s="214">
        <f>IF(K73=0, 0, (HLOOKUP(K73,'[1]E-CESTDWO'!$A$5:$O$35,J73+1,FALSE)*R23))</f>
        <v>0</v>
      </c>
      <c r="R73" s="214">
        <f>IF(K73=0, 0, (HLOOKUP(K73,'[1]E-CESTD'!$A$5:$O$35,J73+1,FALSE)*R23))</f>
        <v>0</v>
      </c>
      <c r="S73" s="279">
        <v>1.081</v>
      </c>
      <c r="T73" s="280">
        <f t="shared" si="12"/>
        <v>0</v>
      </c>
      <c r="U73" s="280">
        <f t="shared" si="13"/>
        <v>0</v>
      </c>
      <c r="V73" s="280">
        <f t="shared" si="14"/>
        <v>0</v>
      </c>
      <c r="W73" s="322" t="e">
        <f t="shared" si="15"/>
        <v>#DIV/0!</v>
      </c>
      <c r="X73" s="322" t="e">
        <f t="shared" si="16"/>
        <v>#DIV/0!</v>
      </c>
      <c r="Y73" s="322" t="e">
        <f t="shared" si="17"/>
        <v>#DIV/0!</v>
      </c>
    </row>
    <row r="74" spans="2:25">
      <c r="B74" s="282"/>
      <c r="C74" s="282" t="s">
        <v>196</v>
      </c>
      <c r="D74" s="282">
        <v>0</v>
      </c>
      <c r="E74" s="282" t="s">
        <v>181</v>
      </c>
      <c r="F74" s="282" t="s">
        <v>186</v>
      </c>
      <c r="G74" s="283"/>
      <c r="H74" s="283"/>
      <c r="I74" s="311">
        <v>0</v>
      </c>
      <c r="J74" s="257"/>
      <c r="K74" s="257"/>
      <c r="L74" s="3574"/>
      <c r="M74" s="3447" t="e">
        <f t="shared" si="18"/>
        <v>#DIV/0!</v>
      </c>
      <c r="N74" s="3447" t="e">
        <f t="shared" si="18"/>
        <v>#DIV/0!</v>
      </c>
      <c r="O74" s="214">
        <f t="shared" si="10"/>
        <v>0</v>
      </c>
      <c r="P74" s="214">
        <f t="shared" si="11"/>
        <v>0</v>
      </c>
      <c r="Q74" s="214">
        <f>IF(K74=0, 0, (HLOOKUP(K74,'[1]E-CESTDWO'!$A$5:$O$35,J74+1,FALSE)*R24))</f>
        <v>0</v>
      </c>
      <c r="R74" s="214">
        <f>IF(K74=0, 0, (HLOOKUP(K74,'[1]E-CESTD'!$A$5:$O$35,J74+1,FALSE)*R24))</f>
        <v>0</v>
      </c>
      <c r="S74" s="279">
        <v>1.081</v>
      </c>
      <c r="T74" s="280">
        <f t="shared" si="12"/>
        <v>0</v>
      </c>
      <c r="U74" s="280">
        <f t="shared" si="13"/>
        <v>0</v>
      </c>
      <c r="V74" s="280">
        <f t="shared" si="14"/>
        <v>0</v>
      </c>
      <c r="W74" s="322" t="e">
        <f t="shared" si="15"/>
        <v>#DIV/0!</v>
      </c>
      <c r="X74" s="322" t="e">
        <f t="shared" si="16"/>
        <v>#DIV/0!</v>
      </c>
      <c r="Y74" s="322" t="e">
        <f t="shared" si="17"/>
        <v>#DIV/0!</v>
      </c>
    </row>
    <row r="75" spans="2:25">
      <c r="B75" s="282"/>
      <c r="C75" s="282" t="s">
        <v>197</v>
      </c>
      <c r="D75" s="282">
        <v>0</v>
      </c>
      <c r="E75" s="282" t="s">
        <v>181</v>
      </c>
      <c r="F75" s="282" t="s">
        <v>186</v>
      </c>
      <c r="G75" s="283"/>
      <c r="H75" s="283"/>
      <c r="I75" s="311">
        <v>0</v>
      </c>
      <c r="J75" s="257"/>
      <c r="K75" s="257"/>
      <c r="L75" s="3574"/>
      <c r="M75" s="3447" t="e">
        <f t="shared" si="18"/>
        <v>#DIV/0!</v>
      </c>
      <c r="N75" s="3447" t="e">
        <f t="shared" si="18"/>
        <v>#DIV/0!</v>
      </c>
      <c r="O75" s="214">
        <f t="shared" si="10"/>
        <v>0</v>
      </c>
      <c r="P75" s="214">
        <f t="shared" si="11"/>
        <v>0</v>
      </c>
      <c r="Q75" s="214">
        <f>IF(K75=0, 0, (HLOOKUP(K75,'[1]E-CESTDWO'!$A$5:$O$35,J75+1,FALSE)*R25))</f>
        <v>0</v>
      </c>
      <c r="R75" s="214">
        <f>IF(K75=0, 0, (HLOOKUP(K75,'[1]E-CESTD'!$A$5:$O$35,J75+1,FALSE)*R25))</f>
        <v>0</v>
      </c>
      <c r="S75" s="279">
        <v>1.081</v>
      </c>
      <c r="T75" s="280">
        <f t="shared" si="12"/>
        <v>0</v>
      </c>
      <c r="U75" s="280">
        <f t="shared" si="13"/>
        <v>0</v>
      </c>
      <c r="V75" s="280">
        <f t="shared" si="14"/>
        <v>0</v>
      </c>
      <c r="W75" s="322" t="e">
        <f t="shared" si="15"/>
        <v>#DIV/0!</v>
      </c>
      <c r="X75" s="322" t="e">
        <f t="shared" si="16"/>
        <v>#DIV/0!</v>
      </c>
      <c r="Y75" s="322" t="e">
        <f t="shared" si="17"/>
        <v>#DIV/0!</v>
      </c>
    </row>
    <row r="76" spans="2:25">
      <c r="B76" s="282"/>
      <c r="C76" s="282" t="s">
        <v>198</v>
      </c>
      <c r="D76" s="282">
        <v>0</v>
      </c>
      <c r="E76" s="282" t="s">
        <v>181</v>
      </c>
      <c r="F76" s="282" t="s">
        <v>186</v>
      </c>
      <c r="G76" s="283"/>
      <c r="H76" s="283"/>
      <c r="I76" s="311">
        <v>0</v>
      </c>
      <c r="J76" s="257"/>
      <c r="K76" s="257"/>
      <c r="L76" s="3574"/>
      <c r="M76" s="3447" t="e">
        <f t="shared" si="18"/>
        <v>#DIV/0!</v>
      </c>
      <c r="N76" s="3447" t="e">
        <f t="shared" si="18"/>
        <v>#DIV/0!</v>
      </c>
      <c r="O76" s="214">
        <f t="shared" si="10"/>
        <v>0</v>
      </c>
      <c r="P76" s="214">
        <f t="shared" si="11"/>
        <v>0</v>
      </c>
      <c r="Q76" s="214">
        <f>IF(K76=0, 0, (HLOOKUP(K76,'[1]E-CESTDWO'!$A$5:$O$35,J76+1,FALSE)*R26))</f>
        <v>0</v>
      </c>
      <c r="R76" s="214">
        <f>IF(K76=0, 0, (HLOOKUP(K76,'[1]E-CESTD'!$A$5:$O$35,J76+1,FALSE)*R26))</f>
        <v>0</v>
      </c>
      <c r="S76" s="279">
        <v>1.081</v>
      </c>
      <c r="T76" s="280">
        <f t="shared" si="12"/>
        <v>0</v>
      </c>
      <c r="U76" s="280">
        <f t="shared" si="13"/>
        <v>0</v>
      </c>
      <c r="V76" s="280">
        <f t="shared" si="14"/>
        <v>0</v>
      </c>
      <c r="W76" s="322" t="e">
        <f t="shared" si="15"/>
        <v>#DIV/0!</v>
      </c>
      <c r="X76" s="322" t="e">
        <f t="shared" si="16"/>
        <v>#DIV/0!</v>
      </c>
      <c r="Y76" s="322" t="e">
        <f t="shared" si="17"/>
        <v>#DIV/0!</v>
      </c>
    </row>
    <row r="77" spans="2:25">
      <c r="B77" s="282"/>
      <c r="C77" s="282" t="s">
        <v>199</v>
      </c>
      <c r="D77" s="282">
        <v>0</v>
      </c>
      <c r="E77" s="282" t="s">
        <v>181</v>
      </c>
      <c r="F77" s="282" t="s">
        <v>186</v>
      </c>
      <c r="G77" s="283"/>
      <c r="H77" s="283"/>
      <c r="I77" s="311">
        <v>0</v>
      </c>
      <c r="J77" s="257"/>
      <c r="K77" s="257"/>
      <c r="L77" s="3574"/>
      <c r="M77" s="3447" t="e">
        <f t="shared" si="18"/>
        <v>#DIV/0!</v>
      </c>
      <c r="N77" s="3447" t="e">
        <f t="shared" si="18"/>
        <v>#DIV/0!</v>
      </c>
      <c r="O77" s="214">
        <f t="shared" si="10"/>
        <v>0</v>
      </c>
      <c r="P77" s="214">
        <f t="shared" si="11"/>
        <v>0</v>
      </c>
      <c r="Q77" s="214">
        <f>IF(K77=0, 0, (HLOOKUP(K77,'[1]E-CESTDWO'!$A$5:$O$35,J77+1,FALSE)*R27))</f>
        <v>0</v>
      </c>
      <c r="R77" s="214">
        <f>IF(K77=0, 0, (HLOOKUP(K77,'[1]E-CESTD'!$A$5:$O$35,J77+1,FALSE)*R27))</f>
        <v>0</v>
      </c>
      <c r="S77" s="279">
        <v>1.081</v>
      </c>
      <c r="T77" s="280">
        <f t="shared" si="12"/>
        <v>0</v>
      </c>
      <c r="U77" s="280">
        <f t="shared" si="13"/>
        <v>0</v>
      </c>
      <c r="V77" s="280">
        <f t="shared" si="14"/>
        <v>0</v>
      </c>
      <c r="W77" s="322" t="e">
        <f t="shared" si="15"/>
        <v>#DIV/0!</v>
      </c>
      <c r="X77" s="322" t="e">
        <f t="shared" si="16"/>
        <v>#DIV/0!</v>
      </c>
      <c r="Y77" s="322" t="e">
        <f t="shared" si="17"/>
        <v>#DIV/0!</v>
      </c>
    </row>
    <row r="78" spans="2:25">
      <c r="B78" s="282"/>
      <c r="C78" s="282" t="s">
        <v>200</v>
      </c>
      <c r="D78" s="282">
        <v>0</v>
      </c>
      <c r="E78" s="282" t="s">
        <v>181</v>
      </c>
      <c r="F78" s="282" t="s">
        <v>186</v>
      </c>
      <c r="G78" s="283"/>
      <c r="H78" s="283"/>
      <c r="I78" s="311">
        <v>0</v>
      </c>
      <c r="J78" s="257"/>
      <c r="K78" s="257"/>
      <c r="L78" s="3574"/>
      <c r="M78" s="3447" t="e">
        <f t="shared" si="18"/>
        <v>#DIV/0!</v>
      </c>
      <c r="N78" s="3447" t="e">
        <f t="shared" si="18"/>
        <v>#DIV/0!</v>
      </c>
      <c r="O78" s="214">
        <f t="shared" si="10"/>
        <v>0</v>
      </c>
      <c r="P78" s="214">
        <f t="shared" si="11"/>
        <v>0</v>
      </c>
      <c r="Q78" s="214">
        <f>IF(K78=0, 0, (HLOOKUP(K78,'[1]E-CESTDWO'!$A$5:$O$35,J78+1,FALSE)*R28))</f>
        <v>0</v>
      </c>
      <c r="R78" s="214">
        <f>IF(K78=0, 0, (HLOOKUP(K78,'[1]E-CESTD'!$A$5:$O$35,J78+1,FALSE)*R28))</f>
        <v>0</v>
      </c>
      <c r="S78" s="279">
        <v>1.081</v>
      </c>
      <c r="T78" s="280">
        <f t="shared" si="12"/>
        <v>0</v>
      </c>
      <c r="U78" s="280">
        <f t="shared" si="13"/>
        <v>0</v>
      </c>
      <c r="V78" s="280">
        <f t="shared" si="14"/>
        <v>0</v>
      </c>
      <c r="W78" s="322" t="e">
        <f t="shared" si="15"/>
        <v>#DIV/0!</v>
      </c>
      <c r="X78" s="322" t="e">
        <f t="shared" si="16"/>
        <v>#DIV/0!</v>
      </c>
      <c r="Y78" s="322" t="e">
        <f t="shared" si="17"/>
        <v>#DIV/0!</v>
      </c>
    </row>
    <row r="79" spans="2:25">
      <c r="B79" s="282"/>
      <c r="C79" s="282" t="s">
        <v>201</v>
      </c>
      <c r="D79" s="282">
        <v>0</v>
      </c>
      <c r="E79" s="282" t="s">
        <v>181</v>
      </c>
      <c r="F79" s="282" t="s">
        <v>186</v>
      </c>
      <c r="G79" s="283"/>
      <c r="H79" s="283"/>
      <c r="I79" s="311">
        <v>0</v>
      </c>
      <c r="J79" s="257"/>
      <c r="K79" s="257"/>
      <c r="L79" s="3574"/>
      <c r="M79" s="3447" t="e">
        <f t="shared" si="18"/>
        <v>#DIV/0!</v>
      </c>
      <c r="N79" s="3447" t="e">
        <f t="shared" si="18"/>
        <v>#DIV/0!</v>
      </c>
      <c r="O79" s="214">
        <f t="shared" si="10"/>
        <v>0</v>
      </c>
      <c r="P79" s="214">
        <f t="shared" si="11"/>
        <v>0</v>
      </c>
      <c r="Q79" s="214">
        <f>IF(K79=0, 0, (HLOOKUP(K79,'[1]E-CESTDWO'!$A$5:$O$35,J79+1,FALSE)*R29))</f>
        <v>0</v>
      </c>
      <c r="R79" s="214">
        <f>IF(K79=0, 0, (HLOOKUP(K79,'[1]E-CESTD'!$A$5:$O$35,J79+1,FALSE)*R29))</f>
        <v>0</v>
      </c>
      <c r="S79" s="279">
        <v>1.081</v>
      </c>
      <c r="T79" s="280">
        <f t="shared" si="12"/>
        <v>0</v>
      </c>
      <c r="U79" s="280">
        <f t="shared" si="13"/>
        <v>0</v>
      </c>
      <c r="V79" s="280">
        <f t="shared" si="14"/>
        <v>0</v>
      </c>
      <c r="W79" s="322" t="e">
        <f t="shared" si="15"/>
        <v>#DIV/0!</v>
      </c>
      <c r="X79" s="322" t="e">
        <f t="shared" si="16"/>
        <v>#DIV/0!</v>
      </c>
      <c r="Y79" s="322" t="e">
        <f t="shared" si="17"/>
        <v>#DIV/0!</v>
      </c>
    </row>
    <row r="80" spans="2:25">
      <c r="B80" s="282"/>
      <c r="C80" s="282" t="s">
        <v>202</v>
      </c>
      <c r="D80" s="282">
        <v>0</v>
      </c>
      <c r="E80" s="282" t="s">
        <v>181</v>
      </c>
      <c r="F80" s="282" t="s">
        <v>186</v>
      </c>
      <c r="G80" s="283"/>
      <c r="H80" s="283"/>
      <c r="I80" s="311">
        <v>0</v>
      </c>
      <c r="J80" s="257"/>
      <c r="K80" s="257"/>
      <c r="L80" s="3574"/>
      <c r="M80" s="3447" t="e">
        <f t="shared" si="18"/>
        <v>#DIV/0!</v>
      </c>
      <c r="N80" s="3447" t="e">
        <f t="shared" si="18"/>
        <v>#DIV/0!</v>
      </c>
      <c r="O80" s="214">
        <f t="shared" si="10"/>
        <v>0</v>
      </c>
      <c r="P80" s="214">
        <f t="shared" si="11"/>
        <v>0</v>
      </c>
      <c r="Q80" s="214">
        <f>IF(K80=0, 0, (HLOOKUP(K80,'[1]E-CESTDWO'!$A$5:$O$35,J80+1,FALSE)*R30))</f>
        <v>0</v>
      </c>
      <c r="R80" s="214">
        <f>IF(K80=0, 0, (HLOOKUP(K80,'[1]E-CESTD'!$A$5:$O$35,J80+1,FALSE)*R30))</f>
        <v>0</v>
      </c>
      <c r="S80" s="279">
        <v>1.081</v>
      </c>
      <c r="T80" s="280">
        <f t="shared" si="12"/>
        <v>0</v>
      </c>
      <c r="U80" s="280">
        <f t="shared" si="13"/>
        <v>0</v>
      </c>
      <c r="V80" s="280">
        <f t="shared" si="14"/>
        <v>0</v>
      </c>
      <c r="W80" s="322" t="e">
        <f t="shared" si="15"/>
        <v>#DIV/0!</v>
      </c>
      <c r="X80" s="322" t="e">
        <f t="shared" si="16"/>
        <v>#DIV/0!</v>
      </c>
      <c r="Y80" s="322" t="e">
        <f t="shared" si="17"/>
        <v>#DIV/0!</v>
      </c>
    </row>
    <row r="81" spans="2:25">
      <c r="B81" s="282"/>
      <c r="C81" s="282" t="s">
        <v>203</v>
      </c>
      <c r="D81" s="282">
        <v>0</v>
      </c>
      <c r="E81" s="282" t="s">
        <v>181</v>
      </c>
      <c r="F81" s="282" t="s">
        <v>186</v>
      </c>
      <c r="G81" s="283"/>
      <c r="H81" s="283"/>
      <c r="I81" s="311">
        <v>0</v>
      </c>
      <c r="J81" s="257"/>
      <c r="K81" s="257"/>
      <c r="L81" s="3574"/>
      <c r="M81" s="3447" t="e">
        <f t="shared" si="18"/>
        <v>#DIV/0!</v>
      </c>
      <c r="N81" s="3447" t="e">
        <f t="shared" si="18"/>
        <v>#DIV/0!</v>
      </c>
      <c r="O81" s="214">
        <f t="shared" si="10"/>
        <v>0</v>
      </c>
      <c r="P81" s="214">
        <f t="shared" si="11"/>
        <v>0</v>
      </c>
      <c r="Q81" s="214">
        <f>IF(K81=0, 0, (HLOOKUP(K81,'[1]E-CESTDWO'!$A$5:$O$35,J81+1,FALSE)*R31))</f>
        <v>0</v>
      </c>
      <c r="R81" s="214">
        <f>IF(K81=0, 0, (HLOOKUP(K81,'[1]E-CESTD'!$A$5:$O$35,J81+1,FALSE)*R31))</f>
        <v>0</v>
      </c>
      <c r="S81" s="279">
        <v>1.081</v>
      </c>
      <c r="T81" s="280">
        <f t="shared" si="12"/>
        <v>0</v>
      </c>
      <c r="U81" s="280">
        <f t="shared" si="13"/>
        <v>0</v>
      </c>
      <c r="V81" s="280">
        <f t="shared" si="14"/>
        <v>0</v>
      </c>
      <c r="W81" s="322" t="e">
        <f t="shared" si="15"/>
        <v>#DIV/0!</v>
      </c>
      <c r="X81" s="322" t="e">
        <f t="shared" si="16"/>
        <v>#DIV/0!</v>
      </c>
      <c r="Y81" s="322" t="e">
        <f t="shared" si="17"/>
        <v>#DIV/0!</v>
      </c>
    </row>
    <row r="82" spans="2:25">
      <c r="B82" s="282"/>
      <c r="C82" s="282" t="s">
        <v>204</v>
      </c>
      <c r="D82" s="282">
        <v>0</v>
      </c>
      <c r="E82" s="282" t="s">
        <v>181</v>
      </c>
      <c r="F82" s="282" t="s">
        <v>186</v>
      </c>
      <c r="G82" s="283"/>
      <c r="H82" s="283"/>
      <c r="I82" s="311">
        <v>0</v>
      </c>
      <c r="J82" s="257"/>
      <c r="K82" s="257"/>
      <c r="L82" s="3574"/>
      <c r="M82" s="3447" t="e">
        <f t="shared" si="18"/>
        <v>#DIV/0!</v>
      </c>
      <c r="N82" s="3447" t="e">
        <f t="shared" si="18"/>
        <v>#DIV/0!</v>
      </c>
      <c r="O82" s="214">
        <f t="shared" si="10"/>
        <v>0</v>
      </c>
      <c r="P82" s="214">
        <f t="shared" si="11"/>
        <v>0</v>
      </c>
      <c r="Q82" s="214">
        <f>IF(K82=0, 0, (HLOOKUP(K82,'[1]E-CESTDWO'!$A$5:$O$35,J82+1,FALSE)*R32))</f>
        <v>0</v>
      </c>
      <c r="R82" s="214">
        <f>IF(K82=0, 0, (HLOOKUP(K82,'[1]E-CESTD'!$A$5:$O$35,J82+1,FALSE)*R32))</f>
        <v>0</v>
      </c>
      <c r="S82" s="279">
        <v>1.081</v>
      </c>
      <c r="T82" s="280">
        <f t="shared" si="12"/>
        <v>0</v>
      </c>
      <c r="U82" s="280">
        <f t="shared" si="13"/>
        <v>0</v>
      </c>
      <c r="V82" s="280">
        <f t="shared" si="14"/>
        <v>0</v>
      </c>
    </row>
    <row r="83" spans="2:25">
      <c r="B83" s="282"/>
      <c r="C83" s="282" t="s">
        <v>205</v>
      </c>
      <c r="D83" s="285">
        <v>0</v>
      </c>
      <c r="E83" s="282" t="s">
        <v>181</v>
      </c>
      <c r="F83" s="282" t="s">
        <v>186</v>
      </c>
      <c r="G83" s="283"/>
      <c r="H83" s="283"/>
      <c r="I83" s="311">
        <v>0</v>
      </c>
      <c r="J83" s="257"/>
      <c r="K83" s="257"/>
      <c r="L83" s="3574"/>
      <c r="M83" s="3447" t="e">
        <f t="shared" si="18"/>
        <v>#DIV/0!</v>
      </c>
      <c r="N83" s="3447" t="e">
        <f t="shared" si="18"/>
        <v>#DIV/0!</v>
      </c>
      <c r="O83" s="214">
        <f t="shared" si="10"/>
        <v>0</v>
      </c>
      <c r="P83" s="214">
        <f t="shared" si="11"/>
        <v>0</v>
      </c>
      <c r="Q83" s="214">
        <f>IF(K83=0, 0, (HLOOKUP(K83,'[1]E-CESTDWO'!$A$5:$O$35,J83+1,FALSE)*R33))</f>
        <v>0</v>
      </c>
      <c r="R83" s="214">
        <f>IF(K83=0, 0, (HLOOKUP(K83,'[1]E-CESTD'!$A$5:$O$35,J83+1,FALSE)*R33))</f>
        <v>0</v>
      </c>
      <c r="S83" s="279">
        <v>1.081</v>
      </c>
      <c r="T83" s="280">
        <f t="shared" si="12"/>
        <v>0</v>
      </c>
      <c r="U83" s="280">
        <f t="shared" si="13"/>
        <v>0</v>
      </c>
      <c r="V83" s="280">
        <f t="shared" si="14"/>
        <v>0</v>
      </c>
    </row>
    <row r="84" spans="2:25">
      <c r="B84" s="282"/>
      <c r="C84" s="282" t="s">
        <v>206</v>
      </c>
      <c r="D84" s="285">
        <v>0</v>
      </c>
      <c r="E84" s="282" t="s">
        <v>181</v>
      </c>
      <c r="F84" s="282" t="s">
        <v>186</v>
      </c>
      <c r="G84" s="283"/>
      <c r="H84" s="283"/>
      <c r="I84" s="311">
        <v>0</v>
      </c>
      <c r="J84" s="257"/>
      <c r="K84" s="257"/>
      <c r="L84" s="3574"/>
      <c r="M84" s="3447" t="e">
        <f t="shared" si="18"/>
        <v>#DIV/0!</v>
      </c>
      <c r="N84" s="3447" t="e">
        <f t="shared" si="18"/>
        <v>#DIV/0!</v>
      </c>
      <c r="O84" s="214">
        <f t="shared" si="10"/>
        <v>0</v>
      </c>
      <c r="P84" s="214">
        <f t="shared" si="11"/>
        <v>0</v>
      </c>
      <c r="Q84" s="214">
        <f>IF(K84=0, 0, (HLOOKUP(K84,'[1]E-CESTDWO'!$A$5:$O$35,J84+1,FALSE)*R34))</f>
        <v>0</v>
      </c>
      <c r="R84" s="214">
        <f>IF(K84=0, 0, (HLOOKUP(K84,'[1]E-CESTD'!$A$5:$O$35,J84+1,FALSE)*R34))</f>
        <v>0</v>
      </c>
      <c r="S84" s="279">
        <v>1.081</v>
      </c>
      <c r="T84" s="280">
        <f t="shared" si="12"/>
        <v>0</v>
      </c>
      <c r="U84" s="280">
        <f t="shared" si="13"/>
        <v>0</v>
      </c>
      <c r="V84" s="280">
        <f t="shared" si="14"/>
        <v>0</v>
      </c>
    </row>
    <row r="85" spans="2:25">
      <c r="B85" s="282"/>
      <c r="C85" s="282" t="s">
        <v>207</v>
      </c>
      <c r="D85" s="285">
        <v>0</v>
      </c>
      <c r="E85" s="282" t="s">
        <v>181</v>
      </c>
      <c r="F85" s="282" t="s">
        <v>186</v>
      </c>
      <c r="G85" s="283"/>
      <c r="H85" s="283"/>
      <c r="I85" s="311">
        <v>0</v>
      </c>
      <c r="J85" s="257"/>
      <c r="K85" s="257"/>
      <c r="L85" s="3574"/>
      <c r="M85" s="3447" t="e">
        <f t="shared" si="18"/>
        <v>#DIV/0!</v>
      </c>
      <c r="N85" s="3447" t="e">
        <f t="shared" si="18"/>
        <v>#DIV/0!</v>
      </c>
      <c r="O85" s="214">
        <f t="shared" si="10"/>
        <v>0</v>
      </c>
      <c r="P85" s="214">
        <f t="shared" si="11"/>
        <v>0</v>
      </c>
      <c r="Q85" s="214">
        <f>IF(K85=0, 0, (HLOOKUP(K85,'[1]E-CESTDWO'!$A$5:$O$35,J85+1,FALSE)*R35))</f>
        <v>0</v>
      </c>
      <c r="R85" s="214">
        <f>IF(K85=0, 0, (HLOOKUP(K85,'[1]E-CESTD'!$A$5:$O$35,J85+1,FALSE)*R35))</f>
        <v>0</v>
      </c>
      <c r="S85" s="279">
        <v>1.081</v>
      </c>
      <c r="T85" s="280">
        <f t="shared" si="12"/>
        <v>0</v>
      </c>
      <c r="U85" s="280">
        <f t="shared" si="13"/>
        <v>0</v>
      </c>
      <c r="V85" s="280">
        <f t="shared" si="14"/>
        <v>0</v>
      </c>
    </row>
    <row r="86" spans="2:25">
      <c r="B86" s="282"/>
      <c r="C86" s="282" t="s">
        <v>208</v>
      </c>
      <c r="D86" s="285">
        <v>0</v>
      </c>
      <c r="E86" s="282" t="s">
        <v>181</v>
      </c>
      <c r="F86" s="282" t="s">
        <v>186</v>
      </c>
      <c r="G86" s="283"/>
      <c r="H86" s="283"/>
      <c r="I86" s="311">
        <v>0</v>
      </c>
      <c r="J86" s="257"/>
      <c r="K86" s="257"/>
      <c r="L86" s="3574"/>
      <c r="M86" s="3447" t="e">
        <f t="shared" si="18"/>
        <v>#DIV/0!</v>
      </c>
      <c r="N86" s="3447" t="e">
        <f t="shared" si="18"/>
        <v>#DIV/0!</v>
      </c>
      <c r="O86" s="214">
        <f t="shared" si="10"/>
        <v>0</v>
      </c>
      <c r="P86" s="214">
        <f t="shared" si="11"/>
        <v>0</v>
      </c>
      <c r="Q86" s="214">
        <f>IF(K86=0, 0, (HLOOKUP(K86,'[1]E-CESTDWO'!$A$5:$O$35,J86+1,FALSE)*R36))</f>
        <v>0</v>
      </c>
      <c r="R86" s="214">
        <f>IF(K86=0, 0, (HLOOKUP(K86,'[1]E-CESTD'!$A$5:$O$35,J86+1,FALSE)*R36))</f>
        <v>0</v>
      </c>
      <c r="S86" s="279">
        <v>1.081</v>
      </c>
      <c r="T86" s="280">
        <f t="shared" si="12"/>
        <v>0</v>
      </c>
      <c r="U86" s="280">
        <f t="shared" si="13"/>
        <v>0</v>
      </c>
      <c r="V86" s="280">
        <f t="shared" si="14"/>
        <v>0</v>
      </c>
    </row>
    <row r="87" spans="2:25">
      <c r="B87" s="282"/>
      <c r="C87" s="282" t="s">
        <v>209</v>
      </c>
      <c r="D87" s="285">
        <v>0</v>
      </c>
      <c r="E87" s="282" t="s">
        <v>181</v>
      </c>
      <c r="F87" s="282" t="s">
        <v>186</v>
      </c>
      <c r="G87" s="283"/>
      <c r="H87" s="283"/>
      <c r="I87" s="311">
        <v>0</v>
      </c>
      <c r="J87" s="257"/>
      <c r="K87" s="257"/>
      <c r="L87" s="3574"/>
      <c r="M87" s="3447" t="e">
        <f t="shared" si="18"/>
        <v>#DIV/0!</v>
      </c>
      <c r="N87" s="3447" t="e">
        <f t="shared" si="18"/>
        <v>#DIV/0!</v>
      </c>
      <c r="O87" s="214">
        <f t="shared" si="10"/>
        <v>0</v>
      </c>
      <c r="P87" s="214">
        <f t="shared" si="11"/>
        <v>0</v>
      </c>
      <c r="Q87" s="214">
        <f>IF(K87=0, 0, (HLOOKUP(K87,'[1]E-CESTDWO'!$A$5:$O$35,J87+1,FALSE)*R37))</f>
        <v>0</v>
      </c>
      <c r="R87" s="214">
        <f>IF(K87=0, 0, (HLOOKUP(K87,'[1]E-CESTD'!$A$5:$O$35,J87+1,FALSE)*R37))</f>
        <v>0</v>
      </c>
      <c r="S87" s="279">
        <v>1.081</v>
      </c>
      <c r="T87" s="280">
        <f t="shared" si="12"/>
        <v>0</v>
      </c>
      <c r="U87" s="280">
        <f t="shared" si="13"/>
        <v>0</v>
      </c>
      <c r="V87" s="280">
        <f t="shared" si="14"/>
        <v>0</v>
      </c>
    </row>
    <row r="88" spans="2:25">
      <c r="B88" s="282"/>
      <c r="C88" s="282" t="s">
        <v>210</v>
      </c>
      <c r="D88" s="285">
        <v>0</v>
      </c>
      <c r="E88" s="282" t="s">
        <v>181</v>
      </c>
      <c r="F88" s="282" t="s">
        <v>186</v>
      </c>
      <c r="G88" s="283"/>
      <c r="H88" s="283"/>
      <c r="I88" s="311">
        <v>0</v>
      </c>
      <c r="J88" s="257"/>
      <c r="K88" s="257"/>
      <c r="L88" s="3574"/>
      <c r="M88" s="3447" t="e">
        <f t="shared" si="18"/>
        <v>#DIV/0!</v>
      </c>
      <c r="N88" s="3447" t="e">
        <f t="shared" si="18"/>
        <v>#DIV/0!</v>
      </c>
      <c r="O88" s="214">
        <f t="shared" si="10"/>
        <v>0</v>
      </c>
      <c r="P88" s="214">
        <f t="shared" si="11"/>
        <v>0</v>
      </c>
      <c r="Q88" s="214">
        <f>IF(K88=0, 0, (HLOOKUP(K88,'[1]E-CESTDWO'!$A$5:$O$35,J88+1,FALSE)*R38))</f>
        <v>0</v>
      </c>
      <c r="R88" s="214">
        <f>IF(K88=0, 0, (HLOOKUP(K88,'[1]E-CESTD'!$A$5:$O$35,J88+1,FALSE)*R38))</f>
        <v>0</v>
      </c>
      <c r="S88" s="279">
        <v>1.081</v>
      </c>
      <c r="T88" s="280">
        <f t="shared" si="12"/>
        <v>0</v>
      </c>
      <c r="U88" s="280">
        <f t="shared" si="13"/>
        <v>0</v>
      </c>
      <c r="V88" s="280">
        <f t="shared" si="14"/>
        <v>0</v>
      </c>
    </row>
    <row r="89" spans="2:25">
      <c r="B89" s="282"/>
      <c r="C89" s="282" t="s">
        <v>211</v>
      </c>
      <c r="D89" s="285">
        <v>0</v>
      </c>
      <c r="E89" s="282" t="s">
        <v>181</v>
      </c>
      <c r="F89" s="282" t="s">
        <v>186</v>
      </c>
      <c r="G89" s="283"/>
      <c r="H89" s="283"/>
      <c r="I89" s="311">
        <v>0</v>
      </c>
      <c r="J89" s="257"/>
      <c r="K89" s="257"/>
      <c r="L89" s="3574"/>
      <c r="M89" s="3447" t="e">
        <f t="shared" si="18"/>
        <v>#DIV/0!</v>
      </c>
      <c r="N89" s="3447" t="e">
        <f t="shared" si="18"/>
        <v>#DIV/0!</v>
      </c>
      <c r="O89" s="214">
        <f t="shared" si="10"/>
        <v>0</v>
      </c>
      <c r="P89" s="214">
        <f t="shared" si="11"/>
        <v>0</v>
      </c>
      <c r="Q89" s="214">
        <f>IF(K89=0, 0, (HLOOKUP(K89,'[1]E-CESTDWO'!$A$5:$O$35,J89+1,FALSE)*R39))</f>
        <v>0</v>
      </c>
      <c r="R89" s="214">
        <f>IF(K89=0, 0, (HLOOKUP(K89,'[1]E-CESTD'!$A$5:$O$35,J89+1,FALSE)*R39))</f>
        <v>0</v>
      </c>
      <c r="S89" s="279">
        <v>1.081</v>
      </c>
      <c r="T89" s="280">
        <f t="shared" si="12"/>
        <v>0</v>
      </c>
      <c r="U89" s="280">
        <f t="shared" si="13"/>
        <v>0</v>
      </c>
      <c r="V89" s="280">
        <f t="shared" si="14"/>
        <v>0</v>
      </c>
    </row>
    <row r="90" spans="2:25">
      <c r="B90" s="282"/>
      <c r="C90" s="282" t="s">
        <v>212</v>
      </c>
      <c r="D90" s="285">
        <v>0</v>
      </c>
      <c r="E90" s="282" t="s">
        <v>181</v>
      </c>
      <c r="F90" s="282" t="s">
        <v>186</v>
      </c>
      <c r="G90" s="283"/>
      <c r="H90" s="283"/>
      <c r="I90" s="311">
        <v>0</v>
      </c>
      <c r="J90" s="257"/>
      <c r="K90" s="257"/>
      <c r="L90" s="3574"/>
      <c r="M90" s="3447" t="e">
        <f t="shared" si="18"/>
        <v>#DIV/0!</v>
      </c>
      <c r="N90" s="3447" t="e">
        <f t="shared" si="18"/>
        <v>#DIV/0!</v>
      </c>
      <c r="O90" s="214">
        <f t="shared" si="10"/>
        <v>0</v>
      </c>
      <c r="P90" s="214">
        <f t="shared" si="11"/>
        <v>0</v>
      </c>
      <c r="Q90" s="214">
        <f>IF(K90=0, 0, (HLOOKUP(K90,'[1]E-CESTDWO'!$A$5:$O$35,J90+1,FALSE)*R40))</f>
        <v>0</v>
      </c>
      <c r="R90" s="214">
        <f>IF(K90=0, 0, (HLOOKUP(K90,'[1]E-CESTD'!$A$5:$O$35,J90+1,FALSE)*R40))</f>
        <v>0</v>
      </c>
      <c r="S90" s="279">
        <v>1.081</v>
      </c>
      <c r="T90" s="280">
        <f t="shared" si="12"/>
        <v>0</v>
      </c>
      <c r="U90" s="280">
        <f t="shared" si="13"/>
        <v>0</v>
      </c>
      <c r="V90" s="280">
        <f t="shared" si="14"/>
        <v>0</v>
      </c>
    </row>
    <row r="91" spans="2:25">
      <c r="B91" s="282"/>
      <c r="C91" s="282" t="s">
        <v>213</v>
      </c>
      <c r="D91" s="285">
        <v>0</v>
      </c>
      <c r="E91" s="282" t="s">
        <v>181</v>
      </c>
      <c r="F91" s="282" t="s">
        <v>186</v>
      </c>
      <c r="G91" s="283"/>
      <c r="H91" s="283"/>
      <c r="I91" s="311">
        <v>0</v>
      </c>
      <c r="J91" s="257"/>
      <c r="K91" s="257"/>
      <c r="L91" s="3574"/>
      <c r="M91" s="3447" t="e">
        <f t="shared" si="18"/>
        <v>#DIV/0!</v>
      </c>
      <c r="N91" s="3447" t="e">
        <f t="shared" si="18"/>
        <v>#DIV/0!</v>
      </c>
      <c r="O91" s="214">
        <f t="shared" si="10"/>
        <v>0</v>
      </c>
      <c r="P91" s="214">
        <f t="shared" si="11"/>
        <v>0</v>
      </c>
      <c r="Q91" s="214">
        <f>IF(K91=0, 0, (HLOOKUP(K91,'[1]E-CESTDWO'!$A$5:$O$35,J91+1,FALSE)*R41))</f>
        <v>0</v>
      </c>
      <c r="R91" s="214">
        <f>IF(K91=0, 0, (HLOOKUP(K91,'[1]E-CESTD'!$A$5:$O$35,J91+1,FALSE)*R41))</f>
        <v>0</v>
      </c>
      <c r="S91" s="279">
        <v>1.081</v>
      </c>
      <c r="T91" s="280">
        <f t="shared" si="12"/>
        <v>0</v>
      </c>
      <c r="U91" s="280">
        <f t="shared" si="13"/>
        <v>0</v>
      </c>
      <c r="V91" s="280">
        <f t="shared" si="14"/>
        <v>0</v>
      </c>
    </row>
    <row r="92" spans="2:25">
      <c r="B92" s="282"/>
      <c r="C92" s="282" t="s">
        <v>214</v>
      </c>
      <c r="D92" s="285">
        <v>0</v>
      </c>
      <c r="E92" s="282" t="s">
        <v>181</v>
      </c>
      <c r="F92" s="282" t="s">
        <v>186</v>
      </c>
      <c r="G92" s="283"/>
      <c r="H92" s="283"/>
      <c r="I92" s="311">
        <v>0</v>
      </c>
      <c r="J92" s="257"/>
      <c r="K92" s="257"/>
      <c r="L92" s="3574"/>
      <c r="M92" s="3447" t="e">
        <f t="shared" si="18"/>
        <v>#DIV/0!</v>
      </c>
      <c r="N92" s="3447" t="e">
        <f t="shared" si="18"/>
        <v>#DIV/0!</v>
      </c>
      <c r="O92" s="214">
        <f t="shared" si="10"/>
        <v>0</v>
      </c>
      <c r="P92" s="214">
        <f t="shared" si="11"/>
        <v>0</v>
      </c>
      <c r="Q92" s="214">
        <f>IF(K92=0, 0, (HLOOKUP(K92,'[1]E-CESTDWO'!$A$5:$O$35,J92+1,FALSE)*R42))</f>
        <v>0</v>
      </c>
      <c r="R92" s="214">
        <f>IF(K92=0, 0, (HLOOKUP(K92,'[1]E-CESTD'!$A$5:$O$35,J92+1,FALSE)*R42))</f>
        <v>0</v>
      </c>
      <c r="S92" s="279">
        <v>1.081</v>
      </c>
      <c r="T92" s="280">
        <f t="shared" si="12"/>
        <v>0</v>
      </c>
      <c r="U92" s="280">
        <f t="shared" si="13"/>
        <v>0</v>
      </c>
      <c r="V92" s="280">
        <f t="shared" si="14"/>
        <v>0</v>
      </c>
    </row>
    <row r="93" spans="2:25">
      <c r="B93" s="282"/>
      <c r="C93" s="282" t="s">
        <v>215</v>
      </c>
      <c r="D93" s="285">
        <v>0</v>
      </c>
      <c r="E93" s="282" t="s">
        <v>181</v>
      </c>
      <c r="F93" s="282" t="s">
        <v>186</v>
      </c>
      <c r="G93" s="283"/>
      <c r="H93" s="283"/>
      <c r="I93" s="311">
        <v>0</v>
      </c>
      <c r="J93" s="257"/>
      <c r="K93" s="257"/>
      <c r="L93" s="3574"/>
      <c r="M93" s="3447" t="e">
        <f t="shared" si="18"/>
        <v>#DIV/0!</v>
      </c>
      <c r="N93" s="3447" t="e">
        <f t="shared" si="18"/>
        <v>#DIV/0!</v>
      </c>
      <c r="O93" s="214">
        <f t="shared" si="10"/>
        <v>0</v>
      </c>
      <c r="P93" s="214">
        <f t="shared" si="11"/>
        <v>0</v>
      </c>
      <c r="Q93" s="214">
        <f>IF(K93=0, 0, (HLOOKUP(K93,'[1]E-CESTDWO'!$A$5:$O$35,J93+1,FALSE)*R43))</f>
        <v>0</v>
      </c>
      <c r="R93" s="214">
        <f>IF(K93=0, 0, (HLOOKUP(K93,'[1]E-CESTD'!$A$5:$O$35,J93+1,FALSE)*R43))</f>
        <v>0</v>
      </c>
      <c r="S93" s="279">
        <v>1.081</v>
      </c>
      <c r="T93" s="280">
        <f t="shared" si="12"/>
        <v>0</v>
      </c>
      <c r="U93" s="280">
        <f t="shared" si="13"/>
        <v>0</v>
      </c>
      <c r="V93" s="280">
        <f t="shared" si="14"/>
        <v>0</v>
      </c>
    </row>
    <row r="94" spans="2:25">
      <c r="B94" s="282"/>
      <c r="C94" s="282" t="s">
        <v>216</v>
      </c>
      <c r="D94" s="285">
        <v>0</v>
      </c>
      <c r="E94" s="282" t="s">
        <v>181</v>
      </c>
      <c r="F94" s="282" t="s">
        <v>186</v>
      </c>
      <c r="G94" s="283"/>
      <c r="H94" s="283"/>
      <c r="I94" s="311">
        <v>0</v>
      </c>
      <c r="J94" s="257"/>
      <c r="K94" s="257"/>
      <c r="L94" s="3574"/>
      <c r="M94" s="3447" t="e">
        <f t="shared" si="18"/>
        <v>#DIV/0!</v>
      </c>
      <c r="N94" s="3447" t="e">
        <f t="shared" si="18"/>
        <v>#DIV/0!</v>
      </c>
      <c r="O94" s="214">
        <f t="shared" si="10"/>
        <v>0</v>
      </c>
      <c r="P94" s="214">
        <f t="shared" si="11"/>
        <v>0</v>
      </c>
      <c r="Q94" s="214">
        <f>IF(K94=0, 0, (HLOOKUP(K94,'[1]E-CESTDWO'!$A$5:$O$35,J94+1,FALSE)*R44))</f>
        <v>0</v>
      </c>
      <c r="R94" s="214">
        <f>IF(K94=0, 0, (HLOOKUP(K94,'[1]E-CESTD'!$A$5:$O$35,J94+1,FALSE)*R44))</f>
        <v>0</v>
      </c>
      <c r="S94" s="279">
        <v>1.081</v>
      </c>
      <c r="T94" s="280">
        <f t="shared" si="12"/>
        <v>0</v>
      </c>
      <c r="U94" s="280">
        <f t="shared" si="13"/>
        <v>0</v>
      </c>
      <c r="V94" s="280">
        <f t="shared" si="14"/>
        <v>0</v>
      </c>
    </row>
    <row r="95" spans="2:25">
      <c r="B95" s="282"/>
      <c r="C95" s="282" t="s">
        <v>217</v>
      </c>
      <c r="D95" s="285">
        <v>0</v>
      </c>
      <c r="E95" s="282" t="s">
        <v>181</v>
      </c>
      <c r="F95" s="282" t="s">
        <v>186</v>
      </c>
      <c r="G95" s="283"/>
      <c r="H95" s="283"/>
      <c r="I95" s="311">
        <v>0</v>
      </c>
      <c r="J95" s="257"/>
      <c r="K95" s="257"/>
      <c r="L95" s="3574"/>
      <c r="M95" s="3447" t="e">
        <f t="shared" si="18"/>
        <v>#DIV/0!</v>
      </c>
      <c r="N95" s="3447" t="e">
        <f t="shared" si="18"/>
        <v>#DIV/0!</v>
      </c>
      <c r="O95" s="214">
        <f t="shared" si="10"/>
        <v>0</v>
      </c>
      <c r="P95" s="214">
        <f t="shared" si="11"/>
        <v>0</v>
      </c>
      <c r="Q95" s="214">
        <f>IF(K95=0, 0, (HLOOKUP(K95,'[1]E-CESTDWO'!$A$5:$O$35,J95+1,FALSE)*R45))</f>
        <v>0</v>
      </c>
      <c r="R95" s="214">
        <f>IF(K95=0, 0, (HLOOKUP(K95,'[1]E-CESTD'!$A$5:$O$35,J95+1,FALSE)*R45))</f>
        <v>0</v>
      </c>
      <c r="S95" s="279">
        <v>1.081</v>
      </c>
      <c r="T95" s="280">
        <f t="shared" si="12"/>
        <v>0</v>
      </c>
      <c r="U95" s="280">
        <f t="shared" si="13"/>
        <v>0</v>
      </c>
      <c r="V95" s="280">
        <f t="shared" si="14"/>
        <v>0</v>
      </c>
    </row>
    <row r="96" spans="2:25">
      <c r="B96" s="282"/>
      <c r="C96" s="282" t="s">
        <v>218</v>
      </c>
      <c r="D96" s="285">
        <v>0</v>
      </c>
      <c r="E96" s="282" t="s">
        <v>181</v>
      </c>
      <c r="F96" s="282" t="s">
        <v>186</v>
      </c>
      <c r="G96" s="283"/>
      <c r="H96" s="283"/>
      <c r="I96" s="311">
        <v>0</v>
      </c>
      <c r="J96" s="257"/>
      <c r="K96" s="257"/>
      <c r="L96" s="3574"/>
      <c r="M96" s="3447" t="e">
        <f t="shared" si="18"/>
        <v>#DIV/0!</v>
      </c>
      <c r="N96" s="3447" t="e">
        <f t="shared" si="18"/>
        <v>#DIV/0!</v>
      </c>
      <c r="O96" s="214">
        <f t="shared" si="10"/>
        <v>0</v>
      </c>
      <c r="P96" s="214">
        <f t="shared" si="11"/>
        <v>0</v>
      </c>
      <c r="Q96" s="214">
        <f>IF(K96=0, 0, (HLOOKUP(K96,'[1]E-CESTDWO'!$A$5:$O$35,J96+1,FALSE)*R46))</f>
        <v>0</v>
      </c>
      <c r="R96" s="214">
        <f>IF(K96=0, 0, (HLOOKUP(K96,'[1]E-CESTD'!$A$5:$O$35,J96+1,FALSE)*R46))</f>
        <v>0</v>
      </c>
      <c r="S96" s="279">
        <v>1.081</v>
      </c>
      <c r="T96" s="280">
        <f t="shared" si="12"/>
        <v>0</v>
      </c>
      <c r="U96" s="280">
        <f t="shared" si="13"/>
        <v>0</v>
      </c>
      <c r="V96" s="280">
        <f t="shared" si="14"/>
        <v>0</v>
      </c>
    </row>
    <row r="97" spans="2:22">
      <c r="B97" s="282"/>
      <c r="C97" s="282" t="s">
        <v>219</v>
      </c>
      <c r="D97" s="285">
        <v>0</v>
      </c>
      <c r="E97" s="282" t="s">
        <v>181</v>
      </c>
      <c r="F97" s="282" t="s">
        <v>186</v>
      </c>
      <c r="G97" s="283"/>
      <c r="H97" s="283"/>
      <c r="I97" s="311">
        <v>0</v>
      </c>
      <c r="J97" s="257"/>
      <c r="K97" s="257"/>
      <c r="L97" s="3574"/>
      <c r="M97" s="3447" t="e">
        <f t="shared" si="18"/>
        <v>#DIV/0!</v>
      </c>
      <c r="N97" s="3447" t="e">
        <f t="shared" si="18"/>
        <v>#DIV/0!</v>
      </c>
      <c r="O97" s="214">
        <f t="shared" si="10"/>
        <v>0</v>
      </c>
      <c r="P97" s="214">
        <f t="shared" si="11"/>
        <v>0</v>
      </c>
      <c r="Q97" s="214">
        <f>IF(K97=0, 0, (HLOOKUP(K97,'[1]E-CESTDWO'!$A$5:$O$35,J97+1,FALSE)*R47))</f>
        <v>0</v>
      </c>
      <c r="R97" s="214">
        <f>IF(K97=0, 0, (HLOOKUP(K97,'[1]E-CESTD'!$A$5:$O$35,J97+1,FALSE)*R47))</f>
        <v>0</v>
      </c>
      <c r="S97" s="279">
        <v>1.081</v>
      </c>
      <c r="T97" s="280">
        <f t="shared" si="12"/>
        <v>0</v>
      </c>
      <c r="U97" s="280">
        <f t="shared" si="13"/>
        <v>0</v>
      </c>
      <c r="V97" s="280">
        <f t="shared" si="14"/>
        <v>0</v>
      </c>
    </row>
    <row r="98" spans="2:22">
      <c r="B98" s="282"/>
      <c r="C98" s="282" t="s">
        <v>220</v>
      </c>
      <c r="D98" s="285">
        <v>0</v>
      </c>
      <c r="E98" s="282" t="s">
        <v>181</v>
      </c>
      <c r="F98" s="282" t="s">
        <v>186</v>
      </c>
      <c r="G98" s="283"/>
      <c r="H98" s="283"/>
      <c r="I98" s="311">
        <v>0</v>
      </c>
      <c r="J98" s="257"/>
      <c r="K98" s="257"/>
      <c r="L98" s="3574"/>
      <c r="M98" s="3447" t="e">
        <f t="shared" si="18"/>
        <v>#DIV/0!</v>
      </c>
      <c r="N98" s="3447" t="e">
        <f t="shared" si="18"/>
        <v>#DIV/0!</v>
      </c>
      <c r="O98" s="214">
        <f t="shared" si="10"/>
        <v>0</v>
      </c>
      <c r="P98" s="214">
        <f t="shared" si="11"/>
        <v>0</v>
      </c>
      <c r="Q98" s="214">
        <f>IF(K98=0, 0, (HLOOKUP(K98,'[1]E-CESTDWO'!$A$5:$O$35,J98+1,FALSE)*R48))</f>
        <v>0</v>
      </c>
      <c r="R98" s="214">
        <f>IF(K98=0, 0, (HLOOKUP(K98,'[1]E-CESTD'!$A$5:$O$35,J98+1,FALSE)*R48))</f>
        <v>0</v>
      </c>
      <c r="S98" s="279">
        <v>1.081</v>
      </c>
      <c r="T98" s="280">
        <f t="shared" si="12"/>
        <v>0</v>
      </c>
      <c r="U98" s="280">
        <f t="shared" si="13"/>
        <v>0</v>
      </c>
      <c r="V98" s="280">
        <f t="shared" si="14"/>
        <v>0</v>
      </c>
    </row>
    <row r="99" spans="2:22">
      <c r="B99" s="282"/>
      <c r="C99" s="282" t="s">
        <v>221</v>
      </c>
      <c r="D99" s="285">
        <v>0</v>
      </c>
      <c r="E99" s="282" t="s">
        <v>181</v>
      </c>
      <c r="F99" s="282" t="s">
        <v>186</v>
      </c>
      <c r="G99" s="283"/>
      <c r="H99" s="283"/>
      <c r="I99" s="311">
        <v>0</v>
      </c>
      <c r="J99" s="257"/>
      <c r="K99" s="257"/>
      <c r="L99" s="3574"/>
      <c r="M99" s="3447" t="e">
        <f t="shared" si="18"/>
        <v>#DIV/0!</v>
      </c>
      <c r="N99" s="3447" t="e">
        <f t="shared" si="18"/>
        <v>#DIV/0!</v>
      </c>
      <c r="O99" s="214">
        <f t="shared" si="10"/>
        <v>0</v>
      </c>
      <c r="P99" s="214">
        <f t="shared" si="11"/>
        <v>0</v>
      </c>
      <c r="Q99" s="214">
        <f>IF(K99=0, 0, (HLOOKUP(K99,'[1]E-CESTDWO'!$A$5:$O$35,J99+1,FALSE)*R49))</f>
        <v>0</v>
      </c>
      <c r="R99" s="214">
        <f>IF(K99=0, 0, (HLOOKUP(K99,'[1]E-CESTD'!$A$5:$O$35,J99+1,FALSE)*R49))</f>
        <v>0</v>
      </c>
      <c r="S99" s="279">
        <v>1.081</v>
      </c>
      <c r="T99" s="280">
        <f t="shared" si="12"/>
        <v>0</v>
      </c>
      <c r="U99" s="280">
        <f t="shared" si="13"/>
        <v>0</v>
      </c>
      <c r="V99" s="280">
        <f t="shared" si="14"/>
        <v>0</v>
      </c>
    </row>
    <row r="100" spans="2:22">
      <c r="B100" s="282"/>
      <c r="C100" s="282" t="s">
        <v>222</v>
      </c>
      <c r="D100" s="285">
        <v>0</v>
      </c>
      <c r="E100" s="282" t="s">
        <v>181</v>
      </c>
      <c r="F100" s="282" t="s">
        <v>186</v>
      </c>
      <c r="G100" s="283"/>
      <c r="H100" s="283"/>
      <c r="I100" s="311">
        <v>0</v>
      </c>
      <c r="J100" s="257"/>
      <c r="K100" s="257"/>
      <c r="L100" s="3574"/>
      <c r="M100" s="3447" t="e">
        <f t="shared" si="18"/>
        <v>#DIV/0!</v>
      </c>
      <c r="N100" s="3447" t="e">
        <f t="shared" si="18"/>
        <v>#DIV/0!</v>
      </c>
      <c r="O100" s="214">
        <f t="shared" si="10"/>
        <v>0</v>
      </c>
      <c r="P100" s="214">
        <f t="shared" si="11"/>
        <v>0</v>
      </c>
      <c r="Q100" s="214">
        <f>IF(K100=0, 0, (HLOOKUP(K100,'[1]E-CESTDWO'!$A$5:$O$35,J100+1,FALSE)*R50))</f>
        <v>0</v>
      </c>
      <c r="R100" s="214">
        <f>IF(K100=0, 0, (HLOOKUP(K100,'[1]E-CESTD'!$A$5:$O$35,J100+1,FALSE)*R50))</f>
        <v>0</v>
      </c>
      <c r="S100" s="279">
        <v>1.081</v>
      </c>
      <c r="T100" s="280">
        <f t="shared" si="12"/>
        <v>0</v>
      </c>
      <c r="U100" s="280">
        <f t="shared" si="13"/>
        <v>0</v>
      </c>
      <c r="V100" s="280">
        <f t="shared" si="14"/>
        <v>0</v>
      </c>
    </row>
    <row r="101" spans="2:22">
      <c r="B101" s="282"/>
      <c r="C101" s="282" t="s">
        <v>223</v>
      </c>
      <c r="D101" s="285">
        <v>0</v>
      </c>
      <c r="E101" s="282" t="s">
        <v>181</v>
      </c>
      <c r="F101" s="282" t="s">
        <v>186</v>
      </c>
      <c r="G101" s="283"/>
      <c r="H101" s="283"/>
      <c r="I101" s="311">
        <v>0</v>
      </c>
      <c r="J101" s="257"/>
      <c r="K101" s="257"/>
      <c r="L101" s="3574"/>
      <c r="M101" s="3447" t="e">
        <f t="shared" si="18"/>
        <v>#DIV/0!</v>
      </c>
      <c r="N101" s="3447" t="e">
        <f t="shared" si="18"/>
        <v>#DIV/0!</v>
      </c>
      <c r="O101" s="214">
        <f t="shared" si="10"/>
        <v>0</v>
      </c>
      <c r="P101" s="214">
        <f t="shared" si="11"/>
        <v>0</v>
      </c>
      <c r="Q101" s="214">
        <f>IF(K101=0, 0, (HLOOKUP(K101,'[1]E-CESTDWO'!$A$5:$O$35,J101+1,FALSE)*R51))</f>
        <v>0</v>
      </c>
      <c r="R101" s="214">
        <f>IF(K101=0, 0, (HLOOKUP(K101,'[1]E-CESTD'!$A$5:$O$35,J101+1,FALSE)*R51))</f>
        <v>0</v>
      </c>
      <c r="S101" s="279">
        <v>1.081</v>
      </c>
      <c r="T101" s="280">
        <f t="shared" si="12"/>
        <v>0</v>
      </c>
      <c r="U101" s="280">
        <f t="shared" si="13"/>
        <v>0</v>
      </c>
      <c r="V101" s="280">
        <f t="shared" si="14"/>
        <v>0</v>
      </c>
    </row>
    <row r="102" spans="2:22">
      <c r="B102" s="282"/>
      <c r="C102" s="282" t="s">
        <v>224</v>
      </c>
      <c r="D102" s="285">
        <v>0</v>
      </c>
      <c r="E102" s="282" t="s">
        <v>181</v>
      </c>
      <c r="F102" s="282" t="s">
        <v>186</v>
      </c>
      <c r="G102" s="283"/>
      <c r="H102" s="283"/>
      <c r="I102" s="311">
        <v>0</v>
      </c>
      <c r="J102" s="257"/>
      <c r="K102" s="257"/>
      <c r="L102" s="3574"/>
      <c r="M102" s="3447" t="e">
        <f t="shared" si="18"/>
        <v>#DIV/0!</v>
      </c>
      <c r="N102" s="3447" t="e">
        <f t="shared" si="18"/>
        <v>#DIV/0!</v>
      </c>
      <c r="O102" s="214">
        <f t="shared" si="10"/>
        <v>0</v>
      </c>
      <c r="P102" s="214">
        <f t="shared" si="11"/>
        <v>0</v>
      </c>
      <c r="Q102" s="214">
        <f>IF(K102=0, 0, (HLOOKUP(K102,'[1]E-CESTDWO'!$A$5:$O$35,J102+1,FALSE)*R52))</f>
        <v>0</v>
      </c>
      <c r="R102" s="214">
        <f>IF(K102=0, 0, (HLOOKUP(K102,'[1]E-CESTD'!$A$5:$O$35,J102+1,FALSE)*R52))</f>
        <v>0</v>
      </c>
      <c r="S102" s="279">
        <v>1.081</v>
      </c>
      <c r="T102" s="280">
        <f t="shared" si="12"/>
        <v>0</v>
      </c>
      <c r="U102" s="280">
        <f t="shared" si="13"/>
        <v>0</v>
      </c>
      <c r="V102" s="280">
        <f t="shared" si="14"/>
        <v>0</v>
      </c>
    </row>
    <row r="103" spans="2:22">
      <c r="B103" s="282"/>
      <c r="C103" s="282" t="s">
        <v>225</v>
      </c>
      <c r="D103" s="285">
        <v>0</v>
      </c>
      <c r="E103" s="282" t="s">
        <v>181</v>
      </c>
      <c r="F103" s="282" t="s">
        <v>186</v>
      </c>
      <c r="G103" s="283"/>
      <c r="H103" s="283"/>
      <c r="I103" s="311">
        <v>0</v>
      </c>
      <c r="J103" s="257"/>
      <c r="K103" s="257"/>
      <c r="L103" s="3574"/>
      <c r="M103" s="3447" t="e">
        <f t="shared" si="18"/>
        <v>#DIV/0!</v>
      </c>
      <c r="N103" s="3447" t="e">
        <f t="shared" si="18"/>
        <v>#DIV/0!</v>
      </c>
      <c r="O103" s="214">
        <f t="shared" si="10"/>
        <v>0</v>
      </c>
      <c r="P103" s="214">
        <f t="shared" si="11"/>
        <v>0</v>
      </c>
      <c r="Q103" s="214">
        <f>IF(K103=0, 0, (HLOOKUP(K103,'[1]E-CESTDWO'!$A$5:$O$35,J103+1,FALSE)*R53))</f>
        <v>0</v>
      </c>
      <c r="R103" s="214">
        <f>IF(K103=0, 0, (HLOOKUP(K103,'[1]E-CESTD'!$A$5:$O$35,J103+1,FALSE)*R53))</f>
        <v>0</v>
      </c>
      <c r="S103" s="279">
        <v>1.081</v>
      </c>
      <c r="T103" s="280">
        <f t="shared" si="12"/>
        <v>0</v>
      </c>
      <c r="U103" s="280">
        <f t="shared" si="13"/>
        <v>0</v>
      </c>
      <c r="V103" s="280">
        <f t="shared" si="14"/>
        <v>0</v>
      </c>
    </row>
    <row r="104" spans="2:22" ht="13.5" thickBot="1">
      <c r="B104" s="282"/>
      <c r="C104" s="282" t="s">
        <v>226</v>
      </c>
      <c r="D104" s="285">
        <v>0</v>
      </c>
      <c r="E104" s="282" t="s">
        <v>181</v>
      </c>
      <c r="F104" s="282" t="s">
        <v>186</v>
      </c>
      <c r="G104" s="283"/>
      <c r="H104" s="283"/>
      <c r="I104" s="311">
        <v>0</v>
      </c>
      <c r="J104" s="257"/>
      <c r="K104" s="257"/>
      <c r="L104" s="3574"/>
      <c r="M104" s="3447" t="e">
        <f t="shared" si="18"/>
        <v>#DIV/0!</v>
      </c>
      <c r="N104" s="3447" t="e">
        <f t="shared" si="18"/>
        <v>#DIV/0!</v>
      </c>
      <c r="O104" s="214">
        <f t="shared" si="10"/>
        <v>0</v>
      </c>
      <c r="P104" s="214">
        <f t="shared" si="11"/>
        <v>0</v>
      </c>
      <c r="Q104" s="214">
        <f>IF(K104=0, 0, (HLOOKUP(K104,'[1]E-CESTDWO'!$A$5:$O$35,J104+1,FALSE)*R54))</f>
        <v>0</v>
      </c>
      <c r="R104" s="214">
        <f>IF(K104=0, 0, (HLOOKUP(K104,'[1]E-CESTD'!$A$5:$O$35,J104+1,FALSE)*R54))</f>
        <v>0</v>
      </c>
      <c r="S104" s="279">
        <v>1.081</v>
      </c>
      <c r="T104" s="280">
        <f t="shared" si="12"/>
        <v>0</v>
      </c>
      <c r="U104" s="280">
        <f t="shared" si="13"/>
        <v>0</v>
      </c>
      <c r="V104" s="280">
        <f t="shared" si="14"/>
        <v>0</v>
      </c>
    </row>
    <row r="105" spans="2:22" ht="13.5" thickBot="1">
      <c r="G105" s="286">
        <f>SUMPRODUCT(G63:G104,O13:O54)</f>
        <v>173362</v>
      </c>
      <c r="H105" s="287">
        <f>V105</f>
        <v>173362</v>
      </c>
      <c r="I105" s="288">
        <f>SUM(I63:I104)</f>
        <v>1</v>
      </c>
      <c r="J105" s="289">
        <f>ROUND(SUMPRODUCT(J63:J104,R13:R54)/R55,0)</f>
        <v>1</v>
      </c>
      <c r="K105" s="264"/>
      <c r="L105" s="3580"/>
      <c r="M105" s="3448">
        <f>Q105/O105</f>
        <v>2.474470330035234</v>
      </c>
      <c r="N105" s="3449">
        <f>R105/P105</f>
        <v>2.7219173630387576</v>
      </c>
      <c r="O105" s="292">
        <f>SUM(O63:O104)</f>
        <v>400478.84428769659</v>
      </c>
      <c r="P105" s="292">
        <f>SUM(P63:P104)</f>
        <v>400478.84428769659</v>
      </c>
      <c r="Q105" s="292">
        <f>SUM(Q63:Q104)</f>
        <v>990973.01799670572</v>
      </c>
      <c r="R105" s="292">
        <f>SUM(R63:R104)</f>
        <v>1090070.3197963764</v>
      </c>
      <c r="S105" s="293"/>
      <c r="T105" s="294">
        <f>SUM(T63:T104)</f>
        <v>86681</v>
      </c>
      <c r="U105" s="294">
        <f>SUM(U63:U104)</f>
        <v>86681</v>
      </c>
      <c r="V105" s="294">
        <f>SUM(V63:V104)</f>
        <v>173362</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3" right="0.18" top="0.35" bottom="0.33"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3" right="0.18" top="0.35" bottom="0.33" header="0.3" footer="0.3"/>
  <pageSetup paperSize="17" scale="53" orientation="landscape" r:id="rId2"/>
  <drawing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sheetPr enableFormatConditionsCalculation="0">
    <tabColor theme="6" tint="-0.249977111117893"/>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4.85546875" style="3064" customWidth="1"/>
    <col min="2" max="2" width="19.7109375" customWidth="1"/>
    <col min="3" max="3" width="38.42578125" customWidth="1"/>
    <col min="4" max="4" width="17.42578125" style="19" customWidth="1"/>
    <col min="5" max="6" width="17.425781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5.2851562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6.140625"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5.2851562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6.140625"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5.2851562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6.140625"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5.2851562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6.140625"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5.2851562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6.140625"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5.2851562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6.140625"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5.2851562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6.140625"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5.2851562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6.140625"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5.2851562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6.140625"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5.2851562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6.140625"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5.2851562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6.140625"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5.2851562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6.140625"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5.2851562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6.140625"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5.2851562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6.140625"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5.2851562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6.140625"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5.2851562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6.140625"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5.2851562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6.140625"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5.2851562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6.140625"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5.2851562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6.140625"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5.2851562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6.140625"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5.2851562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6.140625"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5.2851562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6.140625"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5.2851562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6.140625"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5.2851562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6.140625"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5.2851562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6.140625"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5.2851562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6.140625"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5.2851562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6.140625"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5.2851562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6.140625"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5.2851562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6.140625"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5.2851562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6.140625"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5.2851562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6.140625"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5.2851562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6.140625"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5.2851562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6.140625"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5.2851562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6.140625"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5.2851562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6.140625"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5.2851562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6.140625"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5.2851562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6.140625"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5.2851562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6.140625"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5.2851562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6.140625"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5.2851562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6.140625"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5.2851562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6.140625"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5.2851562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6.140625"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5.2851562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6.140625"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5.2851562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6.140625"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5.2851562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6.140625"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5.2851562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6.140625"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5.2851562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6.140625"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5.2851562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6.140625"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5.2851562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6.140625"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5.2851562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6.140625"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5.2851562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6.140625"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5.2851562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6.140625"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5.2851562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6.140625"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5.2851562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6.140625"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5.2851562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6.140625"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5.2851562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6.140625"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5.2851562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6.140625"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5.2851562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6.140625"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5.2851562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6.140625"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5.2851562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6.140625"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5.2851562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6.140625"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5.2851562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6.140625"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5.2851562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6.140625"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5.2851562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461"/>
      <c r="F1" s="198"/>
      <c r="G1" s="198">
        <f>C3</f>
        <v>18230405</v>
      </c>
      <c r="H1" s="198" t="str">
        <f>C4</f>
        <v>Single Family New Construction - Electric</v>
      </c>
      <c r="I1" s="198"/>
    </row>
    <row r="2" spans="2:22" ht="16.5" thickBot="1">
      <c r="B2" s="198" t="s">
        <v>109</v>
      </c>
      <c r="C2" s="199" t="s">
        <v>442</v>
      </c>
      <c r="G2" s="200" t="s">
        <v>8</v>
      </c>
      <c r="Q2" s="5133"/>
      <c r="R2" s="5133"/>
      <c r="S2" s="5124" t="s">
        <v>110</v>
      </c>
      <c r="T2" s="5125"/>
      <c r="U2" s="5126"/>
      <c r="V2" s="5118" t="s">
        <v>111</v>
      </c>
    </row>
    <row r="3" spans="2:22" ht="16.5" thickBot="1">
      <c r="B3" s="199" t="s">
        <v>6</v>
      </c>
      <c r="C3" s="199">
        <v>18230405</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443</v>
      </c>
      <c r="F4" s="198">
        <v>2011</v>
      </c>
      <c r="G4" s="206">
        <f>B13</f>
        <v>118716</v>
      </c>
      <c r="H4" s="207">
        <f>B18</f>
        <v>33000</v>
      </c>
      <c r="I4" s="207">
        <f>B23</f>
        <v>95580</v>
      </c>
      <c r="J4" s="207">
        <f>B28</f>
        <v>42933</v>
      </c>
      <c r="K4" s="207">
        <f>B33</f>
        <v>5000</v>
      </c>
      <c r="L4" s="207">
        <f>B38</f>
        <v>261224</v>
      </c>
      <c r="M4" s="207">
        <f>B43</f>
        <v>2000</v>
      </c>
      <c r="N4" s="207">
        <f>B48</f>
        <v>5000</v>
      </c>
      <c r="O4" s="207">
        <f>B53</f>
        <v>832800</v>
      </c>
      <c r="P4" s="207">
        <f>B54</f>
        <v>0</v>
      </c>
      <c r="Q4" s="209">
        <f>B55</f>
        <v>1396253</v>
      </c>
      <c r="R4" s="210">
        <f>T55</f>
        <v>0</v>
      </c>
      <c r="S4" s="316">
        <f>O4/Q4</f>
        <v>0.59645350806766395</v>
      </c>
      <c r="T4" s="316">
        <f>(J4+(H4*1.63))/Q4</f>
        <v>6.9273262080726053E-2</v>
      </c>
      <c r="U4" s="316">
        <f>L4/Q4</f>
        <v>0.18708930258341433</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P54</f>
        <v>0</v>
      </c>
      <c r="S5" s="317" t="e">
        <f>O5/Q5</f>
        <v>#DIV/0!</v>
      </c>
      <c r="T5" s="317" t="e">
        <f>(J5+(H5*1.63))/Q5</f>
        <v>#DIV/0!</v>
      </c>
      <c r="U5" s="317" t="e">
        <f>L5/Q5</f>
        <v>#DIV/0!</v>
      </c>
      <c r="V5" s="218" t="e">
        <f>Q5/R5</f>
        <v>#DIV/0!</v>
      </c>
    </row>
    <row r="6" spans="2:22" s="3532" customFormat="1" ht="16.5" thickBot="1">
      <c r="B6" s="3536"/>
      <c r="D6" s="3533"/>
      <c r="F6" s="4249" t="s">
        <v>1168</v>
      </c>
      <c r="G6" s="4241">
        <v>146850</v>
      </c>
      <c r="H6" s="4242">
        <v>64268</v>
      </c>
      <c r="I6" s="4242">
        <v>133004.34</v>
      </c>
      <c r="J6" s="4242">
        <v>54190</v>
      </c>
      <c r="K6" s="4242">
        <v>6000</v>
      </c>
      <c r="L6" s="4242">
        <v>142724</v>
      </c>
      <c r="M6" s="4242">
        <v>2000</v>
      </c>
      <c r="N6" s="4242">
        <v>5000</v>
      </c>
      <c r="O6" s="4242">
        <v>517050</v>
      </c>
      <c r="P6" s="4242">
        <v>0</v>
      </c>
      <c r="Q6" s="4243">
        <v>1071086.3399999999</v>
      </c>
      <c r="R6" s="219">
        <v>1127100</v>
      </c>
      <c r="S6" s="3637">
        <v>0.48273419302499931</v>
      </c>
      <c r="T6" s="3637">
        <v>0.14839778462677436</v>
      </c>
      <c r="U6" s="3637">
        <v>0.13325162936911325</v>
      </c>
      <c r="V6" s="3498"/>
    </row>
    <row r="7" spans="2:22" ht="16.5" thickBot="1">
      <c r="C7" s="3536" t="s">
        <v>1171</v>
      </c>
      <c r="F7" s="4191" t="s">
        <v>1169</v>
      </c>
      <c r="G7" s="4192">
        <f>E13</f>
        <v>154579</v>
      </c>
      <c r="H7" s="4193">
        <f>E18</f>
        <v>93600</v>
      </c>
      <c r="I7" s="4193">
        <f>E23</f>
        <v>175462.55299999999</v>
      </c>
      <c r="J7" s="4193">
        <f>E28</f>
        <v>90317</v>
      </c>
      <c r="K7" s="4193">
        <f>E33</f>
        <v>6000</v>
      </c>
      <c r="L7" s="4193">
        <f>E38</f>
        <v>161174</v>
      </c>
      <c r="M7" s="4193">
        <f>E43</f>
        <v>2000</v>
      </c>
      <c r="N7" s="4193">
        <f>E48</f>
        <v>5000</v>
      </c>
      <c r="O7" s="4193">
        <f>E53</f>
        <v>510420</v>
      </c>
      <c r="P7" s="4193">
        <f>E54</f>
        <v>0</v>
      </c>
      <c r="Q7" s="4244">
        <f>SUM(G7:P7)</f>
        <v>1198552.5529999998</v>
      </c>
      <c r="R7" s="4245">
        <f>Q54</f>
        <v>1112700</v>
      </c>
      <c r="S7" s="317">
        <f>O7/Q7</f>
        <v>0.42586367925412116</v>
      </c>
      <c r="T7" s="317">
        <f>(J7+(H7*1.63))/Q7</f>
        <v>0.2026486025932315</v>
      </c>
      <c r="U7" s="317">
        <f>L7/Q7</f>
        <v>0.13447386983289003</v>
      </c>
      <c r="V7" s="218">
        <f>Q7/R7</f>
        <v>1.077156963242563</v>
      </c>
    </row>
    <row r="8" spans="2:22" ht="16.5" thickBot="1">
      <c r="C8" s="220" t="s">
        <v>445</v>
      </c>
      <c r="F8" s="221" t="s">
        <v>1170</v>
      </c>
      <c r="G8" s="222">
        <f>SUM(G5+G7)</f>
        <v>154579</v>
      </c>
      <c r="H8" s="222">
        <f t="shared" ref="H8:R8" si="0">SUM(H5+H7)</f>
        <v>93600</v>
      </c>
      <c r="I8" s="222">
        <f t="shared" si="0"/>
        <v>175462.55299999999</v>
      </c>
      <c r="J8" s="222">
        <f t="shared" si="0"/>
        <v>90317</v>
      </c>
      <c r="K8" s="222">
        <f t="shared" si="0"/>
        <v>6000</v>
      </c>
      <c r="L8" s="222">
        <f t="shared" si="0"/>
        <v>161174</v>
      </c>
      <c r="M8" s="222">
        <f t="shared" si="0"/>
        <v>2000</v>
      </c>
      <c r="N8" s="222">
        <f t="shared" si="0"/>
        <v>5000</v>
      </c>
      <c r="O8" s="222">
        <f t="shared" si="0"/>
        <v>510420</v>
      </c>
      <c r="P8" s="222">
        <f t="shared" si="0"/>
        <v>0</v>
      </c>
      <c r="Q8" s="4248">
        <f t="shared" si="0"/>
        <v>1198552.5529999998</v>
      </c>
      <c r="R8" s="223">
        <f t="shared" si="0"/>
        <v>1112700</v>
      </c>
      <c r="S8" s="317">
        <f>O8/Q8</f>
        <v>0.42586367925412116</v>
      </c>
      <c r="T8" s="317">
        <f>(J8+(H8*1.63))/Q8</f>
        <v>0.2026486025932315</v>
      </c>
      <c r="U8" s="317">
        <f>L8/Q8</f>
        <v>0.13447386983289003</v>
      </c>
      <c r="V8" s="218">
        <f>Q8/R8</f>
        <v>1.077156963242563</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118716</v>
      </c>
      <c r="C13" s="236" t="s">
        <v>138</v>
      </c>
      <c r="D13" s="237">
        <f>SUM(D14:D17)</f>
        <v>0</v>
      </c>
      <c r="E13" s="4468">
        <f>SUM(E14:E17)</f>
        <v>154579</v>
      </c>
      <c r="F13" s="238">
        <f>D13+E13</f>
        <v>154579</v>
      </c>
      <c r="H13" s="132"/>
      <c r="I13" s="239">
        <f t="shared" ref="I13:I31" si="1">C63</f>
        <v>0</v>
      </c>
      <c r="J13" s="2396"/>
      <c r="K13" s="2397"/>
      <c r="L13" s="2400">
        <v>0</v>
      </c>
      <c r="M13" s="2401"/>
      <c r="N13" s="2401"/>
      <c r="O13" s="3564">
        <f t="shared" ref="O13:O31" si="2">M13+N13</f>
        <v>0</v>
      </c>
      <c r="P13" s="2398">
        <v>0</v>
      </c>
      <c r="Q13" s="4135">
        <f t="shared" ref="Q13:Q22" si="3">N13*$D63</f>
        <v>0</v>
      </c>
      <c r="R13" s="2399">
        <f>P13+Q13</f>
        <v>0</v>
      </c>
      <c r="T13" s="4891"/>
    </row>
    <row r="14" spans="2:22">
      <c r="B14" s="247"/>
      <c r="C14" s="248" t="s">
        <v>139</v>
      </c>
      <c r="D14" s="2317">
        <v>0</v>
      </c>
      <c r="E14" s="4453">
        <v>154579</v>
      </c>
      <c r="F14" s="249">
        <f>SUM(D14:E14)</f>
        <v>154579</v>
      </c>
      <c r="H14" s="132"/>
      <c r="I14" s="3568" t="str">
        <f t="shared" si="1"/>
        <v>ENERGY STAR CFL Fixture- Indoor</v>
      </c>
      <c r="J14" s="2394"/>
      <c r="K14" s="2395"/>
      <c r="L14" s="2400">
        <v>43</v>
      </c>
      <c r="M14" s="2401"/>
      <c r="N14" s="4783">
        <v>14790</v>
      </c>
      <c r="O14" s="3564">
        <f t="shared" si="2"/>
        <v>14790</v>
      </c>
      <c r="P14" s="2398">
        <v>0</v>
      </c>
      <c r="Q14" s="4135">
        <f t="shared" si="3"/>
        <v>635970</v>
      </c>
      <c r="R14" s="2399">
        <f>P14+Q14</f>
        <v>635970</v>
      </c>
      <c r="T14" s="4891"/>
    </row>
    <row r="15" spans="2:22">
      <c r="B15" s="254"/>
      <c r="C15" s="255" t="s">
        <v>140</v>
      </c>
      <c r="D15" s="256">
        <v>0</v>
      </c>
      <c r="E15" s="256"/>
      <c r="F15" s="249">
        <f t="shared" ref="F15:F25" si="4">SUM(D15:E15)</f>
        <v>0</v>
      </c>
      <c r="H15" s="132"/>
      <c r="I15" s="3568">
        <f t="shared" si="1"/>
        <v>0</v>
      </c>
      <c r="J15" s="2394"/>
      <c r="K15" s="2395"/>
      <c r="L15" s="2400">
        <v>145</v>
      </c>
      <c r="M15" s="2393"/>
      <c r="N15" s="2393">
        <v>0</v>
      </c>
      <c r="O15" s="3564">
        <f t="shared" si="2"/>
        <v>0</v>
      </c>
      <c r="P15" s="2398">
        <v>0</v>
      </c>
      <c r="Q15" s="4135">
        <f t="shared" si="3"/>
        <v>0</v>
      </c>
      <c r="R15" s="4136">
        <f t="shared" ref="R15:R53" si="5">P15+Q15</f>
        <v>0</v>
      </c>
      <c r="T15" s="4891"/>
    </row>
    <row r="16" spans="2:22">
      <c r="B16" s="254"/>
      <c r="C16" s="255" t="s">
        <v>141</v>
      </c>
      <c r="D16" s="258">
        <v>0</v>
      </c>
      <c r="E16" s="258"/>
      <c r="F16" s="249">
        <f t="shared" si="4"/>
        <v>0</v>
      </c>
      <c r="H16" s="132"/>
      <c r="I16" s="3568" t="str">
        <f t="shared" si="1"/>
        <v>Clothes Washers Tier 2 (GWH/Edryer 3.1 +)</v>
      </c>
      <c r="J16" s="2394"/>
      <c r="K16" s="2395"/>
      <c r="L16" s="2400">
        <v>81</v>
      </c>
      <c r="M16" s="2393"/>
      <c r="N16" s="2393">
        <v>120</v>
      </c>
      <c r="O16" s="3564">
        <f t="shared" si="2"/>
        <v>120</v>
      </c>
      <c r="P16" s="2398">
        <v>0</v>
      </c>
      <c r="Q16" s="4135">
        <f t="shared" si="3"/>
        <v>16800</v>
      </c>
      <c r="R16" s="4136">
        <f t="shared" si="5"/>
        <v>16800</v>
      </c>
      <c r="T16" s="4891"/>
    </row>
    <row r="17" spans="2:20" ht="13.5" thickBot="1">
      <c r="B17" s="254"/>
      <c r="C17" s="255" t="s">
        <v>142</v>
      </c>
      <c r="D17" s="258">
        <v>0</v>
      </c>
      <c r="E17" s="258"/>
      <c r="F17" s="249">
        <f t="shared" si="4"/>
        <v>0</v>
      </c>
      <c r="H17" s="132"/>
      <c r="I17" s="3568" t="str">
        <f t="shared" si="1"/>
        <v>Clothes Washers Tier 1 (GWH/Edryer 2.46 - 3.09)</v>
      </c>
      <c r="J17" s="2394"/>
      <c r="K17" s="2395"/>
      <c r="L17" s="2400">
        <v>130</v>
      </c>
      <c r="M17" s="2393"/>
      <c r="N17" s="2393">
        <v>180</v>
      </c>
      <c r="O17" s="3564">
        <f t="shared" si="2"/>
        <v>180</v>
      </c>
      <c r="P17" s="2398">
        <v>0</v>
      </c>
      <c r="Q17" s="4135">
        <f t="shared" si="3"/>
        <v>10620</v>
      </c>
      <c r="R17" s="4136">
        <f t="shared" si="5"/>
        <v>10620</v>
      </c>
      <c r="T17" s="4891"/>
    </row>
    <row r="18" spans="2:20" ht="13.5" thickBot="1">
      <c r="B18" s="262">
        <v>33000</v>
      </c>
      <c r="C18" s="236" t="s">
        <v>143</v>
      </c>
      <c r="D18" s="237">
        <f>SUM(D19:D22)</f>
        <v>0</v>
      </c>
      <c r="E18" s="4468">
        <f>SUM(E19:E22)</f>
        <v>93600</v>
      </c>
      <c r="F18" s="238">
        <f>D18+E18</f>
        <v>93600</v>
      </c>
      <c r="H18" s="132"/>
      <c r="I18" s="3568" t="str">
        <f t="shared" si="1"/>
        <v>ENERGY STAR Refrigerator (CEE Tier 3)</v>
      </c>
      <c r="J18" s="2394"/>
      <c r="K18" s="2395"/>
      <c r="L18" s="2400">
        <v>86</v>
      </c>
      <c r="M18" s="2393"/>
      <c r="N18" s="2393">
        <v>100</v>
      </c>
      <c r="O18" s="3564">
        <f t="shared" si="2"/>
        <v>100</v>
      </c>
      <c r="P18" s="2398">
        <v>0</v>
      </c>
      <c r="Q18" s="4135">
        <f t="shared" si="3"/>
        <v>8600</v>
      </c>
      <c r="R18" s="4136">
        <f t="shared" si="5"/>
        <v>8600</v>
      </c>
      <c r="T18" s="4891"/>
    </row>
    <row r="19" spans="2:20">
      <c r="B19" s="247"/>
      <c r="C19" s="248" t="s">
        <v>425</v>
      </c>
      <c r="D19" s="2318">
        <v>0</v>
      </c>
      <c r="E19" s="4453">
        <v>93600</v>
      </c>
      <c r="F19" s="249">
        <f t="shared" si="4"/>
        <v>93600</v>
      </c>
      <c r="H19" s="132"/>
      <c r="I19" s="3568" t="str">
        <f t="shared" si="1"/>
        <v>ENERGY STAR Refrigerator (CEE Tier 2 )</v>
      </c>
      <c r="J19" s="2394"/>
      <c r="K19" s="2395"/>
      <c r="L19" s="2400">
        <v>65</v>
      </c>
      <c r="M19" s="2393"/>
      <c r="N19" s="2393">
        <v>300</v>
      </c>
      <c r="O19" s="3564">
        <f t="shared" si="2"/>
        <v>300</v>
      </c>
      <c r="P19" s="2398">
        <v>0</v>
      </c>
      <c r="Q19" s="4135">
        <f t="shared" si="3"/>
        <v>19500</v>
      </c>
      <c r="R19" s="4136">
        <f t="shared" si="5"/>
        <v>19500</v>
      </c>
      <c r="T19" s="4891"/>
    </row>
    <row r="20" spans="2:20">
      <c r="B20" s="254"/>
      <c r="C20" s="255" t="s">
        <v>140</v>
      </c>
      <c r="D20" s="256">
        <v>0</v>
      </c>
      <c r="E20" s="256"/>
      <c r="F20" s="249">
        <f t="shared" si="4"/>
        <v>0</v>
      </c>
      <c r="H20" s="132"/>
      <c r="I20" s="3568" t="str">
        <f t="shared" si="1"/>
        <v>ENERGY STAR Whole House Ventilation</v>
      </c>
      <c r="J20" s="2394"/>
      <c r="K20" s="2395"/>
      <c r="L20" s="2400">
        <v>73</v>
      </c>
      <c r="M20" s="2393"/>
      <c r="N20" s="2393">
        <v>500</v>
      </c>
      <c r="O20" s="3564">
        <f t="shared" si="2"/>
        <v>500</v>
      </c>
      <c r="P20" s="2398">
        <v>0</v>
      </c>
      <c r="Q20" s="4135">
        <f t="shared" si="3"/>
        <v>36500</v>
      </c>
      <c r="R20" s="4136">
        <f t="shared" si="5"/>
        <v>36500</v>
      </c>
      <c r="T20" s="4891"/>
    </row>
    <row r="21" spans="2:20">
      <c r="B21" s="254"/>
      <c r="C21" s="255" t="s">
        <v>141</v>
      </c>
      <c r="D21" s="258">
        <v>0</v>
      </c>
      <c r="E21" s="258"/>
      <c r="F21" s="249">
        <f t="shared" si="4"/>
        <v>0</v>
      </c>
      <c r="H21" s="132"/>
      <c r="I21" s="3568" t="str">
        <f t="shared" si="1"/>
        <v>Air-Source Heat Pump Tier #1</v>
      </c>
      <c r="J21" s="2394"/>
      <c r="K21" s="2395"/>
      <c r="L21" s="2400">
        <v>0</v>
      </c>
      <c r="M21" s="2393"/>
      <c r="N21" s="2393"/>
      <c r="O21" s="3564">
        <f t="shared" si="2"/>
        <v>0</v>
      </c>
      <c r="P21" s="2398">
        <v>0</v>
      </c>
      <c r="Q21" s="4135">
        <f t="shared" si="3"/>
        <v>0</v>
      </c>
      <c r="R21" s="4136">
        <f t="shared" si="5"/>
        <v>0</v>
      </c>
      <c r="T21" s="4891"/>
    </row>
    <row r="22" spans="2:20" ht="13.5" thickBot="1">
      <c r="B22" s="254"/>
      <c r="C22" s="255" t="s">
        <v>142</v>
      </c>
      <c r="D22" s="258">
        <v>0</v>
      </c>
      <c r="E22" s="258"/>
      <c r="F22" s="249">
        <f t="shared" si="4"/>
        <v>0</v>
      </c>
      <c r="H22" s="132"/>
      <c r="I22" s="3568" t="str">
        <f t="shared" si="1"/>
        <v>Air-Source Heat Pump Tier #2</v>
      </c>
      <c r="J22" s="2394"/>
      <c r="K22" s="2395"/>
      <c r="L22" s="2400">
        <v>554</v>
      </c>
      <c r="M22" s="2393"/>
      <c r="N22" s="2393">
        <v>40</v>
      </c>
      <c r="O22" s="3564">
        <f t="shared" si="2"/>
        <v>40</v>
      </c>
      <c r="P22" s="2398">
        <v>0</v>
      </c>
      <c r="Q22" s="4135">
        <f t="shared" si="3"/>
        <v>22160</v>
      </c>
      <c r="R22" s="4136">
        <f t="shared" si="5"/>
        <v>22160</v>
      </c>
      <c r="T22" s="4891"/>
    </row>
    <row r="23" spans="2:20" ht="13.5" thickBot="1">
      <c r="B23" s="262">
        <v>95580</v>
      </c>
      <c r="C23" s="236" t="s">
        <v>426</v>
      </c>
      <c r="D23" s="237">
        <f>SUM(D24:D27)</f>
        <v>0</v>
      </c>
      <c r="E23" s="237">
        <f>SUM(E24:E27)</f>
        <v>175462.55299999999</v>
      </c>
      <c r="F23" s="238">
        <f>D23+E23</f>
        <v>175462.55299999999</v>
      </c>
      <c r="G23" s="53"/>
      <c r="H23" s="132"/>
      <c r="I23" s="3568" t="str">
        <f t="shared" si="1"/>
        <v xml:space="preserve">Ductless Mini-Split Heat Pump </v>
      </c>
      <c r="J23" s="2394"/>
      <c r="K23" s="2395"/>
      <c r="L23" s="2400">
        <v>3500</v>
      </c>
      <c r="M23" s="2393"/>
      <c r="N23" s="2393">
        <v>75</v>
      </c>
      <c r="O23" s="3564">
        <f t="shared" si="2"/>
        <v>75</v>
      </c>
      <c r="P23" s="2398">
        <v>0</v>
      </c>
      <c r="Q23" s="4135">
        <f>N23*$D73</f>
        <v>262500</v>
      </c>
      <c r="R23" s="4136">
        <f t="shared" si="5"/>
        <v>262500</v>
      </c>
      <c r="T23" s="4891"/>
    </row>
    <row r="24" spans="2:20">
      <c r="B24" s="247"/>
      <c r="C24" s="3566" t="s">
        <v>1434</v>
      </c>
      <c r="D24" s="249">
        <f>0.63*D13</f>
        <v>0</v>
      </c>
      <c r="E24" s="249">
        <f>0.707*E13</f>
        <v>109287.35299999999</v>
      </c>
      <c r="F24" s="249">
        <f t="shared" si="4"/>
        <v>109287.35299999999</v>
      </c>
      <c r="H24" s="132"/>
      <c r="I24" s="3568" t="str">
        <f t="shared" si="1"/>
        <v xml:space="preserve">ENERGY STAR Heat Pump Water Heater </v>
      </c>
      <c r="J24" s="2394"/>
      <c r="K24" s="2395"/>
      <c r="L24" s="2400">
        <v>2001</v>
      </c>
      <c r="M24" s="2393"/>
      <c r="N24" s="2393">
        <v>50</v>
      </c>
      <c r="O24" s="3564">
        <f t="shared" si="2"/>
        <v>50</v>
      </c>
      <c r="P24" s="2398">
        <v>0</v>
      </c>
      <c r="Q24" s="4135">
        <f t="shared" ref="Q24:Q31" si="6">N24*$D74</f>
        <v>100050</v>
      </c>
      <c r="R24" s="4136">
        <f t="shared" si="5"/>
        <v>100050</v>
      </c>
      <c r="T24" s="4891"/>
    </row>
    <row r="25" spans="2:20">
      <c r="B25" s="247"/>
      <c r="C25" s="3566" t="s">
        <v>1435</v>
      </c>
      <c r="D25" s="256">
        <v>0</v>
      </c>
      <c r="E25" s="256">
        <f>0.707*E18</f>
        <v>66175.199999999997</v>
      </c>
      <c r="F25" s="249">
        <f t="shared" si="4"/>
        <v>66175.199999999997</v>
      </c>
      <c r="H25" s="132"/>
      <c r="I25" s="3568" t="str">
        <f t="shared" si="1"/>
        <v>ENERGY STAR Storage Water Heater ( 0.94 EF +)</v>
      </c>
      <c r="J25" s="2394"/>
      <c r="K25" s="2395"/>
      <c r="L25" s="2400">
        <v>0</v>
      </c>
      <c r="M25" s="2393"/>
      <c r="N25" s="2393"/>
      <c r="O25" s="3564">
        <f t="shared" si="2"/>
        <v>0</v>
      </c>
      <c r="P25" s="2398">
        <v>0</v>
      </c>
      <c r="Q25" s="4135">
        <f t="shared" si="6"/>
        <v>0</v>
      </c>
      <c r="R25" s="4136">
        <f t="shared" si="5"/>
        <v>0</v>
      </c>
      <c r="T25" s="4891"/>
    </row>
    <row r="26" spans="2:20">
      <c r="B26" s="254"/>
      <c r="C26" s="255"/>
      <c r="D26" s="258"/>
      <c r="E26" s="258"/>
      <c r="F26" s="258"/>
      <c r="H26" s="132"/>
      <c r="I26" s="4532" t="str">
        <f t="shared" si="1"/>
        <v>ENERGY STAR LED Lamp (Pilot)</v>
      </c>
      <c r="J26" s="2394"/>
      <c r="K26" s="2395"/>
      <c r="L26" s="2400">
        <v>0</v>
      </c>
      <c r="M26" s="2393"/>
      <c r="N26" s="4534">
        <v>0</v>
      </c>
      <c r="O26" s="3564">
        <f t="shared" si="2"/>
        <v>0</v>
      </c>
      <c r="P26" s="2398">
        <v>0</v>
      </c>
      <c r="Q26" s="4135">
        <f t="shared" si="6"/>
        <v>0</v>
      </c>
      <c r="R26" s="4136">
        <f t="shared" si="5"/>
        <v>0</v>
      </c>
      <c r="T26" s="4891"/>
    </row>
    <row r="27" spans="2:20" ht="13.5" thickBot="1">
      <c r="B27" s="254"/>
      <c r="C27" s="255"/>
      <c r="D27" s="258"/>
      <c r="E27" s="258"/>
      <c r="F27" s="258"/>
      <c r="H27" s="132"/>
      <c r="I27" s="4533" t="str">
        <f t="shared" si="1"/>
        <v>ENERGY STAR LED Fixture (Pilot)</v>
      </c>
      <c r="J27" s="3441"/>
      <c r="K27" s="3442"/>
      <c r="L27" s="3443">
        <v>0</v>
      </c>
      <c r="M27" s="3210"/>
      <c r="N27" s="4535">
        <v>0</v>
      </c>
      <c r="O27" s="3564">
        <f t="shared" si="2"/>
        <v>0</v>
      </c>
      <c r="P27" s="3444">
        <v>0</v>
      </c>
      <c r="Q27" s="4536">
        <f t="shared" si="6"/>
        <v>0</v>
      </c>
      <c r="R27" s="4136">
        <f t="shared" si="5"/>
        <v>0</v>
      </c>
      <c r="T27" s="4891"/>
    </row>
    <row r="28" spans="2:20" ht="13.5" thickBot="1">
      <c r="B28" s="262">
        <v>42933</v>
      </c>
      <c r="C28" s="236" t="s">
        <v>145</v>
      </c>
      <c r="D28" s="237">
        <f>SUM(D29:D32)</f>
        <v>0</v>
      </c>
      <c r="E28" s="4468">
        <f>SUM(E29:E32)</f>
        <v>90317</v>
      </c>
      <c r="F28" s="238">
        <f>D28+E28</f>
        <v>90317</v>
      </c>
      <c r="H28" s="132"/>
      <c r="I28" s="3568" t="str">
        <f t="shared" si="1"/>
        <v>ENERGY STAR Homes Bonus (Electric)</v>
      </c>
      <c r="J28" s="2394"/>
      <c r="K28" s="2395"/>
      <c r="L28" s="2400">
        <v>0</v>
      </c>
      <c r="M28" s="2393"/>
      <c r="N28" s="2393">
        <v>500</v>
      </c>
      <c r="O28" s="3564">
        <f t="shared" si="2"/>
        <v>500</v>
      </c>
      <c r="P28" s="2398">
        <v>0</v>
      </c>
      <c r="Q28" s="4135">
        <f t="shared" si="6"/>
        <v>0</v>
      </c>
      <c r="R28" s="4136">
        <f t="shared" si="5"/>
        <v>0</v>
      </c>
      <c r="T28" s="4891"/>
    </row>
    <row r="29" spans="2:20">
      <c r="B29" s="247"/>
      <c r="C29" s="248" t="s">
        <v>427</v>
      </c>
      <c r="D29" s="249">
        <v>0</v>
      </c>
      <c r="E29" s="4447">
        <v>90317</v>
      </c>
      <c r="F29" s="249">
        <f t="shared" ref="F29:F37" si="7">SUM(D29:E29)</f>
        <v>90317</v>
      </c>
      <c r="H29" s="132"/>
      <c r="I29" s="3568" t="str">
        <f t="shared" si="1"/>
        <v>ENERGY STAR Homes Verifier Bonus</v>
      </c>
      <c r="J29" s="2394"/>
      <c r="K29" s="2395"/>
      <c r="L29" s="2400">
        <v>0</v>
      </c>
      <c r="M29" s="2393"/>
      <c r="N29" s="2393">
        <v>250</v>
      </c>
      <c r="O29" s="3564">
        <f t="shared" si="2"/>
        <v>250</v>
      </c>
      <c r="P29" s="2398">
        <v>0</v>
      </c>
      <c r="Q29" s="4135">
        <f t="shared" si="6"/>
        <v>0</v>
      </c>
      <c r="R29" s="4136">
        <f t="shared" si="5"/>
        <v>0</v>
      </c>
      <c r="T29" s="4891"/>
    </row>
    <row r="30" spans="2:20">
      <c r="B30" s="254"/>
      <c r="C30" s="255" t="s">
        <v>140</v>
      </c>
      <c r="D30" s="256">
        <v>0</v>
      </c>
      <c r="E30" s="256"/>
      <c r="F30" s="249">
        <f t="shared" si="7"/>
        <v>0</v>
      </c>
      <c r="H30" s="132"/>
      <c r="I30" s="4532" t="str">
        <f t="shared" si="1"/>
        <v xml:space="preserve">LED Fixtures SPIF </v>
      </c>
      <c r="J30" s="2394"/>
      <c r="K30" s="2395"/>
      <c r="L30" s="2400">
        <v>0</v>
      </c>
      <c r="M30" s="2393"/>
      <c r="N30" s="4534">
        <v>0</v>
      </c>
      <c r="O30" s="3564">
        <f t="shared" si="2"/>
        <v>0</v>
      </c>
      <c r="P30" s="2398">
        <v>0</v>
      </c>
      <c r="Q30" s="4135">
        <f t="shared" si="6"/>
        <v>0</v>
      </c>
      <c r="R30" s="4136">
        <f t="shared" si="5"/>
        <v>0</v>
      </c>
      <c r="T30" s="4891"/>
    </row>
    <row r="31" spans="2:20">
      <c r="B31" s="254"/>
      <c r="C31" s="255" t="s">
        <v>141</v>
      </c>
      <c r="D31" s="256">
        <v>0</v>
      </c>
      <c r="E31" s="256"/>
      <c r="F31" s="249">
        <f t="shared" si="7"/>
        <v>0</v>
      </c>
      <c r="H31" s="132"/>
      <c r="I31" s="3568" t="str">
        <f t="shared" si="1"/>
        <v xml:space="preserve">CFL Fixture SPIF </v>
      </c>
      <c r="J31" s="2394"/>
      <c r="K31" s="2395"/>
      <c r="L31" s="2400">
        <v>0</v>
      </c>
      <c r="M31" s="2393"/>
      <c r="N31" s="4534">
        <v>14790</v>
      </c>
      <c r="O31" s="3564">
        <f t="shared" si="2"/>
        <v>14790</v>
      </c>
      <c r="P31" s="2398">
        <v>0</v>
      </c>
      <c r="Q31" s="4135">
        <f t="shared" si="6"/>
        <v>0</v>
      </c>
      <c r="R31" s="4136">
        <f t="shared" si="5"/>
        <v>0</v>
      </c>
      <c r="T31" s="4891"/>
    </row>
    <row r="32" spans="2:20" ht="13.5" thickBot="1">
      <c r="B32" s="254"/>
      <c r="C32" s="255" t="s">
        <v>142</v>
      </c>
      <c r="D32" s="256">
        <v>0</v>
      </c>
      <c r="E32" s="256"/>
      <c r="F32" s="249">
        <f t="shared" si="7"/>
        <v>0</v>
      </c>
      <c r="H32" s="132"/>
      <c r="I32" s="250" t="str">
        <f t="shared" ref="I32:I53" si="8">C82</f>
        <v>Measure 20</v>
      </c>
      <c r="J32" s="251"/>
      <c r="K32" s="252"/>
      <c r="L32" s="242">
        <f t="shared" ref="L32:L53" si="9">D82</f>
        <v>0</v>
      </c>
      <c r="M32" s="257">
        <v>0</v>
      </c>
      <c r="N32" s="257">
        <v>0</v>
      </c>
      <c r="O32" s="244">
        <f t="shared" ref="O32:O53" si="10">M32+N32</f>
        <v>0</v>
      </c>
      <c r="P32" s="245">
        <f t="shared" ref="P32:P53" si="11">M32*$D82</f>
        <v>0</v>
      </c>
      <c r="Q32" s="245">
        <f t="shared" ref="Q32:Q53" si="12">N32*$D82</f>
        <v>0</v>
      </c>
      <c r="R32" s="4136">
        <f t="shared" si="5"/>
        <v>0</v>
      </c>
      <c r="T32" s="4891"/>
    </row>
    <row r="33" spans="2:20" ht="13.5" thickBot="1">
      <c r="B33" s="262">
        <v>5000</v>
      </c>
      <c r="C33" s="236" t="s">
        <v>146</v>
      </c>
      <c r="D33" s="237">
        <f>SUM(D34:D37)</f>
        <v>0</v>
      </c>
      <c r="E33" s="237">
        <f>SUM(E34:E37)</f>
        <v>6000</v>
      </c>
      <c r="F33" s="238">
        <f>D33+E33</f>
        <v>6000</v>
      </c>
      <c r="H33" s="132"/>
      <c r="I33" s="250" t="str">
        <f t="shared" si="8"/>
        <v>Measure 21</v>
      </c>
      <c r="J33" s="251"/>
      <c r="K33" s="252"/>
      <c r="L33" s="242">
        <f t="shared" si="9"/>
        <v>0</v>
      </c>
      <c r="M33" s="257">
        <v>0</v>
      </c>
      <c r="N33" s="257">
        <v>0</v>
      </c>
      <c r="O33" s="244">
        <f t="shared" si="10"/>
        <v>0</v>
      </c>
      <c r="P33" s="245">
        <f t="shared" si="11"/>
        <v>0</v>
      </c>
      <c r="Q33" s="245">
        <f t="shared" si="12"/>
        <v>0</v>
      </c>
      <c r="R33" s="4136">
        <f t="shared" si="5"/>
        <v>0</v>
      </c>
      <c r="T33" s="4891"/>
    </row>
    <row r="34" spans="2:20">
      <c r="B34" s="254"/>
      <c r="C34" s="255" t="s">
        <v>428</v>
      </c>
      <c r="D34" s="256">
        <v>0</v>
      </c>
      <c r="E34" s="256">
        <v>6000</v>
      </c>
      <c r="F34" s="249">
        <f t="shared" si="7"/>
        <v>6000</v>
      </c>
      <c r="H34" s="132"/>
      <c r="I34" s="250" t="str">
        <f t="shared" si="8"/>
        <v>Measure 22</v>
      </c>
      <c r="J34" s="251"/>
      <c r="K34" s="252"/>
      <c r="L34" s="242">
        <f t="shared" si="9"/>
        <v>0</v>
      </c>
      <c r="M34" s="257">
        <v>0</v>
      </c>
      <c r="N34" s="257">
        <v>0</v>
      </c>
      <c r="O34" s="244">
        <f t="shared" si="10"/>
        <v>0</v>
      </c>
      <c r="P34" s="245">
        <f t="shared" si="11"/>
        <v>0</v>
      </c>
      <c r="Q34" s="245">
        <f t="shared" si="12"/>
        <v>0</v>
      </c>
      <c r="R34" s="4136">
        <f t="shared" si="5"/>
        <v>0</v>
      </c>
      <c r="T34" s="4891"/>
    </row>
    <row r="35" spans="2:20">
      <c r="B35" s="254"/>
      <c r="C35" s="255" t="s">
        <v>140</v>
      </c>
      <c r="D35" s="256">
        <v>0</v>
      </c>
      <c r="E35" s="256"/>
      <c r="F35" s="249">
        <f t="shared" si="7"/>
        <v>0</v>
      </c>
      <c r="H35" s="132"/>
      <c r="I35" s="250" t="str">
        <f t="shared" si="8"/>
        <v>Measure 23</v>
      </c>
      <c r="J35" s="251"/>
      <c r="K35" s="252"/>
      <c r="L35" s="242">
        <f t="shared" si="9"/>
        <v>0</v>
      </c>
      <c r="M35" s="257">
        <v>0</v>
      </c>
      <c r="N35" s="257">
        <v>0</v>
      </c>
      <c r="O35" s="244">
        <f t="shared" si="10"/>
        <v>0</v>
      </c>
      <c r="P35" s="245">
        <f t="shared" si="11"/>
        <v>0</v>
      </c>
      <c r="Q35" s="245">
        <f t="shared" si="12"/>
        <v>0</v>
      </c>
      <c r="R35" s="4136">
        <f t="shared" si="5"/>
        <v>0</v>
      </c>
      <c r="T35" s="4891"/>
    </row>
    <row r="36" spans="2:20">
      <c r="B36" s="254"/>
      <c r="C36" s="255" t="s">
        <v>141</v>
      </c>
      <c r="D36" s="256">
        <v>0</v>
      </c>
      <c r="E36" s="256"/>
      <c r="F36" s="249">
        <f t="shared" si="7"/>
        <v>0</v>
      </c>
      <c r="H36" s="132"/>
      <c r="I36" s="250" t="str">
        <f t="shared" si="8"/>
        <v>Measure 24</v>
      </c>
      <c r="J36" s="251"/>
      <c r="K36" s="252"/>
      <c r="L36" s="242">
        <f t="shared" si="9"/>
        <v>0</v>
      </c>
      <c r="M36" s="257">
        <v>0</v>
      </c>
      <c r="N36" s="257">
        <v>0</v>
      </c>
      <c r="O36" s="244">
        <f t="shared" si="10"/>
        <v>0</v>
      </c>
      <c r="P36" s="245">
        <f t="shared" si="11"/>
        <v>0</v>
      </c>
      <c r="Q36" s="245">
        <f t="shared" si="12"/>
        <v>0</v>
      </c>
      <c r="R36" s="4136">
        <f t="shared" si="5"/>
        <v>0</v>
      </c>
      <c r="T36" s="4891"/>
    </row>
    <row r="37" spans="2:20" ht="13.5" thickBot="1">
      <c r="B37" s="254"/>
      <c r="C37" s="255" t="s">
        <v>142</v>
      </c>
      <c r="D37" s="256">
        <v>0</v>
      </c>
      <c r="E37" s="256"/>
      <c r="F37" s="249">
        <f t="shared" si="7"/>
        <v>0</v>
      </c>
      <c r="H37" s="132"/>
      <c r="I37" s="250" t="str">
        <f t="shared" si="8"/>
        <v>Measure 25</v>
      </c>
      <c r="J37" s="251"/>
      <c r="K37" s="260"/>
      <c r="L37" s="242">
        <f t="shared" si="9"/>
        <v>0</v>
      </c>
      <c r="M37" s="257">
        <v>0</v>
      </c>
      <c r="N37" s="257">
        <v>0</v>
      </c>
      <c r="O37" s="244">
        <f t="shared" si="10"/>
        <v>0</v>
      </c>
      <c r="P37" s="245">
        <f t="shared" si="11"/>
        <v>0</v>
      </c>
      <c r="Q37" s="245">
        <f t="shared" si="12"/>
        <v>0</v>
      </c>
      <c r="R37" s="4136">
        <f t="shared" si="5"/>
        <v>0</v>
      </c>
      <c r="T37" s="4891"/>
    </row>
    <row r="38" spans="2:20" ht="13.5" thickBot="1">
      <c r="B38" s="262">
        <v>261224</v>
      </c>
      <c r="C38" s="236" t="s">
        <v>147</v>
      </c>
      <c r="D38" s="237">
        <f>SUM(D39:D42)</f>
        <v>0</v>
      </c>
      <c r="E38" s="4468">
        <f>SUM(E39:E42)</f>
        <v>161174</v>
      </c>
      <c r="F38" s="238">
        <f>D38+E38</f>
        <v>161174</v>
      </c>
      <c r="H38" s="132"/>
      <c r="I38" s="250" t="str">
        <f t="shared" si="8"/>
        <v>Measure 26</v>
      </c>
      <c r="J38" s="251"/>
      <c r="K38" s="260"/>
      <c r="L38" s="242">
        <f t="shared" si="9"/>
        <v>0</v>
      </c>
      <c r="M38" s="257">
        <v>0</v>
      </c>
      <c r="N38" s="257">
        <v>0</v>
      </c>
      <c r="O38" s="244">
        <f t="shared" si="10"/>
        <v>0</v>
      </c>
      <c r="P38" s="245">
        <f t="shared" si="11"/>
        <v>0</v>
      </c>
      <c r="Q38" s="245">
        <f t="shared" si="12"/>
        <v>0</v>
      </c>
      <c r="R38" s="4136">
        <f t="shared" si="5"/>
        <v>0</v>
      </c>
      <c r="T38" s="4891"/>
    </row>
    <row r="39" spans="2:20">
      <c r="B39" s="254"/>
      <c r="C39" s="255" t="s">
        <v>429</v>
      </c>
      <c r="D39" s="256">
        <v>0</v>
      </c>
      <c r="E39" s="256">
        <v>2500</v>
      </c>
      <c r="F39" s="249">
        <f t="shared" ref="F39:F52" si="13">SUM(D39:E39)</f>
        <v>2500</v>
      </c>
      <c r="H39" s="132"/>
      <c r="I39" s="250" t="str">
        <f t="shared" si="8"/>
        <v>Measure 27</v>
      </c>
      <c r="J39" s="251"/>
      <c r="K39" s="260"/>
      <c r="L39" s="242">
        <f t="shared" si="9"/>
        <v>0</v>
      </c>
      <c r="M39" s="257">
        <v>0</v>
      </c>
      <c r="N39" s="257">
        <v>0</v>
      </c>
      <c r="O39" s="244">
        <f t="shared" si="10"/>
        <v>0</v>
      </c>
      <c r="P39" s="245">
        <f t="shared" si="11"/>
        <v>0</v>
      </c>
      <c r="Q39" s="245">
        <f t="shared" si="12"/>
        <v>0</v>
      </c>
      <c r="R39" s="4136">
        <f t="shared" si="5"/>
        <v>0</v>
      </c>
      <c r="T39" s="4891"/>
    </row>
    <row r="40" spans="2:20">
      <c r="B40" s="254"/>
      <c r="C40" s="2391" t="s">
        <v>946</v>
      </c>
      <c r="D40" s="2392">
        <v>0</v>
      </c>
      <c r="E40" s="4454">
        <v>140224</v>
      </c>
      <c r="F40" s="249">
        <f t="shared" si="13"/>
        <v>140224</v>
      </c>
      <c r="H40" s="132"/>
      <c r="I40" s="250" t="str">
        <f t="shared" si="8"/>
        <v>Measure 28</v>
      </c>
      <c r="J40" s="251"/>
      <c r="K40" s="260"/>
      <c r="L40" s="242">
        <f t="shared" si="9"/>
        <v>0</v>
      </c>
      <c r="M40" s="257">
        <v>0</v>
      </c>
      <c r="N40" s="257">
        <v>0</v>
      </c>
      <c r="O40" s="244">
        <f t="shared" si="10"/>
        <v>0</v>
      </c>
      <c r="P40" s="245">
        <f t="shared" si="11"/>
        <v>0</v>
      </c>
      <c r="Q40" s="245">
        <f t="shared" si="12"/>
        <v>0</v>
      </c>
      <c r="R40" s="4136">
        <f t="shared" si="5"/>
        <v>0</v>
      </c>
      <c r="T40" s="4891"/>
    </row>
    <row r="41" spans="2:20">
      <c r="B41" s="254"/>
      <c r="C41" s="4448" t="s">
        <v>1259</v>
      </c>
      <c r="D41" s="256">
        <v>0</v>
      </c>
      <c r="E41" s="4449">
        <v>18450</v>
      </c>
      <c r="F41" s="249">
        <f t="shared" si="13"/>
        <v>18450</v>
      </c>
      <c r="H41" s="132"/>
      <c r="I41" s="250" t="str">
        <f t="shared" si="8"/>
        <v>Measure 29</v>
      </c>
      <c r="J41" s="251"/>
      <c r="K41" s="260"/>
      <c r="L41" s="242">
        <f t="shared" si="9"/>
        <v>0</v>
      </c>
      <c r="M41" s="257">
        <v>0</v>
      </c>
      <c r="N41" s="257">
        <v>0</v>
      </c>
      <c r="O41" s="244">
        <f t="shared" si="10"/>
        <v>0</v>
      </c>
      <c r="P41" s="245">
        <f t="shared" si="11"/>
        <v>0</v>
      </c>
      <c r="Q41" s="245">
        <f t="shared" si="12"/>
        <v>0</v>
      </c>
      <c r="R41" s="4136">
        <f t="shared" si="5"/>
        <v>0</v>
      </c>
      <c r="T41" s="4891"/>
    </row>
    <row r="42" spans="2:20" ht="13.5" thickBot="1">
      <c r="B42" s="254"/>
      <c r="C42" s="255" t="s">
        <v>142</v>
      </c>
      <c r="D42" s="256">
        <v>0</v>
      </c>
      <c r="E42" s="256"/>
      <c r="F42" s="249">
        <f t="shared" si="13"/>
        <v>0</v>
      </c>
      <c r="H42" s="132"/>
      <c r="I42" s="250" t="str">
        <f t="shared" si="8"/>
        <v>Measure 30</v>
      </c>
      <c r="J42" s="251"/>
      <c r="K42" s="260"/>
      <c r="L42" s="242">
        <f t="shared" si="9"/>
        <v>0</v>
      </c>
      <c r="M42" s="257">
        <v>0</v>
      </c>
      <c r="N42" s="257">
        <v>0</v>
      </c>
      <c r="O42" s="244">
        <f t="shared" si="10"/>
        <v>0</v>
      </c>
      <c r="P42" s="245">
        <f t="shared" si="11"/>
        <v>0</v>
      </c>
      <c r="Q42" s="245">
        <f t="shared" si="12"/>
        <v>0</v>
      </c>
      <c r="R42" s="4136">
        <f t="shared" si="5"/>
        <v>0</v>
      </c>
      <c r="T42" s="4891"/>
    </row>
    <row r="43" spans="2:20" ht="13.5" thickBot="1">
      <c r="B43" s="262">
        <v>2000</v>
      </c>
      <c r="C43" s="236" t="s">
        <v>148</v>
      </c>
      <c r="D43" s="237">
        <f>SUM(D44:D47)</f>
        <v>0</v>
      </c>
      <c r="E43" s="237">
        <f>SUM(E44:E47)</f>
        <v>2000</v>
      </c>
      <c r="F43" s="238">
        <f>D43+E43</f>
        <v>2000</v>
      </c>
      <c r="H43" s="132"/>
      <c r="I43" s="250" t="str">
        <f t="shared" si="8"/>
        <v>Measure 31</v>
      </c>
      <c r="J43" s="251"/>
      <c r="K43" s="260"/>
      <c r="L43" s="242">
        <f t="shared" si="9"/>
        <v>0</v>
      </c>
      <c r="M43" s="257">
        <v>0</v>
      </c>
      <c r="N43" s="257">
        <v>0</v>
      </c>
      <c r="O43" s="244">
        <f t="shared" si="10"/>
        <v>0</v>
      </c>
      <c r="P43" s="245">
        <f t="shared" si="11"/>
        <v>0</v>
      </c>
      <c r="Q43" s="245">
        <f t="shared" si="12"/>
        <v>0</v>
      </c>
      <c r="R43" s="4136">
        <f t="shared" si="5"/>
        <v>0</v>
      </c>
      <c r="T43" s="4891"/>
    </row>
    <row r="44" spans="2:20">
      <c r="B44" s="254"/>
      <c r="C44" s="255" t="s">
        <v>430</v>
      </c>
      <c r="D44" s="256">
        <v>0</v>
      </c>
      <c r="E44" s="256">
        <v>2000</v>
      </c>
      <c r="F44" s="249">
        <f t="shared" si="13"/>
        <v>2000</v>
      </c>
      <c r="H44" s="132"/>
      <c r="I44" s="250" t="str">
        <f t="shared" si="8"/>
        <v>Measure 32</v>
      </c>
      <c r="J44" s="251"/>
      <c r="K44" s="260"/>
      <c r="L44" s="242">
        <f t="shared" si="9"/>
        <v>0</v>
      </c>
      <c r="M44" s="257">
        <v>0</v>
      </c>
      <c r="N44" s="257">
        <v>0</v>
      </c>
      <c r="O44" s="244">
        <f t="shared" si="10"/>
        <v>0</v>
      </c>
      <c r="P44" s="245">
        <f t="shared" si="11"/>
        <v>0</v>
      </c>
      <c r="Q44" s="245">
        <f t="shared" si="12"/>
        <v>0</v>
      </c>
      <c r="R44" s="4136">
        <f t="shared" si="5"/>
        <v>0</v>
      </c>
      <c r="T44" s="4891"/>
    </row>
    <row r="45" spans="2:20">
      <c r="B45" s="254"/>
      <c r="C45" s="255" t="s">
        <v>140</v>
      </c>
      <c r="D45" s="256">
        <v>0</v>
      </c>
      <c r="E45" s="256"/>
      <c r="F45" s="249">
        <f t="shared" si="13"/>
        <v>0</v>
      </c>
      <c r="H45" s="132"/>
      <c r="I45" s="250" t="str">
        <f t="shared" si="8"/>
        <v>Measure 33</v>
      </c>
      <c r="J45" s="251"/>
      <c r="K45" s="260"/>
      <c r="L45" s="242">
        <f t="shared" si="9"/>
        <v>0</v>
      </c>
      <c r="M45" s="257">
        <v>0</v>
      </c>
      <c r="N45" s="257">
        <v>0</v>
      </c>
      <c r="O45" s="244">
        <f t="shared" si="10"/>
        <v>0</v>
      </c>
      <c r="P45" s="245">
        <f t="shared" si="11"/>
        <v>0</v>
      </c>
      <c r="Q45" s="245">
        <f t="shared" si="12"/>
        <v>0</v>
      </c>
      <c r="R45" s="4136">
        <f t="shared" si="5"/>
        <v>0</v>
      </c>
      <c r="T45" s="4891"/>
    </row>
    <row r="46" spans="2:20">
      <c r="B46" s="254"/>
      <c r="C46" s="255" t="s">
        <v>141</v>
      </c>
      <c r="D46" s="256">
        <v>0</v>
      </c>
      <c r="E46" s="256"/>
      <c r="F46" s="249">
        <f t="shared" si="13"/>
        <v>0</v>
      </c>
      <c r="H46" s="132"/>
      <c r="I46" s="250" t="str">
        <f t="shared" si="8"/>
        <v>Measure 34</v>
      </c>
      <c r="J46" s="251"/>
      <c r="K46" s="260"/>
      <c r="L46" s="242">
        <f t="shared" si="9"/>
        <v>0</v>
      </c>
      <c r="M46" s="257">
        <v>0</v>
      </c>
      <c r="N46" s="257">
        <v>0</v>
      </c>
      <c r="O46" s="244">
        <f t="shared" si="10"/>
        <v>0</v>
      </c>
      <c r="P46" s="245">
        <f t="shared" si="11"/>
        <v>0</v>
      </c>
      <c r="Q46" s="245">
        <f t="shared" si="12"/>
        <v>0</v>
      </c>
      <c r="R46" s="4136">
        <f t="shared" si="5"/>
        <v>0</v>
      </c>
      <c r="T46" s="4891"/>
    </row>
    <row r="47" spans="2:20" ht="13.5" thickBot="1">
      <c r="B47" s="254"/>
      <c r="C47" s="255" t="s">
        <v>142</v>
      </c>
      <c r="D47" s="256">
        <v>0</v>
      </c>
      <c r="E47" s="256"/>
      <c r="F47" s="249">
        <f t="shared" si="13"/>
        <v>0</v>
      </c>
      <c r="H47" s="132"/>
      <c r="I47" s="250" t="str">
        <f t="shared" si="8"/>
        <v>Measure 35</v>
      </c>
      <c r="J47" s="251"/>
      <c r="K47" s="260"/>
      <c r="L47" s="242">
        <f t="shared" si="9"/>
        <v>0</v>
      </c>
      <c r="M47" s="257">
        <v>0</v>
      </c>
      <c r="N47" s="257">
        <v>0</v>
      </c>
      <c r="O47" s="244">
        <f t="shared" si="10"/>
        <v>0</v>
      </c>
      <c r="P47" s="245">
        <f t="shared" si="11"/>
        <v>0</v>
      </c>
      <c r="Q47" s="245">
        <f t="shared" si="12"/>
        <v>0</v>
      </c>
      <c r="R47" s="4136">
        <f t="shared" si="5"/>
        <v>0</v>
      </c>
      <c r="T47" s="4891"/>
    </row>
    <row r="48" spans="2:20" ht="13.5" thickBot="1">
      <c r="B48" s="262">
        <v>5000</v>
      </c>
      <c r="C48" s="236" t="s">
        <v>149</v>
      </c>
      <c r="D48" s="237">
        <f>SUM(D49:D52)</f>
        <v>0</v>
      </c>
      <c r="E48" s="237">
        <f>SUM(E49:E52)</f>
        <v>5000</v>
      </c>
      <c r="F48" s="238">
        <f>D48+E48</f>
        <v>5000</v>
      </c>
      <c r="H48" s="132"/>
      <c r="I48" s="250" t="str">
        <f t="shared" si="8"/>
        <v>Measure 36</v>
      </c>
      <c r="J48" s="251"/>
      <c r="K48" s="260"/>
      <c r="L48" s="242">
        <f t="shared" si="9"/>
        <v>0</v>
      </c>
      <c r="M48" s="257">
        <v>0</v>
      </c>
      <c r="N48" s="257">
        <v>0</v>
      </c>
      <c r="O48" s="244">
        <f t="shared" si="10"/>
        <v>0</v>
      </c>
      <c r="P48" s="245">
        <f t="shared" si="11"/>
        <v>0</v>
      </c>
      <c r="Q48" s="245">
        <f t="shared" si="12"/>
        <v>0</v>
      </c>
      <c r="R48" s="4136">
        <f t="shared" si="5"/>
        <v>0</v>
      </c>
      <c r="T48" s="4891"/>
    </row>
    <row r="49" spans="2:25">
      <c r="B49" s="254"/>
      <c r="C49" s="255" t="s">
        <v>139</v>
      </c>
      <c r="D49" s="256">
        <v>0</v>
      </c>
      <c r="E49" s="256">
        <v>5000</v>
      </c>
      <c r="F49" s="249">
        <f t="shared" si="13"/>
        <v>5000</v>
      </c>
      <c r="H49" s="132"/>
      <c r="I49" s="250" t="str">
        <f t="shared" si="8"/>
        <v>Measure 37</v>
      </c>
      <c r="J49" s="251"/>
      <c r="K49" s="252"/>
      <c r="L49" s="242">
        <f t="shared" si="9"/>
        <v>0</v>
      </c>
      <c r="M49" s="257">
        <v>0</v>
      </c>
      <c r="N49" s="257">
        <v>0</v>
      </c>
      <c r="O49" s="244">
        <f t="shared" si="10"/>
        <v>0</v>
      </c>
      <c r="P49" s="245">
        <f t="shared" si="11"/>
        <v>0</v>
      </c>
      <c r="Q49" s="245">
        <f t="shared" si="12"/>
        <v>0</v>
      </c>
      <c r="R49" s="4136">
        <f t="shared" si="5"/>
        <v>0</v>
      </c>
      <c r="T49" s="4891"/>
    </row>
    <row r="50" spans="2:25">
      <c r="B50" s="254"/>
      <c r="C50" s="255" t="s">
        <v>140</v>
      </c>
      <c r="D50" s="256">
        <v>0</v>
      </c>
      <c r="E50" s="256"/>
      <c r="F50" s="249">
        <f t="shared" si="13"/>
        <v>0</v>
      </c>
      <c r="I50" s="250" t="str">
        <f t="shared" si="8"/>
        <v>Measure 38</v>
      </c>
      <c r="J50" s="251"/>
      <c r="K50" s="252"/>
      <c r="L50" s="242">
        <f t="shared" si="9"/>
        <v>0</v>
      </c>
      <c r="M50" s="257">
        <v>0</v>
      </c>
      <c r="N50" s="257">
        <v>0</v>
      </c>
      <c r="O50" s="244">
        <f t="shared" si="10"/>
        <v>0</v>
      </c>
      <c r="P50" s="245">
        <f t="shared" si="11"/>
        <v>0</v>
      </c>
      <c r="Q50" s="245">
        <f t="shared" si="12"/>
        <v>0</v>
      </c>
      <c r="R50" s="4136">
        <f t="shared" si="5"/>
        <v>0</v>
      </c>
      <c r="T50" s="4891"/>
    </row>
    <row r="51" spans="2:25">
      <c r="B51" s="254"/>
      <c r="C51" s="255" t="s">
        <v>141</v>
      </c>
      <c r="D51" s="256">
        <v>0</v>
      </c>
      <c r="E51" s="256"/>
      <c r="F51" s="249">
        <f t="shared" si="13"/>
        <v>0</v>
      </c>
      <c r="I51" s="250" t="str">
        <f t="shared" si="8"/>
        <v>Measure 39</v>
      </c>
      <c r="J51" s="251"/>
      <c r="K51" s="252"/>
      <c r="L51" s="242">
        <f t="shared" si="9"/>
        <v>0</v>
      </c>
      <c r="M51" s="257">
        <v>0</v>
      </c>
      <c r="N51" s="257">
        <v>0</v>
      </c>
      <c r="O51" s="244">
        <f t="shared" si="10"/>
        <v>0</v>
      </c>
      <c r="P51" s="245">
        <f t="shared" si="11"/>
        <v>0</v>
      </c>
      <c r="Q51" s="245">
        <f t="shared" si="12"/>
        <v>0</v>
      </c>
      <c r="R51" s="4136">
        <f t="shared" si="5"/>
        <v>0</v>
      </c>
      <c r="T51" s="4891"/>
    </row>
    <row r="52" spans="2:25" ht="13.5" thickBot="1">
      <c r="B52" s="254"/>
      <c r="C52" s="255" t="s">
        <v>142</v>
      </c>
      <c r="D52" s="256">
        <v>0</v>
      </c>
      <c r="E52" s="256"/>
      <c r="F52" s="249">
        <f t="shared" si="13"/>
        <v>0</v>
      </c>
      <c r="I52" s="250" t="str">
        <f t="shared" si="8"/>
        <v>Measure 40</v>
      </c>
      <c r="J52" s="251"/>
      <c r="K52" s="252"/>
      <c r="L52" s="242">
        <f t="shared" si="9"/>
        <v>0</v>
      </c>
      <c r="M52" s="257">
        <v>0</v>
      </c>
      <c r="N52" s="257">
        <v>0</v>
      </c>
      <c r="O52" s="244">
        <f t="shared" si="10"/>
        <v>0</v>
      </c>
      <c r="P52" s="245">
        <f t="shared" si="11"/>
        <v>0</v>
      </c>
      <c r="Q52" s="245">
        <f t="shared" si="12"/>
        <v>0</v>
      </c>
      <c r="R52" s="4136">
        <f t="shared" si="5"/>
        <v>0</v>
      </c>
      <c r="T52" s="4891"/>
    </row>
    <row r="53" spans="2:25" ht="13.5" thickBot="1">
      <c r="B53" s="262">
        <v>832800</v>
      </c>
      <c r="C53" s="236" t="s">
        <v>150</v>
      </c>
      <c r="D53" s="237">
        <f>T105</f>
        <v>0</v>
      </c>
      <c r="E53" s="237">
        <f>U105</f>
        <v>510420</v>
      </c>
      <c r="F53" s="238">
        <f>V105</f>
        <v>510420</v>
      </c>
      <c r="G53" s="261" t="s">
        <v>151</v>
      </c>
      <c r="I53" s="250" t="str">
        <f t="shared" si="8"/>
        <v>Measure 41</v>
      </c>
      <c r="J53" s="251"/>
      <c r="K53" s="252"/>
      <c r="L53" s="242">
        <f t="shared" si="9"/>
        <v>0</v>
      </c>
      <c r="M53" s="257">
        <v>0</v>
      </c>
      <c r="N53" s="257">
        <v>0</v>
      </c>
      <c r="O53" s="244">
        <f t="shared" si="10"/>
        <v>0</v>
      </c>
      <c r="P53" s="245">
        <f t="shared" si="11"/>
        <v>0</v>
      </c>
      <c r="Q53" s="245">
        <f t="shared" si="12"/>
        <v>0</v>
      </c>
      <c r="R53" s="4136">
        <f t="shared" si="5"/>
        <v>0</v>
      </c>
      <c r="T53" s="4891"/>
    </row>
    <row r="54" spans="2:25" ht="13.5" thickBot="1">
      <c r="B54" s="262">
        <v>0</v>
      </c>
      <c r="C54" s="236" t="s">
        <v>152</v>
      </c>
      <c r="D54" s="237">
        <v>0</v>
      </c>
      <c r="E54" s="237">
        <v>0</v>
      </c>
      <c r="F54" s="238">
        <v>0</v>
      </c>
      <c r="P54" s="265">
        <f>SUM(P13:P53)</f>
        <v>0</v>
      </c>
      <c r="Q54" s="265">
        <f>SUM(Q13:Q53)</f>
        <v>1112700</v>
      </c>
      <c r="R54" s="265">
        <f>SUM(R13:R53)</f>
        <v>1112700</v>
      </c>
      <c r="T54" s="4891"/>
    </row>
    <row r="55" spans="2:25">
      <c r="B55" s="263">
        <f>B13+B18+B23+B28+B33+B38+B43+B48+B53+B54</f>
        <v>1396253</v>
      </c>
      <c r="C55" s="264" t="s">
        <v>153</v>
      </c>
      <c r="D55" s="263">
        <f>D13+D18+D23+D28+D33+D38+D43+D48+D53+D54</f>
        <v>0</v>
      </c>
      <c r="E55" s="263">
        <f>E13+E18+E23+E28+E33+E38+E43+E48+E53+E54</f>
        <v>1198552.5529999998</v>
      </c>
      <c r="F55" s="263">
        <f>F13+F18+F23+F28+F33+F38+F43+F48+F53+F54</f>
        <v>1198552.5529999998</v>
      </c>
      <c r="T55" s="4892"/>
    </row>
    <row r="56" spans="2:25">
      <c r="C56" s="264"/>
      <c r="D56" s="263"/>
      <c r="E56" s="263"/>
      <c r="F56" s="263"/>
    </row>
    <row r="57" spans="2:25">
      <c r="C57" s="264" t="s">
        <v>154</v>
      </c>
      <c r="D57" s="263">
        <f>D55-D53</f>
        <v>0</v>
      </c>
      <c r="E57" s="263">
        <f>E55-E53</f>
        <v>688132.55299999984</v>
      </c>
      <c r="F57" s="263">
        <f>F55-F53</f>
        <v>688132.55299999984</v>
      </c>
    </row>
    <row r="58" spans="2:25">
      <c r="C58" s="264" t="s">
        <v>155</v>
      </c>
      <c r="D58" s="266">
        <f>D53</f>
        <v>0</v>
      </c>
      <c r="E58" s="266">
        <f>E53</f>
        <v>510420</v>
      </c>
      <c r="F58" s="266">
        <f>F53</f>
        <v>510420</v>
      </c>
      <c r="G58" s="319">
        <f>F58/(F57+F58)</f>
        <v>0.42586367925412116</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82"/>
      <c r="C63" s="4519"/>
      <c r="D63" s="3574"/>
      <c r="E63" s="3574" t="s">
        <v>181</v>
      </c>
      <c r="F63" s="3574" t="s">
        <v>186</v>
      </c>
      <c r="G63" s="3594"/>
      <c r="H63" s="3594"/>
      <c r="I63" s="4156"/>
      <c r="J63" s="2402"/>
      <c r="K63" s="2402"/>
      <c r="L63" s="4157"/>
      <c r="M63" s="2405" t="e">
        <v>#DIV/0!</v>
      </c>
      <c r="N63" s="2405" t="e">
        <v>#DIV/0!</v>
      </c>
      <c r="O63" s="3548">
        <f t="shared" ref="O63:O104" si="14">(($I63*$F$57)+$V63)/$S63</f>
        <v>0</v>
      </c>
      <c r="P63" s="3548">
        <f t="shared" ref="P63:P104" si="15">(($I63*$F$57)+($G63*$O13))/$S63</f>
        <v>0</v>
      </c>
      <c r="Q63" s="3548">
        <f>IF(K63=0, 0, (HLOOKUP(K63,'[3]E-CESTDWO'!$A$5:$O$35,J63+1,FALSE)*R13))</f>
        <v>0</v>
      </c>
      <c r="R63" s="3548">
        <f>IF(K63=0, 0, (HLOOKUP(K63,'[3]E-CESTD'!$A$5:$O$35,J63+1,FALSE)*R13))</f>
        <v>0</v>
      </c>
      <c r="S63" s="2404">
        <v>1.081</v>
      </c>
      <c r="T63" s="2403">
        <v>0</v>
      </c>
      <c r="U63" s="4150">
        <f t="shared" ref="U63:V104" si="16">N13*$H63</f>
        <v>0</v>
      </c>
      <c r="V63" s="4150">
        <f t="shared" si="16"/>
        <v>0</v>
      </c>
      <c r="W63" s="322" t="e">
        <f t="shared" ref="W63:W80" si="17">V63/(V63+(I63*F$57))</f>
        <v>#DIV/0!</v>
      </c>
      <c r="X63" s="322" t="e">
        <f t="shared" ref="X63:X80" si="18">(I63*((F$18*1.63)+F$28))/(V63+(I63*F$57))</f>
        <v>#DIV/0!</v>
      </c>
      <c r="Y63" s="322" t="e">
        <f t="shared" ref="Y63:Y80" si="19">(I63*F$38)/(V63+(I63*F$57))</f>
        <v>#DIV/0!</v>
      </c>
    </row>
    <row r="64" spans="2:25">
      <c r="B64" s="282"/>
      <c r="C64" s="4520" t="s">
        <v>947</v>
      </c>
      <c r="D64" s="3593">
        <v>43</v>
      </c>
      <c r="E64" s="3593" t="s">
        <v>181</v>
      </c>
      <c r="F64" s="3593" t="s">
        <v>186</v>
      </c>
      <c r="G64" s="3594">
        <v>18.03</v>
      </c>
      <c r="H64" s="3594">
        <v>20</v>
      </c>
      <c r="I64" s="4151">
        <v>0.71</v>
      </c>
      <c r="J64" s="2402">
        <v>15</v>
      </c>
      <c r="K64" s="2402" t="s">
        <v>183</v>
      </c>
      <c r="L64" s="4157"/>
      <c r="M64" s="2405">
        <v>0.92710349714747464</v>
      </c>
      <c r="N64" s="2405">
        <v>1.0635992953530871</v>
      </c>
      <c r="O64" s="3548">
        <f>(($I64*$F$57)+$V64)/$S64</f>
        <v>725600.47421831626</v>
      </c>
      <c r="P64" s="3548">
        <f t="shared" si="15"/>
        <v>698647.3752358926</v>
      </c>
      <c r="Q64" s="3548">
        <f>IF(K64=0, 0, (HLOOKUP(K64,'[3]E-CESTDWO'!$A$5:$O$35,J64+1,FALSE)*R14))</f>
        <v>606995.07022477617</v>
      </c>
      <c r="R64" s="3548">
        <f>IF(K64=0, 0, (HLOOKUP(K64,'[3]E-CESTD'!$A$5:$O$35,J64+1,FALSE)*R14))</f>
        <v>667694.57724725362</v>
      </c>
      <c r="S64" s="2404">
        <v>1.081</v>
      </c>
      <c r="T64" s="2403">
        <v>0</v>
      </c>
      <c r="U64" s="4150">
        <f t="shared" si="16"/>
        <v>295800</v>
      </c>
      <c r="V64" s="4150">
        <f t="shared" si="16"/>
        <v>295800</v>
      </c>
      <c r="W64" s="322">
        <f t="shared" si="17"/>
        <v>0.3771159644830514</v>
      </c>
      <c r="X64" s="322">
        <f t="shared" si="18"/>
        <v>0.21985471884300481</v>
      </c>
      <c r="Y64" s="322">
        <f t="shared" si="19"/>
        <v>0.14589153078536118</v>
      </c>
    </row>
    <row r="65" spans="2:25">
      <c r="B65" s="282"/>
      <c r="C65" s="4521"/>
      <c r="D65" s="3593"/>
      <c r="E65" s="3593" t="s">
        <v>181</v>
      </c>
      <c r="F65" s="3593" t="s">
        <v>186</v>
      </c>
      <c r="G65" s="3594"/>
      <c r="H65" s="3594"/>
      <c r="I65" s="4151"/>
      <c r="J65" s="2402">
        <v>14</v>
      </c>
      <c r="K65" s="2402" t="s">
        <v>233</v>
      </c>
      <c r="L65" s="4157"/>
      <c r="M65" s="2405">
        <v>1.3976753022694777</v>
      </c>
      <c r="N65" s="2405">
        <v>0.73561858014183024</v>
      </c>
      <c r="O65" s="3548">
        <f t="shared" si="14"/>
        <v>0</v>
      </c>
      <c r="P65" s="3548">
        <f t="shared" si="15"/>
        <v>0</v>
      </c>
      <c r="Q65" s="3548">
        <f>IF(K65=0, 0, (HLOOKUP(K65,'[3]E-CESTDWO'!$A$5:$O$35,J65+1,FALSE)*R15))</f>
        <v>0</v>
      </c>
      <c r="R65" s="3548">
        <f>IF(K65=0, 0, (HLOOKUP(K65,'[3]E-CESTD'!$A$5:$O$35,J65+1,FALSE)*R15))</f>
        <v>0</v>
      </c>
      <c r="S65" s="2404">
        <v>1.081</v>
      </c>
      <c r="T65" s="2403">
        <v>0</v>
      </c>
      <c r="U65" s="4150">
        <f t="shared" si="16"/>
        <v>0</v>
      </c>
      <c r="V65" s="4150">
        <f t="shared" si="16"/>
        <v>0</v>
      </c>
      <c r="W65" s="322" t="e">
        <f t="shared" si="17"/>
        <v>#DIV/0!</v>
      </c>
      <c r="X65" s="322" t="e">
        <f t="shared" si="18"/>
        <v>#DIV/0!</v>
      </c>
      <c r="Y65" s="322" t="e">
        <f t="shared" si="19"/>
        <v>#DIV/0!</v>
      </c>
    </row>
    <row r="66" spans="2:25">
      <c r="B66" s="282"/>
      <c r="C66" s="4522" t="s">
        <v>1260</v>
      </c>
      <c r="D66" s="4523">
        <v>140</v>
      </c>
      <c r="E66" s="3593" t="s">
        <v>181</v>
      </c>
      <c r="F66" s="3593" t="s">
        <v>186</v>
      </c>
      <c r="G66" s="3594">
        <v>206</v>
      </c>
      <c r="H66" s="3594">
        <v>100</v>
      </c>
      <c r="I66" s="4151">
        <v>0.01</v>
      </c>
      <c r="J66" s="2402">
        <v>14</v>
      </c>
      <c r="K66" s="2402" t="s">
        <v>233</v>
      </c>
      <c r="L66" s="4157"/>
      <c r="M66" s="2405">
        <v>1.5615406825355544</v>
      </c>
      <c r="N66" s="2405">
        <v>0.802661098499584</v>
      </c>
      <c r="O66" s="3548">
        <f t="shared" si="14"/>
        <v>17466.536105457908</v>
      </c>
      <c r="P66" s="3548">
        <f t="shared" si="15"/>
        <v>29233.418621646622</v>
      </c>
      <c r="Q66" s="3548">
        <f>IF(K66=0, 0, (HLOOKUP(K66,'[3]E-CESTDWO'!$A$5:$O$35,J66+1,FALSE)*R16))</f>
        <v>14980.347110355817</v>
      </c>
      <c r="R66" s="3548">
        <f>IF(K66=0, 0, (HLOOKUP(K66,'[3]E-CESTD'!$A$5:$O$35,J66+1,FALSE)*R16))</f>
        <v>16478.381821391398</v>
      </c>
      <c r="S66" s="2404">
        <v>1.081</v>
      </c>
      <c r="T66" s="2403">
        <v>0</v>
      </c>
      <c r="U66" s="4150">
        <f t="shared" si="16"/>
        <v>12000</v>
      </c>
      <c r="V66" s="4150">
        <f t="shared" si="16"/>
        <v>12000</v>
      </c>
      <c r="W66" s="322">
        <f t="shared" si="17"/>
        <v>0.63554859964325827</v>
      </c>
      <c r="X66" s="322">
        <f t="shared" si="18"/>
        <v>0.12863768468696066</v>
      </c>
      <c r="Y66" s="322">
        <f t="shared" si="19"/>
        <v>8.5361591665752093E-2</v>
      </c>
    </row>
    <row r="67" spans="2:25">
      <c r="B67" s="282"/>
      <c r="C67" s="4522" t="s">
        <v>1261</v>
      </c>
      <c r="D67" s="4523">
        <v>59</v>
      </c>
      <c r="E67" s="3593" t="s">
        <v>181</v>
      </c>
      <c r="F67" s="3593" t="s">
        <v>186</v>
      </c>
      <c r="G67" s="3594">
        <v>73</v>
      </c>
      <c r="H67" s="3594">
        <v>50</v>
      </c>
      <c r="I67" s="4151">
        <v>0.02</v>
      </c>
      <c r="J67" s="2402">
        <v>14</v>
      </c>
      <c r="K67" s="2402" t="s">
        <v>233</v>
      </c>
      <c r="L67" s="4157"/>
      <c r="M67" s="2405">
        <v>1.2530882020347043</v>
      </c>
      <c r="N67" s="2405">
        <v>0.56032399277974554</v>
      </c>
      <c r="O67" s="3548">
        <f t="shared" si="14"/>
        <v>21057.031507863088</v>
      </c>
      <c r="P67" s="3548">
        <f t="shared" si="15"/>
        <v>24886.818741905641</v>
      </c>
      <c r="Q67" s="3548">
        <f>IF(K67=0, 0, (HLOOKUP(K67,'[3]E-CESTDWO'!$A$5:$O$35,J67+1,FALSE)*R17))</f>
        <v>9469.7194233320697</v>
      </c>
      <c r="R67" s="3548">
        <f>IF(K67=0, 0, (HLOOKUP(K67,'[3]E-CESTD'!$A$5:$O$35,J67+1,FALSE)*R17))</f>
        <v>10416.691365665276</v>
      </c>
      <c r="S67" s="2404">
        <v>1.081</v>
      </c>
      <c r="T67" s="2403">
        <v>0</v>
      </c>
      <c r="U67" s="4150">
        <f t="shared" si="16"/>
        <v>9000</v>
      </c>
      <c r="V67" s="4150">
        <f t="shared" si="16"/>
        <v>9000</v>
      </c>
      <c r="W67" s="322">
        <f t="shared" si="17"/>
        <v>0.3953845260060847</v>
      </c>
      <c r="X67" s="322">
        <f t="shared" si="18"/>
        <v>0.21340660133108416</v>
      </c>
      <c r="Y67" s="322">
        <f t="shared" si="19"/>
        <v>0.14161267909889932</v>
      </c>
    </row>
    <row r="68" spans="2:25">
      <c r="B68" s="282"/>
      <c r="C68" s="4524" t="s">
        <v>431</v>
      </c>
      <c r="D68" s="3593">
        <v>86</v>
      </c>
      <c r="E68" s="3593" t="s">
        <v>181</v>
      </c>
      <c r="F68" s="3593" t="s">
        <v>186</v>
      </c>
      <c r="G68" s="3594">
        <v>77</v>
      </c>
      <c r="H68" s="3594">
        <v>35</v>
      </c>
      <c r="I68" s="4151">
        <v>0.01</v>
      </c>
      <c r="J68" s="2402">
        <v>20</v>
      </c>
      <c r="K68" s="2402" t="s">
        <v>253</v>
      </c>
      <c r="L68" s="4157"/>
      <c r="M68" s="2405">
        <v>2.5737432673006166</v>
      </c>
      <c r="N68" s="2405">
        <v>1.2868716336503081</v>
      </c>
      <c r="O68" s="3548">
        <f t="shared" si="14"/>
        <v>9603.4463737280275</v>
      </c>
      <c r="P68" s="3548">
        <f t="shared" si="15"/>
        <v>13488.737770582793</v>
      </c>
      <c r="Q68" s="3548">
        <f>IF(K68=0, 0, (HLOOKUP(K68,'[3]E-CESTDWO'!$A$5:$O$35,J68+1,FALSE)*R18))</f>
        <v>8333.1188117966321</v>
      </c>
      <c r="R68" s="3548">
        <f>IF(K68=0, 0, (HLOOKUP(K68,'[3]E-CESTD'!$A$5:$O$35,J68+1,FALSE)*R18))</f>
        <v>9166.4306929762934</v>
      </c>
      <c r="S68" s="2404">
        <v>1.081</v>
      </c>
      <c r="T68" s="2403">
        <v>0</v>
      </c>
      <c r="U68" s="4150">
        <f t="shared" si="16"/>
        <v>3500</v>
      </c>
      <c r="V68" s="4150">
        <f t="shared" si="16"/>
        <v>3500</v>
      </c>
      <c r="W68" s="322">
        <f t="shared" si="17"/>
        <v>0.33714384448167867</v>
      </c>
      <c r="X68" s="322">
        <f t="shared" si="18"/>
        <v>0.23396337904837863</v>
      </c>
      <c r="Y68" s="322">
        <f t="shared" si="19"/>
        <v>0.15525377711568594</v>
      </c>
    </row>
    <row r="69" spans="2:25">
      <c r="B69" s="282"/>
      <c r="C69" s="4525" t="s">
        <v>432</v>
      </c>
      <c r="D69" s="3593">
        <v>65</v>
      </c>
      <c r="E69" s="3593" t="s">
        <v>181</v>
      </c>
      <c r="F69" s="3593" t="s">
        <v>186</v>
      </c>
      <c r="G69" s="3594">
        <v>38</v>
      </c>
      <c r="H69" s="3594">
        <v>35</v>
      </c>
      <c r="I69" s="4156">
        <v>0.02</v>
      </c>
      <c r="J69" s="2402">
        <v>20</v>
      </c>
      <c r="K69" s="2402" t="s">
        <v>253</v>
      </c>
      <c r="L69" s="4157"/>
      <c r="M69" s="2405">
        <v>0.9506593132148099</v>
      </c>
      <c r="N69" s="2405">
        <v>1.0036821950849462</v>
      </c>
      <c r="O69" s="3548">
        <f t="shared" si="14"/>
        <v>22444.63557816836</v>
      </c>
      <c r="P69" s="3548">
        <f t="shared" si="15"/>
        <v>23277.198020351523</v>
      </c>
      <c r="Q69" s="3548">
        <f>IF(K69=0, 0, (HLOOKUP(K69,'[3]E-CESTDWO'!$A$5:$O$35,J69+1,FALSE)*R19))</f>
        <v>18894.862422097016</v>
      </c>
      <c r="R69" s="3548">
        <f>IF(K69=0, 0, (HLOOKUP(K69,'[3]E-CESTD'!$A$5:$O$35,J69+1,FALSE)*R19))</f>
        <v>20784.348664306712</v>
      </c>
      <c r="S69" s="2404">
        <v>1.081</v>
      </c>
      <c r="T69" s="2403">
        <v>0</v>
      </c>
      <c r="U69" s="4150">
        <f t="shared" si="16"/>
        <v>10500</v>
      </c>
      <c r="V69" s="4150">
        <f t="shared" si="16"/>
        <v>10500</v>
      </c>
      <c r="W69" s="322">
        <f t="shared" si="17"/>
        <v>0.43276392072878461</v>
      </c>
      <c r="X69" s="322">
        <f t="shared" si="18"/>
        <v>0.20021307597373494</v>
      </c>
      <c r="Y69" s="322">
        <f t="shared" si="19"/>
        <v>0.1328576993515069</v>
      </c>
    </row>
    <row r="70" spans="2:25">
      <c r="B70" s="282"/>
      <c r="C70" s="4526" t="s">
        <v>433</v>
      </c>
      <c r="D70" s="3593">
        <v>73</v>
      </c>
      <c r="E70" s="3593" t="s">
        <v>181</v>
      </c>
      <c r="F70" s="3593" t="s">
        <v>186</v>
      </c>
      <c r="G70" s="3594">
        <v>18.03</v>
      </c>
      <c r="H70" s="3594">
        <v>40</v>
      </c>
      <c r="I70" s="4156">
        <v>0.05</v>
      </c>
      <c r="J70" s="2402">
        <v>15</v>
      </c>
      <c r="K70" s="2402" t="s">
        <v>310</v>
      </c>
      <c r="L70" s="4157"/>
      <c r="M70" s="2405">
        <v>0.79013415302734435</v>
      </c>
      <c r="N70" s="2405">
        <v>1.1308784827717793</v>
      </c>
      <c r="O70" s="3548">
        <f t="shared" si="14"/>
        <v>50329.905319148937</v>
      </c>
      <c r="P70" s="3548">
        <f t="shared" si="15"/>
        <v>40168.018177613318</v>
      </c>
      <c r="Q70" s="3548">
        <f>IF(K70=0, 0, (HLOOKUP(K70,'[3]E-CESTDWO'!$A$5:$O$35,J70+1,FALSE)*R20))</f>
        <v>34692.541773903104</v>
      </c>
      <c r="R70" s="3548">
        <f>IF(K70=0, 0, (HLOOKUP(K70,'[3]E-CESTD'!$A$5:$O$35,J70+1,FALSE)*R20))</f>
        <v>38161.79595129341</v>
      </c>
      <c r="S70" s="2404">
        <v>1.081</v>
      </c>
      <c r="T70" s="2403">
        <v>0</v>
      </c>
      <c r="U70" s="4150">
        <f t="shared" si="16"/>
        <v>20000</v>
      </c>
      <c r="V70" s="4150">
        <f t="shared" si="16"/>
        <v>20000</v>
      </c>
      <c r="W70" s="322">
        <f t="shared" si="17"/>
        <v>0.36760227317636368</v>
      </c>
      <c r="X70" s="322">
        <f t="shared" si="18"/>
        <v>0.22321269530110274</v>
      </c>
      <c r="Y70" s="322">
        <f t="shared" si="19"/>
        <v>0.14811982194231813</v>
      </c>
    </row>
    <row r="71" spans="2:25">
      <c r="B71" s="282"/>
      <c r="C71" s="4525" t="s">
        <v>434</v>
      </c>
      <c r="D71" s="3593"/>
      <c r="E71" s="3593" t="s">
        <v>181</v>
      </c>
      <c r="F71" s="3593" t="s">
        <v>186</v>
      </c>
      <c r="G71" s="3594"/>
      <c r="H71" s="3594"/>
      <c r="I71" s="4156"/>
      <c r="J71" s="2402"/>
      <c r="K71" s="2402"/>
      <c r="L71" s="4157"/>
      <c r="M71" s="2405" t="e">
        <v>#DIV/0!</v>
      </c>
      <c r="N71" s="2405" t="e">
        <v>#DIV/0!</v>
      </c>
      <c r="O71" s="3548">
        <f t="shared" si="14"/>
        <v>0</v>
      </c>
      <c r="P71" s="3548">
        <f t="shared" si="15"/>
        <v>0</v>
      </c>
      <c r="Q71" s="3548">
        <f>IF(K71=0, 0, (HLOOKUP(K71,'[3]E-CESTDWO'!$A$5:$O$35,J71+1,FALSE)*R21))</f>
        <v>0</v>
      </c>
      <c r="R71" s="3548">
        <f>IF(K71=0, 0, (HLOOKUP(K71,'[3]E-CESTD'!$A$5:$O$35,J71+1,FALSE)*R21))</f>
        <v>0</v>
      </c>
      <c r="S71" s="2404">
        <v>1.081</v>
      </c>
      <c r="T71" s="2403">
        <v>0</v>
      </c>
      <c r="U71" s="4150">
        <f t="shared" si="16"/>
        <v>0</v>
      </c>
      <c r="V71" s="4150">
        <f t="shared" si="16"/>
        <v>0</v>
      </c>
      <c r="W71" s="322" t="e">
        <f t="shared" si="17"/>
        <v>#DIV/0!</v>
      </c>
      <c r="X71" s="322" t="e">
        <f t="shared" si="18"/>
        <v>#DIV/0!</v>
      </c>
      <c r="Y71" s="322" t="e">
        <f t="shared" si="19"/>
        <v>#DIV/0!</v>
      </c>
    </row>
    <row r="72" spans="2:25">
      <c r="B72" s="282"/>
      <c r="C72" s="4525" t="s">
        <v>435</v>
      </c>
      <c r="D72" s="3593">
        <v>554</v>
      </c>
      <c r="E72" s="3593" t="s">
        <v>181</v>
      </c>
      <c r="F72" s="3593" t="s">
        <v>186</v>
      </c>
      <c r="G72" s="3594">
        <v>650</v>
      </c>
      <c r="H72" s="3594">
        <v>350</v>
      </c>
      <c r="I72" s="4156">
        <v>0.01</v>
      </c>
      <c r="J72" s="2402">
        <v>12</v>
      </c>
      <c r="K72" s="2402" t="s">
        <v>359</v>
      </c>
      <c r="L72" s="4157"/>
      <c r="M72" s="2405">
        <v>1.5885328883250176</v>
      </c>
      <c r="N72" s="2405">
        <v>1.0815615136112704</v>
      </c>
      <c r="O72" s="3548">
        <f t="shared" si="14"/>
        <v>19316.674865864938</v>
      </c>
      <c r="P72" s="3548">
        <f t="shared" si="15"/>
        <v>30417.507428307126</v>
      </c>
      <c r="Q72" s="3548">
        <f>IF(K72=0, 0, (HLOOKUP(K72,'[3]E-CESTDWO'!$A$5:$O$35,J72+1,FALSE)*R22))</f>
        <v>28644.622910873772</v>
      </c>
      <c r="R72" s="3548">
        <f>IF(K72=0, 0, (HLOOKUP(K72,'[3]E-CESTD'!$A$5:$O$35,J72+1,FALSE)*R22))</f>
        <v>31509.085201961145</v>
      </c>
      <c r="S72" s="2404">
        <v>1.081</v>
      </c>
      <c r="T72" s="2403">
        <v>0</v>
      </c>
      <c r="U72" s="4150">
        <f t="shared" si="16"/>
        <v>14000</v>
      </c>
      <c r="V72" s="4150">
        <f t="shared" si="16"/>
        <v>14000</v>
      </c>
      <c r="W72" s="322">
        <f t="shared" si="17"/>
        <v>0.67045552160404454</v>
      </c>
      <c r="X72" s="322">
        <f t="shared" si="18"/>
        <v>0.11631684954628453</v>
      </c>
      <c r="Y72" s="322">
        <f t="shared" si="19"/>
        <v>7.7185713027864478E-2</v>
      </c>
    </row>
    <row r="73" spans="2:25">
      <c r="B73" s="282"/>
      <c r="C73" s="4527" t="s">
        <v>436</v>
      </c>
      <c r="D73" s="3593">
        <v>3500</v>
      </c>
      <c r="E73" s="3593" t="s">
        <v>181</v>
      </c>
      <c r="F73" s="3593" t="s">
        <v>186</v>
      </c>
      <c r="G73" s="3594">
        <v>3407</v>
      </c>
      <c r="H73" s="3594">
        <v>800</v>
      </c>
      <c r="I73" s="4156">
        <v>0.08</v>
      </c>
      <c r="J73" s="2402">
        <v>20</v>
      </c>
      <c r="K73" s="2402" t="s">
        <v>359</v>
      </c>
      <c r="L73" s="4157"/>
      <c r="M73" s="2405">
        <v>4.8004011180431974</v>
      </c>
      <c r="N73" s="2405">
        <v>1.8327861777452839</v>
      </c>
      <c r="O73" s="3548">
        <f t="shared" si="14"/>
        <v>106429.79115633672</v>
      </c>
      <c r="P73" s="3548">
        <f t="shared" si="15"/>
        <v>287303.98172062909</v>
      </c>
      <c r="Q73" s="3548">
        <f>IF(K73=0, 0, (HLOOKUP(K73,'[3]E-CESTDWO'!$A$5:$O$35,J73+1,FALSE)*R23))</f>
        <v>461574.83468706493</v>
      </c>
      <c r="R73" s="3548">
        <f>IF(K73=0, 0, (HLOOKUP(K73,'[3]E-CESTD'!$A$5:$O$35,J73+1,FALSE)*R23))</f>
        <v>507732.31815577141</v>
      </c>
      <c r="S73" s="2404">
        <v>1.081</v>
      </c>
      <c r="T73" s="2403">
        <v>0</v>
      </c>
      <c r="U73" s="4150">
        <f t="shared" si="16"/>
        <v>60000</v>
      </c>
      <c r="V73" s="4150">
        <f t="shared" si="16"/>
        <v>60000</v>
      </c>
      <c r="W73" s="322">
        <f t="shared" si="17"/>
        <v>0.5215096469622853</v>
      </c>
      <c r="X73" s="322">
        <f t="shared" si="18"/>
        <v>0.16888916080324623</v>
      </c>
      <c r="Y73" s="322">
        <f t="shared" si="19"/>
        <v>0.11207172778599916</v>
      </c>
    </row>
    <row r="74" spans="2:25">
      <c r="B74" s="282"/>
      <c r="C74" s="4527" t="s">
        <v>437</v>
      </c>
      <c r="D74" s="3593">
        <v>2001</v>
      </c>
      <c r="E74" s="3593" t="s">
        <v>181</v>
      </c>
      <c r="F74" s="3593" t="s">
        <v>186</v>
      </c>
      <c r="G74" s="3594">
        <v>701</v>
      </c>
      <c r="H74" s="3594">
        <v>250</v>
      </c>
      <c r="I74" s="4151">
        <v>7.0000000000000007E-2</v>
      </c>
      <c r="J74" s="2402">
        <v>15</v>
      </c>
      <c r="K74" s="2402" t="s">
        <v>233</v>
      </c>
      <c r="L74" s="4157"/>
      <c r="M74" s="2405">
        <v>1.6272822260073911</v>
      </c>
      <c r="N74" s="2405">
        <v>1.3122338555441231</v>
      </c>
      <c r="O74" s="3548">
        <f t="shared" si="14"/>
        <v>56123.292053654019</v>
      </c>
      <c r="P74" s="3548">
        <f t="shared" si="15"/>
        <v>76983.606577243278</v>
      </c>
      <c r="Q74" s="3548">
        <f>IF(K74=0, 0, (HLOOKUP(K74,'[3]E-CESTDWO'!$A$5:$O$35,J74+1,FALSE)*R24))</f>
        <v>93233.095165450024</v>
      </c>
      <c r="R74" s="3548">
        <f>IF(K74=0, 0, (HLOOKUP(K74,'[3]E-CESTD'!$A$5:$O$35,J74+1,FALSE)*R24))</f>
        <v>102556.40468199502</v>
      </c>
      <c r="S74" s="2404">
        <v>1.081</v>
      </c>
      <c r="T74" s="2403">
        <v>0</v>
      </c>
      <c r="U74" s="4150">
        <f t="shared" si="16"/>
        <v>12500</v>
      </c>
      <c r="V74" s="4150">
        <f t="shared" si="16"/>
        <v>12500</v>
      </c>
      <c r="W74" s="322">
        <f t="shared" si="17"/>
        <v>0.20603508506752119</v>
      </c>
      <c r="X74" s="322">
        <f t="shared" si="18"/>
        <v>0.28023985716509936</v>
      </c>
      <c r="Y74" s="322">
        <f t="shared" si="19"/>
        <v>0.18596199328376689</v>
      </c>
    </row>
    <row r="75" spans="2:25">
      <c r="B75" s="282"/>
      <c r="C75" s="4527" t="s">
        <v>914</v>
      </c>
      <c r="D75" s="3593"/>
      <c r="E75" s="3593" t="s">
        <v>181</v>
      </c>
      <c r="F75" s="3593" t="s">
        <v>186</v>
      </c>
      <c r="G75" s="3594"/>
      <c r="H75" s="3594"/>
      <c r="I75" s="4156"/>
      <c r="J75" s="2402"/>
      <c r="K75" s="2402"/>
      <c r="L75" s="4157"/>
      <c r="M75" s="2405" t="e">
        <v>#DIV/0!</v>
      </c>
      <c r="N75" s="2405" t="e">
        <v>#DIV/0!</v>
      </c>
      <c r="O75" s="3548">
        <f t="shared" si="14"/>
        <v>0</v>
      </c>
      <c r="P75" s="3548">
        <f t="shared" si="15"/>
        <v>0</v>
      </c>
      <c r="Q75" s="3548">
        <f>IF(K75=0, 0, (HLOOKUP(K75,'[3]E-CESTDWO'!$A$5:$O$35,J75+1,FALSE)*R25))</f>
        <v>0</v>
      </c>
      <c r="R75" s="3548">
        <f>IF(K75=0, 0, (HLOOKUP(K75,'[3]E-CESTD'!$A$5:$O$35,J75+1,FALSE)*R25))</f>
        <v>0</v>
      </c>
      <c r="S75" s="2404">
        <v>1.081</v>
      </c>
      <c r="T75" s="2403">
        <v>0</v>
      </c>
      <c r="U75" s="4150">
        <f t="shared" si="16"/>
        <v>0</v>
      </c>
      <c r="V75" s="4150">
        <f t="shared" si="16"/>
        <v>0</v>
      </c>
      <c r="W75" s="322" t="e">
        <f t="shared" si="17"/>
        <v>#DIV/0!</v>
      </c>
      <c r="X75" s="322" t="e">
        <f t="shared" si="18"/>
        <v>#DIV/0!</v>
      </c>
      <c r="Y75" s="322" t="e">
        <f t="shared" si="19"/>
        <v>#DIV/0!</v>
      </c>
    </row>
    <row r="76" spans="2:25">
      <c r="B76" s="282"/>
      <c r="C76" s="4528" t="s">
        <v>438</v>
      </c>
      <c r="D76" s="4523">
        <v>35</v>
      </c>
      <c r="E76" s="3593" t="s">
        <v>181</v>
      </c>
      <c r="F76" s="3593" t="s">
        <v>186</v>
      </c>
      <c r="G76" s="4467">
        <v>40</v>
      </c>
      <c r="H76" s="4467">
        <v>5</v>
      </c>
      <c r="I76" s="4151">
        <v>0.01</v>
      </c>
      <c r="J76" s="2402"/>
      <c r="K76" s="2402"/>
      <c r="L76" s="4157"/>
      <c r="M76" s="2405" t="e">
        <v>#DIV/0!</v>
      </c>
      <c r="N76" s="2405" t="e">
        <v>#DIV/0!</v>
      </c>
      <c r="O76" s="3548">
        <f t="shared" si="14"/>
        <v>6365.7035430157248</v>
      </c>
      <c r="P76" s="3548">
        <f t="shared" si="15"/>
        <v>6365.7035430157248</v>
      </c>
      <c r="Q76" s="3548">
        <f>IF(K76=0, 0, (HLOOKUP(K76,'[3]E-CESTDWO'!$A$5:$O$35,J76+1,FALSE)*R26))</f>
        <v>0</v>
      </c>
      <c r="R76" s="3548">
        <f>IF(K76=0, 0, (HLOOKUP(K76,'[3]E-CESTD'!$A$5:$O$35,J76+1,FALSE)*R26))</f>
        <v>0</v>
      </c>
      <c r="S76" s="2404">
        <v>1.081</v>
      </c>
      <c r="T76" s="2403">
        <v>0</v>
      </c>
      <c r="U76" s="4150">
        <f t="shared" si="16"/>
        <v>0</v>
      </c>
      <c r="V76" s="4150">
        <f t="shared" si="16"/>
        <v>0</v>
      </c>
      <c r="W76" s="322">
        <f t="shared" si="17"/>
        <v>0</v>
      </c>
      <c r="X76" s="322">
        <f t="shared" si="18"/>
        <v>0.35296251999867251</v>
      </c>
      <c r="Y76" s="322">
        <f t="shared" si="19"/>
        <v>0.23421940917827797</v>
      </c>
    </row>
    <row r="77" spans="2:25">
      <c r="B77" s="282"/>
      <c r="C77" s="4522" t="s">
        <v>439</v>
      </c>
      <c r="D77" s="4530">
        <v>61</v>
      </c>
      <c r="E77" s="3263" t="s">
        <v>181</v>
      </c>
      <c r="F77" s="3263" t="s">
        <v>186</v>
      </c>
      <c r="G77" s="4529">
        <v>50</v>
      </c>
      <c r="H77" s="4529">
        <v>20</v>
      </c>
      <c r="I77" s="4142">
        <v>0.01</v>
      </c>
      <c r="J77" s="3210"/>
      <c r="K77" s="3210"/>
      <c r="L77" s="4144"/>
      <c r="M77" s="2405" t="e">
        <v>#DIV/0!</v>
      </c>
      <c r="N77" s="2405" t="e">
        <v>#DIV/0!</v>
      </c>
      <c r="O77" s="3548">
        <f t="shared" si="14"/>
        <v>6365.7035430157248</v>
      </c>
      <c r="P77" s="3548">
        <f t="shared" si="15"/>
        <v>6365.7035430157248</v>
      </c>
      <c r="Q77" s="3548">
        <f>IF(K77=0, 0, (HLOOKUP(K77,'[3]E-CESTDWO'!$A$5:$O$35,J77+1,FALSE)*R27))</f>
        <v>0</v>
      </c>
      <c r="R77" s="3548">
        <f>IF(K77=0, 0, (HLOOKUP(K77,'[3]E-CESTD'!$A$5:$O$35,J77+1,FALSE)*R27))</f>
        <v>0</v>
      </c>
      <c r="S77" s="2404">
        <v>1.081</v>
      </c>
      <c r="T77" s="2403">
        <v>0</v>
      </c>
      <c r="U77" s="4150">
        <f t="shared" si="16"/>
        <v>0</v>
      </c>
      <c r="V77" s="4150">
        <f t="shared" si="16"/>
        <v>0</v>
      </c>
      <c r="W77" s="322">
        <f t="shared" si="17"/>
        <v>0</v>
      </c>
      <c r="X77" s="322">
        <f t="shared" si="18"/>
        <v>0.35296251999867251</v>
      </c>
      <c r="Y77" s="322">
        <f t="shared" si="19"/>
        <v>0.23421940917827797</v>
      </c>
    </row>
    <row r="78" spans="2:25">
      <c r="B78" s="282"/>
      <c r="C78" s="4520" t="s">
        <v>440</v>
      </c>
      <c r="D78" s="3593"/>
      <c r="E78" s="3593" t="s">
        <v>181</v>
      </c>
      <c r="F78" s="3593" t="s">
        <v>186</v>
      </c>
      <c r="G78" s="3594"/>
      <c r="H78" s="3594">
        <v>50</v>
      </c>
      <c r="I78" s="4156"/>
      <c r="J78" s="2402"/>
      <c r="K78" s="2402"/>
      <c r="L78" s="4157"/>
      <c r="M78" s="2405">
        <v>0</v>
      </c>
      <c r="N78" s="2405" t="e">
        <v>#DIV/0!</v>
      </c>
      <c r="O78" s="3548">
        <f t="shared" si="14"/>
        <v>23126.734505087883</v>
      </c>
      <c r="P78" s="3548">
        <f t="shared" si="15"/>
        <v>0</v>
      </c>
      <c r="Q78" s="3548">
        <f>IF(K78=0, 0, (HLOOKUP(K78,'[3]E-CESTDWO'!$A$5:$O$35,J78+1,FALSE)*R28))</f>
        <v>0</v>
      </c>
      <c r="R78" s="3548">
        <f>IF(K78=0, 0, (HLOOKUP(K78,'[3]E-CESTD'!$A$5:$O$35,J78+1,FALSE)*R28))</f>
        <v>0</v>
      </c>
      <c r="S78" s="2404">
        <v>1.081</v>
      </c>
      <c r="T78" s="2403">
        <v>0</v>
      </c>
      <c r="U78" s="4150">
        <f t="shared" si="16"/>
        <v>25000</v>
      </c>
      <c r="V78" s="4150">
        <f t="shared" si="16"/>
        <v>25000</v>
      </c>
      <c r="W78" s="322">
        <f t="shared" si="17"/>
        <v>1</v>
      </c>
      <c r="X78" s="322">
        <f t="shared" si="18"/>
        <v>0</v>
      </c>
      <c r="Y78" s="322">
        <f t="shared" si="19"/>
        <v>0</v>
      </c>
    </row>
    <row r="79" spans="2:25">
      <c r="B79" s="282"/>
      <c r="C79" s="4520" t="s">
        <v>441</v>
      </c>
      <c r="D79" s="3593"/>
      <c r="E79" s="3593" t="s">
        <v>181</v>
      </c>
      <c r="F79" s="3593" t="s">
        <v>186</v>
      </c>
      <c r="G79" s="3594"/>
      <c r="H79" s="3594">
        <v>15</v>
      </c>
      <c r="I79" s="4156"/>
      <c r="J79" s="2402"/>
      <c r="K79" s="2402"/>
      <c r="L79" s="4157"/>
      <c r="M79" s="2405">
        <v>0</v>
      </c>
      <c r="N79" s="2405" t="e">
        <v>#DIV/0!</v>
      </c>
      <c r="O79" s="3548">
        <f t="shared" si="14"/>
        <v>3469.0101757631824</v>
      </c>
      <c r="P79" s="3548">
        <f t="shared" si="15"/>
        <v>0</v>
      </c>
      <c r="Q79" s="3548">
        <f>IF(K79=0, 0, (HLOOKUP(K79,'[3]E-CESTDWO'!$A$5:$O$35,J79+1,FALSE)*R29))</f>
        <v>0</v>
      </c>
      <c r="R79" s="3548">
        <f>IF(K79=0, 0, (HLOOKUP(K79,'[3]E-CESTD'!$A$5:$O$35,J79+1,FALSE)*R29))</f>
        <v>0</v>
      </c>
      <c r="S79" s="2404">
        <v>1.081</v>
      </c>
      <c r="T79" s="2403">
        <v>0</v>
      </c>
      <c r="U79" s="4150">
        <f t="shared" si="16"/>
        <v>3750</v>
      </c>
      <c r="V79" s="4150">
        <f t="shared" si="16"/>
        <v>3750</v>
      </c>
      <c r="W79" s="322">
        <f t="shared" si="17"/>
        <v>1</v>
      </c>
      <c r="X79" s="322">
        <f t="shared" si="18"/>
        <v>0</v>
      </c>
      <c r="Y79" s="322">
        <f t="shared" si="19"/>
        <v>0</v>
      </c>
    </row>
    <row r="80" spans="2:25">
      <c r="B80" s="282"/>
      <c r="C80" s="4528" t="s">
        <v>1262</v>
      </c>
      <c r="D80" s="3593">
        <v>0</v>
      </c>
      <c r="E80" s="3593" t="s">
        <v>181</v>
      </c>
      <c r="F80" s="3593" t="s">
        <v>186</v>
      </c>
      <c r="G80" s="3594"/>
      <c r="H80" s="4467">
        <v>3</v>
      </c>
      <c r="I80" s="4156">
        <v>0</v>
      </c>
      <c r="J80" s="2402"/>
      <c r="K80" s="2402"/>
      <c r="L80" s="4157"/>
      <c r="M80" s="2405" t="e">
        <v>#DIV/0!</v>
      </c>
      <c r="N80" s="2405" t="e">
        <v>#DIV/0!</v>
      </c>
      <c r="O80" s="3548">
        <f t="shared" si="14"/>
        <v>0</v>
      </c>
      <c r="P80" s="3548">
        <f t="shared" si="15"/>
        <v>0</v>
      </c>
      <c r="Q80" s="3548">
        <f>IF(K80=0, 0, (HLOOKUP(K80,'[3]E-CESTDWO'!$A$5:$O$35,J80+1,FALSE)*R30))</f>
        <v>0</v>
      </c>
      <c r="R80" s="3548">
        <f>IF(K80=0, 0, (HLOOKUP(K80,'[3]E-CESTD'!$A$5:$O$35,J80+1,FALSE)*R30))</f>
        <v>0</v>
      </c>
      <c r="S80" s="2404">
        <v>1.081</v>
      </c>
      <c r="T80" s="2403">
        <v>0</v>
      </c>
      <c r="U80" s="4150">
        <f t="shared" si="16"/>
        <v>0</v>
      </c>
      <c r="V80" s="4150">
        <f t="shared" si="16"/>
        <v>0</v>
      </c>
      <c r="W80" s="322" t="e">
        <f t="shared" si="17"/>
        <v>#DIV/0!</v>
      </c>
      <c r="X80" s="322" t="e">
        <f t="shared" si="18"/>
        <v>#DIV/0!</v>
      </c>
      <c r="Y80" s="322" t="e">
        <f t="shared" si="19"/>
        <v>#DIV/0!</v>
      </c>
    </row>
    <row r="81" spans="2:22">
      <c r="B81" s="282"/>
      <c r="C81" s="4520" t="s">
        <v>948</v>
      </c>
      <c r="D81" s="3593">
        <v>0</v>
      </c>
      <c r="E81" s="3593" t="s">
        <v>181</v>
      </c>
      <c r="F81" s="3593" t="s">
        <v>186</v>
      </c>
      <c r="G81" s="3594"/>
      <c r="H81" s="3594">
        <v>3</v>
      </c>
      <c r="I81" s="4156">
        <v>0</v>
      </c>
      <c r="J81" s="2402"/>
      <c r="K81" s="2402"/>
      <c r="L81" s="4157"/>
      <c r="M81" s="2405">
        <v>0</v>
      </c>
      <c r="N81" s="2405" t="e">
        <v>#DIV/0!</v>
      </c>
      <c r="O81" s="3548">
        <f t="shared" si="14"/>
        <v>41045.328399629972</v>
      </c>
      <c r="P81" s="3548">
        <f t="shared" si="15"/>
        <v>0</v>
      </c>
      <c r="Q81" s="3548">
        <f>IF(K81=0, 0, (HLOOKUP(K81,'[3]E-CESTDWO'!$A$5:$O$35,J81+1,FALSE)*R31))</f>
        <v>0</v>
      </c>
      <c r="R81" s="3548">
        <f>IF(K81=0, 0, (HLOOKUP(K81,'[3]E-CESTD'!$A$5:$O$35,J81+1,FALSE)*R31))</f>
        <v>0</v>
      </c>
      <c r="S81" s="2404">
        <v>1.081</v>
      </c>
      <c r="T81" s="2403">
        <v>0</v>
      </c>
      <c r="U81" s="4150">
        <f t="shared" si="16"/>
        <v>44370</v>
      </c>
      <c r="V81" s="4150">
        <f t="shared" si="16"/>
        <v>44370</v>
      </c>
    </row>
    <row r="82" spans="2:22">
      <c r="B82" s="282"/>
      <c r="C82" s="2319" t="s">
        <v>204</v>
      </c>
      <c r="D82" s="2319">
        <v>0</v>
      </c>
      <c r="E82" s="2319" t="s">
        <v>181</v>
      </c>
      <c r="F82" s="2319" t="s">
        <v>186</v>
      </c>
      <c r="G82" s="2321"/>
      <c r="H82" s="2321"/>
      <c r="I82" s="2322">
        <v>0</v>
      </c>
      <c r="J82" s="2320"/>
      <c r="K82" s="2320"/>
      <c r="L82" s="4157"/>
      <c r="M82" s="2324" t="e">
        <v>#DIV/0!</v>
      </c>
      <c r="N82" s="2324" t="e">
        <v>#DIV/0!</v>
      </c>
      <c r="O82" s="3548">
        <f t="shared" si="14"/>
        <v>0</v>
      </c>
      <c r="P82" s="3548">
        <f t="shared" si="15"/>
        <v>0</v>
      </c>
      <c r="Q82" s="3548">
        <f>IF(K82=0, 0, (HLOOKUP(K82,'[3]E-CESTDWO'!$A$5:$O$35,J82+1,FALSE)*R32))</f>
        <v>0</v>
      </c>
      <c r="R82" s="3548">
        <f>IF(K82=0, 0, (HLOOKUP(K82,'[3]E-CESTD'!$A$5:$O$35,J82+1,FALSE)*R32))</f>
        <v>0</v>
      </c>
      <c r="S82" s="2323">
        <v>1.081</v>
      </c>
      <c r="T82" s="2326">
        <v>0</v>
      </c>
      <c r="U82" s="4150">
        <f t="shared" si="16"/>
        <v>0</v>
      </c>
      <c r="V82" s="4150">
        <f t="shared" si="16"/>
        <v>0</v>
      </c>
    </row>
    <row r="83" spans="2:22">
      <c r="B83" s="282"/>
      <c r="C83" s="2319" t="s">
        <v>205</v>
      </c>
      <c r="D83" s="2325">
        <v>0</v>
      </c>
      <c r="E83" s="2319" t="s">
        <v>181</v>
      </c>
      <c r="F83" s="2319" t="s">
        <v>186</v>
      </c>
      <c r="G83" s="2321"/>
      <c r="H83" s="2321"/>
      <c r="I83" s="2322">
        <v>0</v>
      </c>
      <c r="J83" s="2320"/>
      <c r="K83" s="2320"/>
      <c r="L83" s="4157"/>
      <c r="M83" s="2324" t="e">
        <v>#DIV/0!</v>
      </c>
      <c r="N83" s="2324" t="e">
        <v>#DIV/0!</v>
      </c>
      <c r="O83" s="3548">
        <f t="shared" si="14"/>
        <v>0</v>
      </c>
      <c r="P83" s="3548">
        <f t="shared" si="15"/>
        <v>0</v>
      </c>
      <c r="Q83" s="3548">
        <f>IF(K83=0, 0, (HLOOKUP(K83,'[3]E-CESTDWO'!$A$5:$O$35,J83+1,FALSE)*R33))</f>
        <v>0</v>
      </c>
      <c r="R83" s="3548">
        <f>IF(K83=0, 0, (HLOOKUP(K83,'[3]E-CESTD'!$A$5:$O$35,J83+1,FALSE)*R33))</f>
        <v>0</v>
      </c>
      <c r="S83" s="2323">
        <v>1.081</v>
      </c>
      <c r="T83" s="2326">
        <v>0</v>
      </c>
      <c r="U83" s="4150">
        <f t="shared" si="16"/>
        <v>0</v>
      </c>
      <c r="V83" s="4150">
        <f t="shared" si="16"/>
        <v>0</v>
      </c>
    </row>
    <row r="84" spans="2:22">
      <c r="B84" s="282"/>
      <c r="C84" s="2319" t="s">
        <v>206</v>
      </c>
      <c r="D84" s="2325">
        <v>0</v>
      </c>
      <c r="E84" s="2319" t="s">
        <v>181</v>
      </c>
      <c r="F84" s="2319" t="s">
        <v>186</v>
      </c>
      <c r="G84" s="2321"/>
      <c r="H84" s="2321"/>
      <c r="I84" s="2322">
        <v>0</v>
      </c>
      <c r="J84" s="2320"/>
      <c r="K84" s="2320"/>
      <c r="L84" s="4157"/>
      <c r="M84" s="2324" t="e">
        <v>#DIV/0!</v>
      </c>
      <c r="N84" s="2324" t="e">
        <v>#DIV/0!</v>
      </c>
      <c r="O84" s="3548">
        <f t="shared" si="14"/>
        <v>0</v>
      </c>
      <c r="P84" s="3548">
        <f t="shared" si="15"/>
        <v>0</v>
      </c>
      <c r="Q84" s="3548">
        <f>IF(K84=0, 0, (HLOOKUP(K84,'[3]E-CESTDWO'!$A$5:$O$35,J84+1,FALSE)*R34))</f>
        <v>0</v>
      </c>
      <c r="R84" s="3548">
        <f>IF(K84=0, 0, (HLOOKUP(K84,'[3]E-CESTD'!$A$5:$O$35,J84+1,FALSE)*R34))</f>
        <v>0</v>
      </c>
      <c r="S84" s="2323">
        <v>1.081</v>
      </c>
      <c r="T84" s="2326">
        <v>0</v>
      </c>
      <c r="U84" s="4150">
        <f t="shared" si="16"/>
        <v>0</v>
      </c>
      <c r="V84" s="4150">
        <f t="shared" si="16"/>
        <v>0</v>
      </c>
    </row>
    <row r="85" spans="2:22">
      <c r="B85" s="282"/>
      <c r="C85" s="2319" t="s">
        <v>207</v>
      </c>
      <c r="D85" s="2325">
        <v>0</v>
      </c>
      <c r="E85" s="2319" t="s">
        <v>181</v>
      </c>
      <c r="F85" s="2319" t="s">
        <v>186</v>
      </c>
      <c r="G85" s="2321"/>
      <c r="H85" s="2321"/>
      <c r="I85" s="2322">
        <v>0</v>
      </c>
      <c r="J85" s="2320"/>
      <c r="K85" s="2320"/>
      <c r="L85" s="4157"/>
      <c r="M85" s="2324" t="e">
        <v>#DIV/0!</v>
      </c>
      <c r="N85" s="2324" t="e">
        <v>#DIV/0!</v>
      </c>
      <c r="O85" s="3548">
        <f t="shared" si="14"/>
        <v>0</v>
      </c>
      <c r="P85" s="3548">
        <f t="shared" si="15"/>
        <v>0</v>
      </c>
      <c r="Q85" s="3548">
        <f>IF(K85=0, 0, (HLOOKUP(K85,'[3]E-CESTDWO'!$A$5:$O$35,J85+1,FALSE)*R35))</f>
        <v>0</v>
      </c>
      <c r="R85" s="3548">
        <f>IF(K85=0, 0, (HLOOKUP(K85,'[3]E-CESTD'!$A$5:$O$35,J85+1,FALSE)*R35))</f>
        <v>0</v>
      </c>
      <c r="S85" s="2323">
        <v>1.081</v>
      </c>
      <c r="T85" s="2326">
        <v>0</v>
      </c>
      <c r="U85" s="4150">
        <f t="shared" si="16"/>
        <v>0</v>
      </c>
      <c r="V85" s="4150">
        <f t="shared" si="16"/>
        <v>0</v>
      </c>
    </row>
    <row r="86" spans="2:22">
      <c r="B86" s="282"/>
      <c r="C86" s="2319" t="s">
        <v>208</v>
      </c>
      <c r="D86" s="2325">
        <v>0</v>
      </c>
      <c r="E86" s="2319" t="s">
        <v>181</v>
      </c>
      <c r="F86" s="2319" t="s">
        <v>186</v>
      </c>
      <c r="G86" s="2321"/>
      <c r="H86" s="2321"/>
      <c r="I86" s="2322">
        <v>0</v>
      </c>
      <c r="J86" s="2320"/>
      <c r="K86" s="2320"/>
      <c r="L86" s="4157"/>
      <c r="M86" s="2324" t="e">
        <v>#DIV/0!</v>
      </c>
      <c r="N86" s="2324" t="e">
        <v>#DIV/0!</v>
      </c>
      <c r="O86" s="3548">
        <f t="shared" si="14"/>
        <v>0</v>
      </c>
      <c r="P86" s="3548">
        <f t="shared" si="15"/>
        <v>0</v>
      </c>
      <c r="Q86" s="3548">
        <f>IF(K86=0, 0, (HLOOKUP(K86,'[3]E-CESTDWO'!$A$5:$O$35,J86+1,FALSE)*R36))</f>
        <v>0</v>
      </c>
      <c r="R86" s="3548">
        <f>IF(K86=0, 0, (HLOOKUP(K86,'[3]E-CESTD'!$A$5:$O$35,J86+1,FALSE)*R36))</f>
        <v>0</v>
      </c>
      <c r="S86" s="2323">
        <v>1.081</v>
      </c>
      <c r="T86" s="2326">
        <v>0</v>
      </c>
      <c r="U86" s="4150">
        <f t="shared" si="16"/>
        <v>0</v>
      </c>
      <c r="V86" s="4150">
        <f t="shared" si="16"/>
        <v>0</v>
      </c>
    </row>
    <row r="87" spans="2:22">
      <c r="B87" s="282"/>
      <c r="C87" s="2319" t="s">
        <v>209</v>
      </c>
      <c r="D87" s="2325">
        <v>0</v>
      </c>
      <c r="E87" s="2319" t="s">
        <v>181</v>
      </c>
      <c r="F87" s="2319" t="s">
        <v>186</v>
      </c>
      <c r="G87" s="2321"/>
      <c r="H87" s="2321"/>
      <c r="I87" s="2322">
        <v>0</v>
      </c>
      <c r="J87" s="2320"/>
      <c r="K87" s="2320"/>
      <c r="L87" s="4157"/>
      <c r="M87" s="2324" t="e">
        <v>#DIV/0!</v>
      </c>
      <c r="N87" s="2324" t="e">
        <v>#DIV/0!</v>
      </c>
      <c r="O87" s="3548">
        <f t="shared" si="14"/>
        <v>0</v>
      </c>
      <c r="P87" s="3548">
        <f t="shared" si="15"/>
        <v>0</v>
      </c>
      <c r="Q87" s="3548">
        <f>IF(K87=0, 0, (HLOOKUP(K87,'[3]E-CESTDWO'!$A$5:$O$35,J87+1,FALSE)*R37))</f>
        <v>0</v>
      </c>
      <c r="R87" s="3548">
        <f>IF(K87=0, 0, (HLOOKUP(K87,'[3]E-CESTD'!$A$5:$O$35,J87+1,FALSE)*R37))</f>
        <v>0</v>
      </c>
      <c r="S87" s="2323">
        <v>1.081</v>
      </c>
      <c r="T87" s="2326">
        <v>0</v>
      </c>
      <c r="U87" s="4150">
        <f t="shared" si="16"/>
        <v>0</v>
      </c>
      <c r="V87" s="4150">
        <f t="shared" si="16"/>
        <v>0</v>
      </c>
    </row>
    <row r="88" spans="2:22">
      <c r="B88" s="282"/>
      <c r="C88" s="2319" t="s">
        <v>210</v>
      </c>
      <c r="D88" s="2325">
        <v>0</v>
      </c>
      <c r="E88" s="2319" t="s">
        <v>181</v>
      </c>
      <c r="F88" s="2319" t="s">
        <v>186</v>
      </c>
      <c r="G88" s="2321"/>
      <c r="H88" s="2321"/>
      <c r="I88" s="2322">
        <v>0</v>
      </c>
      <c r="J88" s="2320"/>
      <c r="K88" s="2320"/>
      <c r="L88" s="4157"/>
      <c r="M88" s="2324" t="e">
        <v>#DIV/0!</v>
      </c>
      <c r="N88" s="2324" t="e">
        <v>#DIV/0!</v>
      </c>
      <c r="O88" s="3548">
        <f t="shared" si="14"/>
        <v>0</v>
      </c>
      <c r="P88" s="3548">
        <f t="shared" si="15"/>
        <v>0</v>
      </c>
      <c r="Q88" s="3548">
        <f>IF(K88=0, 0, (HLOOKUP(K88,'[3]E-CESTDWO'!$A$5:$O$35,J88+1,FALSE)*R38))</f>
        <v>0</v>
      </c>
      <c r="R88" s="3548">
        <f>IF(K88=0, 0, (HLOOKUP(K88,'[3]E-CESTD'!$A$5:$O$35,J88+1,FALSE)*R38))</f>
        <v>0</v>
      </c>
      <c r="S88" s="2323">
        <v>1.081</v>
      </c>
      <c r="T88" s="2326">
        <v>0</v>
      </c>
      <c r="U88" s="4150">
        <f t="shared" si="16"/>
        <v>0</v>
      </c>
      <c r="V88" s="4150">
        <f t="shared" si="16"/>
        <v>0</v>
      </c>
    </row>
    <row r="89" spans="2:22">
      <c r="B89" s="282"/>
      <c r="C89" s="2319" t="s">
        <v>211</v>
      </c>
      <c r="D89" s="2325">
        <v>0</v>
      </c>
      <c r="E89" s="2319" t="s">
        <v>181</v>
      </c>
      <c r="F89" s="2319" t="s">
        <v>186</v>
      </c>
      <c r="G89" s="2321"/>
      <c r="H89" s="2321"/>
      <c r="I89" s="2322">
        <v>0</v>
      </c>
      <c r="J89" s="2320"/>
      <c r="K89" s="2320"/>
      <c r="L89" s="4157"/>
      <c r="M89" s="2324" t="e">
        <v>#DIV/0!</v>
      </c>
      <c r="N89" s="2324" t="e">
        <v>#DIV/0!</v>
      </c>
      <c r="O89" s="3548">
        <f t="shared" si="14"/>
        <v>0</v>
      </c>
      <c r="P89" s="3548">
        <f t="shared" si="15"/>
        <v>0</v>
      </c>
      <c r="Q89" s="3548">
        <f>IF(K89=0, 0, (HLOOKUP(K89,'[3]E-CESTDWO'!$A$5:$O$35,J89+1,FALSE)*R39))</f>
        <v>0</v>
      </c>
      <c r="R89" s="3548">
        <f>IF(K89=0, 0, (HLOOKUP(K89,'[3]E-CESTD'!$A$5:$O$35,J89+1,FALSE)*R39))</f>
        <v>0</v>
      </c>
      <c r="S89" s="2323">
        <v>1.081</v>
      </c>
      <c r="T89" s="2326">
        <v>0</v>
      </c>
      <c r="U89" s="4150">
        <f t="shared" si="16"/>
        <v>0</v>
      </c>
      <c r="V89" s="4150">
        <f t="shared" si="16"/>
        <v>0</v>
      </c>
    </row>
    <row r="90" spans="2:22">
      <c r="B90" s="282"/>
      <c r="C90" s="2319" t="s">
        <v>212</v>
      </c>
      <c r="D90" s="2325">
        <v>0</v>
      </c>
      <c r="E90" s="2319" t="s">
        <v>181</v>
      </c>
      <c r="F90" s="2319" t="s">
        <v>186</v>
      </c>
      <c r="G90" s="2321"/>
      <c r="H90" s="2321"/>
      <c r="I90" s="2322">
        <v>0</v>
      </c>
      <c r="J90" s="2320"/>
      <c r="K90" s="2320"/>
      <c r="L90" s="4157"/>
      <c r="M90" s="2324" t="e">
        <v>#DIV/0!</v>
      </c>
      <c r="N90" s="2324" t="e">
        <v>#DIV/0!</v>
      </c>
      <c r="O90" s="3548">
        <f t="shared" si="14"/>
        <v>0</v>
      </c>
      <c r="P90" s="3548">
        <f t="shared" si="15"/>
        <v>0</v>
      </c>
      <c r="Q90" s="3548">
        <f>IF(K90=0, 0, (HLOOKUP(K90,'[3]E-CESTDWO'!$A$5:$O$35,J90+1,FALSE)*R40))</f>
        <v>0</v>
      </c>
      <c r="R90" s="3548">
        <f>IF(K90=0, 0, (HLOOKUP(K90,'[3]E-CESTD'!$A$5:$O$35,J90+1,FALSE)*R40))</f>
        <v>0</v>
      </c>
      <c r="S90" s="2323">
        <v>1.081</v>
      </c>
      <c r="T90" s="2326">
        <v>0</v>
      </c>
      <c r="U90" s="4150">
        <f t="shared" si="16"/>
        <v>0</v>
      </c>
      <c r="V90" s="4150">
        <f t="shared" si="16"/>
        <v>0</v>
      </c>
    </row>
    <row r="91" spans="2:22">
      <c r="B91" s="282"/>
      <c r="C91" s="2319" t="s">
        <v>213</v>
      </c>
      <c r="D91" s="2325">
        <v>0</v>
      </c>
      <c r="E91" s="2319" t="s">
        <v>181</v>
      </c>
      <c r="F91" s="2319" t="s">
        <v>186</v>
      </c>
      <c r="G91" s="2321"/>
      <c r="H91" s="2321"/>
      <c r="I91" s="2322">
        <v>0</v>
      </c>
      <c r="J91" s="2320"/>
      <c r="K91" s="2320"/>
      <c r="L91" s="4157"/>
      <c r="M91" s="2324" t="e">
        <v>#DIV/0!</v>
      </c>
      <c r="N91" s="2324" t="e">
        <v>#DIV/0!</v>
      </c>
      <c r="O91" s="3548">
        <f t="shared" si="14"/>
        <v>0</v>
      </c>
      <c r="P91" s="3548">
        <f t="shared" si="15"/>
        <v>0</v>
      </c>
      <c r="Q91" s="3548">
        <f>IF(K91=0, 0, (HLOOKUP(K91,'[3]E-CESTDWO'!$A$5:$O$35,J91+1,FALSE)*R41))</f>
        <v>0</v>
      </c>
      <c r="R91" s="3548">
        <f>IF(K91=0, 0, (HLOOKUP(K91,'[3]E-CESTD'!$A$5:$O$35,J91+1,FALSE)*R41))</f>
        <v>0</v>
      </c>
      <c r="S91" s="2323">
        <v>1.081</v>
      </c>
      <c r="T91" s="2326">
        <v>0</v>
      </c>
      <c r="U91" s="4150">
        <f t="shared" si="16"/>
        <v>0</v>
      </c>
      <c r="V91" s="4150">
        <f t="shared" si="16"/>
        <v>0</v>
      </c>
    </row>
    <row r="92" spans="2:22">
      <c r="B92" s="282"/>
      <c r="C92" s="2319" t="s">
        <v>214</v>
      </c>
      <c r="D92" s="2325">
        <v>0</v>
      </c>
      <c r="E92" s="2319" t="s">
        <v>181</v>
      </c>
      <c r="F92" s="2319" t="s">
        <v>186</v>
      </c>
      <c r="G92" s="2321"/>
      <c r="H92" s="2321"/>
      <c r="I92" s="2322">
        <v>0</v>
      </c>
      <c r="J92" s="2320"/>
      <c r="K92" s="2320"/>
      <c r="L92" s="4157"/>
      <c r="M92" s="2324" t="e">
        <v>#DIV/0!</v>
      </c>
      <c r="N92" s="2324" t="e">
        <v>#DIV/0!</v>
      </c>
      <c r="O92" s="3548">
        <f t="shared" si="14"/>
        <v>0</v>
      </c>
      <c r="P92" s="3548">
        <f t="shared" si="15"/>
        <v>0</v>
      </c>
      <c r="Q92" s="3548">
        <f>IF(K92=0, 0, (HLOOKUP(K92,'[3]E-CESTDWO'!$A$5:$O$35,J92+1,FALSE)*R42))</f>
        <v>0</v>
      </c>
      <c r="R92" s="3548">
        <f>IF(K92=0, 0, (HLOOKUP(K92,'[3]E-CESTD'!$A$5:$O$35,J92+1,FALSE)*R42))</f>
        <v>0</v>
      </c>
      <c r="S92" s="2323">
        <v>1.081</v>
      </c>
      <c r="T92" s="2326">
        <v>0</v>
      </c>
      <c r="U92" s="4150">
        <f t="shared" si="16"/>
        <v>0</v>
      </c>
      <c r="V92" s="4150">
        <f t="shared" si="16"/>
        <v>0</v>
      </c>
    </row>
    <row r="93" spans="2:22">
      <c r="B93" s="282"/>
      <c r="C93" s="2319" t="s">
        <v>215</v>
      </c>
      <c r="D93" s="2325">
        <v>0</v>
      </c>
      <c r="E93" s="2319" t="s">
        <v>181</v>
      </c>
      <c r="F93" s="2319" t="s">
        <v>186</v>
      </c>
      <c r="G93" s="2321"/>
      <c r="H93" s="2321"/>
      <c r="I93" s="2322">
        <v>0</v>
      </c>
      <c r="J93" s="2320"/>
      <c r="K93" s="2320"/>
      <c r="L93" s="4157"/>
      <c r="M93" s="2324" t="e">
        <v>#DIV/0!</v>
      </c>
      <c r="N93" s="2324" t="e">
        <v>#DIV/0!</v>
      </c>
      <c r="O93" s="3548">
        <f t="shared" si="14"/>
        <v>0</v>
      </c>
      <c r="P93" s="3548">
        <f t="shared" si="15"/>
        <v>0</v>
      </c>
      <c r="Q93" s="3548">
        <f>IF(K93=0, 0, (HLOOKUP(K93,'[3]E-CESTDWO'!$A$5:$O$35,J93+1,FALSE)*R43))</f>
        <v>0</v>
      </c>
      <c r="R93" s="3548">
        <f>IF(K93=0, 0, (HLOOKUP(K93,'[3]E-CESTD'!$A$5:$O$35,J93+1,FALSE)*R43))</f>
        <v>0</v>
      </c>
      <c r="S93" s="2323">
        <v>1.081</v>
      </c>
      <c r="T93" s="2326">
        <v>0</v>
      </c>
      <c r="U93" s="4150">
        <f t="shared" si="16"/>
        <v>0</v>
      </c>
      <c r="V93" s="4150">
        <f t="shared" si="16"/>
        <v>0</v>
      </c>
    </row>
    <row r="94" spans="2:22">
      <c r="B94" s="282"/>
      <c r="C94" s="2319" t="s">
        <v>216</v>
      </c>
      <c r="D94" s="2325">
        <v>0</v>
      </c>
      <c r="E94" s="2319" t="s">
        <v>181</v>
      </c>
      <c r="F94" s="2319" t="s">
        <v>186</v>
      </c>
      <c r="G94" s="2321"/>
      <c r="H94" s="2321"/>
      <c r="I94" s="2322">
        <v>0</v>
      </c>
      <c r="J94" s="2320"/>
      <c r="K94" s="2320"/>
      <c r="L94" s="4157"/>
      <c r="M94" s="2324" t="e">
        <v>#DIV/0!</v>
      </c>
      <c r="N94" s="2324" t="e">
        <v>#DIV/0!</v>
      </c>
      <c r="O94" s="3548">
        <f t="shared" si="14"/>
        <v>0</v>
      </c>
      <c r="P94" s="3548">
        <f t="shared" si="15"/>
        <v>0</v>
      </c>
      <c r="Q94" s="3548">
        <f>IF(K94=0, 0, (HLOOKUP(K94,'[3]E-CESTDWO'!$A$5:$O$35,J94+1,FALSE)*R44))</f>
        <v>0</v>
      </c>
      <c r="R94" s="3548">
        <f>IF(K94=0, 0, (HLOOKUP(K94,'[3]E-CESTD'!$A$5:$O$35,J94+1,FALSE)*R44))</f>
        <v>0</v>
      </c>
      <c r="S94" s="2323">
        <v>1.081</v>
      </c>
      <c r="T94" s="2326">
        <v>0</v>
      </c>
      <c r="U94" s="4150">
        <f t="shared" si="16"/>
        <v>0</v>
      </c>
      <c r="V94" s="4150">
        <f t="shared" si="16"/>
        <v>0</v>
      </c>
    </row>
    <row r="95" spans="2:22">
      <c r="B95" s="282"/>
      <c r="C95" s="2319" t="s">
        <v>217</v>
      </c>
      <c r="D95" s="2325">
        <v>0</v>
      </c>
      <c r="E95" s="2319" t="s">
        <v>181</v>
      </c>
      <c r="F95" s="2319" t="s">
        <v>186</v>
      </c>
      <c r="G95" s="2321"/>
      <c r="H95" s="2321"/>
      <c r="I95" s="2322">
        <v>0</v>
      </c>
      <c r="J95" s="2320"/>
      <c r="K95" s="2320"/>
      <c r="L95" s="4157"/>
      <c r="M95" s="2324" t="e">
        <v>#DIV/0!</v>
      </c>
      <c r="N95" s="2324" t="e">
        <v>#DIV/0!</v>
      </c>
      <c r="O95" s="3548">
        <f t="shared" si="14"/>
        <v>0</v>
      </c>
      <c r="P95" s="3548">
        <f t="shared" si="15"/>
        <v>0</v>
      </c>
      <c r="Q95" s="3548">
        <f>IF(K95=0, 0, (HLOOKUP(K95,'[3]E-CESTDWO'!$A$5:$O$35,J95+1,FALSE)*R45))</f>
        <v>0</v>
      </c>
      <c r="R95" s="3548">
        <f>IF(K95=0, 0, (HLOOKUP(K95,'[3]E-CESTD'!$A$5:$O$35,J95+1,FALSE)*R45))</f>
        <v>0</v>
      </c>
      <c r="S95" s="2323">
        <v>1.081</v>
      </c>
      <c r="T95" s="2326">
        <v>0</v>
      </c>
      <c r="U95" s="4150">
        <f t="shared" si="16"/>
        <v>0</v>
      </c>
      <c r="V95" s="4150">
        <f t="shared" si="16"/>
        <v>0</v>
      </c>
    </row>
    <row r="96" spans="2:22">
      <c r="B96" s="282"/>
      <c r="C96" s="2319" t="s">
        <v>218</v>
      </c>
      <c r="D96" s="2325">
        <v>0</v>
      </c>
      <c r="E96" s="2319" t="s">
        <v>181</v>
      </c>
      <c r="F96" s="2319" t="s">
        <v>186</v>
      </c>
      <c r="G96" s="2321"/>
      <c r="H96" s="2321"/>
      <c r="I96" s="2322">
        <v>0</v>
      </c>
      <c r="J96" s="2320"/>
      <c r="K96" s="2320"/>
      <c r="L96" s="4157"/>
      <c r="M96" s="2324" t="e">
        <v>#DIV/0!</v>
      </c>
      <c r="N96" s="2324" t="e">
        <v>#DIV/0!</v>
      </c>
      <c r="O96" s="3548">
        <f t="shared" si="14"/>
        <v>0</v>
      </c>
      <c r="P96" s="3548">
        <f t="shared" si="15"/>
        <v>0</v>
      </c>
      <c r="Q96" s="3548">
        <f>IF(K96=0, 0, (HLOOKUP(K96,'[3]E-CESTDWO'!$A$5:$O$35,J96+1,FALSE)*R46))</f>
        <v>0</v>
      </c>
      <c r="R96" s="3548">
        <f>IF(K96=0, 0, (HLOOKUP(K96,'[3]E-CESTD'!$A$5:$O$35,J96+1,FALSE)*R46))</f>
        <v>0</v>
      </c>
      <c r="S96" s="2323">
        <v>1.081</v>
      </c>
      <c r="T96" s="2326">
        <v>0</v>
      </c>
      <c r="U96" s="4150">
        <f t="shared" si="16"/>
        <v>0</v>
      </c>
      <c r="V96" s="4150">
        <f t="shared" si="16"/>
        <v>0</v>
      </c>
    </row>
    <row r="97" spans="2:22">
      <c r="B97" s="282"/>
      <c r="C97" s="2319" t="s">
        <v>219</v>
      </c>
      <c r="D97" s="2325">
        <v>0</v>
      </c>
      <c r="E97" s="2319" t="s">
        <v>181</v>
      </c>
      <c r="F97" s="2319" t="s">
        <v>186</v>
      </c>
      <c r="G97" s="2321"/>
      <c r="H97" s="2321"/>
      <c r="I97" s="2322">
        <v>0</v>
      </c>
      <c r="J97" s="2320"/>
      <c r="K97" s="2320"/>
      <c r="L97" s="4157"/>
      <c r="M97" s="2324" t="e">
        <v>#DIV/0!</v>
      </c>
      <c r="N97" s="2324" t="e">
        <v>#DIV/0!</v>
      </c>
      <c r="O97" s="3548">
        <f t="shared" si="14"/>
        <v>0</v>
      </c>
      <c r="P97" s="3548">
        <f t="shared" si="15"/>
        <v>0</v>
      </c>
      <c r="Q97" s="3548">
        <f>IF(K97=0, 0, (HLOOKUP(K97,'[3]E-CESTDWO'!$A$5:$O$35,J97+1,FALSE)*R47))</f>
        <v>0</v>
      </c>
      <c r="R97" s="3548">
        <f>IF(K97=0, 0, (HLOOKUP(K97,'[3]E-CESTD'!$A$5:$O$35,J97+1,FALSE)*R47))</f>
        <v>0</v>
      </c>
      <c r="S97" s="2323">
        <v>1.081</v>
      </c>
      <c r="T97" s="2326">
        <v>0</v>
      </c>
      <c r="U97" s="4150">
        <f t="shared" si="16"/>
        <v>0</v>
      </c>
      <c r="V97" s="4150">
        <f t="shared" si="16"/>
        <v>0</v>
      </c>
    </row>
    <row r="98" spans="2:22">
      <c r="B98" s="282"/>
      <c r="C98" s="2319" t="s">
        <v>220</v>
      </c>
      <c r="D98" s="2325">
        <v>0</v>
      </c>
      <c r="E98" s="2319" t="s">
        <v>181</v>
      </c>
      <c r="F98" s="2319" t="s">
        <v>186</v>
      </c>
      <c r="G98" s="2321"/>
      <c r="H98" s="2321"/>
      <c r="I98" s="2322">
        <v>0</v>
      </c>
      <c r="J98" s="2320"/>
      <c r="K98" s="2320"/>
      <c r="L98" s="4157"/>
      <c r="M98" s="2324" t="e">
        <v>#DIV/0!</v>
      </c>
      <c r="N98" s="2324" t="e">
        <v>#DIV/0!</v>
      </c>
      <c r="O98" s="3548">
        <f t="shared" si="14"/>
        <v>0</v>
      </c>
      <c r="P98" s="3548">
        <f t="shared" si="15"/>
        <v>0</v>
      </c>
      <c r="Q98" s="3548">
        <f>IF(K98=0, 0, (HLOOKUP(K98,'[3]E-CESTDWO'!$A$5:$O$35,J98+1,FALSE)*R48))</f>
        <v>0</v>
      </c>
      <c r="R98" s="3548">
        <f>IF(K98=0, 0, (HLOOKUP(K98,'[3]E-CESTD'!$A$5:$O$35,J98+1,FALSE)*R48))</f>
        <v>0</v>
      </c>
      <c r="S98" s="2323">
        <v>1.081</v>
      </c>
      <c r="T98" s="2326">
        <v>0</v>
      </c>
      <c r="U98" s="4150">
        <f t="shared" si="16"/>
        <v>0</v>
      </c>
      <c r="V98" s="4150">
        <f t="shared" si="16"/>
        <v>0</v>
      </c>
    </row>
    <row r="99" spans="2:22">
      <c r="B99" s="282"/>
      <c r="C99" s="2319" t="s">
        <v>221</v>
      </c>
      <c r="D99" s="2325">
        <v>0</v>
      </c>
      <c r="E99" s="2319" t="s">
        <v>181</v>
      </c>
      <c r="F99" s="2319" t="s">
        <v>186</v>
      </c>
      <c r="G99" s="2321"/>
      <c r="H99" s="2321"/>
      <c r="I99" s="2322">
        <v>0</v>
      </c>
      <c r="J99" s="2320"/>
      <c r="K99" s="2320"/>
      <c r="L99" s="4157"/>
      <c r="M99" s="2324" t="e">
        <v>#DIV/0!</v>
      </c>
      <c r="N99" s="2324" t="e">
        <v>#DIV/0!</v>
      </c>
      <c r="O99" s="3548">
        <f t="shared" si="14"/>
        <v>0</v>
      </c>
      <c r="P99" s="3548">
        <f t="shared" si="15"/>
        <v>0</v>
      </c>
      <c r="Q99" s="3548">
        <f>IF(K99=0, 0, (HLOOKUP(K99,'[3]E-CESTDWO'!$A$5:$O$35,J99+1,FALSE)*R49))</f>
        <v>0</v>
      </c>
      <c r="R99" s="3548">
        <f>IF(K99=0, 0, (HLOOKUP(K99,'[3]E-CESTD'!$A$5:$O$35,J99+1,FALSE)*R49))</f>
        <v>0</v>
      </c>
      <c r="S99" s="2323">
        <v>1.081</v>
      </c>
      <c r="T99" s="2326">
        <v>0</v>
      </c>
      <c r="U99" s="4150">
        <f t="shared" si="16"/>
        <v>0</v>
      </c>
      <c r="V99" s="4150">
        <f t="shared" si="16"/>
        <v>0</v>
      </c>
    </row>
    <row r="100" spans="2:22">
      <c r="B100" s="282"/>
      <c r="C100" s="2319" t="s">
        <v>222</v>
      </c>
      <c r="D100" s="2325">
        <v>0</v>
      </c>
      <c r="E100" s="2319" t="s">
        <v>181</v>
      </c>
      <c r="F100" s="2319" t="s">
        <v>186</v>
      </c>
      <c r="G100" s="2321"/>
      <c r="H100" s="2321"/>
      <c r="I100" s="2322">
        <v>0</v>
      </c>
      <c r="J100" s="2320"/>
      <c r="K100" s="2320"/>
      <c r="L100" s="4157"/>
      <c r="M100" s="2324" t="e">
        <v>#DIV/0!</v>
      </c>
      <c r="N100" s="2324" t="e">
        <v>#DIV/0!</v>
      </c>
      <c r="O100" s="3548">
        <f t="shared" si="14"/>
        <v>0</v>
      </c>
      <c r="P100" s="3548">
        <f t="shared" si="15"/>
        <v>0</v>
      </c>
      <c r="Q100" s="3548">
        <f>IF(K100=0, 0, (HLOOKUP(K100,'[3]E-CESTDWO'!$A$5:$O$35,J100+1,FALSE)*R50))</f>
        <v>0</v>
      </c>
      <c r="R100" s="3548">
        <f>IF(K100=0, 0, (HLOOKUP(K100,'[3]E-CESTD'!$A$5:$O$35,J100+1,FALSE)*R50))</f>
        <v>0</v>
      </c>
      <c r="S100" s="2323">
        <v>1.081</v>
      </c>
      <c r="T100" s="2326">
        <v>0</v>
      </c>
      <c r="U100" s="4150">
        <f t="shared" si="16"/>
        <v>0</v>
      </c>
      <c r="V100" s="4150">
        <f t="shared" si="16"/>
        <v>0</v>
      </c>
    </row>
    <row r="101" spans="2:22">
      <c r="B101" s="282"/>
      <c r="C101" s="2319" t="s">
        <v>223</v>
      </c>
      <c r="D101" s="2325">
        <v>0</v>
      </c>
      <c r="E101" s="2319" t="s">
        <v>181</v>
      </c>
      <c r="F101" s="2319" t="s">
        <v>186</v>
      </c>
      <c r="G101" s="2321"/>
      <c r="H101" s="2321"/>
      <c r="I101" s="2322">
        <v>0</v>
      </c>
      <c r="J101" s="2320"/>
      <c r="K101" s="2320"/>
      <c r="L101" s="4157"/>
      <c r="M101" s="2324" t="e">
        <v>#DIV/0!</v>
      </c>
      <c r="N101" s="2324" t="e">
        <v>#DIV/0!</v>
      </c>
      <c r="O101" s="3548">
        <f t="shared" si="14"/>
        <v>0</v>
      </c>
      <c r="P101" s="3548">
        <f t="shared" si="15"/>
        <v>0</v>
      </c>
      <c r="Q101" s="3548">
        <f>IF(K101=0, 0, (HLOOKUP(K101,'[3]E-CESTDWO'!$A$5:$O$35,J101+1,FALSE)*R51))</f>
        <v>0</v>
      </c>
      <c r="R101" s="3548">
        <f>IF(K101=0, 0, (HLOOKUP(K101,'[3]E-CESTD'!$A$5:$O$35,J101+1,FALSE)*R51))</f>
        <v>0</v>
      </c>
      <c r="S101" s="2323">
        <v>1.081</v>
      </c>
      <c r="T101" s="2326">
        <v>0</v>
      </c>
      <c r="U101" s="4150">
        <f t="shared" si="16"/>
        <v>0</v>
      </c>
      <c r="V101" s="4150">
        <f t="shared" si="16"/>
        <v>0</v>
      </c>
    </row>
    <row r="102" spans="2:22">
      <c r="B102" s="282"/>
      <c r="C102" s="2319" t="s">
        <v>224</v>
      </c>
      <c r="D102" s="2325">
        <v>0</v>
      </c>
      <c r="E102" s="2319" t="s">
        <v>181</v>
      </c>
      <c r="F102" s="2319" t="s">
        <v>186</v>
      </c>
      <c r="G102" s="2321"/>
      <c r="H102" s="2321"/>
      <c r="I102" s="2322">
        <v>0</v>
      </c>
      <c r="J102" s="2320"/>
      <c r="K102" s="2320"/>
      <c r="L102" s="4157"/>
      <c r="M102" s="2324" t="e">
        <v>#DIV/0!</v>
      </c>
      <c r="N102" s="2324" t="e">
        <v>#DIV/0!</v>
      </c>
      <c r="O102" s="3548">
        <f t="shared" si="14"/>
        <v>0</v>
      </c>
      <c r="P102" s="3548">
        <f t="shared" si="15"/>
        <v>0</v>
      </c>
      <c r="Q102" s="3548">
        <f>IF(K102=0, 0, (HLOOKUP(K102,'[3]E-CESTDWO'!$A$5:$O$35,J102+1,FALSE)*R52))</f>
        <v>0</v>
      </c>
      <c r="R102" s="3548">
        <f>IF(K102=0, 0, (HLOOKUP(K102,'[3]E-CESTD'!$A$5:$O$35,J102+1,FALSE)*R52))</f>
        <v>0</v>
      </c>
      <c r="S102" s="2323">
        <v>1.081</v>
      </c>
      <c r="T102" s="2326">
        <v>0</v>
      </c>
      <c r="U102" s="4150">
        <f t="shared" si="16"/>
        <v>0</v>
      </c>
      <c r="V102" s="4150">
        <f t="shared" si="16"/>
        <v>0</v>
      </c>
    </row>
    <row r="103" spans="2:22">
      <c r="B103" s="282"/>
      <c r="C103" s="2319" t="s">
        <v>225</v>
      </c>
      <c r="D103" s="2325">
        <v>0</v>
      </c>
      <c r="E103" s="2319" t="s">
        <v>181</v>
      </c>
      <c r="F103" s="2319" t="s">
        <v>186</v>
      </c>
      <c r="G103" s="2321"/>
      <c r="H103" s="2321"/>
      <c r="I103" s="2322">
        <v>0</v>
      </c>
      <c r="J103" s="2320"/>
      <c r="K103" s="2320"/>
      <c r="L103" s="4157"/>
      <c r="M103" s="2324" t="e">
        <v>#DIV/0!</v>
      </c>
      <c r="N103" s="2324" t="e">
        <v>#DIV/0!</v>
      </c>
      <c r="O103" s="3548">
        <f t="shared" si="14"/>
        <v>0</v>
      </c>
      <c r="P103" s="3548">
        <f t="shared" si="15"/>
        <v>0</v>
      </c>
      <c r="Q103" s="3548">
        <f>IF(K103=0, 0, (HLOOKUP(K103,'[3]E-CESTDWO'!$A$5:$O$35,J103+1,FALSE)*R53))</f>
        <v>0</v>
      </c>
      <c r="R103" s="3548">
        <f>IF(K103=0, 0, (HLOOKUP(K103,'[3]E-CESTD'!$A$5:$O$35,J103+1,FALSE)*R53))</f>
        <v>0</v>
      </c>
      <c r="S103" s="2323">
        <v>1.081</v>
      </c>
      <c r="T103" s="2326">
        <v>0</v>
      </c>
      <c r="U103" s="4150">
        <f t="shared" si="16"/>
        <v>0</v>
      </c>
      <c r="V103" s="4150">
        <f t="shared" si="16"/>
        <v>0</v>
      </c>
    </row>
    <row r="104" spans="2:22" ht="13.5" thickBot="1">
      <c r="C104" s="2319" t="s">
        <v>226</v>
      </c>
      <c r="D104" s="2325">
        <v>0</v>
      </c>
      <c r="E104" s="2319" t="s">
        <v>181</v>
      </c>
      <c r="F104" s="2319" t="s">
        <v>186</v>
      </c>
      <c r="G104" s="2321"/>
      <c r="H104" s="2321"/>
      <c r="I104" s="2322">
        <v>0</v>
      </c>
      <c r="J104" s="2320"/>
      <c r="K104" s="2320"/>
      <c r="L104" s="4157"/>
      <c r="M104" s="2324" t="e">
        <v>#DIV/0!</v>
      </c>
      <c r="N104" s="2324" t="e">
        <v>#DIV/0!</v>
      </c>
      <c r="O104" s="3548">
        <f t="shared" si="14"/>
        <v>0</v>
      </c>
      <c r="P104" s="3548">
        <f t="shared" si="15"/>
        <v>0</v>
      </c>
      <c r="Q104" s="3548">
        <f>IF(K104=0, 0, (HLOOKUP(K104,'[3]E-CESTDWO'!$A$5:$O$35,J104+1,FALSE)*R54))</f>
        <v>0</v>
      </c>
      <c r="R104" s="3548">
        <f>IF(K104=0, 0, (HLOOKUP(K104,'[3]E-CESTD'!$A$5:$O$35,J104+1,FALSE)*R54))</f>
        <v>0</v>
      </c>
      <c r="S104" s="2323">
        <v>1.081</v>
      </c>
      <c r="T104" s="2326">
        <v>0</v>
      </c>
      <c r="U104" s="4150">
        <f t="shared" si="16"/>
        <v>0</v>
      </c>
      <c r="V104" s="4150">
        <f t="shared" si="16"/>
        <v>0</v>
      </c>
    </row>
    <row r="105" spans="2:22" s="3532" customFormat="1" ht="13.5" thickBot="1">
      <c r="D105" s="3533"/>
      <c r="G105" s="3596">
        <f>SUMPRODUCT(G63:G104,O13:O54)</f>
        <v>649213.69999999995</v>
      </c>
      <c r="H105" s="3597">
        <f>V105</f>
        <v>510420</v>
      </c>
      <c r="I105" s="3598">
        <f>SUM(I63:I104)</f>
        <v>1</v>
      </c>
      <c r="J105" s="3599" t="e">
        <f>ROUND(SUMPRODUCT(J63:J104,R13:R54)/R55,0)</f>
        <v>#DIV/0!</v>
      </c>
      <c r="K105" s="3580"/>
      <c r="L105" s="3580"/>
      <c r="M105" s="290">
        <f>Q105/O105</f>
        <v>1.1515894603785064</v>
      </c>
      <c r="N105" s="290">
        <f t="shared" ref="N105" si="20">((L105/S105)+R105)/P105</f>
        <v>1.1352815571234165</v>
      </c>
      <c r="O105" s="292">
        <f>SUM(O63:O104)</f>
        <v>1108744.2673450508</v>
      </c>
      <c r="P105" s="292">
        <f>SUM(P63:P104)</f>
        <v>1237138.0693802033</v>
      </c>
      <c r="Q105" s="292">
        <f>SUM(Q63:Q104)</f>
        <v>1276818.2125296495</v>
      </c>
      <c r="R105" s="292">
        <f>SUM(R63:R104)</f>
        <v>1404500.0337826144</v>
      </c>
      <c r="S105" s="3600">
        <v>1.081</v>
      </c>
      <c r="T105" s="3601">
        <f>SUM(T63:T104)</f>
        <v>0</v>
      </c>
      <c r="U105" s="3601">
        <f>SUM(U63:U104)</f>
        <v>510420</v>
      </c>
      <c r="V105" s="3601">
        <f>SUM(V63:V104)</f>
        <v>510420</v>
      </c>
    </row>
  </sheetData>
  <sheetProtection password="9E1F" sheet="1" objects="1" scenarios="1"/>
  <customSheetViews>
    <customSheetView guid="{074EB09C-6289-46D7-9513-012B68BCA7BF}" scale="90" fitToPage="1">
      <pane xSplit="1" ySplit="1" topLeftCell="B2" activePane="bottomRight" state="frozen"/>
      <selection pane="bottomRight" activeCell="C26" sqref="C26"/>
      <pageMargins left="0.2" right="0.23" top="0.37" bottom="0.37" header="0.3" footer="0.3"/>
      <pageSetup paperSize="17" scale="52" orientation="landscape" r:id="rId1"/>
    </customSheetView>
    <customSheetView guid="{AF9F1D33-B8C2-423F-86A1-47612B8F532C}" fitToPage="1">
      <pane xSplit="1" ySplit="1" topLeftCell="B2" activePane="bottomRight" state="frozenSplit"/>
      <selection pane="bottomRight" activeCell="C9" sqref="C9"/>
      <pageMargins left="0.7" right="0.7" top="0.75" bottom="0.75" header="0.3" footer="0.3"/>
      <pageSetup paperSize="17" scale="34"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 right="0.23" top="0.37" bottom="0.37" header="0.3" footer="0.3"/>
  <pageSetup paperSize="17" scale="52" orientation="landscape" r:id="rId2"/>
  <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125"/>
  <sheetViews>
    <sheetView showGridLines="0" zoomScale="80" zoomScaleNormal="80" workbookViewId="0">
      <selection activeCell="F39" sqref="F39"/>
    </sheetView>
  </sheetViews>
  <sheetFormatPr defaultColWidth="9.140625" defaultRowHeight="12.75"/>
  <cols>
    <col min="1" max="1" width="5.85546875" style="3532" customWidth="1"/>
    <col min="2" max="3" width="7" style="3532" customWidth="1"/>
    <col min="4" max="4" width="6.28515625" style="3532" customWidth="1"/>
    <col min="5" max="5" width="6.140625" style="3532" customWidth="1"/>
    <col min="6" max="6" width="32" style="3532" customWidth="1"/>
    <col min="7" max="7" width="14.7109375" style="3532" customWidth="1"/>
    <col min="8" max="8" width="18.42578125" style="4284" customWidth="1"/>
    <col min="9" max="9" width="19.140625" style="3532" customWidth="1"/>
    <col min="10" max="10" width="16.85546875" style="4284" customWidth="1"/>
    <col min="11" max="11" width="19.42578125" style="4284" customWidth="1"/>
    <col min="12" max="12" width="9.140625" style="3531"/>
    <col min="13" max="16384" width="9.140625" style="3532"/>
  </cols>
  <sheetData>
    <row r="1" spans="2:12" ht="22.5" customHeight="1">
      <c r="D1" s="4240"/>
      <c r="E1" s="2114"/>
      <c r="F1" s="2114"/>
      <c r="I1" s="2200"/>
      <c r="J1" s="2173"/>
      <c r="K1" s="2173"/>
    </row>
    <row r="2" spans="2:12" ht="27.75" customHeight="1">
      <c r="D2" s="2113"/>
      <c r="E2" s="2114"/>
      <c r="I2" s="2200"/>
      <c r="J2" s="2173"/>
      <c r="K2" s="2173"/>
    </row>
    <row r="3" spans="2:12" s="4739" customFormat="1" ht="23.25" customHeight="1" thickBot="1">
      <c r="D3" s="3532"/>
      <c r="E3" s="2115"/>
      <c r="F3" s="2198"/>
      <c r="H3" s="4284"/>
      <c r="I3" s="2200"/>
      <c r="J3" s="2173"/>
      <c r="K3" s="2173"/>
      <c r="L3" s="4720"/>
    </row>
    <row r="4" spans="2:12" ht="26.25" customHeight="1" thickBot="1">
      <c r="G4" s="5111"/>
      <c r="H4" s="5111"/>
      <c r="I4" s="5111"/>
      <c r="J4" s="5111"/>
      <c r="K4" s="2199"/>
    </row>
    <row r="5" spans="2:12" ht="32.25" thickBot="1">
      <c r="B5" s="5112" t="s">
        <v>859</v>
      </c>
      <c r="C5" s="5113"/>
      <c r="D5" s="2116" t="s">
        <v>860</v>
      </c>
      <c r="E5" s="2117"/>
      <c r="F5" s="2117"/>
      <c r="G5" s="4323" t="s">
        <v>861</v>
      </c>
      <c r="H5" s="4323" t="s">
        <v>862</v>
      </c>
      <c r="I5" s="4323" t="s">
        <v>863</v>
      </c>
      <c r="J5" s="3278" t="s">
        <v>864</v>
      </c>
      <c r="K5" s="3278" t="s">
        <v>865</v>
      </c>
    </row>
    <row r="6" spans="2:12" ht="15.75">
      <c r="B6" s="2174"/>
      <c r="C6" s="2175"/>
      <c r="D6" s="2176" t="s">
        <v>552</v>
      </c>
      <c r="E6" s="2176"/>
      <c r="F6" s="2176"/>
      <c r="G6" s="2175"/>
      <c r="H6" s="2177"/>
      <c r="I6" s="2175"/>
      <c r="J6" s="4294"/>
      <c r="K6" s="4294"/>
    </row>
    <row r="7" spans="2:12">
      <c r="B7" s="2118" t="s">
        <v>339</v>
      </c>
      <c r="C7" s="2119" t="s">
        <v>1408</v>
      </c>
      <c r="D7" s="2120" t="s">
        <v>843</v>
      </c>
      <c r="E7" s="2119"/>
      <c r="F7" s="2152"/>
      <c r="G7" s="2220">
        <f>'1) Portfolio View'!G6</f>
        <v>1200</v>
      </c>
      <c r="H7" s="2219">
        <f>'1) Portfolio View'!H6</f>
        <v>2425000</v>
      </c>
      <c r="I7" s="2220">
        <f>'1) Portfolio View'!I6</f>
        <v>21000</v>
      </c>
      <c r="J7" s="4324">
        <f>'1) Portfolio View'!J6</f>
        <v>301000</v>
      </c>
      <c r="K7" s="4324">
        <f>'1) Portfolio View'!K6</f>
        <v>2726000</v>
      </c>
    </row>
    <row r="8" spans="2:12">
      <c r="B8" s="2118" t="s">
        <v>227</v>
      </c>
      <c r="C8" s="2119" t="s">
        <v>574</v>
      </c>
      <c r="D8" s="2197" t="s">
        <v>866</v>
      </c>
      <c r="E8" s="2195"/>
      <c r="F8" s="2196"/>
      <c r="G8" s="2220">
        <f>'1) Portfolio View'!G7</f>
        <v>125970</v>
      </c>
      <c r="H8" s="2219">
        <f>'1) Portfolio View'!H7</f>
        <v>30183000</v>
      </c>
      <c r="I8" s="2220">
        <f>'1) Portfolio View'!I7</f>
        <v>1889000</v>
      </c>
      <c r="J8" s="4324">
        <f>'1) Portfolio View'!J7</f>
        <v>6127000</v>
      </c>
      <c r="K8" s="4324">
        <f>'1) Portfolio View'!K7</f>
        <v>36310000</v>
      </c>
    </row>
    <row r="9" spans="2:12">
      <c r="B9" s="2118"/>
      <c r="C9" s="2119"/>
      <c r="D9" s="2120"/>
      <c r="E9" s="3370" t="s">
        <v>867</v>
      </c>
      <c r="F9" s="3371"/>
      <c r="G9" s="3372">
        <f>'1) Portfolio View'!G8</f>
        <v>83230</v>
      </c>
      <c r="H9" s="4316">
        <f>'1) Portfolio View'!H8</f>
        <v>13123000</v>
      </c>
      <c r="I9" s="5104" t="str">
        <f>'1) Portfolio View'!I8</f>
        <v>-</v>
      </c>
      <c r="J9" s="4325">
        <f>'1) Portfolio View'!J8</f>
        <v>0</v>
      </c>
      <c r="K9" s="4325">
        <f>'1) Portfolio View'!K8</f>
        <v>13123000</v>
      </c>
    </row>
    <row r="10" spans="2:12">
      <c r="B10" s="2118"/>
      <c r="C10" s="2119"/>
      <c r="D10" s="2120"/>
      <c r="E10" s="3370" t="s">
        <v>868</v>
      </c>
      <c r="F10" s="3371"/>
      <c r="G10" s="3372">
        <f>'1) Portfolio View'!G9</f>
        <v>6140</v>
      </c>
      <c r="H10" s="4316">
        <f>'1) Portfolio View'!H9</f>
        <v>3004000</v>
      </c>
      <c r="I10" s="3372">
        <f>'1) Portfolio View'!I9</f>
        <v>748000</v>
      </c>
      <c r="J10" s="4325">
        <f>'1) Portfolio View'!J9</f>
        <v>2355000</v>
      </c>
      <c r="K10" s="4325">
        <f>'1) Portfolio View'!K9</f>
        <v>5359000</v>
      </c>
    </row>
    <row r="11" spans="2:12">
      <c r="B11" s="2118"/>
      <c r="C11" s="2119"/>
      <c r="D11" s="2120"/>
      <c r="E11" s="3370" t="s">
        <v>869</v>
      </c>
      <c r="F11" s="3371"/>
      <c r="G11" s="3372">
        <f>'1) Portfolio View'!G10</f>
        <v>860</v>
      </c>
      <c r="H11" s="4316">
        <f>'1) Portfolio View'!H10</f>
        <v>589000</v>
      </c>
      <c r="I11" s="5104" t="str">
        <f>'1) Portfolio View'!I10</f>
        <v>-</v>
      </c>
      <c r="J11" s="4325">
        <f>'1) Portfolio View'!J10</f>
        <v>0</v>
      </c>
      <c r="K11" s="4325">
        <f>'1) Portfolio View'!K10</f>
        <v>589000</v>
      </c>
    </row>
    <row r="12" spans="2:12">
      <c r="B12" s="2118"/>
      <c r="C12" s="2119"/>
      <c r="D12" s="2120"/>
      <c r="E12" s="3370" t="s">
        <v>871</v>
      </c>
      <c r="F12" s="3371"/>
      <c r="G12" s="3372">
        <f>'1) Portfolio View'!G11</f>
        <v>4080</v>
      </c>
      <c r="H12" s="4316">
        <f>'1) Portfolio View'!H11</f>
        <v>1839000</v>
      </c>
      <c r="I12" s="5104" t="str">
        <f>'1) Portfolio View'!I11</f>
        <v>-</v>
      </c>
      <c r="J12" s="4325">
        <f>'1) Portfolio View'!J11</f>
        <v>0</v>
      </c>
      <c r="K12" s="4325">
        <f>'1) Portfolio View'!K11</f>
        <v>1839000</v>
      </c>
    </row>
    <row r="13" spans="2:12">
      <c r="B13" s="2118"/>
      <c r="C13" s="2119"/>
      <c r="D13" s="2120"/>
      <c r="E13" s="3370" t="s">
        <v>375</v>
      </c>
      <c r="F13" s="3371"/>
      <c r="G13" s="3372">
        <f>'1) Portfolio View'!G12</f>
        <v>12410</v>
      </c>
      <c r="H13" s="4316">
        <f>'1) Portfolio View'!H12</f>
        <v>7752000</v>
      </c>
      <c r="I13" s="3372">
        <f>'1) Portfolio View'!I12</f>
        <v>8000</v>
      </c>
      <c r="J13" s="4325">
        <f>'1) Portfolio View'!J12</f>
        <v>0</v>
      </c>
      <c r="K13" s="4325">
        <f>'1) Portfolio View'!K12</f>
        <v>7752000</v>
      </c>
    </row>
    <row r="14" spans="2:12">
      <c r="B14" s="2118"/>
      <c r="C14" s="2119"/>
      <c r="D14" s="2120"/>
      <c r="E14" s="3370" t="s">
        <v>872</v>
      </c>
      <c r="F14" s="3371"/>
      <c r="G14" s="3372">
        <f>'1) Portfolio View'!G13</f>
        <v>3500</v>
      </c>
      <c r="H14" s="4316">
        <f>'1) Portfolio View'!H13</f>
        <v>226000</v>
      </c>
      <c r="I14" s="3372">
        <f>'1) Portfolio View'!I13</f>
        <v>179000</v>
      </c>
      <c r="J14" s="4325">
        <f>'1) Portfolio View'!J13</f>
        <v>296000</v>
      </c>
      <c r="K14" s="4325">
        <f>'1) Portfolio View'!K13</f>
        <v>522000</v>
      </c>
    </row>
    <row r="15" spans="2:12">
      <c r="B15" s="2118"/>
      <c r="C15" s="2119"/>
      <c r="D15" s="2120"/>
      <c r="E15" s="3370" t="s">
        <v>873</v>
      </c>
      <c r="F15" s="3371"/>
      <c r="G15" s="3372">
        <f>'1) Portfolio View'!G14</f>
        <v>6350</v>
      </c>
      <c r="H15" s="4316">
        <f>'1) Portfolio View'!H14</f>
        <v>2134000</v>
      </c>
      <c r="I15" s="3372">
        <f>'1) Portfolio View'!I14</f>
        <v>553000</v>
      </c>
      <c r="J15" s="4325">
        <f>'1) Portfolio View'!J14</f>
        <v>2922000</v>
      </c>
      <c r="K15" s="4325">
        <f>'1) Portfolio View'!K14</f>
        <v>5056000</v>
      </c>
    </row>
    <row r="16" spans="2:12" s="4739" customFormat="1">
      <c r="B16" s="2118"/>
      <c r="C16" s="2123"/>
      <c r="D16" s="2120"/>
      <c r="E16" s="3370" t="s">
        <v>1325</v>
      </c>
      <c r="F16" s="3371"/>
      <c r="G16" s="3372">
        <f>'1) Portfolio View'!G16</f>
        <v>0</v>
      </c>
      <c r="H16" s="4316">
        <f>'1) Portfolio View'!H16</f>
        <v>0</v>
      </c>
      <c r="I16" s="3372">
        <f>'1) Portfolio View'!I16</f>
        <v>54000</v>
      </c>
      <c r="J16" s="4325">
        <f>'1) Portfolio View'!J16</f>
        <v>455000</v>
      </c>
      <c r="K16" s="4325">
        <f>'1) Portfolio View'!K16</f>
        <v>0</v>
      </c>
      <c r="L16" s="4720"/>
    </row>
    <row r="17" spans="2:12" s="4739" customFormat="1">
      <c r="B17" s="2118"/>
      <c r="C17" s="2123"/>
      <c r="D17" s="2120"/>
      <c r="E17" s="3370" t="s">
        <v>1193</v>
      </c>
      <c r="F17" s="3371"/>
      <c r="G17" s="3372">
        <f>'1) Portfolio View'!G17</f>
        <v>1050</v>
      </c>
      <c r="H17" s="4316">
        <f>'1) Portfolio View'!H17</f>
        <v>557000</v>
      </c>
      <c r="I17" s="5104" t="str">
        <f>'1) Portfolio View'!I17</f>
        <v>-</v>
      </c>
      <c r="J17" s="4325">
        <f>'1) Portfolio View'!J17</f>
        <v>0</v>
      </c>
      <c r="K17" s="4325">
        <f>'1) Portfolio View'!K17</f>
        <v>557000</v>
      </c>
      <c r="L17" s="4720"/>
    </row>
    <row r="18" spans="2:12">
      <c r="B18" s="2118"/>
      <c r="C18" s="2123"/>
      <c r="D18" s="2120"/>
      <c r="E18" s="3370" t="s">
        <v>878</v>
      </c>
      <c r="F18" s="3371"/>
      <c r="G18" s="3372">
        <f>'1) Portfolio View'!G18</f>
        <v>5500</v>
      </c>
      <c r="H18" s="4316">
        <f>'1) Portfolio View'!H18</f>
        <v>218000</v>
      </c>
      <c r="I18" s="3372">
        <f>'1) Portfolio View'!I18</f>
        <v>347000</v>
      </c>
      <c r="J18" s="4325">
        <f>'1) Portfolio View'!J18</f>
        <v>99000</v>
      </c>
      <c r="K18" s="4325">
        <f>'1) Portfolio View'!K18</f>
        <v>317000</v>
      </c>
    </row>
    <row r="19" spans="2:12">
      <c r="B19" s="2149" t="s">
        <v>442</v>
      </c>
      <c r="C19" s="2119" t="s">
        <v>599</v>
      </c>
      <c r="D19" s="3336" t="s">
        <v>874</v>
      </c>
      <c r="E19" s="2131"/>
      <c r="F19" s="2150"/>
      <c r="G19" s="2220">
        <f>'1) Portfolio View'!G19</f>
        <v>1530</v>
      </c>
      <c r="H19" s="2219">
        <f>'1) Portfolio View'!H19</f>
        <v>1249000</v>
      </c>
      <c r="I19" s="2220" t="str">
        <f>'1) Portfolio View'!I19</f>
        <v xml:space="preserve"> - </v>
      </c>
      <c r="J19" s="4324">
        <f>'1) Portfolio View'!J19</f>
        <v>0</v>
      </c>
      <c r="K19" s="4324">
        <f>'1) Portfolio View'!K19</f>
        <v>1249000</v>
      </c>
    </row>
    <row r="20" spans="2:12">
      <c r="B20" s="2118" t="s">
        <v>474</v>
      </c>
      <c r="C20" s="2119"/>
      <c r="D20" s="2120" t="s">
        <v>875</v>
      </c>
      <c r="E20" s="2119"/>
      <c r="F20" s="2152"/>
      <c r="G20" s="2220">
        <f>'1) Portfolio View'!G20</f>
        <v>2650</v>
      </c>
      <c r="H20" s="2219">
        <f>'1) Portfolio View'!H20</f>
        <v>1084000</v>
      </c>
      <c r="I20" s="2220" t="str">
        <f>'1) Portfolio View'!I20</f>
        <v>-</v>
      </c>
      <c r="J20" s="4324">
        <f>'1) Portfolio View'!J20</f>
        <v>0</v>
      </c>
      <c r="K20" s="4324">
        <f>'1) Portfolio View'!K20</f>
        <v>1084000</v>
      </c>
    </row>
    <row r="21" spans="2:12">
      <c r="B21" s="2118" t="s">
        <v>510</v>
      </c>
      <c r="C21" s="2119" t="s">
        <v>624</v>
      </c>
      <c r="D21" s="2120" t="s">
        <v>876</v>
      </c>
      <c r="E21" s="2119"/>
      <c r="F21" s="2152"/>
      <c r="G21" s="2220">
        <f>'1) Portfolio View'!G21</f>
        <v>16750</v>
      </c>
      <c r="H21" s="2219">
        <f>'1) Portfolio View'!H21</f>
        <v>6862000</v>
      </c>
      <c r="I21" s="2220">
        <f>'1) Portfolio View'!I21</f>
        <v>18000</v>
      </c>
      <c r="J21" s="4324">
        <f>'1) Portfolio View'!J21</f>
        <v>118000</v>
      </c>
      <c r="K21" s="4324">
        <f>'1) Portfolio View'!K21</f>
        <v>6980000</v>
      </c>
    </row>
    <row r="22" spans="2:12">
      <c r="B22" s="2118" t="s">
        <v>541</v>
      </c>
      <c r="C22" s="2119" t="s">
        <v>634</v>
      </c>
      <c r="D22" s="2120" t="s">
        <v>877</v>
      </c>
      <c r="E22" s="2119"/>
      <c r="F22" s="2152"/>
      <c r="G22" s="2220">
        <f>'1) Portfolio View'!G22</f>
        <v>950</v>
      </c>
      <c r="H22" s="2219">
        <f>'1) Portfolio View'!H22</f>
        <v>674000</v>
      </c>
      <c r="I22" s="2220">
        <f>'1) Portfolio View'!I22</f>
        <v>47000</v>
      </c>
      <c r="J22" s="4324">
        <f>'1) Portfolio View'!J22</f>
        <v>317000</v>
      </c>
      <c r="K22" s="4324">
        <f>'1) Portfolio View'!K22</f>
        <v>991000</v>
      </c>
    </row>
    <row r="23" spans="2:12">
      <c r="B23" s="2118" t="s">
        <v>546</v>
      </c>
      <c r="C23" s="2119" t="s">
        <v>636</v>
      </c>
      <c r="D23" s="2120" t="s">
        <v>548</v>
      </c>
      <c r="E23" s="2119"/>
      <c r="F23" s="2152"/>
      <c r="G23" s="4303">
        <f>'1) Portfolio View'!G23</f>
        <v>0</v>
      </c>
      <c r="H23" s="4919">
        <f>'1) Portfolio View'!H23</f>
        <v>0</v>
      </c>
      <c r="I23" s="4304">
        <f>'1) Portfolio View'!I23</f>
        <v>0</v>
      </c>
      <c r="J23" s="4920">
        <f>'1) Portfolio View'!J23</f>
        <v>0</v>
      </c>
      <c r="K23" s="4326">
        <f>'1) Portfolio View'!K23</f>
        <v>0</v>
      </c>
    </row>
    <row r="24" spans="2:12">
      <c r="B24" s="2124"/>
      <c r="C24" s="2125"/>
      <c r="D24" s="2126" t="s">
        <v>879</v>
      </c>
      <c r="E24" s="2126"/>
      <c r="F24" s="2126"/>
      <c r="G24" s="4321">
        <f>'1) Portfolio View'!G24</f>
        <v>149050</v>
      </c>
      <c r="H24" s="4923">
        <f>'1) Portfolio View'!H24</f>
        <v>42477000</v>
      </c>
      <c r="I24" s="4322">
        <f>'1) Portfolio View'!I24</f>
        <v>1975000</v>
      </c>
      <c r="J24" s="4925">
        <f>'1) Portfolio View'!J24</f>
        <v>6863000</v>
      </c>
      <c r="K24" s="4327">
        <f>'1) Portfolio View'!K24</f>
        <v>49340000</v>
      </c>
    </row>
    <row r="25" spans="2:12">
      <c r="B25" s="2121"/>
      <c r="C25" s="3066"/>
      <c r="D25" s="2128"/>
      <c r="E25" s="3066"/>
      <c r="F25" s="3066"/>
      <c r="G25" s="2228"/>
      <c r="H25" s="2229"/>
      <c r="I25" s="2230"/>
      <c r="J25" s="2229"/>
      <c r="K25" s="3284"/>
    </row>
    <row r="26" spans="2:12" ht="15.75">
      <c r="B26" s="2178"/>
      <c r="C26" s="2179"/>
      <c r="D26" s="2180" t="s">
        <v>765</v>
      </c>
      <c r="E26" s="2180"/>
      <c r="F26" s="2180"/>
      <c r="G26" s="2231"/>
      <c r="H26" s="4285"/>
      <c r="I26" s="2231"/>
      <c r="J26" s="4295"/>
      <c r="K26" s="4295"/>
    </row>
    <row r="27" spans="2:12">
      <c r="B27" s="2129" t="s">
        <v>880</v>
      </c>
      <c r="C27" s="2151" t="s">
        <v>1323</v>
      </c>
      <c r="D27" s="2131" t="s">
        <v>881</v>
      </c>
      <c r="E27" s="2131"/>
      <c r="F27" s="2150"/>
      <c r="G27" s="2232">
        <f>'1) Portfolio View'!G27</f>
        <v>71380</v>
      </c>
      <c r="H27" s="2569">
        <f>'1) Portfolio View'!H27</f>
        <v>18986000</v>
      </c>
      <c r="I27" s="2232">
        <f>'1) Portfolio View'!I27</f>
        <v>487000</v>
      </c>
      <c r="J27" s="4328">
        <f>'1) Portfolio View'!J27</f>
        <v>2702000</v>
      </c>
      <c r="K27" s="4328">
        <f>'1) Portfolio View'!K27</f>
        <v>21688000</v>
      </c>
    </row>
    <row r="28" spans="2:12">
      <c r="B28" s="2132" t="s">
        <v>745</v>
      </c>
      <c r="C28" s="2205" t="s">
        <v>760</v>
      </c>
      <c r="D28" s="2119" t="s">
        <v>753</v>
      </c>
      <c r="E28" s="2119"/>
      <c r="F28" s="2152"/>
      <c r="G28" s="2232">
        <f>'1) Portfolio View'!G28</f>
        <v>3500</v>
      </c>
      <c r="H28" s="2569">
        <f>'1) Portfolio View'!H28</f>
        <v>1470000</v>
      </c>
      <c r="I28" s="2232">
        <f>'1) Portfolio View'!I28</f>
        <v>156000</v>
      </c>
      <c r="J28" s="4328">
        <f>'1) Portfolio View'!J28</f>
        <v>622000</v>
      </c>
      <c r="K28" s="4328">
        <f>'1) Portfolio View'!K28</f>
        <v>2092000</v>
      </c>
    </row>
    <row r="29" spans="2:12">
      <c r="B29" s="2132" t="s">
        <v>746</v>
      </c>
      <c r="C29" s="2205" t="s">
        <v>1324</v>
      </c>
      <c r="D29" s="2119" t="s">
        <v>754</v>
      </c>
      <c r="E29" s="2119"/>
      <c r="F29" s="2152"/>
      <c r="G29" s="2232">
        <f>'1) Portfolio View'!G29</f>
        <v>18750</v>
      </c>
      <c r="H29" s="2569">
        <f>'1) Portfolio View'!H29</f>
        <v>1558000</v>
      </c>
      <c r="I29" s="2232">
        <f>'1) Portfolio View'!I29</f>
        <v>600000</v>
      </c>
      <c r="J29" s="4328">
        <f>'1) Portfolio View'!J29</f>
        <v>851000</v>
      </c>
      <c r="K29" s="4328">
        <f>'1) Portfolio View'!K29</f>
        <v>2409000</v>
      </c>
    </row>
    <row r="30" spans="2:12">
      <c r="B30" s="2132" t="s">
        <v>747</v>
      </c>
      <c r="C30" s="2205"/>
      <c r="D30" s="2119" t="s">
        <v>882</v>
      </c>
      <c r="E30" s="2119"/>
      <c r="F30" s="2152"/>
      <c r="G30" s="2232">
        <f>'1) Portfolio View'!G30</f>
        <v>16040</v>
      </c>
      <c r="H30" s="2569">
        <f>'1) Portfolio View'!H30</f>
        <v>5640000</v>
      </c>
      <c r="I30" s="2232" t="str">
        <f>'1) Portfolio View'!I30</f>
        <v>-</v>
      </c>
      <c r="J30" s="4328">
        <f>'1) Portfolio View'!J30</f>
        <v>0</v>
      </c>
      <c r="K30" s="4328">
        <f>'1) Portfolio View'!K30</f>
        <v>5640000</v>
      </c>
    </row>
    <row r="31" spans="2:12">
      <c r="B31" s="2132" t="s">
        <v>749</v>
      </c>
      <c r="C31" s="2205"/>
      <c r="D31" s="2119" t="s">
        <v>883</v>
      </c>
      <c r="E31" s="2119"/>
      <c r="F31" s="2152"/>
      <c r="G31" s="2232">
        <f>'1) Portfolio View'!G31</f>
        <v>13000</v>
      </c>
      <c r="H31" s="2569">
        <f>'1) Portfolio View'!H31</f>
        <v>4189000</v>
      </c>
      <c r="I31" s="2232" t="str">
        <f>'1) Portfolio View'!I31</f>
        <v>-</v>
      </c>
      <c r="J31" s="4328">
        <f>'1) Portfolio View'!J31</f>
        <v>0</v>
      </c>
      <c r="K31" s="4328">
        <f>'1) Portfolio View'!K31</f>
        <v>4189000</v>
      </c>
    </row>
    <row r="32" spans="2:12">
      <c r="B32" s="4329" t="s">
        <v>750</v>
      </c>
      <c r="C32" s="4180" t="s">
        <v>761</v>
      </c>
      <c r="D32" s="4181" t="s">
        <v>884</v>
      </c>
      <c r="E32" s="4182"/>
      <c r="F32" s="4183"/>
      <c r="G32" s="2232">
        <f>'1) Portfolio View'!G32</f>
        <v>0</v>
      </c>
      <c r="H32" s="4921">
        <f>'1) Portfolio View'!H32</f>
        <v>31000</v>
      </c>
      <c r="I32" s="2232" t="str">
        <f>'1) Portfolio View'!I32</f>
        <v>-</v>
      </c>
      <c r="J32" s="4922">
        <f>'1) Portfolio View'!J32</f>
        <v>28000</v>
      </c>
      <c r="K32" s="4328">
        <f>'1) Portfolio View'!K32</f>
        <v>59000</v>
      </c>
    </row>
    <row r="33" spans="1:12">
      <c r="B33" s="2206" t="s">
        <v>751</v>
      </c>
      <c r="C33" s="2135" t="s">
        <v>762</v>
      </c>
      <c r="D33" s="2123" t="s">
        <v>885</v>
      </c>
      <c r="E33" s="2123"/>
      <c r="F33" s="2162"/>
      <c r="G33" s="4305">
        <f>'1) Portfolio View'!G33</f>
        <v>34310</v>
      </c>
      <c r="H33" s="2239">
        <f>'1) Portfolio View'!H33</f>
        <v>6648000</v>
      </c>
      <c r="I33" s="2238">
        <f>'1) Portfolio View'!I33</f>
        <v>1400000</v>
      </c>
      <c r="J33" s="4330">
        <f>'1) Portfolio View'!J33</f>
        <v>784000</v>
      </c>
      <c r="K33" s="4330">
        <f>'1) Portfolio View'!K33</f>
        <v>7432000</v>
      </c>
    </row>
    <row r="34" spans="1:12">
      <c r="B34" s="2124"/>
      <c r="C34" s="2125"/>
      <c r="D34" s="2126" t="s">
        <v>886</v>
      </c>
      <c r="E34" s="2126"/>
      <c r="F34" s="2126"/>
      <c r="G34" s="2226">
        <f>'1) Portfolio View'!G34</f>
        <v>156980</v>
      </c>
      <c r="H34" s="2243">
        <f>'1) Portfolio View'!H34</f>
        <v>38522000</v>
      </c>
      <c r="I34" s="2226">
        <f>'1) Portfolio View'!I34</f>
        <v>2643000</v>
      </c>
      <c r="J34" s="4924">
        <f>'1) Portfolio View'!J34</f>
        <v>4987000</v>
      </c>
      <c r="K34" s="4331">
        <f>'1) Portfolio View'!K34</f>
        <v>43509000</v>
      </c>
    </row>
    <row r="35" spans="1:12">
      <c r="B35" s="2121"/>
      <c r="C35" s="3066"/>
      <c r="D35" s="2128"/>
      <c r="E35" s="3066"/>
      <c r="F35" s="3066"/>
      <c r="G35" s="2228"/>
      <c r="H35" s="2229"/>
      <c r="I35" s="2230"/>
      <c r="J35" s="2229"/>
      <c r="K35" s="3284"/>
    </row>
    <row r="36" spans="1:12" ht="15.75">
      <c r="B36" s="2181"/>
      <c r="C36" s="2182"/>
      <c r="D36" s="2182" t="s">
        <v>766</v>
      </c>
      <c r="E36" s="2182"/>
      <c r="F36" s="2182"/>
      <c r="G36" s="2245"/>
      <c r="H36" s="4286"/>
      <c r="I36" s="2245"/>
      <c r="J36" s="4296"/>
      <c r="K36" s="4296"/>
    </row>
    <row r="37" spans="1:12">
      <c r="B37" s="2159" t="s">
        <v>769</v>
      </c>
      <c r="C37" s="2160"/>
      <c r="D37" s="2130" t="s">
        <v>887</v>
      </c>
      <c r="E37" s="2130"/>
      <c r="F37" s="2130"/>
      <c r="G37" s="2276">
        <f>'1) Portfolio View'!G37</f>
        <v>19410</v>
      </c>
      <c r="H37" s="2277">
        <f>'1) Portfolio View'!H37</f>
        <v>5261000</v>
      </c>
      <c r="I37" s="2278"/>
      <c r="J37" s="4332">
        <f>'1) Portfolio View'!J37</f>
        <v>0</v>
      </c>
      <c r="K37" s="4332">
        <f>'1) Portfolio View'!K37</f>
        <v>5261000</v>
      </c>
    </row>
    <row r="38" spans="1:12">
      <c r="B38" s="3354" t="s">
        <v>1162</v>
      </c>
      <c r="C38" s="2138"/>
      <c r="D38" s="3353" t="s">
        <v>996</v>
      </c>
      <c r="E38" s="2138"/>
      <c r="F38" s="2138"/>
      <c r="G38" s="2269">
        <f>'1) Portfolio View'!G38</f>
        <v>8080</v>
      </c>
      <c r="H38" s="4306">
        <f>'1) Portfolio View'!H38</f>
        <v>0</v>
      </c>
      <c r="I38" s="4307"/>
      <c r="J38" s="4333">
        <f>'1) Portfolio View'!J38</f>
        <v>0</v>
      </c>
      <c r="K38" s="4333">
        <f>'1) Portfolio View'!K38</f>
        <v>0</v>
      </c>
    </row>
    <row r="39" spans="1:12">
      <c r="B39" s="2124"/>
      <c r="C39" s="2125"/>
      <c r="D39" s="2126" t="s">
        <v>888</v>
      </c>
      <c r="E39" s="2126"/>
      <c r="F39" s="2126"/>
      <c r="G39" s="4319">
        <f>'1) Portfolio View'!G39</f>
        <v>27490</v>
      </c>
      <c r="H39" s="4320">
        <f>'1) Portfolio View'!H39</f>
        <v>5261000</v>
      </c>
      <c r="I39" s="2244"/>
      <c r="J39" s="3289">
        <f>'1) Portfolio View'!J39</f>
        <v>0</v>
      </c>
      <c r="K39" s="3289">
        <f>'1) Portfolio View'!K39</f>
        <v>5261000</v>
      </c>
    </row>
    <row r="40" spans="1:12">
      <c r="B40" s="2121"/>
      <c r="C40" s="3066"/>
      <c r="D40" s="3066"/>
      <c r="E40" s="3066"/>
      <c r="F40" s="3066"/>
      <c r="G40" s="2228"/>
      <c r="H40" s="2248"/>
      <c r="I40" s="2249"/>
      <c r="J40" s="3291"/>
      <c r="K40" s="3291"/>
    </row>
    <row r="41" spans="1:12" ht="13.5" thickBot="1">
      <c r="B41" s="4344" t="s">
        <v>1181</v>
      </c>
      <c r="C41" s="4345"/>
      <c r="D41" s="4345"/>
      <c r="E41" s="4345"/>
      <c r="F41" s="4345"/>
      <c r="G41" s="4346">
        <f>SUM(G24+G34+G39)</f>
        <v>333520</v>
      </c>
      <c r="H41" s="4347">
        <f t="shared" ref="H41:K41" si="0">SUM(H24+H34+H39)</f>
        <v>86260000</v>
      </c>
      <c r="I41" s="4346">
        <f t="shared" si="0"/>
        <v>4618000</v>
      </c>
      <c r="J41" s="4348">
        <f t="shared" si="0"/>
        <v>11850000</v>
      </c>
      <c r="K41" s="4348">
        <f t="shared" si="0"/>
        <v>98110000</v>
      </c>
    </row>
    <row r="42" spans="1:12">
      <c r="A42" s="3066"/>
      <c r="B42" s="3066"/>
      <c r="C42" s="3066"/>
      <c r="D42" s="3066"/>
      <c r="E42" s="3066"/>
      <c r="F42" s="3066"/>
      <c r="G42" s="2228"/>
      <c r="H42" s="2248"/>
      <c r="I42" s="2249"/>
      <c r="J42" s="2248"/>
      <c r="K42" s="4353"/>
    </row>
    <row r="43" spans="1:12" s="4739" customFormat="1">
      <c r="A43" s="3066"/>
      <c r="B43" s="3066"/>
      <c r="C43" s="3066"/>
      <c r="D43" s="3066"/>
      <c r="E43" s="3066"/>
      <c r="F43" s="3066"/>
      <c r="G43" s="2228"/>
      <c r="H43" s="2248"/>
      <c r="I43" s="2249"/>
      <c r="J43" s="2248"/>
      <c r="K43" s="2248"/>
      <c r="L43" s="4720"/>
    </row>
    <row r="44" spans="1:12" s="4739" customFormat="1" ht="26.25" customHeight="1">
      <c r="A44" s="3066"/>
      <c r="B44" s="3066"/>
      <c r="C44" s="3066"/>
      <c r="D44" s="3066"/>
      <c r="E44" s="3066"/>
      <c r="F44" s="5199" t="s">
        <v>1454</v>
      </c>
      <c r="G44" s="5200"/>
      <c r="H44" s="2302"/>
      <c r="I44" s="2301"/>
      <c r="J44" s="4918"/>
      <c r="K44" s="2248"/>
      <c r="L44" s="4720"/>
    </row>
    <row r="45" spans="1:12" s="4739" customFormat="1">
      <c r="A45" s="3066"/>
      <c r="B45" s="3066"/>
      <c r="C45" s="3066"/>
      <c r="D45" s="3066"/>
      <c r="E45" s="3066"/>
      <c r="F45" s="4739" t="s">
        <v>1047</v>
      </c>
      <c r="G45" s="2296"/>
      <c r="H45" s="2303"/>
      <c r="I45" s="2296"/>
      <c r="J45" s="2303"/>
      <c r="K45" s="2248"/>
      <c r="L45" s="4720"/>
    </row>
    <row r="46" spans="1:12" s="4739" customFormat="1">
      <c r="A46" s="3066"/>
      <c r="B46" s="3066"/>
      <c r="C46" s="3066"/>
      <c r="D46" s="3066"/>
      <c r="E46" s="3066"/>
      <c r="G46" s="2296"/>
      <c r="H46" s="2303"/>
      <c r="I46" s="2296"/>
      <c r="J46" s="2303"/>
      <c r="K46" s="2248"/>
      <c r="L46" s="4720"/>
    </row>
    <row r="47" spans="1:12" s="4739" customFormat="1">
      <c r="A47" s="3066"/>
      <c r="B47" s="3066"/>
      <c r="C47" s="3066"/>
      <c r="D47" s="3066"/>
      <c r="E47" s="3066"/>
      <c r="G47" s="2296"/>
      <c r="H47" s="2303"/>
      <c r="I47" s="2296"/>
      <c r="J47" s="2303"/>
      <c r="K47" s="2248"/>
      <c r="L47" s="4720"/>
    </row>
    <row r="48" spans="1:12" s="4739" customFormat="1">
      <c r="A48" s="3066"/>
      <c r="B48" s="3066"/>
      <c r="C48" s="3066"/>
      <c r="D48" s="3066"/>
      <c r="E48" s="3066"/>
      <c r="F48" s="3067" t="s">
        <v>906</v>
      </c>
      <c r="G48" s="3067"/>
      <c r="H48" s="2304"/>
      <c r="I48" s="2301"/>
      <c r="J48" s="2304"/>
      <c r="K48" s="2248"/>
      <c r="L48" s="4720"/>
    </row>
    <row r="49" spans="1:13" s="4739" customFormat="1">
      <c r="A49" s="3066"/>
      <c r="B49" s="3066"/>
      <c r="C49" s="3066"/>
      <c r="D49" s="3066"/>
      <c r="E49" s="3066"/>
      <c r="F49" s="3066"/>
      <c r="G49" s="2228"/>
      <c r="H49" s="2248"/>
      <c r="I49" s="2249"/>
      <c r="J49" s="2248"/>
      <c r="K49" s="2248"/>
      <c r="L49" s="4720"/>
    </row>
    <row r="50" spans="1:13" s="4739" customFormat="1">
      <c r="A50" s="3066"/>
      <c r="B50" s="3066"/>
      <c r="C50" s="3066"/>
      <c r="D50" s="3066"/>
      <c r="E50" s="3066"/>
      <c r="F50" s="3066"/>
      <c r="G50" s="2228"/>
      <c r="H50" s="2248"/>
      <c r="I50" s="2249"/>
      <c r="J50" s="2248"/>
      <c r="K50" s="2248"/>
      <c r="L50" s="4720"/>
    </row>
    <row r="51" spans="1:13" s="4739" customFormat="1">
      <c r="A51" s="3066"/>
      <c r="B51" s="3066"/>
      <c r="C51" s="3066"/>
      <c r="D51" s="3066"/>
      <c r="E51" s="3066"/>
      <c r="F51" s="3066"/>
      <c r="G51" s="2228"/>
      <c r="H51" s="2248"/>
      <c r="I51" s="2249"/>
      <c r="J51" s="2248"/>
      <c r="K51" s="2248"/>
      <c r="L51" s="4720"/>
    </row>
    <row r="52" spans="1:13" s="4739" customFormat="1">
      <c r="A52" s="3066"/>
      <c r="B52" s="3066"/>
      <c r="C52" s="3066"/>
      <c r="D52" s="3066"/>
      <c r="E52" s="3066"/>
      <c r="F52" s="3066"/>
      <c r="G52" s="2228"/>
      <c r="H52" s="2248"/>
      <c r="I52" s="2249"/>
      <c r="J52" s="2248"/>
      <c r="K52" s="2248"/>
      <c r="L52" s="4720"/>
    </row>
    <row r="53" spans="1:13" s="4739" customFormat="1">
      <c r="A53" s="3066"/>
      <c r="B53" s="3066"/>
      <c r="C53" s="3066"/>
      <c r="D53" s="3066"/>
      <c r="E53" s="3066"/>
      <c r="F53" s="3066"/>
      <c r="G53" s="2228"/>
      <c r="H53" s="2248"/>
      <c r="I53" s="2249"/>
      <c r="J53" s="2248"/>
      <c r="K53" s="2248"/>
      <c r="L53" s="4720"/>
    </row>
    <row r="54" spans="1:13" s="4739" customFormat="1">
      <c r="A54" s="3066"/>
      <c r="B54" s="3066"/>
      <c r="C54" s="3066"/>
      <c r="D54" s="3066"/>
      <c r="E54" s="3066"/>
      <c r="F54" s="3066"/>
      <c r="G54" s="2228"/>
      <c r="H54" s="2248"/>
      <c r="I54" s="2249"/>
      <c r="J54" s="2248"/>
      <c r="K54" s="2248"/>
      <c r="L54" s="4720"/>
    </row>
    <row r="55" spans="1:13" s="4739" customFormat="1">
      <c r="A55" s="3066"/>
      <c r="B55" s="3066"/>
      <c r="C55" s="3066"/>
      <c r="D55" s="3066"/>
      <c r="E55" s="3066"/>
      <c r="F55" s="3066"/>
      <c r="G55" s="2228"/>
      <c r="H55" s="2248"/>
      <c r="I55" s="2249"/>
      <c r="J55" s="2248"/>
      <c r="K55" s="2248"/>
      <c r="L55" s="4720"/>
    </row>
    <row r="56" spans="1:13" ht="13.5" thickBot="1">
      <c r="A56" s="3066"/>
      <c r="B56" s="3066"/>
      <c r="C56" s="3066"/>
      <c r="D56" s="3066"/>
      <c r="E56" s="3066"/>
      <c r="F56" s="3066"/>
      <c r="G56" s="2228"/>
      <c r="H56" s="2248"/>
      <c r="I56" s="2249"/>
      <c r="J56" s="2248"/>
      <c r="K56" s="2248"/>
    </row>
    <row r="57" spans="1:13" ht="32.25" thickBot="1">
      <c r="A57" s="3066"/>
      <c r="B57" s="5112" t="s">
        <v>859</v>
      </c>
      <c r="C57" s="5113"/>
      <c r="D57" s="2116" t="s">
        <v>860</v>
      </c>
      <c r="E57" s="2117"/>
      <c r="F57" s="2117"/>
      <c r="G57" s="4323" t="s">
        <v>861</v>
      </c>
      <c r="H57" s="4323" t="s">
        <v>862</v>
      </c>
      <c r="I57" s="4323" t="s">
        <v>863</v>
      </c>
      <c r="J57" s="3278" t="s">
        <v>864</v>
      </c>
      <c r="K57" s="3278" t="s">
        <v>865</v>
      </c>
    </row>
    <row r="58" spans="1:13" ht="7.5" customHeight="1" thickBot="1">
      <c r="A58" s="3066"/>
      <c r="B58" s="3066"/>
      <c r="C58" s="3066"/>
      <c r="D58" s="3066"/>
      <c r="E58" s="3066"/>
      <c r="F58" s="3066"/>
      <c r="G58" s="2228"/>
      <c r="H58" s="2248"/>
      <c r="I58" s="2249"/>
      <c r="J58" s="2248"/>
      <c r="K58" s="4354"/>
    </row>
    <row r="59" spans="1:13">
      <c r="B59" s="4349" t="s">
        <v>1182</v>
      </c>
      <c r="C59" s="4350"/>
      <c r="D59" s="4350"/>
      <c r="E59" s="4350"/>
      <c r="F59" s="4350"/>
      <c r="G59" s="4351">
        <f>G41</f>
        <v>333520</v>
      </c>
      <c r="H59" s="4351">
        <f t="shared" ref="H59:K59" si="1">H41</f>
        <v>86260000</v>
      </c>
      <c r="I59" s="4351">
        <f t="shared" si="1"/>
        <v>4618000</v>
      </c>
      <c r="J59" s="4351">
        <f t="shared" si="1"/>
        <v>11850000</v>
      </c>
      <c r="K59" s="4352">
        <f t="shared" si="1"/>
        <v>98110000</v>
      </c>
    </row>
    <row r="60" spans="1:13">
      <c r="B60" s="2137"/>
      <c r="C60" s="2138"/>
      <c r="D60" s="2138"/>
      <c r="E60" s="2138"/>
      <c r="F60" s="2138"/>
      <c r="G60" s="2250"/>
      <c r="H60" s="2251"/>
      <c r="I60" s="2250"/>
      <c r="J60" s="2251"/>
      <c r="K60" s="3292"/>
    </row>
    <row r="61" spans="1:13" ht="15.75">
      <c r="B61" s="2183"/>
      <c r="C61" s="2184"/>
      <c r="D61" s="2185" t="s">
        <v>1177</v>
      </c>
      <c r="E61" s="2185"/>
      <c r="F61" s="2185"/>
      <c r="G61" s="2252"/>
      <c r="H61" s="4288"/>
      <c r="I61" s="2252"/>
      <c r="J61" s="4297"/>
      <c r="K61" s="4297"/>
      <c r="M61" s="3066"/>
    </row>
    <row r="62" spans="1:13" ht="15.75">
      <c r="B62" s="2139"/>
      <c r="C62" s="2140"/>
      <c r="D62" s="4171" t="s">
        <v>889</v>
      </c>
      <c r="E62" s="4172"/>
      <c r="F62" s="4173"/>
      <c r="G62" s="2253"/>
      <c r="H62" s="4184">
        <f>'1) Portfolio View'!H43</f>
        <v>1518000</v>
      </c>
      <c r="I62" s="4185"/>
      <c r="J62" s="4334">
        <f>'1) Portfolio View'!J43</f>
        <v>231000</v>
      </c>
      <c r="K62" s="4334">
        <f>'1) Portfolio View'!K43</f>
        <v>1749000</v>
      </c>
    </row>
    <row r="63" spans="1:13">
      <c r="B63" s="2132"/>
      <c r="C63" s="2205"/>
      <c r="D63" s="3366"/>
      <c r="E63" s="4174" t="s">
        <v>890</v>
      </c>
      <c r="F63" s="4174"/>
      <c r="G63" s="4315"/>
      <c r="H63" s="2224">
        <f>'1) Portfolio View'!H44</f>
        <v>1083000</v>
      </c>
      <c r="I63" s="2254"/>
      <c r="J63" s="4335">
        <f>'1) Portfolio View'!J44</f>
        <v>162000</v>
      </c>
      <c r="K63" s="4335">
        <f>'1) Portfolio View'!K44</f>
        <v>1245000</v>
      </c>
    </row>
    <row r="64" spans="1:13">
      <c r="B64" s="2132"/>
      <c r="C64" s="2205"/>
      <c r="D64" s="3366"/>
      <c r="E64" s="4175" t="s">
        <v>891</v>
      </c>
      <c r="F64" s="4176"/>
      <c r="G64" s="4315"/>
      <c r="H64" s="2224">
        <f>'1) Portfolio View'!H45</f>
        <v>297000</v>
      </c>
      <c r="I64" s="2254"/>
      <c r="J64" s="4335">
        <f>'1) Portfolio View'!J45</f>
        <v>48000</v>
      </c>
      <c r="K64" s="4335">
        <f>'1) Portfolio View'!K45</f>
        <v>345000</v>
      </c>
    </row>
    <row r="65" spans="2:11">
      <c r="B65" s="2132"/>
      <c r="C65" s="2205"/>
      <c r="D65" s="3366"/>
      <c r="E65" s="4174" t="s">
        <v>62</v>
      </c>
      <c r="F65" s="4174"/>
      <c r="G65" s="4315"/>
      <c r="H65" s="2224">
        <f>'1) Portfolio View'!H46</f>
        <v>54000</v>
      </c>
      <c r="I65" s="2254"/>
      <c r="J65" s="4335">
        <f>'1) Portfolio View'!J46</f>
        <v>8000</v>
      </c>
      <c r="K65" s="4335">
        <f>'1) Portfolio View'!K46</f>
        <v>62000</v>
      </c>
    </row>
    <row r="66" spans="2:11">
      <c r="B66" s="3365"/>
      <c r="C66" s="3366"/>
      <c r="D66" s="3366"/>
      <c r="E66" s="4174" t="s">
        <v>892</v>
      </c>
      <c r="F66" s="4174"/>
      <c r="G66" s="4315"/>
      <c r="H66" s="2224">
        <f>'1) Portfolio View'!H47</f>
        <v>84000</v>
      </c>
      <c r="I66" s="2254"/>
      <c r="J66" s="4335">
        <f>'1) Portfolio View'!J47</f>
        <v>13000</v>
      </c>
      <c r="K66" s="4335">
        <f>'1) Portfolio View'!K47</f>
        <v>97000</v>
      </c>
    </row>
    <row r="67" spans="2:11">
      <c r="B67" s="2132"/>
      <c r="C67" s="2205"/>
      <c r="D67" s="4282" t="s">
        <v>1179</v>
      </c>
      <c r="E67" s="4178"/>
      <c r="F67" s="2196"/>
      <c r="G67" s="2256"/>
      <c r="H67" s="4184">
        <f>'1) Portfolio View'!H48</f>
        <v>999000</v>
      </c>
      <c r="I67" s="4185"/>
      <c r="J67" s="4334">
        <f>'1) Portfolio View'!J48</f>
        <v>150000</v>
      </c>
      <c r="K67" s="4334">
        <f>'1) Portfolio View'!K48</f>
        <v>1149000</v>
      </c>
    </row>
    <row r="68" spans="2:11">
      <c r="B68" s="2132"/>
      <c r="C68" s="2205"/>
      <c r="D68" s="3366"/>
      <c r="E68" s="4283" t="s">
        <v>1180</v>
      </c>
      <c r="F68" s="4174"/>
      <c r="G68" s="2257"/>
      <c r="H68" s="2224">
        <f>'1) Portfolio View'!H49</f>
        <v>632000</v>
      </c>
      <c r="I68" s="2254"/>
      <c r="J68" s="4335">
        <f>'1) Portfolio View'!J49</f>
        <v>95000</v>
      </c>
      <c r="K68" s="4335">
        <f>'1) Portfolio View'!K49</f>
        <v>727000</v>
      </c>
    </row>
    <row r="69" spans="2:11">
      <c r="B69" s="2132"/>
      <c r="C69" s="2205"/>
      <c r="D69" s="3366"/>
      <c r="E69" s="4175"/>
      <c r="F69" s="2208" t="s">
        <v>907</v>
      </c>
      <c r="G69" s="3367"/>
      <c r="H69" s="4316">
        <f>'1) Portfolio View'!H50</f>
        <v>87000</v>
      </c>
      <c r="I69" s="3369"/>
      <c r="J69" s="4325">
        <f>'1) Portfolio View'!J50</f>
        <v>13000</v>
      </c>
      <c r="K69" s="4325">
        <f>'1) Portfolio View'!K50</f>
        <v>100000</v>
      </c>
    </row>
    <row r="70" spans="2:11">
      <c r="B70" s="2132"/>
      <c r="C70" s="2205"/>
      <c r="D70" s="3366"/>
      <c r="E70" s="4175"/>
      <c r="F70" s="2208" t="s">
        <v>911</v>
      </c>
      <c r="G70" s="3367"/>
      <c r="H70" s="4316">
        <f>'1) Portfolio View'!H51</f>
        <v>296000</v>
      </c>
      <c r="I70" s="3369"/>
      <c r="J70" s="4325">
        <f>'1) Portfolio View'!J51</f>
        <v>44000</v>
      </c>
      <c r="K70" s="4325">
        <f>'1) Portfolio View'!K51</f>
        <v>340000</v>
      </c>
    </row>
    <row r="71" spans="2:11">
      <c r="B71" s="2132"/>
      <c r="C71" s="2205"/>
      <c r="D71" s="3366"/>
      <c r="E71" s="4175"/>
      <c r="F71" s="2208" t="s">
        <v>908</v>
      </c>
      <c r="G71" s="3367"/>
      <c r="H71" s="4316">
        <f>'1) Portfolio View'!H52</f>
        <v>235000</v>
      </c>
      <c r="I71" s="3369"/>
      <c r="J71" s="4325">
        <f>'1) Portfolio View'!J52</f>
        <v>35000</v>
      </c>
      <c r="K71" s="4325">
        <f>'1) Portfolio View'!K52</f>
        <v>270000</v>
      </c>
    </row>
    <row r="72" spans="2:11">
      <c r="B72" s="2132"/>
      <c r="C72" s="2205"/>
      <c r="D72" s="3366"/>
      <c r="E72" s="4175"/>
      <c r="F72" s="2208" t="s">
        <v>909</v>
      </c>
      <c r="G72" s="3367"/>
      <c r="H72" s="4316">
        <f>'1) Portfolio View'!H53</f>
        <v>9000</v>
      </c>
      <c r="I72" s="3369"/>
      <c r="J72" s="4325">
        <f>'1) Portfolio View'!J53</f>
        <v>2000</v>
      </c>
      <c r="K72" s="4325">
        <f>'1) Portfolio View'!K53</f>
        <v>11000</v>
      </c>
    </row>
    <row r="73" spans="2:11">
      <c r="B73" s="2132"/>
      <c r="C73" s="2205"/>
      <c r="D73" s="3366"/>
      <c r="E73" s="4175"/>
      <c r="F73" s="2208" t="s">
        <v>910</v>
      </c>
      <c r="G73" s="3367"/>
      <c r="H73" s="4316">
        <f>'1) Portfolio View'!H54</f>
        <v>5000</v>
      </c>
      <c r="I73" s="3369"/>
      <c r="J73" s="4325">
        <f>'1) Portfolio View'!J54</f>
        <v>1000</v>
      </c>
      <c r="K73" s="4325">
        <f>'1) Portfolio View'!K54</f>
        <v>6000</v>
      </c>
    </row>
    <row r="74" spans="2:11">
      <c r="B74" s="2132"/>
      <c r="C74" s="2205"/>
      <c r="D74" s="3366"/>
      <c r="E74" s="4174" t="s">
        <v>893</v>
      </c>
      <c r="F74" s="4174"/>
      <c r="G74" s="2257"/>
      <c r="H74" s="2224">
        <f>'1) Portfolio View'!H55</f>
        <v>367000</v>
      </c>
      <c r="I74" s="2254"/>
      <c r="J74" s="4335">
        <f>'1) Portfolio View'!J55</f>
        <v>55000</v>
      </c>
      <c r="K74" s="4335">
        <f>'1) Portfolio View'!K55</f>
        <v>422000</v>
      </c>
    </row>
    <row r="75" spans="2:11">
      <c r="B75" s="2132"/>
      <c r="C75" s="2205"/>
      <c r="D75" s="4177" t="s">
        <v>76</v>
      </c>
      <c r="E75" s="4177"/>
      <c r="F75" s="4177"/>
      <c r="G75" s="2256"/>
      <c r="H75" s="4184">
        <f>'1) Portfolio View'!H56</f>
        <v>381000</v>
      </c>
      <c r="I75" s="4185"/>
      <c r="J75" s="4334">
        <f>'1) Portfolio View'!J56</f>
        <v>57000</v>
      </c>
      <c r="K75" s="4334">
        <f>'1) Portfolio View'!K56</f>
        <v>438000</v>
      </c>
    </row>
    <row r="76" spans="2:11">
      <c r="B76" s="2142"/>
      <c r="C76" s="2143"/>
      <c r="D76" s="4179" t="s">
        <v>894</v>
      </c>
      <c r="E76" s="4179"/>
      <c r="F76" s="4179"/>
      <c r="G76" s="2260"/>
      <c r="H76" s="4184">
        <f>'1) Portfolio View'!H57</f>
        <v>62000</v>
      </c>
      <c r="I76" s="4185"/>
      <c r="J76" s="4334">
        <f>'1) Portfolio View'!J57</f>
        <v>25000</v>
      </c>
      <c r="K76" s="4334">
        <f>'1) Portfolio View'!K57</f>
        <v>87000</v>
      </c>
    </row>
    <row r="77" spans="2:11">
      <c r="B77" s="2206"/>
      <c r="C77" s="2211"/>
      <c r="D77" s="4179" t="s">
        <v>100</v>
      </c>
      <c r="E77" s="4179"/>
      <c r="F77" s="4179"/>
      <c r="G77" s="2260"/>
      <c r="H77" s="4309">
        <f>'1) Portfolio View'!H58</f>
        <v>608000</v>
      </c>
      <c r="I77" s="5095"/>
      <c r="J77" s="4336">
        <f>'1) Portfolio View'!J58</f>
        <v>91000</v>
      </c>
      <c r="K77" s="4336">
        <f>'1) Portfolio View'!K58</f>
        <v>699000</v>
      </c>
    </row>
    <row r="78" spans="2:11">
      <c r="B78" s="2124"/>
      <c r="C78" s="2125"/>
      <c r="D78" s="2126" t="s">
        <v>895</v>
      </c>
      <c r="E78" s="2126"/>
      <c r="F78" s="2126"/>
      <c r="G78" s="2226"/>
      <c r="H78" s="4318">
        <f>'1) Portfolio View'!H59</f>
        <v>3568000</v>
      </c>
      <c r="I78" s="5096"/>
      <c r="J78" s="4327">
        <f>'1) Portfolio View'!J59</f>
        <v>554000</v>
      </c>
      <c r="K78" s="4327">
        <f>'1) Portfolio View'!K59</f>
        <v>4122000</v>
      </c>
    </row>
    <row r="79" spans="2:11">
      <c r="B79" s="2121"/>
      <c r="C79" s="3066"/>
      <c r="D79" s="3066"/>
      <c r="E79" s="2145"/>
      <c r="F79" s="3066"/>
      <c r="G79" s="2249"/>
      <c r="H79" s="2248"/>
      <c r="I79" s="2249"/>
      <c r="J79" s="2248"/>
      <c r="K79" s="3291"/>
    </row>
    <row r="80" spans="2:11" ht="15.75">
      <c r="B80" s="2146"/>
      <c r="C80" s="2147"/>
      <c r="D80" s="2148" t="s">
        <v>1178</v>
      </c>
      <c r="E80" s="2148"/>
      <c r="F80" s="2148"/>
      <c r="G80" s="2262"/>
      <c r="H80" s="4289"/>
      <c r="I80" s="2262"/>
      <c r="J80" s="4298"/>
      <c r="K80" s="4298"/>
    </row>
    <row r="81" spans="2:11">
      <c r="B81" s="2149"/>
      <c r="C81" s="2150"/>
      <c r="D81" s="2151" t="s">
        <v>78</v>
      </c>
      <c r="E81" s="2151"/>
      <c r="F81" s="2151"/>
      <c r="G81" s="2263"/>
      <c r="H81" s="2264">
        <f>'1) Portfolio View'!H62</f>
        <v>255000</v>
      </c>
      <c r="I81" s="2265"/>
      <c r="J81" s="4337">
        <f>'1) Portfolio View'!J62</f>
        <v>38000</v>
      </c>
      <c r="K81" s="4337">
        <f>'1) Portfolio View'!K62</f>
        <v>293000</v>
      </c>
    </row>
    <row r="82" spans="2:11" ht="15">
      <c r="B82" s="2118"/>
      <c r="C82" s="2152"/>
      <c r="D82" s="3357" t="s">
        <v>1009</v>
      </c>
      <c r="E82" s="3357"/>
      <c r="F82" s="3357"/>
      <c r="G82" s="2266"/>
      <c r="H82" s="2264">
        <f>'1) Portfolio View'!H63</f>
        <v>237000</v>
      </c>
      <c r="I82" s="2265"/>
      <c r="J82" s="4337">
        <f>'1) Portfolio View'!J63</f>
        <v>35000</v>
      </c>
      <c r="K82" s="4337">
        <f>'1) Portfolio View'!K63</f>
        <v>272000</v>
      </c>
    </row>
    <row r="83" spans="2:11">
      <c r="B83" s="2118"/>
      <c r="C83" s="2152"/>
      <c r="D83" s="2205" t="s">
        <v>81</v>
      </c>
      <c r="E83" s="2205"/>
      <c r="F83" s="2205"/>
      <c r="G83" s="2257"/>
      <c r="H83" s="4716">
        <f>'1) Portfolio View'!H64</f>
        <v>2159000</v>
      </c>
      <c r="I83" s="2265"/>
      <c r="J83" s="4926">
        <f>'1) Portfolio View'!J64</f>
        <v>550000</v>
      </c>
      <c r="K83" s="4337">
        <f>'1) Portfolio View'!K64</f>
        <v>2709000</v>
      </c>
    </row>
    <row r="84" spans="2:11">
      <c r="B84" s="2153"/>
      <c r="C84" s="2154"/>
      <c r="D84" s="2144" t="s">
        <v>782</v>
      </c>
      <c r="E84" s="2155"/>
      <c r="F84" s="2154"/>
      <c r="G84" s="2269"/>
      <c r="H84" s="4310">
        <f>'1) Portfolio View'!H66</f>
        <v>454000</v>
      </c>
      <c r="I84" s="5097"/>
      <c r="J84" s="4338">
        <f>'1) Portfolio View'!J66</f>
        <v>53000</v>
      </c>
      <c r="K84" s="4338">
        <f>'1) Portfolio View'!K66</f>
        <v>507000</v>
      </c>
    </row>
    <row r="85" spans="2:11">
      <c r="B85" s="2124"/>
      <c r="C85" s="2125"/>
      <c r="D85" s="2126" t="s">
        <v>896</v>
      </c>
      <c r="E85" s="2126"/>
      <c r="F85" s="2126"/>
      <c r="G85" s="2226"/>
      <c r="H85" s="4317">
        <f>'1) Portfolio View'!H67</f>
        <v>3738000</v>
      </c>
      <c r="I85" s="5098"/>
      <c r="J85" s="4339">
        <f>'1) Portfolio View'!J67</f>
        <v>777000</v>
      </c>
      <c r="K85" s="4339">
        <f>'1) Portfolio View'!K67</f>
        <v>4515000</v>
      </c>
    </row>
    <row r="86" spans="2:11">
      <c r="B86" s="2137"/>
      <c r="C86" s="2138"/>
      <c r="D86" s="2138"/>
      <c r="E86" s="2138"/>
      <c r="F86" s="2138"/>
      <c r="G86" s="2250"/>
      <c r="H86" s="4311">
        <f>'1) Portfolio View'!H68</f>
        <v>0</v>
      </c>
      <c r="I86" s="5099"/>
      <c r="J86" s="4340">
        <f>'1) Portfolio View'!J68</f>
        <v>0</v>
      </c>
      <c r="K86" s="4340">
        <f>'1) Portfolio View'!K68</f>
        <v>0</v>
      </c>
    </row>
    <row r="87" spans="2:11" ht="15">
      <c r="B87" s="2156" t="s">
        <v>897</v>
      </c>
      <c r="C87" s="2157"/>
      <c r="D87" s="2157"/>
      <c r="E87" s="2158"/>
      <c r="F87" s="2158"/>
      <c r="G87" s="2272">
        <f>G24+G34+G39</f>
        <v>333520</v>
      </c>
      <c r="H87" s="4314">
        <f>'1) Portfolio View'!H69</f>
        <v>93566000</v>
      </c>
      <c r="I87" s="5100">
        <f>'1) Portfolio View'!I69</f>
        <v>4618000</v>
      </c>
      <c r="J87" s="4341">
        <f>'1) Portfolio View'!J69</f>
        <v>13181000</v>
      </c>
      <c r="K87" s="4341">
        <f>'1) Portfolio View'!K69</f>
        <v>106747000</v>
      </c>
    </row>
    <row r="88" spans="2:11">
      <c r="B88" s="2137"/>
      <c r="C88" s="2138"/>
      <c r="D88" s="2138"/>
      <c r="E88" s="2138"/>
      <c r="F88" s="2138"/>
      <c r="G88" s="2274"/>
      <c r="H88" s="2251"/>
      <c r="I88" s="2250"/>
      <c r="J88" s="2251"/>
      <c r="K88" s="3292"/>
    </row>
    <row r="89" spans="2:11" ht="15.75">
      <c r="B89" s="2186"/>
      <c r="C89" s="2187"/>
      <c r="D89" s="2188" t="s">
        <v>784</v>
      </c>
      <c r="E89" s="2188"/>
      <c r="F89" s="2188"/>
      <c r="G89" s="2275"/>
      <c r="H89" s="4290"/>
      <c r="I89" s="2275"/>
      <c r="J89" s="4299"/>
      <c r="K89" s="4299"/>
    </row>
    <row r="90" spans="2:11">
      <c r="B90" s="2159" t="s">
        <v>898</v>
      </c>
      <c r="C90" s="2160"/>
      <c r="D90" s="2130" t="s">
        <v>3</v>
      </c>
      <c r="E90" s="2161"/>
      <c r="F90" s="2160"/>
      <c r="G90" s="2276"/>
      <c r="H90" s="2277">
        <f>'1) Portfolio View'!H72</f>
        <v>461000</v>
      </c>
      <c r="I90" s="2278"/>
      <c r="J90" s="4332">
        <f>'1) Portfolio View'!J72</f>
        <v>0</v>
      </c>
      <c r="K90" s="4332">
        <f>'1) Portfolio View'!K72</f>
        <v>461000</v>
      </c>
    </row>
    <row r="91" spans="2:11">
      <c r="B91" s="2118" t="s">
        <v>899</v>
      </c>
      <c r="C91" s="2152"/>
      <c r="D91" s="2141" t="s">
        <v>900</v>
      </c>
      <c r="E91" s="2205"/>
      <c r="F91" s="2205"/>
      <c r="G91" s="2257"/>
      <c r="H91" s="4287">
        <f>'1) Portfolio View'!H73</f>
        <v>120000</v>
      </c>
      <c r="I91" s="5101"/>
      <c r="J91" s="4342">
        <f>'1) Portfolio View'!J73</f>
        <v>0</v>
      </c>
      <c r="K91" s="4342">
        <f>'1) Portfolio View'!K73</f>
        <v>120000</v>
      </c>
    </row>
    <row r="92" spans="2:11">
      <c r="B92" s="2118" t="s">
        <v>1148</v>
      </c>
      <c r="C92" s="2152"/>
      <c r="D92" s="2205" t="s">
        <v>1163</v>
      </c>
      <c r="E92" s="2205"/>
      <c r="F92" s="2205"/>
      <c r="G92" s="2257"/>
      <c r="H92" s="4287">
        <f>'1) Portfolio View'!H74</f>
        <v>244000</v>
      </c>
      <c r="I92" s="5101"/>
      <c r="J92" s="4342">
        <f>'1) Portfolio View'!J74</f>
        <v>0</v>
      </c>
      <c r="K92" s="4342">
        <f>'1) Portfolio View'!K74</f>
        <v>244000</v>
      </c>
    </row>
    <row r="93" spans="2:11">
      <c r="B93" s="2122" t="s">
        <v>901</v>
      </c>
      <c r="C93" s="2162"/>
      <c r="D93" s="2135" t="s">
        <v>902</v>
      </c>
      <c r="E93" s="2135"/>
      <c r="F93" s="2135"/>
      <c r="G93" s="4312"/>
      <c r="H93" s="4287">
        <f>'1) Portfolio View'!H75</f>
        <v>10000</v>
      </c>
      <c r="I93" s="5101"/>
      <c r="J93" s="4342">
        <f>'1) Portfolio View'!J75</f>
        <v>0</v>
      </c>
      <c r="K93" s="4342">
        <f>'1) Portfolio View'!K75</f>
        <v>10000</v>
      </c>
    </row>
    <row r="94" spans="2:11">
      <c r="B94" s="2124"/>
      <c r="C94" s="2125"/>
      <c r="D94" s="2163" t="s">
        <v>903</v>
      </c>
      <c r="E94" s="2164"/>
      <c r="F94" s="2165"/>
      <c r="G94" s="2247"/>
      <c r="H94" s="4308">
        <f>'1) Portfolio View'!H76</f>
        <v>835000</v>
      </c>
      <c r="I94" s="5102"/>
      <c r="J94" s="4343">
        <f>'1) Portfolio View'!J76</f>
        <v>0</v>
      </c>
      <c r="K94" s="4343">
        <f>'1) Portfolio View'!K76</f>
        <v>835000</v>
      </c>
    </row>
    <row r="95" spans="2:11" ht="13.5" thickBot="1">
      <c r="B95" s="2166"/>
      <c r="C95" s="2167"/>
      <c r="D95" s="2168"/>
      <c r="E95" s="2168"/>
      <c r="F95" s="2168"/>
      <c r="G95" s="2283"/>
      <c r="H95" s="2284"/>
      <c r="I95" s="2283"/>
      <c r="J95" s="4355"/>
      <c r="K95" s="4300"/>
    </row>
    <row r="96" spans="2:11">
      <c r="B96" s="3066"/>
      <c r="C96" s="3066"/>
      <c r="D96" s="3066"/>
      <c r="E96" s="3066"/>
      <c r="F96" s="3066"/>
      <c r="G96" s="2285" t="s">
        <v>7</v>
      </c>
      <c r="H96" s="2248"/>
      <c r="I96" s="2249"/>
      <c r="J96" s="2248"/>
      <c r="K96" s="2248"/>
    </row>
    <row r="97" spans="2:14">
      <c r="B97" s="3066"/>
      <c r="C97" s="3066"/>
      <c r="D97" s="2138"/>
      <c r="E97" s="2138"/>
      <c r="F97" s="2138"/>
      <c r="G97" s="2250"/>
      <c r="H97" s="2251"/>
      <c r="I97" s="2250"/>
      <c r="J97" s="2251"/>
      <c r="K97" s="2251"/>
    </row>
    <row r="98" spans="2:14" ht="15.75" thickBot="1">
      <c r="B98" s="2169"/>
      <c r="C98" s="2189"/>
      <c r="D98" s="2193" t="s">
        <v>904</v>
      </c>
      <c r="E98" s="2193"/>
      <c r="F98" s="2193"/>
      <c r="G98" s="5108">
        <f>'1) Portfolio View'!G80</f>
        <v>38.073059360730596</v>
      </c>
      <c r="H98" s="4927">
        <f>'1) Portfolio View'!H80</f>
        <v>94401000</v>
      </c>
      <c r="I98" s="5103">
        <f>'1) Portfolio View'!I80</f>
        <v>4618000</v>
      </c>
      <c r="J98" s="4928">
        <f>'1) Portfolio View'!J80</f>
        <v>13181000</v>
      </c>
      <c r="K98" s="4927">
        <f>'1) Portfolio View'!K80</f>
        <v>107582000</v>
      </c>
      <c r="L98" s="4356"/>
    </row>
    <row r="99" spans="2:14" s="3534" customFormat="1" ht="15.75" thickBot="1">
      <c r="B99" s="2170"/>
      <c r="C99" s="2170"/>
      <c r="D99" s="2171"/>
      <c r="E99" s="2171"/>
      <c r="F99" s="2171"/>
      <c r="G99" s="4929"/>
      <c r="H99" s="4930"/>
      <c r="I99" s="4931"/>
      <c r="J99" s="4930"/>
      <c r="K99" s="4930"/>
      <c r="L99" s="3530"/>
    </row>
    <row r="100" spans="2:14" ht="21.75" customHeight="1">
      <c r="B100" s="2170"/>
      <c r="C100" s="2170"/>
      <c r="D100" s="4758" t="s">
        <v>1344</v>
      </c>
      <c r="E100" s="4774"/>
      <c r="F100" s="4774"/>
      <c r="G100" s="4932">
        <v>37.4</v>
      </c>
      <c r="H100" s="4933">
        <v>95053983</v>
      </c>
      <c r="I100" s="4934">
        <v>4671480</v>
      </c>
      <c r="J100" s="4933">
        <v>13164354</v>
      </c>
      <c r="K100" s="4935">
        <f>H100+J100</f>
        <v>108218337</v>
      </c>
    </row>
    <row r="101" spans="2:14" s="4739" customFormat="1" ht="21.75" customHeight="1" thickBot="1">
      <c r="B101" s="2170"/>
      <c r="C101" s="2170"/>
      <c r="D101" s="4766"/>
      <c r="E101" s="4757"/>
      <c r="F101" s="4764" t="s">
        <v>1333</v>
      </c>
      <c r="G101" s="4936">
        <f>G98-G100</f>
        <v>0.67305936073059769</v>
      </c>
      <c r="H101" s="4937">
        <f>H98-H100</f>
        <v>-652983</v>
      </c>
      <c r="I101" s="4938">
        <f>I98-I100</f>
        <v>-53480</v>
      </c>
      <c r="J101" s="4937">
        <f>J98-J100</f>
        <v>16646</v>
      </c>
      <c r="K101" s="4939">
        <f>K98-K100</f>
        <v>-636337</v>
      </c>
      <c r="L101" s="4720"/>
    </row>
    <row r="102" spans="2:14" s="4739" customFormat="1" ht="14.25" customHeight="1">
      <c r="B102" s="2170"/>
      <c r="C102" s="2170"/>
      <c r="D102" s="2171"/>
      <c r="E102" s="2171"/>
      <c r="F102" s="2171"/>
      <c r="G102" s="2289"/>
      <c r="H102" s="2290"/>
      <c r="I102" s="2291"/>
      <c r="J102" s="2290"/>
      <c r="K102" s="4301"/>
      <c r="L102" s="4720"/>
    </row>
    <row r="103" spans="2:14" hidden="1">
      <c r="B103" s="2207"/>
      <c r="C103" s="2207"/>
      <c r="D103" s="2191"/>
      <c r="E103" s="2191"/>
      <c r="F103" s="2194" t="s">
        <v>905</v>
      </c>
      <c r="G103" s="2293" t="s">
        <v>1048</v>
      </c>
      <c r="H103" s="2294">
        <v>166810000</v>
      </c>
      <c r="I103" s="2295">
        <v>9054000</v>
      </c>
      <c r="J103" s="2294">
        <v>33350000</v>
      </c>
      <c r="K103" s="4302">
        <v>200160000</v>
      </c>
    </row>
    <row r="104" spans="2:14" ht="7.5" customHeight="1">
      <c r="G104" s="2296"/>
      <c r="H104" s="4291"/>
      <c r="I104" s="2296"/>
      <c r="J104" s="4291"/>
      <c r="K104" s="4291"/>
    </row>
    <row r="105" spans="2:14" ht="7.5" hidden="1" customHeight="1">
      <c r="G105" s="2300"/>
      <c r="H105" s="4292"/>
      <c r="I105" s="2299"/>
      <c r="J105" s="4292"/>
      <c r="K105" s="4292"/>
    </row>
    <row r="106" spans="2:14" ht="30.75" customHeight="1">
      <c r="F106" s="5199" t="s">
        <v>1454</v>
      </c>
      <c r="G106" s="5200"/>
      <c r="H106" s="2302">
        <f>(H23+H32+H78)/H87</f>
        <v>3.8464826967060682E-2</v>
      </c>
      <c r="I106" s="2301"/>
      <c r="J106" s="4918">
        <f>(J23+J32+J78)/J87</f>
        <v>4.4154464759881648E-2</v>
      </c>
      <c r="K106" s="4291"/>
    </row>
    <row r="107" spans="2:14">
      <c r="F107" s="3532" t="s">
        <v>1047</v>
      </c>
      <c r="G107" s="2296"/>
      <c r="H107" s="2303"/>
      <c r="I107" s="2296"/>
      <c r="J107" s="2303"/>
      <c r="K107" s="4291"/>
      <c r="N107" s="5109"/>
    </row>
    <row r="108" spans="2:14" ht="8.25" customHeight="1">
      <c r="G108" s="2296"/>
      <c r="H108" s="2303"/>
      <c r="I108" s="2296"/>
      <c r="J108" s="2303"/>
      <c r="K108" s="4291"/>
    </row>
    <row r="109" spans="2:14" ht="8.25" customHeight="1">
      <c r="G109" s="2296"/>
      <c r="H109" s="2303"/>
      <c r="I109" s="2296"/>
      <c r="J109" s="2303"/>
      <c r="K109" s="4291"/>
    </row>
    <row r="110" spans="2:14">
      <c r="F110" s="3067" t="s">
        <v>906</v>
      </c>
      <c r="G110" s="3067"/>
      <c r="H110" s="2304">
        <f>H83/(H24+H34)</f>
        <v>2.6654650057408115E-2</v>
      </c>
      <c r="I110" s="2301"/>
      <c r="J110" s="2304">
        <f>J83/(J24+J34)</f>
        <v>4.6413502109704644E-2</v>
      </c>
      <c r="K110" s="4313"/>
    </row>
    <row r="125" spans="8:8">
      <c r="H125" s="4293"/>
    </row>
  </sheetData>
  <sheetProtection password="9E1F" sheet="1" objects="1" scenarios="1"/>
  <customSheetViews>
    <customSheetView guid="{074EB09C-6289-46D7-9513-012B68BCA7BF}" scale="80" showGridLines="0" hiddenRows="1" topLeftCell="A55">
      <selection activeCell="A43" sqref="A43:L98"/>
      <pageMargins left="0.7" right="0.7" top="0.75" bottom="0.75" header="0.3" footer="0.3"/>
      <pageSetup orientation="portrait" r:id="rId1"/>
    </customSheetView>
    <customSheetView guid="{AF9F1D33-B8C2-423F-86A1-47612B8F532C}" showGridLines="0" topLeftCell="E6">
      <selection activeCell="B44" sqref="B44"/>
      <pageMargins left="0.7" right="0.7" top="0.75" bottom="0.75" header="0.3" footer="0.3"/>
      <pageSetup orientation="portrait"/>
    </customSheetView>
  </customSheetViews>
  <mergeCells count="5">
    <mergeCell ref="G4:J4"/>
    <mergeCell ref="B5:C5"/>
    <mergeCell ref="B57:C57"/>
    <mergeCell ref="F106:G106"/>
    <mergeCell ref="F44:G44"/>
  </mergeCell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sheetPr enableFormatConditionsCalculation="0">
    <tabColor theme="6" tint="0.59999389629810485"/>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G13" sqref="G13"/>
    </sheetView>
  </sheetViews>
  <sheetFormatPr defaultColWidth="8.85546875" defaultRowHeight="12.75"/>
  <cols>
    <col min="1" max="1" width="15.28515625" style="3064" customWidth="1"/>
    <col min="2" max="2" width="24" bestFit="1" customWidth="1"/>
    <col min="3" max="3" width="39.7109375" customWidth="1"/>
    <col min="4" max="4" width="15.42578125" style="19" customWidth="1"/>
    <col min="5" max="5" width="15.42578125" customWidth="1"/>
    <col min="6" max="6" width="19.140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1.425781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1.425781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1.425781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1.425781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1.425781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1.425781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1.425781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1.425781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1.425781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1.425781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1.425781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1.425781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1.425781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1.425781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1.425781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1.425781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1.425781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1.425781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1.425781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1.425781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1.425781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1.425781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1.425781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1.425781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1.425781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1.425781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1.425781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1.425781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1.425781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1.425781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1.425781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1.425781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1.425781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1.425781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1.425781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1.425781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1.425781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1.425781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1.425781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1.425781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1.425781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1.425781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1.425781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1.425781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1.425781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1.425781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1.425781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1.425781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1.425781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1.425781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1.425781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1.425781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1.425781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1.425781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1.425781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1.425781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1.425781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1.425781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1.425781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1.425781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1.425781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1.425781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1.425781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461"/>
      <c r="F1" s="198"/>
      <c r="G1" s="198">
        <f>C3</f>
        <v>18230433</v>
      </c>
      <c r="H1" s="198" t="str">
        <f>C4</f>
        <v>Energy Star Manufactured Home Elect</v>
      </c>
      <c r="I1" s="198"/>
    </row>
    <row r="2" spans="2:22" ht="16.5" thickBot="1">
      <c r="B2" s="198" t="s">
        <v>109</v>
      </c>
      <c r="C2" s="199" t="s">
        <v>442</v>
      </c>
      <c r="G2" s="200" t="s">
        <v>8</v>
      </c>
      <c r="Q2" s="5133"/>
      <c r="R2" s="5133"/>
      <c r="S2" s="5124" t="s">
        <v>110</v>
      </c>
      <c r="T2" s="5125"/>
      <c r="U2" s="5126"/>
      <c r="V2" s="5118" t="s">
        <v>111</v>
      </c>
    </row>
    <row r="3" spans="2:22" ht="16.5" thickBot="1">
      <c r="B3" s="199" t="s">
        <v>6</v>
      </c>
      <c r="C3" s="199">
        <v>18230433</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452</v>
      </c>
      <c r="F4" s="198">
        <v>2011</v>
      </c>
      <c r="G4" s="206">
        <f>B13</f>
        <v>8993</v>
      </c>
      <c r="H4" s="207">
        <f>B18</f>
        <v>4000</v>
      </c>
      <c r="I4" s="207">
        <f>B23</f>
        <v>8185</v>
      </c>
      <c r="J4" s="207">
        <f>B28</f>
        <v>2919</v>
      </c>
      <c r="K4" s="207">
        <f>B33</f>
        <v>800</v>
      </c>
      <c r="L4" s="207">
        <f>B38</f>
        <v>0</v>
      </c>
      <c r="M4" s="207">
        <f>B43</f>
        <v>0</v>
      </c>
      <c r="N4" s="207">
        <f>B48</f>
        <v>0</v>
      </c>
      <c r="O4" s="207">
        <f>B53</f>
        <v>24000</v>
      </c>
      <c r="P4" s="207">
        <f>B54</f>
        <v>0</v>
      </c>
      <c r="Q4" s="209">
        <f>B55</f>
        <v>48897</v>
      </c>
      <c r="R4" s="210">
        <f>T55</f>
        <v>0</v>
      </c>
      <c r="S4" s="316">
        <f>O4/Q4</f>
        <v>0.49082765813853613</v>
      </c>
      <c r="T4" s="316">
        <f>(J4+(H4*1.63))/Q4</f>
        <v>0.19303842771540175</v>
      </c>
      <c r="U4" s="316">
        <f>L4/Q4</f>
        <v>0</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317" t="e">
        <f>O5/Q5</f>
        <v>#DIV/0!</v>
      </c>
      <c r="T5" s="317" t="e">
        <f>(J5+(H5*1.63))/Q5</f>
        <v>#DIV/0!</v>
      </c>
      <c r="U5" s="317" t="e">
        <f>L5/Q5</f>
        <v>#DIV/0!</v>
      </c>
      <c r="V5" s="218" t="e">
        <f>Q5/R5</f>
        <v>#DIV/0!</v>
      </c>
    </row>
    <row r="6" spans="2:22" s="3532" customFormat="1" ht="16.5" thickBot="1">
      <c r="B6" s="3536"/>
      <c r="D6" s="3533"/>
      <c r="F6" s="4249" t="s">
        <v>1168</v>
      </c>
      <c r="G6" s="4241">
        <v>8993</v>
      </c>
      <c r="H6" s="4242">
        <v>4000</v>
      </c>
      <c r="I6" s="4242">
        <v>8185.59</v>
      </c>
      <c r="J6" s="4242">
        <v>3505</v>
      </c>
      <c r="K6" s="4242">
        <v>800</v>
      </c>
      <c r="L6" s="4242">
        <v>0</v>
      </c>
      <c r="M6" s="4242">
        <v>0</v>
      </c>
      <c r="N6" s="4242">
        <v>0</v>
      </c>
      <c r="O6" s="4242">
        <v>24000</v>
      </c>
      <c r="P6" s="4242">
        <v>0</v>
      </c>
      <c r="Q6" s="4243">
        <v>49483.59</v>
      </c>
      <c r="R6" s="219">
        <v>418420</v>
      </c>
      <c r="S6" s="3637">
        <v>0.48500927277103384</v>
      </c>
      <c r="T6" s="3637">
        <v>0.20259241498040059</v>
      </c>
      <c r="U6" s="3637">
        <v>0</v>
      </c>
      <c r="V6" s="3498">
        <v>0.11826296544142248</v>
      </c>
    </row>
    <row r="7" spans="2:22" ht="16.5" thickBot="1">
      <c r="C7" s="3536" t="s">
        <v>1171</v>
      </c>
      <c r="F7" s="4191" t="s">
        <v>1169</v>
      </c>
      <c r="G7" s="4192">
        <f>E13</f>
        <v>8993</v>
      </c>
      <c r="H7" s="4193">
        <f>E18</f>
        <v>4000</v>
      </c>
      <c r="I7" s="4193">
        <f>E23</f>
        <v>9186.0509999999995</v>
      </c>
      <c r="J7" s="4193">
        <f>E28</f>
        <v>3505</v>
      </c>
      <c r="K7" s="4193">
        <f>E33</f>
        <v>800</v>
      </c>
      <c r="L7" s="4193">
        <f>E38</f>
        <v>0</v>
      </c>
      <c r="M7" s="4193">
        <f>E43</f>
        <v>0</v>
      </c>
      <c r="N7" s="4193">
        <f>E48</f>
        <v>0</v>
      </c>
      <c r="O7" s="4193">
        <f>E53</f>
        <v>24000</v>
      </c>
      <c r="P7" s="4193">
        <f>E54</f>
        <v>0</v>
      </c>
      <c r="Q7" s="4244">
        <f>SUM(G7:P7)</f>
        <v>50484.050999999999</v>
      </c>
      <c r="R7" s="4245">
        <f>Q55</f>
        <v>418420</v>
      </c>
      <c r="S7" s="317">
        <f>O7/Q7</f>
        <v>0.47539766569049696</v>
      </c>
      <c r="T7" s="317">
        <f>(J7+(H7*1.63))/Q7</f>
        <v>0.19857756660613468</v>
      </c>
      <c r="U7" s="317">
        <f>L7/Q7</f>
        <v>0</v>
      </c>
      <c r="V7" s="218">
        <f>Q7/R7</f>
        <v>0.12065401032455428</v>
      </c>
    </row>
    <row r="8" spans="2:22" ht="16.5" thickBot="1">
      <c r="C8" s="220" t="s">
        <v>445</v>
      </c>
      <c r="F8" s="221" t="s">
        <v>1170</v>
      </c>
      <c r="G8" s="222">
        <f>SUM(G5+G7)</f>
        <v>8993</v>
      </c>
      <c r="H8" s="222">
        <f t="shared" ref="H8:Q8" si="0">SUM(H5+H7)</f>
        <v>4000</v>
      </c>
      <c r="I8" s="222">
        <f t="shared" si="0"/>
        <v>9186.0509999999995</v>
      </c>
      <c r="J8" s="222">
        <f t="shared" si="0"/>
        <v>3505</v>
      </c>
      <c r="K8" s="222">
        <f t="shared" si="0"/>
        <v>800</v>
      </c>
      <c r="L8" s="222">
        <f t="shared" si="0"/>
        <v>0</v>
      </c>
      <c r="M8" s="222">
        <f t="shared" si="0"/>
        <v>0</v>
      </c>
      <c r="N8" s="222">
        <f t="shared" si="0"/>
        <v>0</v>
      </c>
      <c r="O8" s="222">
        <f t="shared" si="0"/>
        <v>24000</v>
      </c>
      <c r="P8" s="222">
        <f t="shared" si="0"/>
        <v>0</v>
      </c>
      <c r="Q8" s="4248">
        <f t="shared" si="0"/>
        <v>50484.050999999999</v>
      </c>
      <c r="R8" s="4246">
        <f>SUM(R5+R7)</f>
        <v>418420</v>
      </c>
      <c r="S8" s="317">
        <f>O8/Q8</f>
        <v>0.47539766569049696</v>
      </c>
      <c r="T8" s="317">
        <f>(J8+(H8*1.63))/Q8</f>
        <v>0.19857756660613468</v>
      </c>
      <c r="U8" s="317">
        <f>L8/Q8</f>
        <v>0</v>
      </c>
      <c r="V8" s="218">
        <f>Q8/R8</f>
        <v>0.12065401032455428</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8993</v>
      </c>
      <c r="C13" s="236" t="s">
        <v>138</v>
      </c>
      <c r="D13" s="237">
        <f>SUM(D14:D17)</f>
        <v>0</v>
      </c>
      <c r="E13" s="237">
        <f>SUM(E14:E17)</f>
        <v>8993</v>
      </c>
      <c r="F13" s="238">
        <f>D13+E13</f>
        <v>8993</v>
      </c>
      <c r="H13" s="132"/>
      <c r="I13" s="239" t="str">
        <f t="shared" ref="I13:I54" si="1">C63</f>
        <v>Heating Zone 1 / cooling zone n/a - FAF</v>
      </c>
      <c r="J13" s="240"/>
      <c r="K13" s="241"/>
      <c r="L13" s="242">
        <f t="shared" ref="L13:L54" si="2">D63</f>
        <v>5420</v>
      </c>
      <c r="M13" s="257">
        <v>0</v>
      </c>
      <c r="N13" s="257">
        <v>40</v>
      </c>
      <c r="O13" s="244">
        <f>M13+N13</f>
        <v>40</v>
      </c>
      <c r="P13" s="245">
        <f t="shared" ref="P13:R28" si="3">M13*$D63</f>
        <v>0</v>
      </c>
      <c r="Q13" s="245">
        <f t="shared" si="3"/>
        <v>216800</v>
      </c>
      <c r="R13" s="246">
        <f t="shared" si="3"/>
        <v>216800</v>
      </c>
      <c r="T13" s="4891"/>
    </row>
    <row r="14" spans="2:22">
      <c r="B14" s="247"/>
      <c r="C14" s="248" t="s">
        <v>377</v>
      </c>
      <c r="D14" s="249">
        <v>0</v>
      </c>
      <c r="E14" s="249">
        <v>3459</v>
      </c>
      <c r="F14" s="249">
        <f>SUM(D14:E14)</f>
        <v>3459</v>
      </c>
      <c r="H14" s="132"/>
      <c r="I14" s="250" t="str">
        <f t="shared" si="1"/>
        <v>Heating Zone 2 / cooling zone 2 -  HP</v>
      </c>
      <c r="J14" s="251"/>
      <c r="K14" s="252"/>
      <c r="L14" s="242">
        <f t="shared" si="2"/>
        <v>4390</v>
      </c>
      <c r="M14" s="257">
        <v>0</v>
      </c>
      <c r="N14" s="257">
        <v>20</v>
      </c>
      <c r="O14" s="244">
        <f t="shared" ref="O14:O54" si="4">M14+N14</f>
        <v>20</v>
      </c>
      <c r="P14" s="245">
        <f t="shared" si="3"/>
        <v>0</v>
      </c>
      <c r="Q14" s="245">
        <f t="shared" si="3"/>
        <v>87800</v>
      </c>
      <c r="R14" s="246">
        <f t="shared" si="3"/>
        <v>87800</v>
      </c>
      <c r="T14" s="4891"/>
    </row>
    <row r="15" spans="2:22">
      <c r="B15" s="254"/>
      <c r="C15" s="255" t="s">
        <v>446</v>
      </c>
      <c r="D15" s="256">
        <v>0</v>
      </c>
      <c r="E15" s="256">
        <v>3459</v>
      </c>
      <c r="F15" s="249">
        <f t="shared" ref="F15:F25" si="5">SUM(D15:E15)</f>
        <v>3459</v>
      </c>
      <c r="H15" s="132"/>
      <c r="I15" s="250" t="str">
        <f t="shared" si="1"/>
        <v>Heating Zone 1 / cooling zone n/a - FAF</v>
      </c>
      <c r="J15" s="251"/>
      <c r="K15" s="252"/>
      <c r="L15" s="242">
        <f t="shared" si="2"/>
        <v>5691</v>
      </c>
      <c r="M15" s="257">
        <v>0</v>
      </c>
      <c r="N15" s="257">
        <v>20</v>
      </c>
      <c r="O15" s="244">
        <f t="shared" si="4"/>
        <v>20</v>
      </c>
      <c r="P15" s="245">
        <f t="shared" si="3"/>
        <v>0</v>
      </c>
      <c r="Q15" s="245">
        <f t="shared" si="3"/>
        <v>113820</v>
      </c>
      <c r="R15" s="246">
        <f t="shared" si="3"/>
        <v>113820</v>
      </c>
      <c r="T15" s="4891"/>
    </row>
    <row r="16" spans="2:22">
      <c r="B16" s="254"/>
      <c r="C16" s="255" t="s">
        <v>447</v>
      </c>
      <c r="D16" s="258">
        <v>0</v>
      </c>
      <c r="E16" s="258">
        <v>2075</v>
      </c>
      <c r="F16" s="249">
        <f t="shared" si="5"/>
        <v>2075</v>
      </c>
      <c r="H16" s="132"/>
      <c r="I16" s="250" t="str">
        <f t="shared" si="1"/>
        <v>Measure 4</v>
      </c>
      <c r="J16" s="251"/>
      <c r="K16" s="252"/>
      <c r="L16" s="242">
        <f t="shared" si="2"/>
        <v>0</v>
      </c>
      <c r="M16" s="257">
        <v>0</v>
      </c>
      <c r="N16" s="257">
        <v>0</v>
      </c>
      <c r="O16" s="244">
        <f t="shared" si="4"/>
        <v>0</v>
      </c>
      <c r="P16" s="245">
        <f t="shared" si="3"/>
        <v>0</v>
      </c>
      <c r="Q16" s="245">
        <f t="shared" si="3"/>
        <v>0</v>
      </c>
      <c r="R16" s="246">
        <f t="shared" si="3"/>
        <v>0</v>
      </c>
      <c r="T16" s="4891"/>
    </row>
    <row r="17" spans="2:20" ht="13.5" thickBot="1">
      <c r="B17" s="254"/>
      <c r="C17" s="255" t="s">
        <v>142</v>
      </c>
      <c r="D17" s="258">
        <v>0</v>
      </c>
      <c r="E17" s="258"/>
      <c r="F17" s="249">
        <f t="shared" si="5"/>
        <v>0</v>
      </c>
      <c r="H17" s="132"/>
      <c r="I17" s="250" t="str">
        <f t="shared" si="1"/>
        <v>Measure 5</v>
      </c>
      <c r="J17" s="251"/>
      <c r="K17" s="252"/>
      <c r="L17" s="242">
        <f t="shared" si="2"/>
        <v>0</v>
      </c>
      <c r="M17" s="257">
        <v>0</v>
      </c>
      <c r="N17" s="257">
        <v>0</v>
      </c>
      <c r="O17" s="244">
        <f t="shared" si="4"/>
        <v>0</v>
      </c>
      <c r="P17" s="245">
        <f t="shared" si="3"/>
        <v>0</v>
      </c>
      <c r="Q17" s="245">
        <f t="shared" si="3"/>
        <v>0</v>
      </c>
      <c r="R17" s="246">
        <f t="shared" si="3"/>
        <v>0</v>
      </c>
      <c r="T17" s="4891"/>
    </row>
    <row r="18" spans="2:20" ht="13.5" thickBot="1">
      <c r="B18" s="262">
        <v>4000</v>
      </c>
      <c r="C18" s="236" t="s">
        <v>143</v>
      </c>
      <c r="D18" s="237">
        <f>SUM(D19:D22)</f>
        <v>0</v>
      </c>
      <c r="E18" s="237">
        <f>SUM(E19:E22)</f>
        <v>4000</v>
      </c>
      <c r="F18" s="238">
        <f>D18+E18</f>
        <v>4000</v>
      </c>
      <c r="H18" s="132"/>
      <c r="I18" s="250" t="str">
        <f t="shared" si="1"/>
        <v>Measure 6</v>
      </c>
      <c r="J18" s="251"/>
      <c r="K18" s="252"/>
      <c r="L18" s="242">
        <f t="shared" si="2"/>
        <v>0</v>
      </c>
      <c r="M18" s="257">
        <v>0</v>
      </c>
      <c r="N18" s="257">
        <v>0</v>
      </c>
      <c r="O18" s="244">
        <f t="shared" si="4"/>
        <v>0</v>
      </c>
      <c r="P18" s="245">
        <f t="shared" si="3"/>
        <v>0</v>
      </c>
      <c r="Q18" s="245">
        <f t="shared" si="3"/>
        <v>0</v>
      </c>
      <c r="R18" s="246">
        <f t="shared" si="3"/>
        <v>0</v>
      </c>
      <c r="T18" s="4891"/>
    </row>
    <row r="19" spans="2:20">
      <c r="B19" s="247"/>
      <c r="C19" s="248" t="s">
        <v>448</v>
      </c>
      <c r="D19" s="249">
        <v>0</v>
      </c>
      <c r="E19" s="249">
        <v>4000</v>
      </c>
      <c r="F19" s="249">
        <f t="shared" si="5"/>
        <v>4000</v>
      </c>
      <c r="H19" s="132"/>
      <c r="I19" s="250" t="str">
        <f t="shared" si="1"/>
        <v>Measure 7</v>
      </c>
      <c r="J19" s="251"/>
      <c r="K19" s="252"/>
      <c r="L19" s="242">
        <f t="shared" si="2"/>
        <v>0</v>
      </c>
      <c r="M19" s="257">
        <v>0</v>
      </c>
      <c r="N19" s="257">
        <v>0</v>
      </c>
      <c r="O19" s="244">
        <f t="shared" si="4"/>
        <v>0</v>
      </c>
      <c r="P19" s="245">
        <f t="shared" si="3"/>
        <v>0</v>
      </c>
      <c r="Q19" s="245">
        <f t="shared" si="3"/>
        <v>0</v>
      </c>
      <c r="R19" s="246">
        <f t="shared" si="3"/>
        <v>0</v>
      </c>
      <c r="T19" s="4891"/>
    </row>
    <row r="20" spans="2:20">
      <c r="B20" s="254"/>
      <c r="C20" s="255" t="s">
        <v>140</v>
      </c>
      <c r="D20" s="256">
        <v>0</v>
      </c>
      <c r="E20" s="256"/>
      <c r="F20" s="249">
        <f t="shared" si="5"/>
        <v>0</v>
      </c>
      <c r="H20" s="132"/>
      <c r="I20" s="250" t="str">
        <f t="shared" si="1"/>
        <v>Measure 8</v>
      </c>
      <c r="J20" s="251"/>
      <c r="K20" s="252"/>
      <c r="L20" s="242">
        <f t="shared" si="2"/>
        <v>0</v>
      </c>
      <c r="M20" s="257">
        <v>0</v>
      </c>
      <c r="N20" s="257">
        <v>0</v>
      </c>
      <c r="O20" s="244">
        <f t="shared" si="4"/>
        <v>0</v>
      </c>
      <c r="P20" s="245">
        <f t="shared" si="3"/>
        <v>0</v>
      </c>
      <c r="Q20" s="245">
        <f t="shared" si="3"/>
        <v>0</v>
      </c>
      <c r="R20" s="246">
        <f t="shared" si="3"/>
        <v>0</v>
      </c>
      <c r="T20" s="4891"/>
    </row>
    <row r="21" spans="2:20">
      <c r="B21" s="254"/>
      <c r="C21" s="255" t="s">
        <v>141</v>
      </c>
      <c r="D21" s="258">
        <v>0</v>
      </c>
      <c r="E21" s="258"/>
      <c r="F21" s="249">
        <f t="shared" si="5"/>
        <v>0</v>
      </c>
      <c r="H21" s="132"/>
      <c r="I21" s="250" t="str">
        <f t="shared" si="1"/>
        <v>Measure 9</v>
      </c>
      <c r="J21" s="251"/>
      <c r="K21" s="252"/>
      <c r="L21" s="242">
        <f t="shared" si="2"/>
        <v>0</v>
      </c>
      <c r="M21" s="257">
        <v>0</v>
      </c>
      <c r="N21" s="257">
        <v>0</v>
      </c>
      <c r="O21" s="244">
        <f t="shared" si="4"/>
        <v>0</v>
      </c>
      <c r="P21" s="245">
        <f t="shared" si="3"/>
        <v>0</v>
      </c>
      <c r="Q21" s="245">
        <f t="shared" si="3"/>
        <v>0</v>
      </c>
      <c r="R21" s="246">
        <f t="shared" si="3"/>
        <v>0</v>
      </c>
      <c r="T21" s="4891"/>
    </row>
    <row r="22" spans="2:20" ht="13.5" thickBot="1">
      <c r="B22" s="254"/>
      <c r="C22" s="255" t="s">
        <v>142</v>
      </c>
      <c r="D22" s="258">
        <v>0</v>
      </c>
      <c r="E22" s="258"/>
      <c r="F22" s="249">
        <f t="shared" si="5"/>
        <v>0</v>
      </c>
      <c r="H22" s="132"/>
      <c r="I22" s="250" t="str">
        <f t="shared" si="1"/>
        <v>Measure 10</v>
      </c>
      <c r="J22" s="251"/>
      <c r="K22" s="252"/>
      <c r="L22" s="242">
        <f t="shared" si="2"/>
        <v>0</v>
      </c>
      <c r="M22" s="257">
        <v>0</v>
      </c>
      <c r="N22" s="257">
        <v>0</v>
      </c>
      <c r="O22" s="244">
        <f t="shared" si="4"/>
        <v>0</v>
      </c>
      <c r="P22" s="245">
        <f t="shared" si="3"/>
        <v>0</v>
      </c>
      <c r="Q22" s="245">
        <f t="shared" si="3"/>
        <v>0</v>
      </c>
      <c r="R22" s="246">
        <f t="shared" si="3"/>
        <v>0</v>
      </c>
      <c r="T22" s="4891"/>
    </row>
    <row r="23" spans="2:20" ht="13.5" thickBot="1">
      <c r="B23" s="262">
        <v>8185</v>
      </c>
      <c r="C23" s="236" t="s">
        <v>144</v>
      </c>
      <c r="D23" s="237">
        <f>SUM(D24:D27)</f>
        <v>0</v>
      </c>
      <c r="E23" s="237">
        <f>SUM(E24:E27)</f>
        <v>9186.0509999999995</v>
      </c>
      <c r="F23" s="238">
        <f>D23+E23</f>
        <v>9186.0509999999995</v>
      </c>
      <c r="G23" s="53"/>
      <c r="H23" s="132"/>
      <c r="I23" s="250" t="str">
        <f t="shared" si="1"/>
        <v>Measure 11</v>
      </c>
      <c r="J23" s="251"/>
      <c r="K23" s="252"/>
      <c r="L23" s="242">
        <f t="shared" si="2"/>
        <v>0</v>
      </c>
      <c r="M23" s="257">
        <v>0</v>
      </c>
      <c r="N23" s="257">
        <v>0</v>
      </c>
      <c r="O23" s="244">
        <f t="shared" si="4"/>
        <v>0</v>
      </c>
      <c r="P23" s="245">
        <f t="shared" si="3"/>
        <v>0</v>
      </c>
      <c r="Q23" s="245">
        <f t="shared" si="3"/>
        <v>0</v>
      </c>
      <c r="R23" s="246">
        <f t="shared" si="3"/>
        <v>0</v>
      </c>
      <c r="T23" s="4891"/>
    </row>
    <row r="24" spans="2:20">
      <c r="B24" s="247"/>
      <c r="C24" s="3566" t="s">
        <v>1434</v>
      </c>
      <c r="D24" s="249">
        <v>0</v>
      </c>
      <c r="E24" s="249">
        <f>0.707*E13</f>
        <v>6358.0509999999995</v>
      </c>
      <c r="F24" s="249">
        <f t="shared" si="5"/>
        <v>6358.0509999999995</v>
      </c>
      <c r="H24" s="132"/>
      <c r="I24" s="250" t="str">
        <f t="shared" si="1"/>
        <v>Measure 12</v>
      </c>
      <c r="J24" s="251"/>
      <c r="K24" s="252"/>
      <c r="L24" s="242">
        <f t="shared" si="2"/>
        <v>0</v>
      </c>
      <c r="M24" s="257">
        <v>0</v>
      </c>
      <c r="N24" s="257">
        <v>0</v>
      </c>
      <c r="O24" s="244">
        <f t="shared" si="4"/>
        <v>0</v>
      </c>
      <c r="P24" s="245">
        <f t="shared" si="3"/>
        <v>0</v>
      </c>
      <c r="Q24" s="245">
        <f t="shared" si="3"/>
        <v>0</v>
      </c>
      <c r="R24" s="246">
        <f t="shared" si="3"/>
        <v>0</v>
      </c>
      <c r="T24" s="4891"/>
    </row>
    <row r="25" spans="2:20">
      <c r="B25" s="247"/>
      <c r="C25" s="3566" t="s">
        <v>1435</v>
      </c>
      <c r="D25" s="256">
        <v>0</v>
      </c>
      <c r="E25" s="256">
        <f>0.707*E18</f>
        <v>2828</v>
      </c>
      <c r="F25" s="249">
        <f t="shared" si="5"/>
        <v>2828</v>
      </c>
      <c r="H25" s="132"/>
      <c r="I25" s="250" t="str">
        <f t="shared" si="1"/>
        <v>Measure 13</v>
      </c>
      <c r="J25" s="251"/>
      <c r="K25" s="252"/>
      <c r="L25" s="242">
        <f t="shared" si="2"/>
        <v>0</v>
      </c>
      <c r="M25" s="257">
        <v>0</v>
      </c>
      <c r="N25" s="257">
        <v>0</v>
      </c>
      <c r="O25" s="244">
        <f t="shared" si="4"/>
        <v>0</v>
      </c>
      <c r="P25" s="245">
        <f t="shared" si="3"/>
        <v>0</v>
      </c>
      <c r="Q25" s="245">
        <f t="shared" si="3"/>
        <v>0</v>
      </c>
      <c r="R25" s="246">
        <f t="shared" si="3"/>
        <v>0</v>
      </c>
      <c r="T25" s="4891"/>
    </row>
    <row r="26" spans="2:20">
      <c r="B26" s="254"/>
      <c r="C26" s="255"/>
      <c r="D26" s="258"/>
      <c r="E26" s="258"/>
      <c r="F26" s="258"/>
      <c r="H26" s="132"/>
      <c r="I26" s="250" t="str">
        <f t="shared" si="1"/>
        <v>Measure 14</v>
      </c>
      <c r="J26" s="251"/>
      <c r="K26" s="252"/>
      <c r="L26" s="242">
        <f t="shared" si="2"/>
        <v>0</v>
      </c>
      <c r="M26" s="257">
        <v>0</v>
      </c>
      <c r="N26" s="257">
        <v>0</v>
      </c>
      <c r="O26" s="244">
        <f t="shared" si="4"/>
        <v>0</v>
      </c>
      <c r="P26" s="245">
        <f t="shared" si="3"/>
        <v>0</v>
      </c>
      <c r="Q26" s="245">
        <f t="shared" si="3"/>
        <v>0</v>
      </c>
      <c r="R26" s="246">
        <f t="shared" si="3"/>
        <v>0</v>
      </c>
      <c r="T26" s="4891"/>
    </row>
    <row r="27" spans="2:20" ht="13.5" thickBot="1">
      <c r="B27" s="254"/>
      <c r="C27" s="255"/>
      <c r="D27" s="258"/>
      <c r="E27" s="258"/>
      <c r="F27" s="258"/>
      <c r="H27" s="132"/>
      <c r="I27" s="250" t="str">
        <f t="shared" si="1"/>
        <v>Measure 15</v>
      </c>
      <c r="J27" s="251"/>
      <c r="K27" s="252"/>
      <c r="L27" s="242">
        <f t="shared" si="2"/>
        <v>0</v>
      </c>
      <c r="M27" s="257">
        <v>0</v>
      </c>
      <c r="N27" s="257">
        <v>0</v>
      </c>
      <c r="O27" s="244">
        <f t="shared" si="4"/>
        <v>0</v>
      </c>
      <c r="P27" s="245">
        <f t="shared" si="3"/>
        <v>0</v>
      </c>
      <c r="Q27" s="245">
        <f t="shared" si="3"/>
        <v>0</v>
      </c>
      <c r="R27" s="246">
        <f t="shared" si="3"/>
        <v>0</v>
      </c>
      <c r="T27" s="4891"/>
    </row>
    <row r="28" spans="2:20" ht="13.5" thickBot="1">
      <c r="B28" s="262">
        <v>2919</v>
      </c>
      <c r="C28" s="236" t="s">
        <v>145</v>
      </c>
      <c r="D28" s="237">
        <f>SUM(D29:D32)</f>
        <v>0</v>
      </c>
      <c r="E28" s="237">
        <f>SUM(E29:E32)</f>
        <v>3505</v>
      </c>
      <c r="F28" s="238">
        <f>D28+E28</f>
        <v>3505</v>
      </c>
      <c r="H28" s="132"/>
      <c r="I28" s="250" t="str">
        <f t="shared" si="1"/>
        <v>Measure 16</v>
      </c>
      <c r="J28" s="251"/>
      <c r="K28" s="252"/>
      <c r="L28" s="242">
        <f t="shared" si="2"/>
        <v>0</v>
      </c>
      <c r="M28" s="257">
        <v>0</v>
      </c>
      <c r="N28" s="257">
        <v>0</v>
      </c>
      <c r="O28" s="244">
        <f t="shared" si="4"/>
        <v>0</v>
      </c>
      <c r="P28" s="245">
        <f t="shared" si="3"/>
        <v>0</v>
      </c>
      <c r="Q28" s="245">
        <f t="shared" si="3"/>
        <v>0</v>
      </c>
      <c r="R28" s="246">
        <f t="shared" si="3"/>
        <v>0</v>
      </c>
      <c r="T28" s="4891"/>
    </row>
    <row r="29" spans="2:20">
      <c r="B29" s="247"/>
      <c r="C29" s="248" t="s">
        <v>449</v>
      </c>
      <c r="D29" s="249">
        <v>0</v>
      </c>
      <c r="E29" s="249">
        <v>3505</v>
      </c>
      <c r="F29" s="249">
        <f t="shared" ref="F29:F37" si="6">SUM(D29:E29)</f>
        <v>3505</v>
      </c>
      <c r="H29" s="132"/>
      <c r="I29" s="250" t="str">
        <f t="shared" si="1"/>
        <v>Measure 17</v>
      </c>
      <c r="J29" s="251"/>
      <c r="K29" s="252"/>
      <c r="L29" s="242">
        <f t="shared" si="2"/>
        <v>0</v>
      </c>
      <c r="M29" s="257">
        <v>0</v>
      </c>
      <c r="N29" s="257">
        <v>0</v>
      </c>
      <c r="O29" s="244">
        <f t="shared" si="4"/>
        <v>0</v>
      </c>
      <c r="P29" s="245">
        <f t="shared" ref="P29:R44" si="7">M29*$D79</f>
        <v>0</v>
      </c>
      <c r="Q29" s="245">
        <f t="shared" si="7"/>
        <v>0</v>
      </c>
      <c r="R29" s="246">
        <f t="shared" si="7"/>
        <v>0</v>
      </c>
      <c r="T29" s="4891"/>
    </row>
    <row r="30" spans="2:20">
      <c r="B30" s="254"/>
      <c r="C30" s="255" t="s">
        <v>140</v>
      </c>
      <c r="D30" s="256">
        <v>0</v>
      </c>
      <c r="E30" s="256"/>
      <c r="F30" s="249">
        <f t="shared" si="6"/>
        <v>0</v>
      </c>
      <c r="H30" s="132"/>
      <c r="I30" s="250" t="str">
        <f t="shared" si="1"/>
        <v>Measure 18</v>
      </c>
      <c r="J30" s="251"/>
      <c r="K30" s="252"/>
      <c r="L30" s="242">
        <f t="shared" si="2"/>
        <v>0</v>
      </c>
      <c r="M30" s="257">
        <v>0</v>
      </c>
      <c r="N30" s="257">
        <v>0</v>
      </c>
      <c r="O30" s="244">
        <f t="shared" si="4"/>
        <v>0</v>
      </c>
      <c r="P30" s="245">
        <f t="shared" si="7"/>
        <v>0</v>
      </c>
      <c r="Q30" s="245">
        <f t="shared" si="7"/>
        <v>0</v>
      </c>
      <c r="R30" s="246">
        <f t="shared" si="7"/>
        <v>0</v>
      </c>
      <c r="T30" s="4891"/>
    </row>
    <row r="31" spans="2:20">
      <c r="B31" s="254"/>
      <c r="C31" s="255" t="s">
        <v>141</v>
      </c>
      <c r="D31" s="256">
        <v>0</v>
      </c>
      <c r="E31" s="256"/>
      <c r="F31" s="249">
        <f t="shared" si="6"/>
        <v>0</v>
      </c>
      <c r="H31" s="132"/>
      <c r="I31" s="250" t="str">
        <f t="shared" si="1"/>
        <v>Measure 19</v>
      </c>
      <c r="J31" s="251"/>
      <c r="K31" s="252"/>
      <c r="L31" s="242">
        <f t="shared" si="2"/>
        <v>0</v>
      </c>
      <c r="M31" s="257">
        <v>0</v>
      </c>
      <c r="N31" s="257">
        <v>0</v>
      </c>
      <c r="O31" s="244">
        <f t="shared" si="4"/>
        <v>0</v>
      </c>
      <c r="P31" s="245">
        <f t="shared" si="7"/>
        <v>0</v>
      </c>
      <c r="Q31" s="245">
        <f t="shared" si="7"/>
        <v>0</v>
      </c>
      <c r="R31" s="246">
        <f t="shared" si="7"/>
        <v>0</v>
      </c>
      <c r="T31" s="4891"/>
    </row>
    <row r="32" spans="2:20" ht="13.5" thickBot="1">
      <c r="B32" s="254"/>
      <c r="C32" s="255" t="s">
        <v>142</v>
      </c>
      <c r="D32" s="256">
        <v>0</v>
      </c>
      <c r="E32" s="256"/>
      <c r="F32" s="249">
        <f t="shared" si="6"/>
        <v>0</v>
      </c>
      <c r="H32" s="132"/>
      <c r="I32" s="250" t="str">
        <f t="shared" si="1"/>
        <v>Measure 20</v>
      </c>
      <c r="J32" s="251"/>
      <c r="K32" s="252"/>
      <c r="L32" s="242">
        <f t="shared" si="2"/>
        <v>0</v>
      </c>
      <c r="M32" s="257">
        <v>0</v>
      </c>
      <c r="N32" s="257">
        <v>0</v>
      </c>
      <c r="O32" s="244">
        <f t="shared" si="4"/>
        <v>0</v>
      </c>
      <c r="P32" s="245">
        <f t="shared" si="7"/>
        <v>0</v>
      </c>
      <c r="Q32" s="245">
        <f t="shared" si="7"/>
        <v>0</v>
      </c>
      <c r="R32" s="246">
        <f t="shared" si="7"/>
        <v>0</v>
      </c>
      <c r="T32" s="4891"/>
    </row>
    <row r="33" spans="2:20" ht="13.5" thickBot="1">
      <c r="B33" s="262">
        <v>800</v>
      </c>
      <c r="C33" s="236" t="s">
        <v>146</v>
      </c>
      <c r="D33" s="237">
        <f>SUM(D34:D37)</f>
        <v>0</v>
      </c>
      <c r="E33" s="237">
        <f>SUM(E34:E37)</f>
        <v>800</v>
      </c>
      <c r="F33" s="238">
        <f>D33+E33</f>
        <v>800</v>
      </c>
      <c r="H33" s="132"/>
      <c r="I33" s="250" t="str">
        <f t="shared" si="1"/>
        <v>Measure 21</v>
      </c>
      <c r="J33" s="251"/>
      <c r="K33" s="252"/>
      <c r="L33" s="242">
        <f t="shared" si="2"/>
        <v>0</v>
      </c>
      <c r="M33" s="257">
        <v>0</v>
      </c>
      <c r="N33" s="257">
        <v>0</v>
      </c>
      <c r="O33" s="244">
        <f t="shared" si="4"/>
        <v>0</v>
      </c>
      <c r="P33" s="245">
        <f t="shared" si="7"/>
        <v>0</v>
      </c>
      <c r="Q33" s="245">
        <f t="shared" si="7"/>
        <v>0</v>
      </c>
      <c r="R33" s="246">
        <f t="shared" si="7"/>
        <v>0</v>
      </c>
      <c r="T33" s="4891"/>
    </row>
    <row r="34" spans="2:20">
      <c r="B34" s="254"/>
      <c r="C34" s="255" t="s">
        <v>139</v>
      </c>
      <c r="D34" s="256">
        <v>0</v>
      </c>
      <c r="E34" s="256">
        <v>800</v>
      </c>
      <c r="F34" s="249">
        <f t="shared" si="6"/>
        <v>800</v>
      </c>
      <c r="H34" s="132"/>
      <c r="I34" s="250" t="str">
        <f t="shared" si="1"/>
        <v>Measure 22</v>
      </c>
      <c r="J34" s="251"/>
      <c r="K34" s="252"/>
      <c r="L34" s="242">
        <f t="shared" si="2"/>
        <v>0</v>
      </c>
      <c r="M34" s="257">
        <v>0</v>
      </c>
      <c r="N34" s="257">
        <v>0</v>
      </c>
      <c r="O34" s="244">
        <f t="shared" si="4"/>
        <v>0</v>
      </c>
      <c r="P34" s="245">
        <f t="shared" si="7"/>
        <v>0</v>
      </c>
      <c r="Q34" s="245">
        <f t="shared" si="7"/>
        <v>0</v>
      </c>
      <c r="R34" s="246">
        <f t="shared" si="7"/>
        <v>0</v>
      </c>
      <c r="T34" s="4891"/>
    </row>
    <row r="35" spans="2:20">
      <c r="B35" s="254"/>
      <c r="C35" s="255" t="s">
        <v>140</v>
      </c>
      <c r="D35" s="256">
        <v>0</v>
      </c>
      <c r="E35" s="256"/>
      <c r="F35" s="249">
        <f t="shared" si="6"/>
        <v>0</v>
      </c>
      <c r="H35" s="132"/>
      <c r="I35" s="250" t="str">
        <f t="shared" si="1"/>
        <v>Measure 23</v>
      </c>
      <c r="J35" s="251"/>
      <c r="K35" s="252"/>
      <c r="L35" s="242">
        <f t="shared" si="2"/>
        <v>0</v>
      </c>
      <c r="M35" s="257">
        <v>0</v>
      </c>
      <c r="N35" s="257">
        <v>0</v>
      </c>
      <c r="O35" s="244">
        <f t="shared" si="4"/>
        <v>0</v>
      </c>
      <c r="P35" s="245">
        <f t="shared" si="7"/>
        <v>0</v>
      </c>
      <c r="Q35" s="245">
        <f t="shared" si="7"/>
        <v>0</v>
      </c>
      <c r="R35" s="246">
        <f t="shared" si="7"/>
        <v>0</v>
      </c>
      <c r="T35" s="4891"/>
    </row>
    <row r="36" spans="2:20">
      <c r="B36" s="254"/>
      <c r="C36" s="255" t="s">
        <v>141</v>
      </c>
      <c r="D36" s="256">
        <v>0</v>
      </c>
      <c r="E36" s="256"/>
      <c r="F36" s="249">
        <f t="shared" si="6"/>
        <v>0</v>
      </c>
      <c r="H36" s="132"/>
      <c r="I36" s="250" t="str">
        <f t="shared" si="1"/>
        <v>Measure 24</v>
      </c>
      <c r="J36" s="251"/>
      <c r="K36" s="252"/>
      <c r="L36" s="242">
        <f t="shared" si="2"/>
        <v>0</v>
      </c>
      <c r="M36" s="257">
        <v>0</v>
      </c>
      <c r="N36" s="257">
        <v>0</v>
      </c>
      <c r="O36" s="244">
        <f t="shared" si="4"/>
        <v>0</v>
      </c>
      <c r="P36" s="245">
        <f t="shared" si="7"/>
        <v>0</v>
      </c>
      <c r="Q36" s="245">
        <f t="shared" si="7"/>
        <v>0</v>
      </c>
      <c r="R36" s="246">
        <f t="shared" si="7"/>
        <v>0</v>
      </c>
      <c r="T36" s="4891"/>
    </row>
    <row r="37" spans="2:20" ht="13.5" thickBot="1">
      <c r="B37" s="254"/>
      <c r="C37" s="255" t="s">
        <v>142</v>
      </c>
      <c r="D37" s="256">
        <v>0</v>
      </c>
      <c r="E37" s="256"/>
      <c r="F37" s="249">
        <f t="shared" si="6"/>
        <v>0</v>
      </c>
      <c r="H37" s="132"/>
      <c r="I37" s="250" t="str">
        <f t="shared" si="1"/>
        <v>Measure 25</v>
      </c>
      <c r="J37" s="251"/>
      <c r="K37" s="252"/>
      <c r="L37" s="242">
        <f t="shared" si="2"/>
        <v>0</v>
      </c>
      <c r="M37" s="257">
        <v>0</v>
      </c>
      <c r="N37" s="257">
        <v>0</v>
      </c>
      <c r="O37" s="244">
        <f t="shared" si="4"/>
        <v>0</v>
      </c>
      <c r="P37" s="245">
        <f t="shared" si="7"/>
        <v>0</v>
      </c>
      <c r="Q37" s="245">
        <f t="shared" si="7"/>
        <v>0</v>
      </c>
      <c r="R37" s="246">
        <f t="shared" si="7"/>
        <v>0</v>
      </c>
      <c r="T37" s="4891"/>
    </row>
    <row r="38" spans="2:20" ht="13.5" thickBot="1">
      <c r="B38" s="262">
        <v>0</v>
      </c>
      <c r="C38" s="236" t="s">
        <v>147</v>
      </c>
      <c r="D38" s="237">
        <f>SUM(D39:D42)</f>
        <v>0</v>
      </c>
      <c r="E38" s="237">
        <f>SUM(E39:E42)</f>
        <v>0</v>
      </c>
      <c r="F38" s="238">
        <f>D38+E38</f>
        <v>0</v>
      </c>
      <c r="H38" s="132"/>
      <c r="I38" s="250" t="str">
        <f t="shared" si="1"/>
        <v>Measure 26</v>
      </c>
      <c r="J38" s="251"/>
      <c r="K38" s="260"/>
      <c r="L38" s="242">
        <f t="shared" si="2"/>
        <v>0</v>
      </c>
      <c r="M38" s="257">
        <v>0</v>
      </c>
      <c r="N38" s="257">
        <v>0</v>
      </c>
      <c r="O38" s="244">
        <f t="shared" si="4"/>
        <v>0</v>
      </c>
      <c r="P38" s="245">
        <f t="shared" si="7"/>
        <v>0</v>
      </c>
      <c r="Q38" s="245">
        <f t="shared" si="7"/>
        <v>0</v>
      </c>
      <c r="R38" s="246">
        <f t="shared" si="7"/>
        <v>0</v>
      </c>
      <c r="T38" s="4891"/>
    </row>
    <row r="39" spans="2:20">
      <c r="B39" s="254"/>
      <c r="C39" s="255" t="s">
        <v>139</v>
      </c>
      <c r="D39" s="256">
        <v>0</v>
      </c>
      <c r="E39" s="256"/>
      <c r="F39" s="249">
        <f t="shared" ref="F39:F52" si="8">SUM(D39:E39)</f>
        <v>0</v>
      </c>
      <c r="H39" s="132"/>
      <c r="I39" s="250" t="str">
        <f t="shared" si="1"/>
        <v>Measure 27</v>
      </c>
      <c r="J39" s="251"/>
      <c r="K39" s="260"/>
      <c r="L39" s="242">
        <f t="shared" si="2"/>
        <v>0</v>
      </c>
      <c r="M39" s="257">
        <v>0</v>
      </c>
      <c r="N39" s="257">
        <v>0</v>
      </c>
      <c r="O39" s="244">
        <f t="shared" si="4"/>
        <v>0</v>
      </c>
      <c r="P39" s="245">
        <f t="shared" si="7"/>
        <v>0</v>
      </c>
      <c r="Q39" s="245">
        <f t="shared" si="7"/>
        <v>0</v>
      </c>
      <c r="R39" s="246">
        <f t="shared" si="7"/>
        <v>0</v>
      </c>
      <c r="T39" s="4891"/>
    </row>
    <row r="40" spans="2:20">
      <c r="B40" s="254"/>
      <c r="C40" s="255" t="s">
        <v>140</v>
      </c>
      <c r="D40" s="256">
        <v>0</v>
      </c>
      <c r="E40" s="256"/>
      <c r="F40" s="249">
        <f t="shared" si="8"/>
        <v>0</v>
      </c>
      <c r="H40" s="132"/>
      <c r="I40" s="250" t="str">
        <f t="shared" si="1"/>
        <v>Measure 28</v>
      </c>
      <c r="J40" s="251"/>
      <c r="K40" s="260"/>
      <c r="L40" s="242">
        <f t="shared" si="2"/>
        <v>0</v>
      </c>
      <c r="M40" s="257">
        <v>0</v>
      </c>
      <c r="N40" s="257">
        <v>0</v>
      </c>
      <c r="O40" s="244">
        <f t="shared" si="4"/>
        <v>0</v>
      </c>
      <c r="P40" s="245">
        <f t="shared" si="7"/>
        <v>0</v>
      </c>
      <c r="Q40" s="245">
        <f t="shared" si="7"/>
        <v>0</v>
      </c>
      <c r="R40" s="246">
        <f t="shared" si="7"/>
        <v>0</v>
      </c>
      <c r="T40" s="4891"/>
    </row>
    <row r="41" spans="2:20">
      <c r="B41" s="254"/>
      <c r="C41" s="255" t="s">
        <v>141</v>
      </c>
      <c r="D41" s="256">
        <v>0</v>
      </c>
      <c r="E41" s="256"/>
      <c r="F41" s="249">
        <f t="shared" si="8"/>
        <v>0</v>
      </c>
      <c r="H41" s="132"/>
      <c r="I41" s="250" t="str">
        <f t="shared" si="1"/>
        <v>Measure 29</v>
      </c>
      <c r="J41" s="251"/>
      <c r="K41" s="260"/>
      <c r="L41" s="242">
        <f t="shared" si="2"/>
        <v>0</v>
      </c>
      <c r="M41" s="257">
        <v>0</v>
      </c>
      <c r="N41" s="257">
        <v>0</v>
      </c>
      <c r="O41" s="244">
        <f t="shared" si="4"/>
        <v>0</v>
      </c>
      <c r="P41" s="245">
        <f t="shared" si="7"/>
        <v>0</v>
      </c>
      <c r="Q41" s="245">
        <f t="shared" si="7"/>
        <v>0</v>
      </c>
      <c r="R41" s="246">
        <f t="shared" si="7"/>
        <v>0</v>
      </c>
      <c r="T41" s="4891"/>
    </row>
    <row r="42" spans="2:20" ht="13.5" thickBot="1">
      <c r="B42" s="254"/>
      <c r="C42" s="255" t="s">
        <v>142</v>
      </c>
      <c r="D42" s="256">
        <v>0</v>
      </c>
      <c r="E42" s="256"/>
      <c r="F42" s="249">
        <f t="shared" si="8"/>
        <v>0</v>
      </c>
      <c r="H42" s="132"/>
      <c r="I42" s="250" t="str">
        <f t="shared" si="1"/>
        <v>Measure 30</v>
      </c>
      <c r="J42" s="251"/>
      <c r="K42" s="260"/>
      <c r="L42" s="242">
        <f t="shared" si="2"/>
        <v>0</v>
      </c>
      <c r="M42" s="257">
        <v>0</v>
      </c>
      <c r="N42" s="257">
        <v>0</v>
      </c>
      <c r="O42" s="244">
        <f t="shared" si="4"/>
        <v>0</v>
      </c>
      <c r="P42" s="245">
        <f t="shared" si="7"/>
        <v>0</v>
      </c>
      <c r="Q42" s="245">
        <f t="shared" si="7"/>
        <v>0</v>
      </c>
      <c r="R42" s="246">
        <f t="shared" si="7"/>
        <v>0</v>
      </c>
      <c r="T42" s="4891"/>
    </row>
    <row r="43" spans="2:20" ht="13.5" thickBot="1">
      <c r="B43" s="262">
        <v>0</v>
      </c>
      <c r="C43" s="236" t="s">
        <v>148</v>
      </c>
      <c r="D43" s="237">
        <f>SUM(D44:D47)</f>
        <v>0</v>
      </c>
      <c r="E43" s="237">
        <f>SUM(E44:E47)</f>
        <v>0</v>
      </c>
      <c r="F43" s="238">
        <f>D43+E43</f>
        <v>0</v>
      </c>
      <c r="H43" s="132"/>
      <c r="I43" s="250" t="str">
        <f t="shared" si="1"/>
        <v>Measure 31</v>
      </c>
      <c r="J43" s="251"/>
      <c r="K43" s="260"/>
      <c r="L43" s="242">
        <f t="shared" si="2"/>
        <v>0</v>
      </c>
      <c r="M43" s="257">
        <v>0</v>
      </c>
      <c r="N43" s="257">
        <v>0</v>
      </c>
      <c r="O43" s="244">
        <f t="shared" si="4"/>
        <v>0</v>
      </c>
      <c r="P43" s="245">
        <f t="shared" si="7"/>
        <v>0</v>
      </c>
      <c r="Q43" s="245">
        <f t="shared" si="7"/>
        <v>0</v>
      </c>
      <c r="R43" s="246">
        <f t="shared" si="7"/>
        <v>0</v>
      </c>
      <c r="T43" s="4891"/>
    </row>
    <row r="44" spans="2:20">
      <c r="B44" s="254"/>
      <c r="C44" s="255" t="s">
        <v>139</v>
      </c>
      <c r="D44" s="256">
        <v>0</v>
      </c>
      <c r="E44" s="256"/>
      <c r="F44" s="249">
        <f t="shared" si="8"/>
        <v>0</v>
      </c>
      <c r="H44" s="132"/>
      <c r="I44" s="250" t="str">
        <f t="shared" si="1"/>
        <v>Measure 32</v>
      </c>
      <c r="J44" s="251"/>
      <c r="K44" s="260"/>
      <c r="L44" s="242">
        <f t="shared" si="2"/>
        <v>0</v>
      </c>
      <c r="M44" s="257">
        <v>0</v>
      </c>
      <c r="N44" s="257">
        <v>0</v>
      </c>
      <c r="O44" s="244">
        <f t="shared" si="4"/>
        <v>0</v>
      </c>
      <c r="P44" s="245">
        <f t="shared" si="7"/>
        <v>0</v>
      </c>
      <c r="Q44" s="245">
        <f t="shared" si="7"/>
        <v>0</v>
      </c>
      <c r="R44" s="246">
        <f t="shared" si="7"/>
        <v>0</v>
      </c>
      <c r="T44" s="4891"/>
    </row>
    <row r="45" spans="2:20">
      <c r="B45" s="254"/>
      <c r="C45" s="255" t="s">
        <v>140</v>
      </c>
      <c r="D45" s="256">
        <v>0</v>
      </c>
      <c r="E45" s="256"/>
      <c r="F45" s="249">
        <f t="shared" si="8"/>
        <v>0</v>
      </c>
      <c r="H45" s="132"/>
      <c r="I45" s="250" t="str">
        <f t="shared" si="1"/>
        <v>Measure 33</v>
      </c>
      <c r="J45" s="251"/>
      <c r="K45" s="260"/>
      <c r="L45" s="242">
        <f t="shared" si="2"/>
        <v>0</v>
      </c>
      <c r="M45" s="257">
        <v>0</v>
      </c>
      <c r="N45" s="257">
        <v>0</v>
      </c>
      <c r="O45" s="244">
        <f t="shared" si="4"/>
        <v>0</v>
      </c>
      <c r="P45" s="245">
        <f t="shared" ref="P45:R54" si="9">M45*$D95</f>
        <v>0</v>
      </c>
      <c r="Q45" s="245">
        <f t="shared" si="9"/>
        <v>0</v>
      </c>
      <c r="R45" s="246">
        <f t="shared" si="9"/>
        <v>0</v>
      </c>
      <c r="T45" s="4891"/>
    </row>
    <row r="46" spans="2:20">
      <c r="B46" s="254"/>
      <c r="C46" s="255" t="s">
        <v>141</v>
      </c>
      <c r="D46" s="256">
        <v>0</v>
      </c>
      <c r="E46" s="256"/>
      <c r="F46" s="249">
        <f t="shared" si="8"/>
        <v>0</v>
      </c>
      <c r="H46" s="132"/>
      <c r="I46" s="250" t="str">
        <f t="shared" si="1"/>
        <v>Measure 34</v>
      </c>
      <c r="J46" s="251"/>
      <c r="K46" s="260"/>
      <c r="L46" s="242">
        <f t="shared" si="2"/>
        <v>0</v>
      </c>
      <c r="M46" s="257">
        <v>0</v>
      </c>
      <c r="N46" s="257">
        <v>0</v>
      </c>
      <c r="O46" s="244">
        <f t="shared" si="4"/>
        <v>0</v>
      </c>
      <c r="P46" s="245">
        <f t="shared" si="9"/>
        <v>0</v>
      </c>
      <c r="Q46" s="245">
        <f t="shared" si="9"/>
        <v>0</v>
      </c>
      <c r="R46" s="246">
        <f t="shared" si="9"/>
        <v>0</v>
      </c>
      <c r="T46" s="4891"/>
    </row>
    <row r="47" spans="2:20" ht="13.5" thickBot="1">
      <c r="B47" s="254"/>
      <c r="C47" s="255" t="s">
        <v>142</v>
      </c>
      <c r="D47" s="256">
        <v>0</v>
      </c>
      <c r="E47" s="256"/>
      <c r="F47" s="249">
        <f t="shared" si="8"/>
        <v>0</v>
      </c>
      <c r="H47" s="132"/>
      <c r="I47" s="250" t="str">
        <f t="shared" si="1"/>
        <v>Measure 35</v>
      </c>
      <c r="J47" s="251"/>
      <c r="K47" s="260"/>
      <c r="L47" s="242">
        <f t="shared" si="2"/>
        <v>0</v>
      </c>
      <c r="M47" s="257">
        <v>0</v>
      </c>
      <c r="N47" s="257">
        <v>0</v>
      </c>
      <c r="O47" s="244">
        <f t="shared" si="4"/>
        <v>0</v>
      </c>
      <c r="P47" s="245">
        <f t="shared" si="9"/>
        <v>0</v>
      </c>
      <c r="Q47" s="245">
        <f t="shared" si="9"/>
        <v>0</v>
      </c>
      <c r="R47" s="246">
        <f t="shared" si="9"/>
        <v>0</v>
      </c>
      <c r="T47" s="4891"/>
    </row>
    <row r="48" spans="2:20" ht="13.5" thickBot="1">
      <c r="B48" s="262">
        <v>0</v>
      </c>
      <c r="C48" s="236" t="s">
        <v>149</v>
      </c>
      <c r="D48" s="237">
        <f>SUM(D49:D52)</f>
        <v>0</v>
      </c>
      <c r="E48" s="237">
        <f>SUM(E49:E52)</f>
        <v>0</v>
      </c>
      <c r="F48" s="238">
        <f>D48+E48</f>
        <v>0</v>
      </c>
      <c r="H48" s="132"/>
      <c r="I48" s="250" t="str">
        <f t="shared" si="1"/>
        <v>Measure 36</v>
      </c>
      <c r="J48" s="251"/>
      <c r="K48" s="260"/>
      <c r="L48" s="242">
        <f t="shared" si="2"/>
        <v>0</v>
      </c>
      <c r="M48" s="257">
        <v>0</v>
      </c>
      <c r="N48" s="257">
        <v>0</v>
      </c>
      <c r="O48" s="244">
        <f t="shared" si="4"/>
        <v>0</v>
      </c>
      <c r="P48" s="245">
        <f t="shared" si="9"/>
        <v>0</v>
      </c>
      <c r="Q48" s="245">
        <f t="shared" si="9"/>
        <v>0</v>
      </c>
      <c r="R48" s="246">
        <f t="shared" si="9"/>
        <v>0</v>
      </c>
      <c r="T48" s="4891"/>
    </row>
    <row r="49" spans="2:25">
      <c r="B49" s="254"/>
      <c r="C49" s="255" t="s">
        <v>139</v>
      </c>
      <c r="D49" s="256">
        <v>0</v>
      </c>
      <c r="E49" s="256"/>
      <c r="F49" s="249">
        <f t="shared" si="8"/>
        <v>0</v>
      </c>
      <c r="H49" s="132"/>
      <c r="I49" s="250" t="str">
        <f t="shared" si="1"/>
        <v>Measure 37</v>
      </c>
      <c r="J49" s="251"/>
      <c r="K49" s="260"/>
      <c r="L49" s="242">
        <f t="shared" si="2"/>
        <v>0</v>
      </c>
      <c r="M49" s="257">
        <v>0</v>
      </c>
      <c r="N49" s="257">
        <v>0</v>
      </c>
      <c r="O49" s="244">
        <f t="shared" si="4"/>
        <v>0</v>
      </c>
      <c r="P49" s="245">
        <f t="shared" si="9"/>
        <v>0</v>
      </c>
      <c r="Q49" s="245">
        <f t="shared" si="9"/>
        <v>0</v>
      </c>
      <c r="R49" s="246">
        <f t="shared" si="9"/>
        <v>0</v>
      </c>
      <c r="T49" s="4891"/>
    </row>
    <row r="50" spans="2:25">
      <c r="B50" s="254"/>
      <c r="C50" s="255" t="s">
        <v>140</v>
      </c>
      <c r="D50" s="256">
        <v>0</v>
      </c>
      <c r="E50" s="256"/>
      <c r="F50" s="249">
        <f t="shared" si="8"/>
        <v>0</v>
      </c>
      <c r="I50" s="250" t="str">
        <f t="shared" si="1"/>
        <v>Measure 38</v>
      </c>
      <c r="J50" s="251"/>
      <c r="K50" s="252"/>
      <c r="L50" s="242">
        <f t="shared" si="2"/>
        <v>0</v>
      </c>
      <c r="M50" s="257">
        <v>0</v>
      </c>
      <c r="N50" s="257">
        <v>0</v>
      </c>
      <c r="O50" s="244">
        <f t="shared" si="4"/>
        <v>0</v>
      </c>
      <c r="P50" s="245">
        <f t="shared" si="9"/>
        <v>0</v>
      </c>
      <c r="Q50" s="245">
        <f t="shared" si="9"/>
        <v>0</v>
      </c>
      <c r="R50" s="246">
        <f t="shared" si="9"/>
        <v>0</v>
      </c>
      <c r="T50" s="4891"/>
    </row>
    <row r="51" spans="2:25">
      <c r="B51" s="254"/>
      <c r="C51" s="255" t="s">
        <v>141</v>
      </c>
      <c r="D51" s="256">
        <v>0</v>
      </c>
      <c r="E51" s="256"/>
      <c r="F51" s="249">
        <f t="shared" si="8"/>
        <v>0</v>
      </c>
      <c r="I51" s="250" t="str">
        <f t="shared" si="1"/>
        <v>Measure 39</v>
      </c>
      <c r="J51" s="251"/>
      <c r="K51" s="252"/>
      <c r="L51" s="242">
        <f t="shared" si="2"/>
        <v>0</v>
      </c>
      <c r="M51" s="257">
        <v>0</v>
      </c>
      <c r="N51" s="257">
        <v>0</v>
      </c>
      <c r="O51" s="244">
        <f t="shared" si="4"/>
        <v>0</v>
      </c>
      <c r="P51" s="245">
        <f t="shared" si="9"/>
        <v>0</v>
      </c>
      <c r="Q51" s="245">
        <f t="shared" si="9"/>
        <v>0</v>
      </c>
      <c r="R51" s="246">
        <f t="shared" si="9"/>
        <v>0</v>
      </c>
      <c r="T51" s="4891"/>
    </row>
    <row r="52" spans="2:25" ht="13.5" thickBot="1">
      <c r="B52" s="254"/>
      <c r="C52" s="255" t="s">
        <v>142</v>
      </c>
      <c r="D52" s="256">
        <v>0</v>
      </c>
      <c r="E52" s="256"/>
      <c r="F52" s="249">
        <f t="shared" si="8"/>
        <v>0</v>
      </c>
      <c r="I52" s="250" t="str">
        <f t="shared" si="1"/>
        <v>Measure 40</v>
      </c>
      <c r="J52" s="251"/>
      <c r="K52" s="252"/>
      <c r="L52" s="242">
        <f t="shared" si="2"/>
        <v>0</v>
      </c>
      <c r="M52" s="257">
        <v>0</v>
      </c>
      <c r="N52" s="257">
        <v>0</v>
      </c>
      <c r="O52" s="244">
        <f t="shared" si="4"/>
        <v>0</v>
      </c>
      <c r="P52" s="245">
        <f t="shared" si="9"/>
        <v>0</v>
      </c>
      <c r="Q52" s="245">
        <f t="shared" si="9"/>
        <v>0</v>
      </c>
      <c r="R52" s="246">
        <f t="shared" si="9"/>
        <v>0</v>
      </c>
      <c r="T52" s="4891"/>
    </row>
    <row r="53" spans="2:25" ht="13.5" thickBot="1">
      <c r="B53" s="262">
        <v>24000</v>
      </c>
      <c r="C53" s="236" t="s">
        <v>150</v>
      </c>
      <c r="D53" s="237">
        <f>T105</f>
        <v>0</v>
      </c>
      <c r="E53" s="237">
        <f>U105</f>
        <v>24000</v>
      </c>
      <c r="F53" s="238">
        <f>V105</f>
        <v>24000</v>
      </c>
      <c r="G53" s="261" t="s">
        <v>151</v>
      </c>
      <c r="I53" s="250" t="str">
        <f t="shared" si="1"/>
        <v>Measure 41</v>
      </c>
      <c r="J53" s="251"/>
      <c r="K53" s="252"/>
      <c r="L53" s="242">
        <f t="shared" si="2"/>
        <v>0</v>
      </c>
      <c r="M53" s="257">
        <v>0</v>
      </c>
      <c r="N53" s="257">
        <v>0</v>
      </c>
      <c r="O53" s="244">
        <f t="shared" si="4"/>
        <v>0</v>
      </c>
      <c r="P53" s="245">
        <f t="shared" si="9"/>
        <v>0</v>
      </c>
      <c r="Q53" s="245">
        <f t="shared" si="9"/>
        <v>0</v>
      </c>
      <c r="R53" s="246">
        <f t="shared" si="9"/>
        <v>0</v>
      </c>
      <c r="T53" s="4891"/>
    </row>
    <row r="54" spans="2:25" ht="13.5" thickBot="1">
      <c r="B54" s="262">
        <v>0</v>
      </c>
      <c r="C54" s="236" t="s">
        <v>152</v>
      </c>
      <c r="D54" s="237">
        <v>0</v>
      </c>
      <c r="E54" s="237">
        <v>0</v>
      </c>
      <c r="F54" s="238">
        <v>0</v>
      </c>
      <c r="I54" s="250" t="str">
        <f t="shared" si="1"/>
        <v>Measure 42</v>
      </c>
      <c r="J54" s="251"/>
      <c r="K54" s="252"/>
      <c r="L54" s="242">
        <f t="shared" si="2"/>
        <v>0</v>
      </c>
      <c r="M54" s="257">
        <v>0</v>
      </c>
      <c r="N54" s="257">
        <v>0</v>
      </c>
      <c r="O54" s="244">
        <f t="shared" si="4"/>
        <v>0</v>
      </c>
      <c r="P54" s="245">
        <f t="shared" si="9"/>
        <v>0</v>
      </c>
      <c r="Q54" s="245">
        <f t="shared" si="9"/>
        <v>0</v>
      </c>
      <c r="R54" s="246">
        <f t="shared" si="9"/>
        <v>0</v>
      </c>
      <c r="T54" s="4891"/>
    </row>
    <row r="55" spans="2:25">
      <c r="B55" s="263">
        <f>B13+B18+B23+B28+B33+B38+B43+B48+B53+B54</f>
        <v>48897</v>
      </c>
      <c r="C55" s="264" t="s">
        <v>153</v>
      </c>
      <c r="D55" s="263">
        <f>D13+D18+D23+D28+D33+D38+D43+D48+D53+D54</f>
        <v>0</v>
      </c>
      <c r="E55" s="263">
        <f>E13+E18+E23+E28+E33+E38+E43+E48+E53+E54</f>
        <v>50484.050999999999</v>
      </c>
      <c r="F55" s="263">
        <f>F13+F18+F23+F28+F33+F38+F43+F48+F53+F54</f>
        <v>50484.050999999999</v>
      </c>
      <c r="P55" s="265">
        <f>SUM(P13:P54)</f>
        <v>0</v>
      </c>
      <c r="Q55" s="265">
        <f>SUM(Q13:Q54)</f>
        <v>418420</v>
      </c>
      <c r="R55" s="265">
        <f>SUM(R13:R54)</f>
        <v>418420</v>
      </c>
      <c r="T55" s="4892"/>
    </row>
    <row r="56" spans="2:25">
      <c r="C56" s="264"/>
      <c r="D56" s="263"/>
      <c r="E56" s="263"/>
      <c r="F56" s="263"/>
    </row>
    <row r="57" spans="2:25">
      <c r="C57" s="264" t="s">
        <v>154</v>
      </c>
      <c r="D57" s="263">
        <f>D55-D53</f>
        <v>0</v>
      </c>
      <c r="E57" s="263">
        <f>E55-E53</f>
        <v>26484.050999999999</v>
      </c>
      <c r="F57" s="263">
        <f>F55-F53</f>
        <v>26484.050999999999</v>
      </c>
    </row>
    <row r="58" spans="2:25">
      <c r="C58" s="264" t="s">
        <v>155</v>
      </c>
      <c r="D58" s="266">
        <f>D53</f>
        <v>0</v>
      </c>
      <c r="E58" s="266">
        <f>E53</f>
        <v>24000</v>
      </c>
      <c r="F58" s="266">
        <f>F53</f>
        <v>24000</v>
      </c>
      <c r="G58" s="319">
        <f>F58/(F57+F58)</f>
        <v>0.47539766569049696</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347" t="s">
        <v>450</v>
      </c>
      <c r="D63" s="257">
        <v>5420</v>
      </c>
      <c r="E63" s="257" t="s">
        <v>181</v>
      </c>
      <c r="F63" s="257" t="s">
        <v>186</v>
      </c>
      <c r="G63" s="283">
        <v>1377</v>
      </c>
      <c r="H63" s="283">
        <v>300</v>
      </c>
      <c r="I63" s="311">
        <v>0.56999999999999995</v>
      </c>
      <c r="J63" s="257">
        <v>18</v>
      </c>
      <c r="K63" s="257" t="s">
        <v>260</v>
      </c>
      <c r="L63" s="3574"/>
      <c r="M63" s="278">
        <f>Q63/O63</f>
        <v>15.231733487064096</v>
      </c>
      <c r="N63" s="278">
        <f>R63/P63</f>
        <v>6.4693060355727994</v>
      </c>
      <c r="O63" s="214">
        <f t="shared" ref="O63:O104" si="10">(($I63*$F$57)+$V63)/$S63</f>
        <v>25065.595809435708</v>
      </c>
      <c r="P63" s="214">
        <f t="shared" ref="P63:P104" si="11">(($I63*$F$57)+($G63*$O13))/$S63</f>
        <v>64917.584708603143</v>
      </c>
      <c r="Q63" s="214">
        <f>IF(K63=0, 0, (HLOOKUP(K63,'[1]E-CESTDWO'!$A$5:$O$35,J63+1,FALSE)*R13))</f>
        <v>381792.47506379534</v>
      </c>
      <c r="R63" s="214">
        <f>IF(K63=0, 0, (HLOOKUP(K63,'[1]E-CESTD'!$A$5:$O$35,J63+1,FALSE)*R13))</f>
        <v>419971.72257017478</v>
      </c>
      <c r="S63" s="279">
        <v>1.081</v>
      </c>
      <c r="T63" s="280">
        <f t="shared" ref="T63:T104" si="12">M13*$H63</f>
        <v>0</v>
      </c>
      <c r="U63" s="280">
        <f t="shared" ref="U63:U104" si="13">N13*$H63</f>
        <v>12000</v>
      </c>
      <c r="V63" s="280">
        <f t="shared" ref="V63:V104" si="14">O13*$H63</f>
        <v>12000</v>
      </c>
      <c r="W63" s="322">
        <f t="shared" ref="W63:W81" si="15">V63/(V63+(I63*F$57))</f>
        <v>0.44287128248766305</v>
      </c>
      <c r="X63" s="322">
        <f t="shared" ref="X63:X81" si="16">(I63*((F$18*1.63)+F$28))/(V63+(I63*F$57))</f>
        <v>0.21088976882959401</v>
      </c>
      <c r="Y63" s="322">
        <f t="shared" ref="Y63:Y81" si="17">(I63*F$38)/(V63+(I63*F$57))</f>
        <v>0</v>
      </c>
    </row>
    <row r="64" spans="2:25">
      <c r="B64" s="282"/>
      <c r="C64" s="347" t="s">
        <v>451</v>
      </c>
      <c r="D64" s="282">
        <v>4390</v>
      </c>
      <c r="E64" s="282" t="s">
        <v>181</v>
      </c>
      <c r="F64" s="257" t="s">
        <v>186</v>
      </c>
      <c r="G64" s="283">
        <v>1377</v>
      </c>
      <c r="H64" s="283">
        <v>300</v>
      </c>
      <c r="I64" s="311">
        <v>0.25</v>
      </c>
      <c r="J64" s="257">
        <v>18</v>
      </c>
      <c r="K64" s="257" t="s">
        <v>260</v>
      </c>
      <c r="L64" s="3574"/>
      <c r="M64" s="278">
        <f t="shared" ref="M64:N104" si="18">Q64/O64</f>
        <v>13.243235161792263</v>
      </c>
      <c r="N64" s="278">
        <f t="shared" si="18"/>
        <v>5.3820811799864234</v>
      </c>
      <c r="O64" s="214">
        <f t="shared" si="10"/>
        <v>11675.312442183164</v>
      </c>
      <c r="P64" s="214">
        <f t="shared" si="11"/>
        <v>31601.306891766886</v>
      </c>
      <c r="Q64" s="214">
        <f>IF(K64=0, 0, (HLOOKUP(K64,'[1]E-CESTDWO'!$A$5:$O$35,J64+1,FALSE)*R14))</f>
        <v>154618.90825923078</v>
      </c>
      <c r="R64" s="214">
        <f>IF(K64=0, 0, (HLOOKUP(K64,'[1]E-CESTD'!$A$5:$O$35,J64+1,FALSE)*R14))</f>
        <v>170080.79908515382</v>
      </c>
      <c r="S64" s="279">
        <v>1.081</v>
      </c>
      <c r="T64" s="280">
        <f t="shared" si="12"/>
        <v>0</v>
      </c>
      <c r="U64" s="280">
        <f t="shared" si="13"/>
        <v>6000</v>
      </c>
      <c r="V64" s="280">
        <f t="shared" si="14"/>
        <v>6000</v>
      </c>
      <c r="W64" s="322">
        <f t="shared" si="15"/>
        <v>0.47539766569049696</v>
      </c>
      <c r="X64" s="322">
        <f t="shared" si="16"/>
        <v>0.19857756660613468</v>
      </c>
      <c r="Y64" s="322">
        <f t="shared" si="17"/>
        <v>0</v>
      </c>
    </row>
    <row r="65" spans="2:25">
      <c r="B65" s="282"/>
      <c r="C65" s="347" t="s">
        <v>450</v>
      </c>
      <c r="D65" s="282">
        <v>5691</v>
      </c>
      <c r="E65" s="282" t="s">
        <v>181</v>
      </c>
      <c r="F65" s="257" t="s">
        <v>186</v>
      </c>
      <c r="G65" s="283">
        <v>1377</v>
      </c>
      <c r="H65" s="283">
        <v>300</v>
      </c>
      <c r="I65" s="311">
        <v>0.18</v>
      </c>
      <c r="J65" s="257">
        <v>18</v>
      </c>
      <c r="K65" s="257" t="s">
        <v>260</v>
      </c>
      <c r="L65" s="3574"/>
      <c r="M65" s="278">
        <f t="shared" si="18"/>
        <v>20.123913328081798</v>
      </c>
      <c r="N65" s="278">
        <f t="shared" si="18"/>
        <v>7.3774568617253555</v>
      </c>
      <c r="O65" s="214">
        <f t="shared" si="10"/>
        <v>9960.341517113784</v>
      </c>
      <c r="P65" s="214">
        <f t="shared" si="11"/>
        <v>29886.335966697505</v>
      </c>
      <c r="Q65" s="214">
        <f>IF(K65=0, 0, (HLOOKUP(K65,'[1]E-CESTDWO'!$A$5:$O$35,J65+1,FALSE)*R15))</f>
        <v>200441.04940849254</v>
      </c>
      <c r="R65" s="214">
        <f>IF(K65=0, 0, (HLOOKUP(K65,'[1]E-CESTD'!$A$5:$O$35,J65+1,FALSE)*R15))</f>
        <v>220485.15434934178</v>
      </c>
      <c r="S65" s="279">
        <v>1.081</v>
      </c>
      <c r="T65" s="280">
        <f t="shared" si="12"/>
        <v>0</v>
      </c>
      <c r="U65" s="280">
        <f t="shared" si="13"/>
        <v>6000</v>
      </c>
      <c r="V65" s="280">
        <f t="shared" si="14"/>
        <v>6000</v>
      </c>
      <c r="W65" s="322">
        <f t="shared" si="15"/>
        <v>0.55725160343994318</v>
      </c>
      <c r="X65" s="322">
        <f t="shared" si="16"/>
        <v>0.1675934197345629</v>
      </c>
      <c r="Y65" s="322">
        <f t="shared" si="17"/>
        <v>0</v>
      </c>
    </row>
    <row r="66" spans="2:25">
      <c r="B66" s="282"/>
      <c r="C66" s="282" t="s">
        <v>188</v>
      </c>
      <c r="D66" s="282">
        <v>0</v>
      </c>
      <c r="E66" s="282" t="s">
        <v>181</v>
      </c>
      <c r="F66" s="282" t="s">
        <v>186</v>
      </c>
      <c r="G66" s="283"/>
      <c r="H66" s="283"/>
      <c r="I66" s="311">
        <v>0</v>
      </c>
      <c r="J66" s="257"/>
      <c r="K66" s="257"/>
      <c r="L66" s="3574"/>
      <c r="M66" s="278" t="e">
        <f t="shared" si="18"/>
        <v>#DIV/0!</v>
      </c>
      <c r="N66" s="278" t="e">
        <f t="shared" si="18"/>
        <v>#DIV/0!</v>
      </c>
      <c r="O66" s="214">
        <f t="shared" si="10"/>
        <v>0</v>
      </c>
      <c r="P66" s="214">
        <f t="shared" si="11"/>
        <v>0</v>
      </c>
      <c r="Q66" s="214">
        <f>IF(K66=0, 0, (HLOOKUP(K66,'[1]E-CESTDWO'!$A$5:$O$35,J66+1,FALSE)*R16))</f>
        <v>0</v>
      </c>
      <c r="R66" s="214">
        <f>IF(K66=0, 0, (HLOOKUP(K66,'[1]E-CESTD'!$A$5:$O$35,J66+1,FALSE)*R16))</f>
        <v>0</v>
      </c>
      <c r="S66" s="279">
        <v>1.081</v>
      </c>
      <c r="T66" s="280">
        <f t="shared" si="12"/>
        <v>0</v>
      </c>
      <c r="U66" s="280">
        <f t="shared" si="13"/>
        <v>0</v>
      </c>
      <c r="V66" s="280">
        <f t="shared" si="14"/>
        <v>0</v>
      </c>
      <c r="W66" s="322" t="e">
        <f t="shared" si="15"/>
        <v>#DIV/0!</v>
      </c>
      <c r="X66" s="322" t="e">
        <f t="shared" si="16"/>
        <v>#DIV/0!</v>
      </c>
      <c r="Y66" s="322" t="e">
        <f t="shared" si="17"/>
        <v>#DIV/0!</v>
      </c>
    </row>
    <row r="67" spans="2:25">
      <c r="B67" s="282"/>
      <c r="C67" s="282" t="s">
        <v>189</v>
      </c>
      <c r="D67" s="282">
        <v>0</v>
      </c>
      <c r="E67" s="282" t="s">
        <v>181</v>
      </c>
      <c r="F67" s="282" t="s">
        <v>186</v>
      </c>
      <c r="G67" s="283"/>
      <c r="H67" s="283"/>
      <c r="I67" s="311">
        <v>0</v>
      </c>
      <c r="J67" s="257"/>
      <c r="K67" s="257"/>
      <c r="L67" s="3574"/>
      <c r="M67" s="278" t="e">
        <f t="shared" si="18"/>
        <v>#DIV/0!</v>
      </c>
      <c r="N67" s="278" t="e">
        <f t="shared" si="18"/>
        <v>#DIV/0!</v>
      </c>
      <c r="O67" s="214">
        <f t="shared" si="10"/>
        <v>0</v>
      </c>
      <c r="P67" s="214">
        <f t="shared" si="11"/>
        <v>0</v>
      </c>
      <c r="Q67" s="214">
        <f>IF(K67=0, 0, (HLOOKUP(K67,'[1]E-CESTDWO'!$A$5:$O$35,J67+1,FALSE)*R17))</f>
        <v>0</v>
      </c>
      <c r="R67" s="214">
        <f>IF(K67=0, 0, (HLOOKUP(K67,'[1]E-CESTD'!$A$5:$O$35,J67+1,FALSE)*R17))</f>
        <v>0</v>
      </c>
      <c r="S67" s="279">
        <v>1.081</v>
      </c>
      <c r="T67" s="280">
        <f t="shared" si="12"/>
        <v>0</v>
      </c>
      <c r="U67" s="280">
        <f t="shared" si="13"/>
        <v>0</v>
      </c>
      <c r="V67" s="280">
        <f t="shared" si="14"/>
        <v>0</v>
      </c>
      <c r="W67" s="322" t="e">
        <f t="shared" si="15"/>
        <v>#DIV/0!</v>
      </c>
      <c r="X67" s="322" t="e">
        <f t="shared" si="16"/>
        <v>#DIV/0!</v>
      </c>
      <c r="Y67" s="322" t="e">
        <f t="shared" si="17"/>
        <v>#DIV/0!</v>
      </c>
    </row>
    <row r="68" spans="2:25">
      <c r="B68" s="282"/>
      <c r="C68" s="282" t="s">
        <v>190</v>
      </c>
      <c r="D68" s="282">
        <v>0</v>
      </c>
      <c r="E68" s="282" t="s">
        <v>181</v>
      </c>
      <c r="F68" s="282" t="s">
        <v>186</v>
      </c>
      <c r="G68" s="283"/>
      <c r="H68" s="283"/>
      <c r="I68" s="311">
        <v>0</v>
      </c>
      <c r="J68" s="257"/>
      <c r="K68" s="257"/>
      <c r="L68" s="3574"/>
      <c r="M68" s="278" t="e">
        <f t="shared" si="18"/>
        <v>#DIV/0!</v>
      </c>
      <c r="N68" s="278" t="e">
        <f t="shared" si="18"/>
        <v>#DIV/0!</v>
      </c>
      <c r="O68" s="214">
        <f t="shared" si="10"/>
        <v>0</v>
      </c>
      <c r="P68" s="214">
        <f t="shared" si="11"/>
        <v>0</v>
      </c>
      <c r="Q68" s="214">
        <f>IF(K68=0, 0, (HLOOKUP(K68,'[1]E-CESTDWO'!$A$5:$O$35,J68+1,FALSE)*R18))</f>
        <v>0</v>
      </c>
      <c r="R68" s="214">
        <f>IF(K68=0, 0, (HLOOKUP(K68,'[1]E-CESTD'!$A$5:$O$35,J68+1,FALSE)*R18))</f>
        <v>0</v>
      </c>
      <c r="S68" s="279">
        <v>1.081</v>
      </c>
      <c r="T68" s="280">
        <f t="shared" si="12"/>
        <v>0</v>
      </c>
      <c r="U68" s="280">
        <f t="shared" si="13"/>
        <v>0</v>
      </c>
      <c r="V68" s="280">
        <f t="shared" si="14"/>
        <v>0</v>
      </c>
      <c r="W68" s="322" t="e">
        <f t="shared" si="15"/>
        <v>#DIV/0!</v>
      </c>
      <c r="X68" s="322" t="e">
        <f t="shared" si="16"/>
        <v>#DIV/0!</v>
      </c>
      <c r="Y68" s="322" t="e">
        <f t="shared" si="17"/>
        <v>#DIV/0!</v>
      </c>
    </row>
    <row r="69" spans="2:25">
      <c r="B69" s="282"/>
      <c r="C69" s="282" t="s">
        <v>191</v>
      </c>
      <c r="D69" s="282">
        <v>0</v>
      </c>
      <c r="E69" s="282" t="s">
        <v>181</v>
      </c>
      <c r="F69" s="282" t="s">
        <v>186</v>
      </c>
      <c r="G69" s="283"/>
      <c r="H69" s="283"/>
      <c r="I69" s="311">
        <v>0</v>
      </c>
      <c r="J69" s="257"/>
      <c r="K69" s="257"/>
      <c r="L69" s="3574"/>
      <c r="M69" s="278" t="e">
        <f t="shared" si="18"/>
        <v>#DIV/0!</v>
      </c>
      <c r="N69" s="278" t="e">
        <f t="shared" si="18"/>
        <v>#DIV/0!</v>
      </c>
      <c r="O69" s="214">
        <f t="shared" si="10"/>
        <v>0</v>
      </c>
      <c r="P69" s="214">
        <f t="shared" si="11"/>
        <v>0</v>
      </c>
      <c r="Q69" s="214">
        <f>IF(K69=0, 0, (HLOOKUP(K69,'[1]E-CESTDWO'!$A$5:$O$35,J69+1,FALSE)*R19))</f>
        <v>0</v>
      </c>
      <c r="R69" s="214">
        <f>IF(K69=0, 0, (HLOOKUP(K69,'[1]E-CESTD'!$A$5:$O$35,J69+1,FALSE)*R19))</f>
        <v>0</v>
      </c>
      <c r="S69" s="279">
        <v>1.081</v>
      </c>
      <c r="T69" s="280">
        <f t="shared" si="12"/>
        <v>0</v>
      </c>
      <c r="U69" s="280">
        <f t="shared" si="13"/>
        <v>0</v>
      </c>
      <c r="V69" s="280">
        <f t="shared" si="14"/>
        <v>0</v>
      </c>
      <c r="W69" s="322" t="e">
        <f t="shared" si="15"/>
        <v>#DIV/0!</v>
      </c>
      <c r="X69" s="322" t="e">
        <f t="shared" si="16"/>
        <v>#DIV/0!</v>
      </c>
      <c r="Y69" s="322" t="e">
        <f t="shared" si="17"/>
        <v>#DIV/0!</v>
      </c>
    </row>
    <row r="70" spans="2:25">
      <c r="B70" s="282"/>
      <c r="C70" s="282" t="s">
        <v>192</v>
      </c>
      <c r="D70" s="282">
        <v>0</v>
      </c>
      <c r="E70" s="282" t="s">
        <v>181</v>
      </c>
      <c r="F70" s="282" t="s">
        <v>186</v>
      </c>
      <c r="G70" s="283"/>
      <c r="H70" s="283"/>
      <c r="I70" s="311">
        <v>0</v>
      </c>
      <c r="J70" s="257"/>
      <c r="K70" s="257"/>
      <c r="L70" s="3574"/>
      <c r="M70" s="278" t="e">
        <f t="shared" si="18"/>
        <v>#DIV/0!</v>
      </c>
      <c r="N70" s="278" t="e">
        <f t="shared" si="18"/>
        <v>#DIV/0!</v>
      </c>
      <c r="O70" s="214">
        <f t="shared" si="10"/>
        <v>0</v>
      </c>
      <c r="P70" s="214">
        <f t="shared" si="11"/>
        <v>0</v>
      </c>
      <c r="Q70" s="214">
        <f>IF(K70=0, 0, (HLOOKUP(K70,'[1]E-CESTDWO'!$A$5:$O$35,J70+1,FALSE)*R20))</f>
        <v>0</v>
      </c>
      <c r="R70" s="214">
        <f>IF(K70=0, 0, (HLOOKUP(K70,'[1]E-CESTD'!$A$5:$O$35,J70+1,FALSE)*R20))</f>
        <v>0</v>
      </c>
      <c r="S70" s="279">
        <v>1.081</v>
      </c>
      <c r="T70" s="280">
        <f t="shared" si="12"/>
        <v>0</v>
      </c>
      <c r="U70" s="280">
        <f t="shared" si="13"/>
        <v>0</v>
      </c>
      <c r="V70" s="280">
        <f t="shared" si="14"/>
        <v>0</v>
      </c>
      <c r="W70" s="322" t="e">
        <f t="shared" si="15"/>
        <v>#DIV/0!</v>
      </c>
      <c r="X70" s="322" t="e">
        <f t="shared" si="16"/>
        <v>#DIV/0!</v>
      </c>
      <c r="Y70" s="322" t="e">
        <f t="shared" si="17"/>
        <v>#DIV/0!</v>
      </c>
    </row>
    <row r="71" spans="2:25">
      <c r="B71" s="282"/>
      <c r="C71" s="282" t="s">
        <v>193</v>
      </c>
      <c r="D71" s="282">
        <v>0</v>
      </c>
      <c r="E71" s="282" t="s">
        <v>181</v>
      </c>
      <c r="F71" s="282" t="s">
        <v>186</v>
      </c>
      <c r="G71" s="283"/>
      <c r="H71" s="283"/>
      <c r="I71" s="311">
        <v>0</v>
      </c>
      <c r="J71" s="257"/>
      <c r="K71" s="257"/>
      <c r="L71" s="3574"/>
      <c r="M71" s="278" t="e">
        <f t="shared" si="18"/>
        <v>#DIV/0!</v>
      </c>
      <c r="N71" s="278" t="e">
        <f t="shared" si="18"/>
        <v>#DIV/0!</v>
      </c>
      <c r="O71" s="214">
        <f t="shared" si="10"/>
        <v>0</v>
      </c>
      <c r="P71" s="214">
        <f t="shared" si="11"/>
        <v>0</v>
      </c>
      <c r="Q71" s="214">
        <f>IF(K71=0, 0, (HLOOKUP(K71,'[1]E-CESTDWO'!$A$5:$O$35,J71+1,FALSE)*R21))</f>
        <v>0</v>
      </c>
      <c r="R71" s="214">
        <f>IF(K71=0, 0, (HLOOKUP(K71,'[1]E-CESTD'!$A$5:$O$35,J71+1,FALSE)*R21))</f>
        <v>0</v>
      </c>
      <c r="S71" s="279">
        <v>1.081</v>
      </c>
      <c r="T71" s="280">
        <f t="shared" si="12"/>
        <v>0</v>
      </c>
      <c r="U71" s="280">
        <f t="shared" si="13"/>
        <v>0</v>
      </c>
      <c r="V71" s="280">
        <f t="shared" si="14"/>
        <v>0</v>
      </c>
      <c r="W71" s="322" t="e">
        <f t="shared" si="15"/>
        <v>#DIV/0!</v>
      </c>
      <c r="X71" s="322" t="e">
        <f t="shared" si="16"/>
        <v>#DIV/0!</v>
      </c>
      <c r="Y71" s="322" t="e">
        <f t="shared" si="17"/>
        <v>#DIV/0!</v>
      </c>
    </row>
    <row r="72" spans="2:25">
      <c r="B72" s="282"/>
      <c r="C72" s="282" t="s">
        <v>194</v>
      </c>
      <c r="D72" s="282">
        <v>0</v>
      </c>
      <c r="E72" s="282" t="s">
        <v>181</v>
      </c>
      <c r="F72" s="282" t="s">
        <v>186</v>
      </c>
      <c r="G72" s="283"/>
      <c r="H72" s="283"/>
      <c r="I72" s="311">
        <v>0</v>
      </c>
      <c r="J72" s="257"/>
      <c r="K72" s="257"/>
      <c r="L72" s="3574"/>
      <c r="M72" s="278" t="e">
        <f t="shared" si="18"/>
        <v>#DIV/0!</v>
      </c>
      <c r="N72" s="278" t="e">
        <f t="shared" si="18"/>
        <v>#DIV/0!</v>
      </c>
      <c r="O72" s="214">
        <f t="shared" si="10"/>
        <v>0</v>
      </c>
      <c r="P72" s="214">
        <f t="shared" si="11"/>
        <v>0</v>
      </c>
      <c r="Q72" s="214">
        <f>IF(K72=0, 0, (HLOOKUP(K72,'[1]E-CESTDWO'!$A$5:$O$35,J72+1,FALSE)*R22))</f>
        <v>0</v>
      </c>
      <c r="R72" s="214">
        <f>IF(K72=0, 0, (HLOOKUP(K72,'[1]E-CESTD'!$A$5:$O$35,J72+1,FALSE)*R22))</f>
        <v>0</v>
      </c>
      <c r="S72" s="279">
        <v>1.081</v>
      </c>
      <c r="T72" s="280">
        <f t="shared" si="12"/>
        <v>0</v>
      </c>
      <c r="U72" s="280">
        <f t="shared" si="13"/>
        <v>0</v>
      </c>
      <c r="V72" s="280">
        <f t="shared" si="14"/>
        <v>0</v>
      </c>
      <c r="W72" s="322" t="e">
        <f t="shared" si="15"/>
        <v>#DIV/0!</v>
      </c>
      <c r="X72" s="322" t="e">
        <f t="shared" si="16"/>
        <v>#DIV/0!</v>
      </c>
      <c r="Y72" s="322" t="e">
        <f t="shared" si="17"/>
        <v>#DIV/0!</v>
      </c>
    </row>
    <row r="73" spans="2:25">
      <c r="B73" s="282"/>
      <c r="C73" s="282" t="s">
        <v>195</v>
      </c>
      <c r="D73" s="282">
        <v>0</v>
      </c>
      <c r="E73" s="282" t="s">
        <v>181</v>
      </c>
      <c r="F73" s="282" t="s">
        <v>186</v>
      </c>
      <c r="G73" s="283"/>
      <c r="H73" s="283"/>
      <c r="I73" s="311">
        <v>0</v>
      </c>
      <c r="J73" s="257"/>
      <c r="K73" s="257"/>
      <c r="L73" s="3574"/>
      <c r="M73" s="278" t="e">
        <f t="shared" si="18"/>
        <v>#DIV/0!</v>
      </c>
      <c r="N73" s="278" t="e">
        <f t="shared" si="18"/>
        <v>#DIV/0!</v>
      </c>
      <c r="O73" s="214">
        <f t="shared" si="10"/>
        <v>0</v>
      </c>
      <c r="P73" s="214">
        <f t="shared" si="11"/>
        <v>0</v>
      </c>
      <c r="Q73" s="214">
        <f>IF(K73=0, 0, (HLOOKUP(K73,'[1]E-CESTDWO'!$A$5:$O$35,J73+1,FALSE)*R23))</f>
        <v>0</v>
      </c>
      <c r="R73" s="214">
        <f>IF(K73=0, 0, (HLOOKUP(K73,'[1]E-CESTD'!$A$5:$O$35,J73+1,FALSE)*R23))</f>
        <v>0</v>
      </c>
      <c r="S73" s="279">
        <v>1.081</v>
      </c>
      <c r="T73" s="280">
        <f t="shared" si="12"/>
        <v>0</v>
      </c>
      <c r="U73" s="280">
        <f t="shared" si="13"/>
        <v>0</v>
      </c>
      <c r="V73" s="280">
        <f t="shared" si="14"/>
        <v>0</v>
      </c>
      <c r="W73" s="322" t="e">
        <f t="shared" si="15"/>
        <v>#DIV/0!</v>
      </c>
      <c r="X73" s="322" t="e">
        <f t="shared" si="16"/>
        <v>#DIV/0!</v>
      </c>
      <c r="Y73" s="322" t="e">
        <f t="shared" si="17"/>
        <v>#DIV/0!</v>
      </c>
    </row>
    <row r="74" spans="2:25">
      <c r="B74" s="282"/>
      <c r="C74" s="282" t="s">
        <v>196</v>
      </c>
      <c r="D74" s="282">
        <v>0</v>
      </c>
      <c r="E74" s="282" t="s">
        <v>181</v>
      </c>
      <c r="F74" s="282" t="s">
        <v>186</v>
      </c>
      <c r="G74" s="283"/>
      <c r="H74" s="283"/>
      <c r="I74" s="311">
        <v>0</v>
      </c>
      <c r="J74" s="257"/>
      <c r="K74" s="257"/>
      <c r="L74" s="3574"/>
      <c r="M74" s="278" t="e">
        <f t="shared" si="18"/>
        <v>#DIV/0!</v>
      </c>
      <c r="N74" s="278" t="e">
        <f t="shared" si="18"/>
        <v>#DIV/0!</v>
      </c>
      <c r="O74" s="214">
        <f t="shared" si="10"/>
        <v>0</v>
      </c>
      <c r="P74" s="214">
        <f t="shared" si="11"/>
        <v>0</v>
      </c>
      <c r="Q74" s="214">
        <f>IF(K74=0, 0, (HLOOKUP(K74,'[1]E-CESTDWO'!$A$5:$O$35,J74+1,FALSE)*R24))</f>
        <v>0</v>
      </c>
      <c r="R74" s="214">
        <f>IF(K74=0, 0, (HLOOKUP(K74,'[1]E-CESTD'!$A$5:$O$35,J74+1,FALSE)*R24))</f>
        <v>0</v>
      </c>
      <c r="S74" s="279">
        <v>1.081</v>
      </c>
      <c r="T74" s="280">
        <f t="shared" si="12"/>
        <v>0</v>
      </c>
      <c r="U74" s="280">
        <f t="shared" si="13"/>
        <v>0</v>
      </c>
      <c r="V74" s="280">
        <f t="shared" si="14"/>
        <v>0</v>
      </c>
      <c r="W74" s="322" t="e">
        <f t="shared" si="15"/>
        <v>#DIV/0!</v>
      </c>
      <c r="X74" s="322" t="e">
        <f t="shared" si="16"/>
        <v>#DIV/0!</v>
      </c>
      <c r="Y74" s="322" t="e">
        <f t="shared" si="17"/>
        <v>#DIV/0!</v>
      </c>
    </row>
    <row r="75" spans="2:25">
      <c r="B75" s="282"/>
      <c r="C75" s="282" t="s">
        <v>197</v>
      </c>
      <c r="D75" s="282">
        <v>0</v>
      </c>
      <c r="E75" s="282" t="s">
        <v>181</v>
      </c>
      <c r="F75" s="282" t="s">
        <v>186</v>
      </c>
      <c r="G75" s="283"/>
      <c r="H75" s="283"/>
      <c r="I75" s="311">
        <v>0</v>
      </c>
      <c r="J75" s="257"/>
      <c r="K75" s="257"/>
      <c r="L75" s="3574"/>
      <c r="M75" s="278" t="e">
        <f t="shared" si="18"/>
        <v>#DIV/0!</v>
      </c>
      <c r="N75" s="278" t="e">
        <f t="shared" si="18"/>
        <v>#DIV/0!</v>
      </c>
      <c r="O75" s="214">
        <f t="shared" si="10"/>
        <v>0</v>
      </c>
      <c r="P75" s="214">
        <f t="shared" si="11"/>
        <v>0</v>
      </c>
      <c r="Q75" s="214">
        <f>IF(K75=0, 0, (HLOOKUP(K75,'[1]E-CESTDWO'!$A$5:$O$35,J75+1,FALSE)*R25))</f>
        <v>0</v>
      </c>
      <c r="R75" s="214">
        <f>IF(K75=0, 0, (HLOOKUP(K75,'[1]E-CESTD'!$A$5:$O$35,J75+1,FALSE)*R25))</f>
        <v>0</v>
      </c>
      <c r="S75" s="279">
        <v>1.081</v>
      </c>
      <c r="T75" s="280">
        <f t="shared" si="12"/>
        <v>0</v>
      </c>
      <c r="U75" s="280">
        <f t="shared" si="13"/>
        <v>0</v>
      </c>
      <c r="V75" s="280">
        <f t="shared" si="14"/>
        <v>0</v>
      </c>
      <c r="W75" s="322" t="e">
        <f t="shared" si="15"/>
        <v>#DIV/0!</v>
      </c>
      <c r="X75" s="322" t="e">
        <f t="shared" si="16"/>
        <v>#DIV/0!</v>
      </c>
      <c r="Y75" s="322" t="e">
        <f t="shared" si="17"/>
        <v>#DIV/0!</v>
      </c>
    </row>
    <row r="76" spans="2:25">
      <c r="B76" s="282"/>
      <c r="C76" s="282" t="s">
        <v>198</v>
      </c>
      <c r="D76" s="282">
        <v>0</v>
      </c>
      <c r="E76" s="282" t="s">
        <v>181</v>
      </c>
      <c r="F76" s="282" t="s">
        <v>186</v>
      </c>
      <c r="G76" s="283"/>
      <c r="H76" s="283"/>
      <c r="I76" s="311">
        <v>0</v>
      </c>
      <c r="J76" s="257"/>
      <c r="K76" s="257"/>
      <c r="L76" s="3574"/>
      <c r="M76" s="278" t="e">
        <f t="shared" si="18"/>
        <v>#DIV/0!</v>
      </c>
      <c r="N76" s="278" t="e">
        <f t="shared" si="18"/>
        <v>#DIV/0!</v>
      </c>
      <c r="O76" s="214">
        <f t="shared" si="10"/>
        <v>0</v>
      </c>
      <c r="P76" s="214">
        <f t="shared" si="11"/>
        <v>0</v>
      </c>
      <c r="Q76" s="214">
        <f>IF(K76=0, 0, (HLOOKUP(K76,'[1]E-CESTDWO'!$A$5:$O$35,J76+1,FALSE)*R26))</f>
        <v>0</v>
      </c>
      <c r="R76" s="214">
        <f>IF(K76=0, 0, (HLOOKUP(K76,'[1]E-CESTD'!$A$5:$O$35,J76+1,FALSE)*R26))</f>
        <v>0</v>
      </c>
      <c r="S76" s="279">
        <v>1.081</v>
      </c>
      <c r="T76" s="280">
        <f t="shared" si="12"/>
        <v>0</v>
      </c>
      <c r="U76" s="280">
        <f t="shared" si="13"/>
        <v>0</v>
      </c>
      <c r="V76" s="280">
        <f t="shared" si="14"/>
        <v>0</v>
      </c>
      <c r="W76" s="322" t="e">
        <f t="shared" si="15"/>
        <v>#DIV/0!</v>
      </c>
      <c r="X76" s="322" t="e">
        <f t="shared" si="16"/>
        <v>#DIV/0!</v>
      </c>
      <c r="Y76" s="322" t="e">
        <f t="shared" si="17"/>
        <v>#DIV/0!</v>
      </c>
    </row>
    <row r="77" spans="2:25">
      <c r="B77" s="282"/>
      <c r="C77" s="282" t="s">
        <v>199</v>
      </c>
      <c r="D77" s="282">
        <v>0</v>
      </c>
      <c r="E77" s="282" t="s">
        <v>181</v>
      </c>
      <c r="F77" s="282" t="s">
        <v>186</v>
      </c>
      <c r="G77" s="283"/>
      <c r="H77" s="283"/>
      <c r="I77" s="311">
        <v>0</v>
      </c>
      <c r="J77" s="257"/>
      <c r="K77" s="257"/>
      <c r="L77" s="3574"/>
      <c r="M77" s="278" t="e">
        <f t="shared" si="18"/>
        <v>#DIV/0!</v>
      </c>
      <c r="N77" s="278" t="e">
        <f t="shared" si="18"/>
        <v>#DIV/0!</v>
      </c>
      <c r="O77" s="214">
        <f t="shared" si="10"/>
        <v>0</v>
      </c>
      <c r="P77" s="214">
        <f t="shared" si="11"/>
        <v>0</v>
      </c>
      <c r="Q77" s="214">
        <f>IF(K77=0, 0, (HLOOKUP(K77,'[1]E-CESTDWO'!$A$5:$O$35,J77+1,FALSE)*R27))</f>
        <v>0</v>
      </c>
      <c r="R77" s="214">
        <f>IF(K77=0, 0, (HLOOKUP(K77,'[1]E-CESTD'!$A$5:$O$35,J77+1,FALSE)*R27))</f>
        <v>0</v>
      </c>
      <c r="S77" s="279">
        <v>1.081</v>
      </c>
      <c r="T77" s="280">
        <f t="shared" si="12"/>
        <v>0</v>
      </c>
      <c r="U77" s="280">
        <f t="shared" si="13"/>
        <v>0</v>
      </c>
      <c r="V77" s="280">
        <f t="shared" si="14"/>
        <v>0</v>
      </c>
      <c r="W77" s="322" t="e">
        <f t="shared" si="15"/>
        <v>#DIV/0!</v>
      </c>
      <c r="X77" s="322" t="e">
        <f t="shared" si="16"/>
        <v>#DIV/0!</v>
      </c>
      <c r="Y77" s="322" t="e">
        <f t="shared" si="17"/>
        <v>#DIV/0!</v>
      </c>
    </row>
    <row r="78" spans="2:25">
      <c r="B78" s="282"/>
      <c r="C78" s="282" t="s">
        <v>200</v>
      </c>
      <c r="D78" s="282">
        <v>0</v>
      </c>
      <c r="E78" s="282" t="s">
        <v>181</v>
      </c>
      <c r="F78" s="282" t="s">
        <v>186</v>
      </c>
      <c r="G78" s="283"/>
      <c r="H78" s="283"/>
      <c r="I78" s="311">
        <v>0</v>
      </c>
      <c r="J78" s="257"/>
      <c r="K78" s="257"/>
      <c r="L78" s="3574"/>
      <c r="M78" s="278" t="e">
        <f t="shared" si="18"/>
        <v>#DIV/0!</v>
      </c>
      <c r="N78" s="278" t="e">
        <f t="shared" si="18"/>
        <v>#DIV/0!</v>
      </c>
      <c r="O78" s="214">
        <f t="shared" si="10"/>
        <v>0</v>
      </c>
      <c r="P78" s="214">
        <f t="shared" si="11"/>
        <v>0</v>
      </c>
      <c r="Q78" s="214">
        <f>IF(K78=0, 0, (HLOOKUP(K78,'[1]E-CESTDWO'!$A$5:$O$35,J78+1,FALSE)*R28))</f>
        <v>0</v>
      </c>
      <c r="R78" s="214">
        <f>IF(K78=0, 0, (HLOOKUP(K78,'[1]E-CESTD'!$A$5:$O$35,J78+1,FALSE)*R28))</f>
        <v>0</v>
      </c>
      <c r="S78" s="279">
        <v>1.081</v>
      </c>
      <c r="T78" s="280">
        <f t="shared" si="12"/>
        <v>0</v>
      </c>
      <c r="U78" s="280">
        <f t="shared" si="13"/>
        <v>0</v>
      </c>
      <c r="V78" s="280">
        <f t="shared" si="14"/>
        <v>0</v>
      </c>
      <c r="W78" s="322" t="e">
        <f t="shared" si="15"/>
        <v>#DIV/0!</v>
      </c>
      <c r="X78" s="322" t="e">
        <f t="shared" si="16"/>
        <v>#DIV/0!</v>
      </c>
      <c r="Y78" s="322" t="e">
        <f t="shared" si="17"/>
        <v>#DIV/0!</v>
      </c>
    </row>
    <row r="79" spans="2:25">
      <c r="B79" s="282"/>
      <c r="C79" s="282" t="s">
        <v>201</v>
      </c>
      <c r="D79" s="282">
        <v>0</v>
      </c>
      <c r="E79" s="282" t="s">
        <v>181</v>
      </c>
      <c r="F79" s="282" t="s">
        <v>186</v>
      </c>
      <c r="G79" s="283"/>
      <c r="H79" s="283"/>
      <c r="I79" s="311">
        <v>0</v>
      </c>
      <c r="J79" s="257"/>
      <c r="K79" s="257"/>
      <c r="L79" s="3574"/>
      <c r="M79" s="278" t="e">
        <f t="shared" si="18"/>
        <v>#DIV/0!</v>
      </c>
      <c r="N79" s="278" t="e">
        <f t="shared" si="18"/>
        <v>#DIV/0!</v>
      </c>
      <c r="O79" s="214">
        <f t="shared" si="10"/>
        <v>0</v>
      </c>
      <c r="P79" s="214">
        <f t="shared" si="11"/>
        <v>0</v>
      </c>
      <c r="Q79" s="214">
        <f>IF(K79=0, 0, (HLOOKUP(K79,'[1]E-CESTDWO'!$A$5:$O$35,J79+1,FALSE)*R29))</f>
        <v>0</v>
      </c>
      <c r="R79" s="214">
        <f>IF(K79=0, 0, (HLOOKUP(K79,'[1]E-CESTD'!$A$5:$O$35,J79+1,FALSE)*R29))</f>
        <v>0</v>
      </c>
      <c r="S79" s="279">
        <v>1.081</v>
      </c>
      <c r="T79" s="280">
        <f t="shared" si="12"/>
        <v>0</v>
      </c>
      <c r="U79" s="280">
        <f t="shared" si="13"/>
        <v>0</v>
      </c>
      <c r="V79" s="280">
        <f t="shared" si="14"/>
        <v>0</v>
      </c>
      <c r="W79" s="322" t="e">
        <f t="shared" si="15"/>
        <v>#DIV/0!</v>
      </c>
      <c r="X79" s="322" t="e">
        <f t="shared" si="16"/>
        <v>#DIV/0!</v>
      </c>
      <c r="Y79" s="322" t="e">
        <f t="shared" si="17"/>
        <v>#DIV/0!</v>
      </c>
    </row>
    <row r="80" spans="2:25">
      <c r="B80" s="282"/>
      <c r="C80" s="282" t="s">
        <v>202</v>
      </c>
      <c r="D80" s="282">
        <v>0</v>
      </c>
      <c r="E80" s="282" t="s">
        <v>181</v>
      </c>
      <c r="F80" s="282" t="s">
        <v>186</v>
      </c>
      <c r="G80" s="283"/>
      <c r="H80" s="283"/>
      <c r="I80" s="311">
        <v>0</v>
      </c>
      <c r="J80" s="257"/>
      <c r="K80" s="257"/>
      <c r="L80" s="3574"/>
      <c r="M80" s="278" t="e">
        <f t="shared" si="18"/>
        <v>#DIV/0!</v>
      </c>
      <c r="N80" s="278" t="e">
        <f t="shared" si="18"/>
        <v>#DIV/0!</v>
      </c>
      <c r="O80" s="214">
        <f t="shared" si="10"/>
        <v>0</v>
      </c>
      <c r="P80" s="214">
        <f t="shared" si="11"/>
        <v>0</v>
      </c>
      <c r="Q80" s="214">
        <f>IF(K80=0, 0, (HLOOKUP(K80,'[1]E-CESTDWO'!$A$5:$O$35,J80+1,FALSE)*R30))</f>
        <v>0</v>
      </c>
      <c r="R80" s="214">
        <f>IF(K80=0, 0, (HLOOKUP(K80,'[1]E-CESTD'!$A$5:$O$35,J80+1,FALSE)*R30))</f>
        <v>0</v>
      </c>
      <c r="S80" s="279">
        <v>1.081</v>
      </c>
      <c r="T80" s="280">
        <f t="shared" si="12"/>
        <v>0</v>
      </c>
      <c r="U80" s="280">
        <f t="shared" si="13"/>
        <v>0</v>
      </c>
      <c r="V80" s="280">
        <f t="shared" si="14"/>
        <v>0</v>
      </c>
      <c r="W80" s="322" t="e">
        <f t="shared" si="15"/>
        <v>#DIV/0!</v>
      </c>
      <c r="X80" s="322" t="e">
        <f t="shared" si="16"/>
        <v>#DIV/0!</v>
      </c>
      <c r="Y80" s="322" t="e">
        <f t="shared" si="17"/>
        <v>#DIV/0!</v>
      </c>
    </row>
    <row r="81" spans="2:25">
      <c r="B81" s="282"/>
      <c r="C81" s="282" t="s">
        <v>203</v>
      </c>
      <c r="D81" s="282">
        <v>0</v>
      </c>
      <c r="E81" s="282" t="s">
        <v>181</v>
      </c>
      <c r="F81" s="282" t="s">
        <v>186</v>
      </c>
      <c r="G81" s="283"/>
      <c r="H81" s="283"/>
      <c r="I81" s="311">
        <v>0</v>
      </c>
      <c r="J81" s="257"/>
      <c r="K81" s="257"/>
      <c r="L81" s="3574"/>
      <c r="M81" s="278" t="e">
        <f t="shared" si="18"/>
        <v>#DIV/0!</v>
      </c>
      <c r="N81" s="278" t="e">
        <f t="shared" si="18"/>
        <v>#DIV/0!</v>
      </c>
      <c r="O81" s="214">
        <f t="shared" si="10"/>
        <v>0</v>
      </c>
      <c r="P81" s="214">
        <f t="shared" si="11"/>
        <v>0</v>
      </c>
      <c r="Q81" s="214">
        <f>IF(K81=0, 0, (HLOOKUP(K81,'[1]E-CESTDWO'!$A$5:$O$35,J81+1,FALSE)*R31))</f>
        <v>0</v>
      </c>
      <c r="R81" s="214">
        <f>IF(K81=0, 0, (HLOOKUP(K81,'[1]E-CESTD'!$A$5:$O$35,J81+1,FALSE)*R31))</f>
        <v>0</v>
      </c>
      <c r="S81" s="279">
        <v>1.081</v>
      </c>
      <c r="T81" s="280">
        <f t="shared" si="12"/>
        <v>0</v>
      </c>
      <c r="U81" s="280">
        <f t="shared" si="13"/>
        <v>0</v>
      </c>
      <c r="V81" s="280">
        <f t="shared" si="14"/>
        <v>0</v>
      </c>
      <c r="W81" s="322" t="e">
        <f t="shared" si="15"/>
        <v>#DIV/0!</v>
      </c>
      <c r="X81" s="322" t="e">
        <f t="shared" si="16"/>
        <v>#DIV/0!</v>
      </c>
      <c r="Y81" s="322" t="e">
        <f t="shared" si="17"/>
        <v>#DIV/0!</v>
      </c>
    </row>
    <row r="82" spans="2:25">
      <c r="B82" s="282"/>
      <c r="C82" s="282" t="s">
        <v>204</v>
      </c>
      <c r="D82" s="282">
        <v>0</v>
      </c>
      <c r="E82" s="282" t="s">
        <v>181</v>
      </c>
      <c r="F82" s="282" t="s">
        <v>186</v>
      </c>
      <c r="G82" s="283"/>
      <c r="H82" s="283"/>
      <c r="I82" s="311">
        <v>0</v>
      </c>
      <c r="J82" s="257"/>
      <c r="K82" s="257"/>
      <c r="L82" s="3574"/>
      <c r="M82" s="278" t="e">
        <f t="shared" si="18"/>
        <v>#DIV/0!</v>
      </c>
      <c r="N82" s="278" t="e">
        <f t="shared" si="18"/>
        <v>#DIV/0!</v>
      </c>
      <c r="O82" s="214">
        <f t="shared" si="10"/>
        <v>0</v>
      </c>
      <c r="P82" s="214">
        <f t="shared" si="11"/>
        <v>0</v>
      </c>
      <c r="Q82" s="214">
        <f>IF(K82=0, 0, (HLOOKUP(K82,'[1]E-CESTDWO'!$A$5:$O$35,J82+1,FALSE)*R32))</f>
        <v>0</v>
      </c>
      <c r="R82" s="214">
        <f>IF(K82=0, 0, (HLOOKUP(K82,'[1]E-CESTD'!$A$5:$O$35,J82+1,FALSE)*R32))</f>
        <v>0</v>
      </c>
      <c r="S82" s="279">
        <v>1.081</v>
      </c>
      <c r="T82" s="280">
        <f t="shared" si="12"/>
        <v>0</v>
      </c>
      <c r="U82" s="280">
        <f t="shared" si="13"/>
        <v>0</v>
      </c>
      <c r="V82" s="280">
        <f t="shared" si="14"/>
        <v>0</v>
      </c>
    </row>
    <row r="83" spans="2:25">
      <c r="B83" s="282"/>
      <c r="C83" s="282" t="s">
        <v>205</v>
      </c>
      <c r="D83" s="285">
        <v>0</v>
      </c>
      <c r="E83" s="282" t="s">
        <v>181</v>
      </c>
      <c r="F83" s="282" t="s">
        <v>186</v>
      </c>
      <c r="G83" s="283"/>
      <c r="H83" s="283"/>
      <c r="I83" s="311">
        <v>0</v>
      </c>
      <c r="J83" s="257"/>
      <c r="K83" s="257"/>
      <c r="L83" s="3574"/>
      <c r="M83" s="278" t="e">
        <f t="shared" si="18"/>
        <v>#DIV/0!</v>
      </c>
      <c r="N83" s="278" t="e">
        <f t="shared" si="18"/>
        <v>#DIV/0!</v>
      </c>
      <c r="O83" s="214">
        <f t="shared" si="10"/>
        <v>0</v>
      </c>
      <c r="P83" s="214">
        <f t="shared" si="11"/>
        <v>0</v>
      </c>
      <c r="Q83" s="214">
        <f>IF(K83=0, 0, (HLOOKUP(K83,'[1]E-CESTDWO'!$A$5:$O$35,J83+1,FALSE)*R33))</f>
        <v>0</v>
      </c>
      <c r="R83" s="214">
        <f>IF(K83=0, 0, (HLOOKUP(K83,'[1]E-CESTD'!$A$5:$O$35,J83+1,FALSE)*R33))</f>
        <v>0</v>
      </c>
      <c r="S83" s="279">
        <v>1.081</v>
      </c>
      <c r="T83" s="280">
        <f t="shared" si="12"/>
        <v>0</v>
      </c>
      <c r="U83" s="280">
        <f t="shared" si="13"/>
        <v>0</v>
      </c>
      <c r="V83" s="280">
        <f t="shared" si="14"/>
        <v>0</v>
      </c>
    </row>
    <row r="84" spans="2:25">
      <c r="B84" s="282"/>
      <c r="C84" s="282" t="s">
        <v>206</v>
      </c>
      <c r="D84" s="285">
        <v>0</v>
      </c>
      <c r="E84" s="282" t="s">
        <v>181</v>
      </c>
      <c r="F84" s="282" t="s">
        <v>186</v>
      </c>
      <c r="G84" s="283"/>
      <c r="H84" s="283"/>
      <c r="I84" s="311">
        <v>0</v>
      </c>
      <c r="J84" s="257"/>
      <c r="K84" s="257"/>
      <c r="L84" s="3574"/>
      <c r="M84" s="278" t="e">
        <f t="shared" si="18"/>
        <v>#DIV/0!</v>
      </c>
      <c r="N84" s="278" t="e">
        <f t="shared" si="18"/>
        <v>#DIV/0!</v>
      </c>
      <c r="O84" s="214">
        <f t="shared" si="10"/>
        <v>0</v>
      </c>
      <c r="P84" s="214">
        <f t="shared" si="11"/>
        <v>0</v>
      </c>
      <c r="Q84" s="214">
        <f>IF(K84=0, 0, (HLOOKUP(K84,'[1]E-CESTDWO'!$A$5:$O$35,J84+1,FALSE)*R34))</f>
        <v>0</v>
      </c>
      <c r="R84" s="214">
        <f>IF(K84=0, 0, (HLOOKUP(K84,'[1]E-CESTD'!$A$5:$O$35,J84+1,FALSE)*R34))</f>
        <v>0</v>
      </c>
      <c r="S84" s="279">
        <v>1.081</v>
      </c>
      <c r="T84" s="280">
        <f t="shared" si="12"/>
        <v>0</v>
      </c>
      <c r="U84" s="280">
        <f t="shared" si="13"/>
        <v>0</v>
      </c>
      <c r="V84" s="280">
        <f t="shared" si="14"/>
        <v>0</v>
      </c>
    </row>
    <row r="85" spans="2:25">
      <c r="B85" s="282"/>
      <c r="C85" s="282" t="s">
        <v>207</v>
      </c>
      <c r="D85" s="285">
        <v>0</v>
      </c>
      <c r="E85" s="282" t="s">
        <v>181</v>
      </c>
      <c r="F85" s="282" t="s">
        <v>186</v>
      </c>
      <c r="G85" s="283"/>
      <c r="H85" s="283"/>
      <c r="I85" s="311">
        <v>0</v>
      </c>
      <c r="J85" s="257"/>
      <c r="K85" s="257"/>
      <c r="L85" s="3574"/>
      <c r="M85" s="278" t="e">
        <f t="shared" si="18"/>
        <v>#DIV/0!</v>
      </c>
      <c r="N85" s="278" t="e">
        <f t="shared" si="18"/>
        <v>#DIV/0!</v>
      </c>
      <c r="O85" s="214">
        <f t="shared" si="10"/>
        <v>0</v>
      </c>
      <c r="P85" s="214">
        <f t="shared" si="11"/>
        <v>0</v>
      </c>
      <c r="Q85" s="214">
        <f>IF(K85=0, 0, (HLOOKUP(K85,'[1]E-CESTDWO'!$A$5:$O$35,J85+1,FALSE)*R35))</f>
        <v>0</v>
      </c>
      <c r="R85" s="214">
        <f>IF(K85=0, 0, (HLOOKUP(K85,'[1]E-CESTD'!$A$5:$O$35,J85+1,FALSE)*R35))</f>
        <v>0</v>
      </c>
      <c r="S85" s="279">
        <v>1.081</v>
      </c>
      <c r="T85" s="280">
        <f t="shared" si="12"/>
        <v>0</v>
      </c>
      <c r="U85" s="280">
        <f t="shared" si="13"/>
        <v>0</v>
      </c>
      <c r="V85" s="280">
        <f t="shared" si="14"/>
        <v>0</v>
      </c>
    </row>
    <row r="86" spans="2:25">
      <c r="B86" s="282"/>
      <c r="C86" s="282" t="s">
        <v>208</v>
      </c>
      <c r="D86" s="285">
        <v>0</v>
      </c>
      <c r="E86" s="282" t="s">
        <v>181</v>
      </c>
      <c r="F86" s="282" t="s">
        <v>186</v>
      </c>
      <c r="G86" s="283"/>
      <c r="H86" s="283"/>
      <c r="I86" s="311">
        <v>0</v>
      </c>
      <c r="J86" s="257"/>
      <c r="K86" s="257"/>
      <c r="L86" s="3574"/>
      <c r="M86" s="278" t="e">
        <f t="shared" si="18"/>
        <v>#DIV/0!</v>
      </c>
      <c r="N86" s="278" t="e">
        <f t="shared" si="18"/>
        <v>#DIV/0!</v>
      </c>
      <c r="O86" s="214">
        <f t="shared" si="10"/>
        <v>0</v>
      </c>
      <c r="P86" s="214">
        <f t="shared" si="11"/>
        <v>0</v>
      </c>
      <c r="Q86" s="214">
        <f>IF(K86=0, 0, (HLOOKUP(K86,'[1]E-CESTDWO'!$A$5:$O$35,J86+1,FALSE)*R36))</f>
        <v>0</v>
      </c>
      <c r="R86" s="214">
        <f>IF(K86=0, 0, (HLOOKUP(K86,'[1]E-CESTD'!$A$5:$O$35,J86+1,FALSE)*R36))</f>
        <v>0</v>
      </c>
      <c r="S86" s="279">
        <v>1.081</v>
      </c>
      <c r="T86" s="280">
        <f t="shared" si="12"/>
        <v>0</v>
      </c>
      <c r="U86" s="280">
        <f t="shared" si="13"/>
        <v>0</v>
      </c>
      <c r="V86" s="280">
        <f t="shared" si="14"/>
        <v>0</v>
      </c>
    </row>
    <row r="87" spans="2:25">
      <c r="B87" s="282"/>
      <c r="C87" s="282" t="s">
        <v>209</v>
      </c>
      <c r="D87" s="285">
        <v>0</v>
      </c>
      <c r="E87" s="282" t="s">
        <v>181</v>
      </c>
      <c r="F87" s="282" t="s">
        <v>186</v>
      </c>
      <c r="G87" s="283"/>
      <c r="H87" s="283"/>
      <c r="I87" s="311">
        <v>0</v>
      </c>
      <c r="J87" s="257"/>
      <c r="K87" s="257"/>
      <c r="L87" s="3574"/>
      <c r="M87" s="278" t="e">
        <f t="shared" si="18"/>
        <v>#DIV/0!</v>
      </c>
      <c r="N87" s="278" t="e">
        <f t="shared" si="18"/>
        <v>#DIV/0!</v>
      </c>
      <c r="O87" s="214">
        <f t="shared" si="10"/>
        <v>0</v>
      </c>
      <c r="P87" s="214">
        <f t="shared" si="11"/>
        <v>0</v>
      </c>
      <c r="Q87" s="214">
        <f>IF(K87=0, 0, (HLOOKUP(K87,'[1]E-CESTDWO'!$A$5:$O$35,J87+1,FALSE)*R37))</f>
        <v>0</v>
      </c>
      <c r="R87" s="214">
        <f>IF(K87=0, 0, (HLOOKUP(K87,'[1]E-CESTD'!$A$5:$O$35,J87+1,FALSE)*R37))</f>
        <v>0</v>
      </c>
      <c r="S87" s="279">
        <v>1.081</v>
      </c>
      <c r="T87" s="280">
        <f t="shared" si="12"/>
        <v>0</v>
      </c>
      <c r="U87" s="280">
        <f t="shared" si="13"/>
        <v>0</v>
      </c>
      <c r="V87" s="280">
        <f t="shared" si="14"/>
        <v>0</v>
      </c>
    </row>
    <row r="88" spans="2:25">
      <c r="B88" s="282"/>
      <c r="C88" s="282" t="s">
        <v>210</v>
      </c>
      <c r="D88" s="285">
        <v>0</v>
      </c>
      <c r="E88" s="282" t="s">
        <v>181</v>
      </c>
      <c r="F88" s="282" t="s">
        <v>186</v>
      </c>
      <c r="G88" s="283"/>
      <c r="H88" s="283"/>
      <c r="I88" s="311">
        <v>0</v>
      </c>
      <c r="J88" s="257"/>
      <c r="K88" s="257"/>
      <c r="L88" s="3574"/>
      <c r="M88" s="278" t="e">
        <f t="shared" si="18"/>
        <v>#DIV/0!</v>
      </c>
      <c r="N88" s="278" t="e">
        <f t="shared" si="18"/>
        <v>#DIV/0!</v>
      </c>
      <c r="O88" s="214">
        <f t="shared" si="10"/>
        <v>0</v>
      </c>
      <c r="P88" s="214">
        <f t="shared" si="11"/>
        <v>0</v>
      </c>
      <c r="Q88" s="214">
        <f>IF(K88=0, 0, (HLOOKUP(K88,'[1]E-CESTDWO'!$A$5:$O$35,J88+1,FALSE)*R38))</f>
        <v>0</v>
      </c>
      <c r="R88" s="214">
        <f>IF(K88=0, 0, (HLOOKUP(K88,'[1]E-CESTD'!$A$5:$O$35,J88+1,FALSE)*R38))</f>
        <v>0</v>
      </c>
      <c r="S88" s="279">
        <v>1.081</v>
      </c>
      <c r="T88" s="280">
        <f t="shared" si="12"/>
        <v>0</v>
      </c>
      <c r="U88" s="280">
        <f t="shared" si="13"/>
        <v>0</v>
      </c>
      <c r="V88" s="280">
        <f t="shared" si="14"/>
        <v>0</v>
      </c>
    </row>
    <row r="89" spans="2:25">
      <c r="B89" s="282"/>
      <c r="C89" s="282" t="s">
        <v>211</v>
      </c>
      <c r="D89" s="285">
        <v>0</v>
      </c>
      <c r="E89" s="282" t="s">
        <v>181</v>
      </c>
      <c r="F89" s="282" t="s">
        <v>186</v>
      </c>
      <c r="G89" s="283"/>
      <c r="H89" s="283"/>
      <c r="I89" s="311">
        <v>0</v>
      </c>
      <c r="J89" s="257"/>
      <c r="K89" s="257"/>
      <c r="L89" s="3574"/>
      <c r="M89" s="278" t="e">
        <f t="shared" si="18"/>
        <v>#DIV/0!</v>
      </c>
      <c r="N89" s="278" t="e">
        <f t="shared" si="18"/>
        <v>#DIV/0!</v>
      </c>
      <c r="O89" s="214">
        <f t="shared" si="10"/>
        <v>0</v>
      </c>
      <c r="P89" s="214">
        <f t="shared" si="11"/>
        <v>0</v>
      </c>
      <c r="Q89" s="214">
        <f>IF(K89=0, 0, (HLOOKUP(K89,'[1]E-CESTDWO'!$A$5:$O$35,J89+1,FALSE)*R39))</f>
        <v>0</v>
      </c>
      <c r="R89" s="214">
        <f>IF(K89=0, 0, (HLOOKUP(K89,'[1]E-CESTD'!$A$5:$O$35,J89+1,FALSE)*R39))</f>
        <v>0</v>
      </c>
      <c r="S89" s="279">
        <v>1.081</v>
      </c>
      <c r="T89" s="280">
        <f t="shared" si="12"/>
        <v>0</v>
      </c>
      <c r="U89" s="280">
        <f t="shared" si="13"/>
        <v>0</v>
      </c>
      <c r="V89" s="280">
        <f t="shared" si="14"/>
        <v>0</v>
      </c>
    </row>
    <row r="90" spans="2:25">
      <c r="B90" s="282"/>
      <c r="C90" s="282" t="s">
        <v>212</v>
      </c>
      <c r="D90" s="285">
        <v>0</v>
      </c>
      <c r="E90" s="282" t="s">
        <v>181</v>
      </c>
      <c r="F90" s="282" t="s">
        <v>186</v>
      </c>
      <c r="G90" s="283"/>
      <c r="H90" s="283"/>
      <c r="I90" s="311">
        <v>0</v>
      </c>
      <c r="J90" s="257"/>
      <c r="K90" s="257"/>
      <c r="L90" s="3574"/>
      <c r="M90" s="278" t="e">
        <f t="shared" si="18"/>
        <v>#DIV/0!</v>
      </c>
      <c r="N90" s="278" t="e">
        <f t="shared" si="18"/>
        <v>#DIV/0!</v>
      </c>
      <c r="O90" s="214">
        <f t="shared" si="10"/>
        <v>0</v>
      </c>
      <c r="P90" s="214">
        <f t="shared" si="11"/>
        <v>0</v>
      </c>
      <c r="Q90" s="214">
        <f>IF(K90=0, 0, (HLOOKUP(K90,'[1]E-CESTDWO'!$A$5:$O$35,J90+1,FALSE)*R40))</f>
        <v>0</v>
      </c>
      <c r="R90" s="214">
        <f>IF(K90=0, 0, (HLOOKUP(K90,'[1]E-CESTD'!$A$5:$O$35,J90+1,FALSE)*R40))</f>
        <v>0</v>
      </c>
      <c r="S90" s="279">
        <v>1.081</v>
      </c>
      <c r="T90" s="280">
        <f t="shared" si="12"/>
        <v>0</v>
      </c>
      <c r="U90" s="280">
        <f t="shared" si="13"/>
        <v>0</v>
      </c>
      <c r="V90" s="280">
        <f t="shared" si="14"/>
        <v>0</v>
      </c>
    </row>
    <row r="91" spans="2:25">
      <c r="B91" s="282"/>
      <c r="C91" s="282" t="s">
        <v>213</v>
      </c>
      <c r="D91" s="285">
        <v>0</v>
      </c>
      <c r="E91" s="282" t="s">
        <v>181</v>
      </c>
      <c r="F91" s="282" t="s">
        <v>186</v>
      </c>
      <c r="G91" s="283"/>
      <c r="H91" s="283"/>
      <c r="I91" s="311">
        <v>0</v>
      </c>
      <c r="J91" s="257"/>
      <c r="K91" s="257"/>
      <c r="L91" s="3574"/>
      <c r="M91" s="278" t="e">
        <f t="shared" si="18"/>
        <v>#DIV/0!</v>
      </c>
      <c r="N91" s="278" t="e">
        <f t="shared" si="18"/>
        <v>#DIV/0!</v>
      </c>
      <c r="O91" s="214">
        <f t="shared" si="10"/>
        <v>0</v>
      </c>
      <c r="P91" s="214">
        <f t="shared" si="11"/>
        <v>0</v>
      </c>
      <c r="Q91" s="214">
        <f>IF(K91=0, 0, (HLOOKUP(K91,'[1]E-CESTDWO'!$A$5:$O$35,J91+1,FALSE)*R41))</f>
        <v>0</v>
      </c>
      <c r="R91" s="214">
        <f>IF(K91=0, 0, (HLOOKUP(K91,'[1]E-CESTD'!$A$5:$O$35,J91+1,FALSE)*R41))</f>
        <v>0</v>
      </c>
      <c r="S91" s="279">
        <v>1.081</v>
      </c>
      <c r="T91" s="280">
        <f t="shared" si="12"/>
        <v>0</v>
      </c>
      <c r="U91" s="280">
        <f t="shared" si="13"/>
        <v>0</v>
      </c>
      <c r="V91" s="280">
        <f t="shared" si="14"/>
        <v>0</v>
      </c>
    </row>
    <row r="92" spans="2:25">
      <c r="B92" s="282"/>
      <c r="C92" s="282" t="s">
        <v>214</v>
      </c>
      <c r="D92" s="285">
        <v>0</v>
      </c>
      <c r="E92" s="282" t="s">
        <v>181</v>
      </c>
      <c r="F92" s="282" t="s">
        <v>186</v>
      </c>
      <c r="G92" s="283"/>
      <c r="H92" s="283"/>
      <c r="I92" s="311">
        <v>0</v>
      </c>
      <c r="J92" s="257"/>
      <c r="K92" s="257"/>
      <c r="L92" s="3574"/>
      <c r="M92" s="278" t="e">
        <f t="shared" si="18"/>
        <v>#DIV/0!</v>
      </c>
      <c r="N92" s="278" t="e">
        <f t="shared" si="18"/>
        <v>#DIV/0!</v>
      </c>
      <c r="O92" s="214">
        <f t="shared" si="10"/>
        <v>0</v>
      </c>
      <c r="P92" s="214">
        <f t="shared" si="11"/>
        <v>0</v>
      </c>
      <c r="Q92" s="214">
        <f>IF(K92=0, 0, (HLOOKUP(K92,'[1]E-CESTDWO'!$A$5:$O$35,J92+1,FALSE)*R42))</f>
        <v>0</v>
      </c>
      <c r="R92" s="214">
        <f>IF(K92=0, 0, (HLOOKUP(K92,'[1]E-CESTD'!$A$5:$O$35,J92+1,FALSE)*R42))</f>
        <v>0</v>
      </c>
      <c r="S92" s="279">
        <v>1.081</v>
      </c>
      <c r="T92" s="280">
        <f t="shared" si="12"/>
        <v>0</v>
      </c>
      <c r="U92" s="280">
        <f t="shared" si="13"/>
        <v>0</v>
      </c>
      <c r="V92" s="280">
        <f t="shared" si="14"/>
        <v>0</v>
      </c>
    </row>
    <row r="93" spans="2:25">
      <c r="B93" s="282"/>
      <c r="C93" s="282" t="s">
        <v>215</v>
      </c>
      <c r="D93" s="285">
        <v>0</v>
      </c>
      <c r="E93" s="282" t="s">
        <v>181</v>
      </c>
      <c r="F93" s="282" t="s">
        <v>186</v>
      </c>
      <c r="G93" s="283"/>
      <c r="H93" s="283"/>
      <c r="I93" s="311">
        <v>0</v>
      </c>
      <c r="J93" s="257"/>
      <c r="K93" s="257"/>
      <c r="L93" s="3574"/>
      <c r="M93" s="278" t="e">
        <f t="shared" si="18"/>
        <v>#DIV/0!</v>
      </c>
      <c r="N93" s="278" t="e">
        <f t="shared" si="18"/>
        <v>#DIV/0!</v>
      </c>
      <c r="O93" s="214">
        <f t="shared" si="10"/>
        <v>0</v>
      </c>
      <c r="P93" s="214">
        <f t="shared" si="11"/>
        <v>0</v>
      </c>
      <c r="Q93" s="214">
        <f>IF(K93=0, 0, (HLOOKUP(K93,'[1]E-CESTDWO'!$A$5:$O$35,J93+1,FALSE)*R43))</f>
        <v>0</v>
      </c>
      <c r="R93" s="214">
        <f>IF(K93=0, 0, (HLOOKUP(K93,'[1]E-CESTD'!$A$5:$O$35,J93+1,FALSE)*R43))</f>
        <v>0</v>
      </c>
      <c r="S93" s="279">
        <v>1.081</v>
      </c>
      <c r="T93" s="280">
        <f t="shared" si="12"/>
        <v>0</v>
      </c>
      <c r="U93" s="280">
        <f t="shared" si="13"/>
        <v>0</v>
      </c>
      <c r="V93" s="280">
        <f t="shared" si="14"/>
        <v>0</v>
      </c>
    </row>
    <row r="94" spans="2:25">
      <c r="B94" s="282"/>
      <c r="C94" s="282" t="s">
        <v>216</v>
      </c>
      <c r="D94" s="285">
        <v>0</v>
      </c>
      <c r="E94" s="282" t="s">
        <v>181</v>
      </c>
      <c r="F94" s="282" t="s">
        <v>186</v>
      </c>
      <c r="G94" s="283"/>
      <c r="H94" s="283"/>
      <c r="I94" s="311">
        <v>0</v>
      </c>
      <c r="J94" s="257"/>
      <c r="K94" s="257"/>
      <c r="L94" s="3574"/>
      <c r="M94" s="278" t="e">
        <f t="shared" si="18"/>
        <v>#DIV/0!</v>
      </c>
      <c r="N94" s="278" t="e">
        <f t="shared" si="18"/>
        <v>#DIV/0!</v>
      </c>
      <c r="O94" s="214">
        <f t="shared" si="10"/>
        <v>0</v>
      </c>
      <c r="P94" s="214">
        <f t="shared" si="11"/>
        <v>0</v>
      </c>
      <c r="Q94" s="214">
        <f>IF(K94=0, 0, (HLOOKUP(K94,'[1]E-CESTDWO'!$A$5:$O$35,J94+1,FALSE)*R44))</f>
        <v>0</v>
      </c>
      <c r="R94" s="214">
        <f>IF(K94=0, 0, (HLOOKUP(K94,'[1]E-CESTD'!$A$5:$O$35,J94+1,FALSE)*R44))</f>
        <v>0</v>
      </c>
      <c r="S94" s="279">
        <v>1.081</v>
      </c>
      <c r="T94" s="280">
        <f t="shared" si="12"/>
        <v>0</v>
      </c>
      <c r="U94" s="280">
        <f t="shared" si="13"/>
        <v>0</v>
      </c>
      <c r="V94" s="280">
        <f t="shared" si="14"/>
        <v>0</v>
      </c>
    </row>
    <row r="95" spans="2:25">
      <c r="B95" s="282"/>
      <c r="C95" s="282" t="s">
        <v>217</v>
      </c>
      <c r="D95" s="285">
        <v>0</v>
      </c>
      <c r="E95" s="282" t="s">
        <v>181</v>
      </c>
      <c r="F95" s="282" t="s">
        <v>186</v>
      </c>
      <c r="G95" s="283"/>
      <c r="H95" s="283"/>
      <c r="I95" s="311">
        <v>0</v>
      </c>
      <c r="J95" s="257"/>
      <c r="K95" s="257"/>
      <c r="L95" s="3574"/>
      <c r="M95" s="278" t="e">
        <f t="shared" si="18"/>
        <v>#DIV/0!</v>
      </c>
      <c r="N95" s="278" t="e">
        <f t="shared" si="18"/>
        <v>#DIV/0!</v>
      </c>
      <c r="O95" s="214">
        <f t="shared" si="10"/>
        <v>0</v>
      </c>
      <c r="P95" s="214">
        <f t="shared" si="11"/>
        <v>0</v>
      </c>
      <c r="Q95" s="214">
        <f>IF(K95=0, 0, (HLOOKUP(K95,'[1]E-CESTDWO'!$A$5:$O$35,J95+1,FALSE)*R45))</f>
        <v>0</v>
      </c>
      <c r="R95" s="214">
        <f>IF(K95=0, 0, (HLOOKUP(K95,'[1]E-CESTD'!$A$5:$O$35,J95+1,FALSE)*R45))</f>
        <v>0</v>
      </c>
      <c r="S95" s="279">
        <v>1.081</v>
      </c>
      <c r="T95" s="280">
        <f t="shared" si="12"/>
        <v>0</v>
      </c>
      <c r="U95" s="280">
        <f t="shared" si="13"/>
        <v>0</v>
      </c>
      <c r="V95" s="280">
        <f t="shared" si="14"/>
        <v>0</v>
      </c>
    </row>
    <row r="96" spans="2:25">
      <c r="B96" s="282"/>
      <c r="C96" s="282" t="s">
        <v>218</v>
      </c>
      <c r="D96" s="285">
        <v>0</v>
      </c>
      <c r="E96" s="282" t="s">
        <v>181</v>
      </c>
      <c r="F96" s="282" t="s">
        <v>186</v>
      </c>
      <c r="G96" s="283"/>
      <c r="H96" s="283"/>
      <c r="I96" s="311">
        <v>0</v>
      </c>
      <c r="J96" s="257"/>
      <c r="K96" s="257"/>
      <c r="L96" s="3574"/>
      <c r="M96" s="278" t="e">
        <f t="shared" si="18"/>
        <v>#DIV/0!</v>
      </c>
      <c r="N96" s="278" t="e">
        <f t="shared" si="18"/>
        <v>#DIV/0!</v>
      </c>
      <c r="O96" s="214">
        <f t="shared" si="10"/>
        <v>0</v>
      </c>
      <c r="P96" s="214">
        <f t="shared" si="11"/>
        <v>0</v>
      </c>
      <c r="Q96" s="214">
        <f>IF(K96=0, 0, (HLOOKUP(K96,'[1]E-CESTDWO'!$A$5:$O$35,J96+1,FALSE)*R46))</f>
        <v>0</v>
      </c>
      <c r="R96" s="214">
        <f>IF(K96=0, 0, (HLOOKUP(K96,'[1]E-CESTD'!$A$5:$O$35,J96+1,FALSE)*R46))</f>
        <v>0</v>
      </c>
      <c r="S96" s="279">
        <v>1.081</v>
      </c>
      <c r="T96" s="280">
        <f t="shared" si="12"/>
        <v>0</v>
      </c>
      <c r="U96" s="280">
        <f t="shared" si="13"/>
        <v>0</v>
      </c>
      <c r="V96" s="280">
        <f t="shared" si="14"/>
        <v>0</v>
      </c>
    </row>
    <row r="97" spans="2:22">
      <c r="B97" s="282"/>
      <c r="C97" s="282" t="s">
        <v>219</v>
      </c>
      <c r="D97" s="285">
        <v>0</v>
      </c>
      <c r="E97" s="282" t="s">
        <v>181</v>
      </c>
      <c r="F97" s="282" t="s">
        <v>186</v>
      </c>
      <c r="G97" s="283"/>
      <c r="H97" s="283"/>
      <c r="I97" s="311">
        <v>0</v>
      </c>
      <c r="J97" s="257"/>
      <c r="K97" s="257"/>
      <c r="L97" s="3574"/>
      <c r="M97" s="278" t="e">
        <f t="shared" si="18"/>
        <v>#DIV/0!</v>
      </c>
      <c r="N97" s="278" t="e">
        <f t="shared" si="18"/>
        <v>#DIV/0!</v>
      </c>
      <c r="O97" s="214">
        <f t="shared" si="10"/>
        <v>0</v>
      </c>
      <c r="P97" s="214">
        <f t="shared" si="11"/>
        <v>0</v>
      </c>
      <c r="Q97" s="214">
        <f>IF(K97=0, 0, (HLOOKUP(K97,'[1]E-CESTDWO'!$A$5:$O$35,J97+1,FALSE)*R47))</f>
        <v>0</v>
      </c>
      <c r="R97" s="214">
        <f>IF(K97=0, 0, (HLOOKUP(K97,'[1]E-CESTD'!$A$5:$O$35,J97+1,FALSE)*R47))</f>
        <v>0</v>
      </c>
      <c r="S97" s="279">
        <v>1.081</v>
      </c>
      <c r="T97" s="280">
        <f t="shared" si="12"/>
        <v>0</v>
      </c>
      <c r="U97" s="280">
        <f t="shared" si="13"/>
        <v>0</v>
      </c>
      <c r="V97" s="280">
        <f t="shared" si="14"/>
        <v>0</v>
      </c>
    </row>
    <row r="98" spans="2:22">
      <c r="B98" s="282"/>
      <c r="C98" s="282" t="s">
        <v>220</v>
      </c>
      <c r="D98" s="285">
        <v>0</v>
      </c>
      <c r="E98" s="282" t="s">
        <v>181</v>
      </c>
      <c r="F98" s="282" t="s">
        <v>186</v>
      </c>
      <c r="G98" s="283"/>
      <c r="H98" s="283"/>
      <c r="I98" s="311">
        <v>0</v>
      </c>
      <c r="J98" s="257"/>
      <c r="K98" s="257"/>
      <c r="L98" s="3574"/>
      <c r="M98" s="278" t="e">
        <f t="shared" si="18"/>
        <v>#DIV/0!</v>
      </c>
      <c r="N98" s="278" t="e">
        <f t="shared" si="18"/>
        <v>#DIV/0!</v>
      </c>
      <c r="O98" s="214">
        <f t="shared" si="10"/>
        <v>0</v>
      </c>
      <c r="P98" s="214">
        <f t="shared" si="11"/>
        <v>0</v>
      </c>
      <c r="Q98" s="214">
        <f>IF(K98=0, 0, (HLOOKUP(K98,'[1]E-CESTDWO'!$A$5:$O$35,J98+1,FALSE)*R48))</f>
        <v>0</v>
      </c>
      <c r="R98" s="214">
        <f>IF(K98=0, 0, (HLOOKUP(K98,'[1]E-CESTD'!$A$5:$O$35,J98+1,FALSE)*R48))</f>
        <v>0</v>
      </c>
      <c r="S98" s="279">
        <v>1.081</v>
      </c>
      <c r="T98" s="280">
        <f t="shared" si="12"/>
        <v>0</v>
      </c>
      <c r="U98" s="280">
        <f t="shared" si="13"/>
        <v>0</v>
      </c>
      <c r="V98" s="280">
        <f t="shared" si="14"/>
        <v>0</v>
      </c>
    </row>
    <row r="99" spans="2:22">
      <c r="B99" s="282"/>
      <c r="C99" s="282" t="s">
        <v>221</v>
      </c>
      <c r="D99" s="285">
        <v>0</v>
      </c>
      <c r="E99" s="282" t="s">
        <v>181</v>
      </c>
      <c r="F99" s="282" t="s">
        <v>186</v>
      </c>
      <c r="G99" s="283"/>
      <c r="H99" s="283"/>
      <c r="I99" s="311">
        <v>0</v>
      </c>
      <c r="J99" s="257"/>
      <c r="K99" s="257"/>
      <c r="L99" s="3574"/>
      <c r="M99" s="278" t="e">
        <f t="shared" si="18"/>
        <v>#DIV/0!</v>
      </c>
      <c r="N99" s="278" t="e">
        <f t="shared" si="18"/>
        <v>#DIV/0!</v>
      </c>
      <c r="O99" s="214">
        <f t="shared" si="10"/>
        <v>0</v>
      </c>
      <c r="P99" s="214">
        <f t="shared" si="11"/>
        <v>0</v>
      </c>
      <c r="Q99" s="214">
        <f>IF(K99=0, 0, (HLOOKUP(K99,'[1]E-CESTDWO'!$A$5:$O$35,J99+1,FALSE)*R49))</f>
        <v>0</v>
      </c>
      <c r="R99" s="214">
        <f>IF(K99=0, 0, (HLOOKUP(K99,'[1]E-CESTD'!$A$5:$O$35,J99+1,FALSE)*R49))</f>
        <v>0</v>
      </c>
      <c r="S99" s="279">
        <v>1.081</v>
      </c>
      <c r="T99" s="280">
        <f t="shared" si="12"/>
        <v>0</v>
      </c>
      <c r="U99" s="280">
        <f t="shared" si="13"/>
        <v>0</v>
      </c>
      <c r="V99" s="280">
        <f t="shared" si="14"/>
        <v>0</v>
      </c>
    </row>
    <row r="100" spans="2:22">
      <c r="B100" s="282"/>
      <c r="C100" s="282" t="s">
        <v>222</v>
      </c>
      <c r="D100" s="285">
        <v>0</v>
      </c>
      <c r="E100" s="282" t="s">
        <v>181</v>
      </c>
      <c r="F100" s="282" t="s">
        <v>186</v>
      </c>
      <c r="G100" s="283"/>
      <c r="H100" s="283"/>
      <c r="I100" s="311">
        <v>0</v>
      </c>
      <c r="J100" s="257"/>
      <c r="K100" s="257"/>
      <c r="L100" s="3574"/>
      <c r="M100" s="278" t="e">
        <f t="shared" si="18"/>
        <v>#DIV/0!</v>
      </c>
      <c r="N100" s="278" t="e">
        <f t="shared" si="18"/>
        <v>#DIV/0!</v>
      </c>
      <c r="O100" s="214">
        <f t="shared" si="10"/>
        <v>0</v>
      </c>
      <c r="P100" s="214">
        <f t="shared" si="11"/>
        <v>0</v>
      </c>
      <c r="Q100" s="214">
        <f>IF(K100=0, 0, (HLOOKUP(K100,'[1]E-CESTDWO'!$A$5:$O$35,J100+1,FALSE)*R50))</f>
        <v>0</v>
      </c>
      <c r="R100" s="214">
        <f>IF(K100=0, 0, (HLOOKUP(K100,'[1]E-CESTD'!$A$5:$O$35,J100+1,FALSE)*R50))</f>
        <v>0</v>
      </c>
      <c r="S100" s="279">
        <v>1.081</v>
      </c>
      <c r="T100" s="280">
        <f t="shared" si="12"/>
        <v>0</v>
      </c>
      <c r="U100" s="280">
        <f t="shared" si="13"/>
        <v>0</v>
      </c>
      <c r="V100" s="280">
        <f t="shared" si="14"/>
        <v>0</v>
      </c>
    </row>
    <row r="101" spans="2:22">
      <c r="B101" s="282"/>
      <c r="C101" s="282" t="s">
        <v>223</v>
      </c>
      <c r="D101" s="285">
        <v>0</v>
      </c>
      <c r="E101" s="282" t="s">
        <v>181</v>
      </c>
      <c r="F101" s="282" t="s">
        <v>186</v>
      </c>
      <c r="G101" s="283"/>
      <c r="H101" s="283"/>
      <c r="I101" s="311">
        <v>0</v>
      </c>
      <c r="J101" s="257"/>
      <c r="K101" s="257"/>
      <c r="L101" s="3574"/>
      <c r="M101" s="278" t="e">
        <f t="shared" si="18"/>
        <v>#DIV/0!</v>
      </c>
      <c r="N101" s="278" t="e">
        <f t="shared" si="18"/>
        <v>#DIV/0!</v>
      </c>
      <c r="O101" s="214">
        <f t="shared" si="10"/>
        <v>0</v>
      </c>
      <c r="P101" s="214">
        <f t="shared" si="11"/>
        <v>0</v>
      </c>
      <c r="Q101" s="214">
        <f>IF(K101=0, 0, (HLOOKUP(K101,'[1]E-CESTDWO'!$A$5:$O$35,J101+1,FALSE)*R51))</f>
        <v>0</v>
      </c>
      <c r="R101" s="214">
        <f>IF(K101=0, 0, (HLOOKUP(K101,'[1]E-CESTD'!$A$5:$O$35,J101+1,FALSE)*R51))</f>
        <v>0</v>
      </c>
      <c r="S101" s="279">
        <v>1.081</v>
      </c>
      <c r="T101" s="280">
        <f t="shared" si="12"/>
        <v>0</v>
      </c>
      <c r="U101" s="280">
        <f t="shared" si="13"/>
        <v>0</v>
      </c>
      <c r="V101" s="280">
        <f t="shared" si="14"/>
        <v>0</v>
      </c>
    </row>
    <row r="102" spans="2:22">
      <c r="B102" s="282"/>
      <c r="C102" s="282" t="s">
        <v>224</v>
      </c>
      <c r="D102" s="285">
        <v>0</v>
      </c>
      <c r="E102" s="282" t="s">
        <v>181</v>
      </c>
      <c r="F102" s="282" t="s">
        <v>186</v>
      </c>
      <c r="G102" s="283"/>
      <c r="H102" s="283"/>
      <c r="I102" s="311">
        <v>0</v>
      </c>
      <c r="J102" s="257"/>
      <c r="K102" s="257"/>
      <c r="L102" s="3574"/>
      <c r="M102" s="278" t="e">
        <f t="shared" si="18"/>
        <v>#DIV/0!</v>
      </c>
      <c r="N102" s="278" t="e">
        <f t="shared" si="18"/>
        <v>#DIV/0!</v>
      </c>
      <c r="O102" s="214">
        <f t="shared" si="10"/>
        <v>0</v>
      </c>
      <c r="P102" s="214">
        <f t="shared" si="11"/>
        <v>0</v>
      </c>
      <c r="Q102" s="214">
        <f>IF(K102=0, 0, (HLOOKUP(K102,'[1]E-CESTDWO'!$A$5:$O$35,J102+1,FALSE)*R52))</f>
        <v>0</v>
      </c>
      <c r="R102" s="214">
        <f>IF(K102=0, 0, (HLOOKUP(K102,'[1]E-CESTD'!$A$5:$O$35,J102+1,FALSE)*R52))</f>
        <v>0</v>
      </c>
      <c r="S102" s="279">
        <v>1.081</v>
      </c>
      <c r="T102" s="280">
        <f t="shared" si="12"/>
        <v>0</v>
      </c>
      <c r="U102" s="280">
        <f t="shared" si="13"/>
        <v>0</v>
      </c>
      <c r="V102" s="280">
        <f t="shared" si="14"/>
        <v>0</v>
      </c>
    </row>
    <row r="103" spans="2:22">
      <c r="B103" s="282"/>
      <c r="C103" s="282" t="s">
        <v>225</v>
      </c>
      <c r="D103" s="285">
        <v>0</v>
      </c>
      <c r="E103" s="282" t="s">
        <v>181</v>
      </c>
      <c r="F103" s="282" t="s">
        <v>186</v>
      </c>
      <c r="G103" s="283"/>
      <c r="H103" s="283"/>
      <c r="I103" s="311">
        <v>0</v>
      </c>
      <c r="J103" s="257"/>
      <c r="K103" s="257"/>
      <c r="L103" s="3574"/>
      <c r="M103" s="278" t="e">
        <f t="shared" si="18"/>
        <v>#DIV/0!</v>
      </c>
      <c r="N103" s="278" t="e">
        <f t="shared" si="18"/>
        <v>#DIV/0!</v>
      </c>
      <c r="O103" s="214">
        <f t="shared" si="10"/>
        <v>0</v>
      </c>
      <c r="P103" s="214">
        <f t="shared" si="11"/>
        <v>0</v>
      </c>
      <c r="Q103" s="214">
        <f>IF(K103=0, 0, (HLOOKUP(K103,'[1]E-CESTDWO'!$A$5:$O$35,J103+1,FALSE)*R53))</f>
        <v>0</v>
      </c>
      <c r="R103" s="214">
        <f>IF(K103=0, 0, (HLOOKUP(K103,'[1]E-CESTD'!$A$5:$O$35,J103+1,FALSE)*R53))</f>
        <v>0</v>
      </c>
      <c r="S103" s="279">
        <v>1.081</v>
      </c>
      <c r="T103" s="280">
        <f t="shared" si="12"/>
        <v>0</v>
      </c>
      <c r="U103" s="280">
        <f t="shared" si="13"/>
        <v>0</v>
      </c>
      <c r="V103" s="280">
        <f t="shared" si="14"/>
        <v>0</v>
      </c>
    </row>
    <row r="104" spans="2:22" ht="13.5" thickBot="1">
      <c r="B104" s="282"/>
      <c r="C104" s="282" t="s">
        <v>226</v>
      </c>
      <c r="D104" s="285">
        <v>0</v>
      </c>
      <c r="E104" s="282" t="s">
        <v>181</v>
      </c>
      <c r="F104" s="282" t="s">
        <v>186</v>
      </c>
      <c r="G104" s="283"/>
      <c r="H104" s="283"/>
      <c r="I104" s="311">
        <v>0</v>
      </c>
      <c r="J104" s="257"/>
      <c r="K104" s="257"/>
      <c r="L104" s="3574"/>
      <c r="M104" s="278" t="e">
        <f t="shared" si="18"/>
        <v>#DIV/0!</v>
      </c>
      <c r="N104" s="278" t="e">
        <f t="shared" si="18"/>
        <v>#DIV/0!</v>
      </c>
      <c r="O104" s="214">
        <f t="shared" si="10"/>
        <v>0</v>
      </c>
      <c r="P104" s="214">
        <f t="shared" si="11"/>
        <v>0</v>
      </c>
      <c r="Q104" s="214">
        <f>IF(K104=0, 0, (HLOOKUP(K104,'[1]E-CESTDWO'!$A$5:$O$35,J104+1,FALSE)*R54))</f>
        <v>0</v>
      </c>
      <c r="R104" s="214">
        <f>IF(K104=0, 0, (HLOOKUP(K104,'[1]E-CESTD'!$A$5:$O$35,J104+1,FALSE)*R54))</f>
        <v>0</v>
      </c>
      <c r="S104" s="279">
        <v>1.081</v>
      </c>
      <c r="T104" s="280">
        <f t="shared" si="12"/>
        <v>0</v>
      </c>
      <c r="U104" s="280">
        <f t="shared" si="13"/>
        <v>0</v>
      </c>
      <c r="V104" s="280">
        <f t="shared" si="14"/>
        <v>0</v>
      </c>
    </row>
    <row r="105" spans="2:22" ht="13.5" thickBot="1">
      <c r="G105" s="286">
        <f>SUMPRODUCT(G63:G104,O13:O54)</f>
        <v>110160</v>
      </c>
      <c r="H105" s="287">
        <f>V105</f>
        <v>24000</v>
      </c>
      <c r="I105" s="288">
        <f>SUM(I63:I104)</f>
        <v>1</v>
      </c>
      <c r="J105" s="289"/>
      <c r="K105" s="264"/>
      <c r="L105" s="3580"/>
      <c r="M105" s="290">
        <f>Q105/O105</f>
        <v>15.778002438488379</v>
      </c>
      <c r="N105" s="291">
        <f>R105/P105</f>
        <v>6.4122164217822304</v>
      </c>
      <c r="O105" s="292">
        <f>SUM(O63:O104)</f>
        <v>46701.249768732654</v>
      </c>
      <c r="P105" s="292">
        <f>SUM(P63:P104)</f>
        <v>126405.22756706753</v>
      </c>
      <c r="Q105" s="292">
        <f>SUM(Q63:Q104)</f>
        <v>736852.43273151864</v>
      </c>
      <c r="R105" s="292">
        <f>SUM(R63:R104)</f>
        <v>810537.67600467033</v>
      </c>
      <c r="S105" s="293"/>
      <c r="T105" s="294">
        <f>SUM(T63:T104)</f>
        <v>0</v>
      </c>
      <c r="U105" s="294">
        <f>SUM(U63:U104)</f>
        <v>24000</v>
      </c>
      <c r="V105" s="294">
        <f>SUM(V63:V104)</f>
        <v>24000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8" right="0.2" top="0.4" bottom="0.33" header="0.3" footer="0.3"/>
      <pageSetup paperSize="17" scale="52" orientation="landscape" r:id="rId1"/>
    </customSheetView>
    <customSheetView guid="{AF9F1D33-B8C2-423F-86A1-47612B8F532C}" fitToPage="1">
      <pane xSplit="1" ySplit="1" topLeftCell="C2" activePane="bottomRight" state="frozenSplit"/>
      <selection pane="bottomRight" activeCell="C24" sqref="C24:C25"/>
      <pageMargins left="0.7" right="0.7" top="0.75" bottom="0.75" header="0.3" footer="0.3"/>
      <pageSetup paperSize="17" scale="52"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8" right="0.2" top="0.4" bottom="0.33" header="0.3" footer="0.3"/>
  <pageSetup paperSize="17" scale="52" orientation="landscape" r:id="rId2"/>
  <drawing r:id="rId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sheetPr enableFormatConditionsCalculation="0">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42578125" style="3064" customWidth="1"/>
    <col min="2" max="2" width="19" customWidth="1"/>
    <col min="3" max="3" width="37.140625" customWidth="1"/>
    <col min="4" max="4" width="16.28515625" style="19" customWidth="1"/>
    <col min="5" max="5" width="16.28515625" customWidth="1"/>
    <col min="6" max="6" width="16.85546875" customWidth="1"/>
    <col min="7" max="7" width="13.42578125" customWidth="1"/>
    <col min="8" max="8" width="15.42578125" bestFit="1" customWidth="1"/>
    <col min="9" max="9" width="14.42578125" bestFit="1" customWidth="1"/>
    <col min="10" max="10" width="15.28515625" customWidth="1"/>
    <col min="11" max="11" width="15.85546875" customWidth="1"/>
    <col min="12" max="12" width="17.140625" bestFit="1" customWidth="1"/>
    <col min="13" max="13" width="12.7109375" customWidth="1"/>
    <col min="14" max="14" width="13.7109375" customWidth="1"/>
    <col min="15" max="15" width="14" bestFit="1" customWidth="1"/>
    <col min="16" max="16" width="16.28515625" bestFit="1" customWidth="1"/>
    <col min="17" max="17" width="16.140625" customWidth="1"/>
    <col min="18" max="18" width="16.85546875" bestFit="1" customWidth="1"/>
    <col min="19" max="19" width="15.7109375" bestFit="1" customWidth="1"/>
    <col min="20" max="20" width="16.285156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28515625" bestFit="1" customWidth="1"/>
    <col min="259" max="259" width="45.7109375" bestFit="1" customWidth="1"/>
    <col min="260" max="260" width="19.85546875" bestFit="1" customWidth="1"/>
    <col min="261" max="261" width="15.42578125" bestFit="1" customWidth="1"/>
    <col min="262" max="262" width="20.42578125" bestFit="1" customWidth="1"/>
    <col min="263" max="263" width="13.42578125" customWidth="1"/>
    <col min="264" max="264" width="15.42578125" bestFit="1" customWidth="1"/>
    <col min="265" max="265" width="14.42578125" bestFit="1" customWidth="1"/>
    <col min="266" max="266" width="15.28515625" customWidth="1"/>
    <col min="267" max="267" width="15.85546875" customWidth="1"/>
    <col min="268" max="268" width="17.140625" bestFit="1" customWidth="1"/>
    <col min="269" max="269" width="12.7109375" customWidth="1"/>
    <col min="270" max="270" width="13.7109375" customWidth="1"/>
    <col min="271" max="271" width="14" bestFit="1" customWidth="1"/>
    <col min="272" max="272" width="16.28515625" bestFit="1" customWidth="1"/>
    <col min="273" max="273" width="16.140625" customWidth="1"/>
    <col min="274" max="274" width="16.85546875" bestFit="1" customWidth="1"/>
    <col min="275" max="275" width="15.7109375" bestFit="1" customWidth="1"/>
    <col min="276" max="276" width="16.285156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28515625" bestFit="1" customWidth="1"/>
    <col min="515" max="515" width="45.7109375" bestFit="1" customWidth="1"/>
    <col min="516" max="516" width="19.85546875" bestFit="1" customWidth="1"/>
    <col min="517" max="517" width="15.42578125" bestFit="1" customWidth="1"/>
    <col min="518" max="518" width="20.42578125" bestFit="1" customWidth="1"/>
    <col min="519" max="519" width="13.42578125" customWidth="1"/>
    <col min="520" max="520" width="15.42578125" bestFit="1" customWidth="1"/>
    <col min="521" max="521" width="14.42578125" bestFit="1" customWidth="1"/>
    <col min="522" max="522" width="15.28515625" customWidth="1"/>
    <col min="523" max="523" width="15.85546875" customWidth="1"/>
    <col min="524" max="524" width="17.140625" bestFit="1" customWidth="1"/>
    <col min="525" max="525" width="12.7109375" customWidth="1"/>
    <col min="526" max="526" width="13.7109375" customWidth="1"/>
    <col min="527" max="527" width="14" bestFit="1" customWidth="1"/>
    <col min="528" max="528" width="16.28515625" bestFit="1" customWidth="1"/>
    <col min="529" max="529" width="16.140625" customWidth="1"/>
    <col min="530" max="530" width="16.85546875" bestFit="1" customWidth="1"/>
    <col min="531" max="531" width="15.7109375" bestFit="1" customWidth="1"/>
    <col min="532" max="532" width="16.285156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28515625" bestFit="1" customWidth="1"/>
    <col min="771" max="771" width="45.7109375" bestFit="1" customWidth="1"/>
    <col min="772" max="772" width="19.85546875" bestFit="1" customWidth="1"/>
    <col min="773" max="773" width="15.42578125" bestFit="1" customWidth="1"/>
    <col min="774" max="774" width="20.42578125" bestFit="1" customWidth="1"/>
    <col min="775" max="775" width="13.42578125" customWidth="1"/>
    <col min="776" max="776" width="15.42578125" bestFit="1" customWidth="1"/>
    <col min="777" max="777" width="14.42578125" bestFit="1" customWidth="1"/>
    <col min="778" max="778" width="15.28515625" customWidth="1"/>
    <col min="779" max="779" width="15.85546875" customWidth="1"/>
    <col min="780" max="780" width="17.140625" bestFit="1" customWidth="1"/>
    <col min="781" max="781" width="12.7109375" customWidth="1"/>
    <col min="782" max="782" width="13.7109375" customWidth="1"/>
    <col min="783" max="783" width="14" bestFit="1" customWidth="1"/>
    <col min="784" max="784" width="16.28515625" bestFit="1" customWidth="1"/>
    <col min="785" max="785" width="16.140625" customWidth="1"/>
    <col min="786" max="786" width="16.85546875" bestFit="1" customWidth="1"/>
    <col min="787" max="787" width="15.7109375" bestFit="1" customWidth="1"/>
    <col min="788" max="788" width="16.285156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28515625" bestFit="1" customWidth="1"/>
    <col min="1027" max="1027" width="45.7109375" bestFit="1" customWidth="1"/>
    <col min="1028" max="1028" width="19.85546875" bestFit="1" customWidth="1"/>
    <col min="1029" max="1029" width="15.42578125" bestFit="1" customWidth="1"/>
    <col min="1030" max="1030" width="20.42578125" bestFit="1" customWidth="1"/>
    <col min="1031" max="1031" width="13.42578125" customWidth="1"/>
    <col min="1032" max="1032" width="15.42578125" bestFit="1" customWidth="1"/>
    <col min="1033" max="1033" width="14.42578125" bestFit="1" customWidth="1"/>
    <col min="1034" max="1034" width="15.28515625" customWidth="1"/>
    <col min="1035" max="1035" width="15.85546875" customWidth="1"/>
    <col min="1036" max="1036" width="17.140625" bestFit="1" customWidth="1"/>
    <col min="1037" max="1037" width="12.7109375" customWidth="1"/>
    <col min="1038" max="1038" width="13.7109375" customWidth="1"/>
    <col min="1039" max="1039" width="14" bestFit="1" customWidth="1"/>
    <col min="1040" max="1040" width="16.28515625" bestFit="1" customWidth="1"/>
    <col min="1041" max="1041" width="16.140625" customWidth="1"/>
    <col min="1042" max="1042" width="16.85546875" bestFit="1" customWidth="1"/>
    <col min="1043" max="1043" width="15.7109375" bestFit="1" customWidth="1"/>
    <col min="1044" max="1044" width="16.285156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28515625" bestFit="1" customWidth="1"/>
    <col min="1283" max="1283" width="45.7109375" bestFit="1" customWidth="1"/>
    <col min="1284" max="1284" width="19.85546875" bestFit="1" customWidth="1"/>
    <col min="1285" max="1285" width="15.42578125" bestFit="1" customWidth="1"/>
    <col min="1286" max="1286" width="20.42578125" bestFit="1" customWidth="1"/>
    <col min="1287" max="1287" width="13.42578125" customWidth="1"/>
    <col min="1288" max="1288" width="15.42578125" bestFit="1" customWidth="1"/>
    <col min="1289" max="1289" width="14.42578125" bestFit="1" customWidth="1"/>
    <col min="1290" max="1290" width="15.28515625" customWidth="1"/>
    <col min="1291" max="1291" width="15.85546875" customWidth="1"/>
    <col min="1292" max="1292" width="17.140625" bestFit="1" customWidth="1"/>
    <col min="1293" max="1293" width="12.7109375" customWidth="1"/>
    <col min="1294" max="1294" width="13.7109375" customWidth="1"/>
    <col min="1295" max="1295" width="14" bestFit="1" customWidth="1"/>
    <col min="1296" max="1296" width="16.28515625" bestFit="1" customWidth="1"/>
    <col min="1297" max="1297" width="16.140625" customWidth="1"/>
    <col min="1298" max="1298" width="16.85546875" bestFit="1" customWidth="1"/>
    <col min="1299" max="1299" width="15.7109375" bestFit="1" customWidth="1"/>
    <col min="1300" max="1300" width="16.285156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28515625" bestFit="1" customWidth="1"/>
    <col min="1539" max="1539" width="45.7109375" bestFit="1" customWidth="1"/>
    <col min="1540" max="1540" width="19.85546875" bestFit="1" customWidth="1"/>
    <col min="1541" max="1541" width="15.42578125" bestFit="1" customWidth="1"/>
    <col min="1542" max="1542" width="20.42578125" bestFit="1" customWidth="1"/>
    <col min="1543" max="1543" width="13.42578125" customWidth="1"/>
    <col min="1544" max="1544" width="15.42578125" bestFit="1" customWidth="1"/>
    <col min="1545" max="1545" width="14.42578125" bestFit="1" customWidth="1"/>
    <col min="1546" max="1546" width="15.28515625" customWidth="1"/>
    <col min="1547" max="1547" width="15.85546875" customWidth="1"/>
    <col min="1548" max="1548" width="17.140625" bestFit="1" customWidth="1"/>
    <col min="1549" max="1549" width="12.7109375" customWidth="1"/>
    <col min="1550" max="1550" width="13.7109375" customWidth="1"/>
    <col min="1551" max="1551" width="14" bestFit="1" customWidth="1"/>
    <col min="1552" max="1552" width="16.28515625" bestFit="1" customWidth="1"/>
    <col min="1553" max="1553" width="16.140625" customWidth="1"/>
    <col min="1554" max="1554" width="16.85546875" bestFit="1" customWidth="1"/>
    <col min="1555" max="1555" width="15.7109375" bestFit="1" customWidth="1"/>
    <col min="1556" max="1556" width="16.285156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28515625" bestFit="1" customWidth="1"/>
    <col min="1795" max="1795" width="45.7109375" bestFit="1" customWidth="1"/>
    <col min="1796" max="1796" width="19.85546875" bestFit="1" customWidth="1"/>
    <col min="1797" max="1797" width="15.42578125" bestFit="1" customWidth="1"/>
    <col min="1798" max="1798" width="20.42578125" bestFit="1" customWidth="1"/>
    <col min="1799" max="1799" width="13.42578125" customWidth="1"/>
    <col min="1800" max="1800" width="15.42578125" bestFit="1" customWidth="1"/>
    <col min="1801" max="1801" width="14.42578125" bestFit="1" customWidth="1"/>
    <col min="1802" max="1802" width="15.28515625" customWidth="1"/>
    <col min="1803" max="1803" width="15.85546875" customWidth="1"/>
    <col min="1804" max="1804" width="17.140625" bestFit="1" customWidth="1"/>
    <col min="1805" max="1805" width="12.7109375" customWidth="1"/>
    <col min="1806" max="1806" width="13.7109375" customWidth="1"/>
    <col min="1807" max="1807" width="14" bestFit="1" customWidth="1"/>
    <col min="1808" max="1808" width="16.28515625" bestFit="1" customWidth="1"/>
    <col min="1809" max="1809" width="16.140625" customWidth="1"/>
    <col min="1810" max="1810" width="16.85546875" bestFit="1" customWidth="1"/>
    <col min="1811" max="1811" width="15.7109375" bestFit="1" customWidth="1"/>
    <col min="1812" max="1812" width="16.285156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28515625" bestFit="1" customWidth="1"/>
    <col min="2051" max="2051" width="45.7109375" bestFit="1" customWidth="1"/>
    <col min="2052" max="2052" width="19.85546875" bestFit="1" customWidth="1"/>
    <col min="2053" max="2053" width="15.42578125" bestFit="1" customWidth="1"/>
    <col min="2054" max="2054" width="20.42578125" bestFit="1" customWidth="1"/>
    <col min="2055" max="2055" width="13.42578125" customWidth="1"/>
    <col min="2056" max="2056" width="15.42578125" bestFit="1" customWidth="1"/>
    <col min="2057" max="2057" width="14.42578125" bestFit="1" customWidth="1"/>
    <col min="2058" max="2058" width="15.28515625" customWidth="1"/>
    <col min="2059" max="2059" width="15.85546875" customWidth="1"/>
    <col min="2060" max="2060" width="17.140625" bestFit="1" customWidth="1"/>
    <col min="2061" max="2061" width="12.7109375" customWidth="1"/>
    <col min="2062" max="2062" width="13.7109375" customWidth="1"/>
    <col min="2063" max="2063" width="14" bestFit="1" customWidth="1"/>
    <col min="2064" max="2064" width="16.28515625" bestFit="1" customWidth="1"/>
    <col min="2065" max="2065" width="16.140625" customWidth="1"/>
    <col min="2066" max="2066" width="16.85546875" bestFit="1" customWidth="1"/>
    <col min="2067" max="2067" width="15.7109375" bestFit="1" customWidth="1"/>
    <col min="2068" max="2068" width="16.285156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28515625" bestFit="1" customWidth="1"/>
    <col min="2307" max="2307" width="45.7109375" bestFit="1" customWidth="1"/>
    <col min="2308" max="2308" width="19.85546875" bestFit="1" customWidth="1"/>
    <col min="2309" max="2309" width="15.42578125" bestFit="1" customWidth="1"/>
    <col min="2310" max="2310" width="20.42578125" bestFit="1" customWidth="1"/>
    <col min="2311" max="2311" width="13.42578125" customWidth="1"/>
    <col min="2312" max="2312" width="15.42578125" bestFit="1" customWidth="1"/>
    <col min="2313" max="2313" width="14.42578125" bestFit="1" customWidth="1"/>
    <col min="2314" max="2314" width="15.28515625" customWidth="1"/>
    <col min="2315" max="2315" width="15.85546875" customWidth="1"/>
    <col min="2316" max="2316" width="17.140625" bestFit="1" customWidth="1"/>
    <col min="2317" max="2317" width="12.7109375" customWidth="1"/>
    <col min="2318" max="2318" width="13.7109375" customWidth="1"/>
    <col min="2319" max="2319" width="14" bestFit="1" customWidth="1"/>
    <col min="2320" max="2320" width="16.28515625" bestFit="1" customWidth="1"/>
    <col min="2321" max="2321" width="16.140625" customWidth="1"/>
    <col min="2322" max="2322" width="16.85546875" bestFit="1" customWidth="1"/>
    <col min="2323" max="2323" width="15.7109375" bestFit="1" customWidth="1"/>
    <col min="2324" max="2324" width="16.285156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28515625" bestFit="1" customWidth="1"/>
    <col min="2563" max="2563" width="45.7109375" bestFit="1" customWidth="1"/>
    <col min="2564" max="2564" width="19.85546875" bestFit="1" customWidth="1"/>
    <col min="2565" max="2565" width="15.42578125" bestFit="1" customWidth="1"/>
    <col min="2566" max="2566" width="20.42578125" bestFit="1" customWidth="1"/>
    <col min="2567" max="2567" width="13.42578125" customWidth="1"/>
    <col min="2568" max="2568" width="15.42578125" bestFit="1" customWidth="1"/>
    <col min="2569" max="2569" width="14.42578125" bestFit="1" customWidth="1"/>
    <col min="2570" max="2570" width="15.28515625" customWidth="1"/>
    <col min="2571" max="2571" width="15.85546875" customWidth="1"/>
    <col min="2572" max="2572" width="17.140625" bestFit="1" customWidth="1"/>
    <col min="2573" max="2573" width="12.7109375" customWidth="1"/>
    <col min="2574" max="2574" width="13.7109375" customWidth="1"/>
    <col min="2575" max="2575" width="14" bestFit="1" customWidth="1"/>
    <col min="2576" max="2576" width="16.28515625" bestFit="1" customWidth="1"/>
    <col min="2577" max="2577" width="16.140625" customWidth="1"/>
    <col min="2578" max="2578" width="16.85546875" bestFit="1" customWidth="1"/>
    <col min="2579" max="2579" width="15.7109375" bestFit="1" customWidth="1"/>
    <col min="2580" max="2580" width="16.285156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28515625" bestFit="1" customWidth="1"/>
    <col min="2819" max="2819" width="45.7109375" bestFit="1" customWidth="1"/>
    <col min="2820" max="2820" width="19.85546875" bestFit="1" customWidth="1"/>
    <col min="2821" max="2821" width="15.42578125" bestFit="1" customWidth="1"/>
    <col min="2822" max="2822" width="20.42578125" bestFit="1" customWidth="1"/>
    <col min="2823" max="2823" width="13.42578125" customWidth="1"/>
    <col min="2824" max="2824" width="15.42578125" bestFit="1" customWidth="1"/>
    <col min="2825" max="2825" width="14.42578125" bestFit="1" customWidth="1"/>
    <col min="2826" max="2826" width="15.28515625" customWidth="1"/>
    <col min="2827" max="2827" width="15.85546875" customWidth="1"/>
    <col min="2828" max="2828" width="17.140625" bestFit="1" customWidth="1"/>
    <col min="2829" max="2829" width="12.7109375" customWidth="1"/>
    <col min="2830" max="2830" width="13.7109375" customWidth="1"/>
    <col min="2831" max="2831" width="14" bestFit="1" customWidth="1"/>
    <col min="2832" max="2832" width="16.28515625" bestFit="1" customWidth="1"/>
    <col min="2833" max="2833" width="16.140625" customWidth="1"/>
    <col min="2834" max="2834" width="16.85546875" bestFit="1" customWidth="1"/>
    <col min="2835" max="2835" width="15.7109375" bestFit="1" customWidth="1"/>
    <col min="2836" max="2836" width="16.285156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28515625" bestFit="1" customWidth="1"/>
    <col min="3075" max="3075" width="45.7109375" bestFit="1" customWidth="1"/>
    <col min="3076" max="3076" width="19.85546875" bestFit="1" customWidth="1"/>
    <col min="3077" max="3077" width="15.42578125" bestFit="1" customWidth="1"/>
    <col min="3078" max="3078" width="20.42578125" bestFit="1" customWidth="1"/>
    <col min="3079" max="3079" width="13.42578125" customWidth="1"/>
    <col min="3080" max="3080" width="15.42578125" bestFit="1" customWidth="1"/>
    <col min="3081" max="3081" width="14.42578125" bestFit="1" customWidth="1"/>
    <col min="3082" max="3082" width="15.28515625" customWidth="1"/>
    <col min="3083" max="3083" width="15.85546875" customWidth="1"/>
    <col min="3084" max="3084" width="17.140625" bestFit="1" customWidth="1"/>
    <col min="3085" max="3085" width="12.7109375" customWidth="1"/>
    <col min="3086" max="3086" width="13.7109375" customWidth="1"/>
    <col min="3087" max="3087" width="14" bestFit="1" customWidth="1"/>
    <col min="3088" max="3088" width="16.28515625" bestFit="1" customWidth="1"/>
    <col min="3089" max="3089" width="16.140625" customWidth="1"/>
    <col min="3090" max="3090" width="16.85546875" bestFit="1" customWidth="1"/>
    <col min="3091" max="3091" width="15.7109375" bestFit="1" customWidth="1"/>
    <col min="3092" max="3092" width="16.285156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28515625" bestFit="1" customWidth="1"/>
    <col min="3331" max="3331" width="45.7109375" bestFit="1" customWidth="1"/>
    <col min="3332" max="3332" width="19.85546875" bestFit="1" customWidth="1"/>
    <col min="3333" max="3333" width="15.42578125" bestFit="1" customWidth="1"/>
    <col min="3334" max="3334" width="20.42578125" bestFit="1" customWidth="1"/>
    <col min="3335" max="3335" width="13.42578125" customWidth="1"/>
    <col min="3336" max="3336" width="15.42578125" bestFit="1" customWidth="1"/>
    <col min="3337" max="3337" width="14.42578125" bestFit="1" customWidth="1"/>
    <col min="3338" max="3338" width="15.28515625" customWidth="1"/>
    <col min="3339" max="3339" width="15.85546875" customWidth="1"/>
    <col min="3340" max="3340" width="17.140625" bestFit="1" customWidth="1"/>
    <col min="3341" max="3341" width="12.7109375" customWidth="1"/>
    <col min="3342" max="3342" width="13.7109375" customWidth="1"/>
    <col min="3343" max="3343" width="14" bestFit="1" customWidth="1"/>
    <col min="3344" max="3344" width="16.28515625" bestFit="1" customWidth="1"/>
    <col min="3345" max="3345" width="16.140625" customWidth="1"/>
    <col min="3346" max="3346" width="16.85546875" bestFit="1" customWidth="1"/>
    <col min="3347" max="3347" width="15.7109375" bestFit="1" customWidth="1"/>
    <col min="3348" max="3348" width="16.285156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28515625" bestFit="1" customWidth="1"/>
    <col min="3587" max="3587" width="45.7109375" bestFit="1" customWidth="1"/>
    <col min="3588" max="3588" width="19.85546875" bestFit="1" customWidth="1"/>
    <col min="3589" max="3589" width="15.42578125" bestFit="1" customWidth="1"/>
    <col min="3590" max="3590" width="20.42578125" bestFit="1" customWidth="1"/>
    <col min="3591" max="3591" width="13.42578125" customWidth="1"/>
    <col min="3592" max="3592" width="15.42578125" bestFit="1" customWidth="1"/>
    <col min="3593" max="3593" width="14.42578125" bestFit="1" customWidth="1"/>
    <col min="3594" max="3594" width="15.28515625" customWidth="1"/>
    <col min="3595" max="3595" width="15.85546875" customWidth="1"/>
    <col min="3596" max="3596" width="17.140625" bestFit="1" customWidth="1"/>
    <col min="3597" max="3597" width="12.7109375" customWidth="1"/>
    <col min="3598" max="3598" width="13.7109375" customWidth="1"/>
    <col min="3599" max="3599" width="14" bestFit="1" customWidth="1"/>
    <col min="3600" max="3600" width="16.28515625" bestFit="1" customWidth="1"/>
    <col min="3601" max="3601" width="16.140625" customWidth="1"/>
    <col min="3602" max="3602" width="16.85546875" bestFit="1" customWidth="1"/>
    <col min="3603" max="3603" width="15.7109375" bestFit="1" customWidth="1"/>
    <col min="3604" max="3604" width="16.285156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28515625" bestFit="1" customWidth="1"/>
    <col min="3843" max="3843" width="45.7109375" bestFit="1" customWidth="1"/>
    <col min="3844" max="3844" width="19.85546875" bestFit="1" customWidth="1"/>
    <col min="3845" max="3845" width="15.42578125" bestFit="1" customWidth="1"/>
    <col min="3846" max="3846" width="20.42578125" bestFit="1" customWidth="1"/>
    <col min="3847" max="3847" width="13.42578125" customWidth="1"/>
    <col min="3848" max="3848" width="15.42578125" bestFit="1" customWidth="1"/>
    <col min="3849" max="3849" width="14.42578125" bestFit="1" customWidth="1"/>
    <col min="3850" max="3850" width="15.28515625" customWidth="1"/>
    <col min="3851" max="3851" width="15.85546875" customWidth="1"/>
    <col min="3852" max="3852" width="17.140625" bestFit="1" customWidth="1"/>
    <col min="3853" max="3853" width="12.7109375" customWidth="1"/>
    <col min="3854" max="3854" width="13.7109375" customWidth="1"/>
    <col min="3855" max="3855" width="14" bestFit="1" customWidth="1"/>
    <col min="3856" max="3856" width="16.28515625" bestFit="1" customWidth="1"/>
    <col min="3857" max="3857" width="16.140625" customWidth="1"/>
    <col min="3858" max="3858" width="16.85546875" bestFit="1" customWidth="1"/>
    <col min="3859" max="3859" width="15.7109375" bestFit="1" customWidth="1"/>
    <col min="3860" max="3860" width="16.285156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28515625" bestFit="1" customWidth="1"/>
    <col min="4099" max="4099" width="45.7109375" bestFit="1" customWidth="1"/>
    <col min="4100" max="4100" width="19.85546875" bestFit="1" customWidth="1"/>
    <col min="4101" max="4101" width="15.42578125" bestFit="1" customWidth="1"/>
    <col min="4102" max="4102" width="20.42578125" bestFit="1" customWidth="1"/>
    <col min="4103" max="4103" width="13.42578125" customWidth="1"/>
    <col min="4104" max="4104" width="15.42578125" bestFit="1" customWidth="1"/>
    <col min="4105" max="4105" width="14.42578125" bestFit="1" customWidth="1"/>
    <col min="4106" max="4106" width="15.28515625" customWidth="1"/>
    <col min="4107" max="4107" width="15.85546875" customWidth="1"/>
    <col min="4108" max="4108" width="17.140625" bestFit="1" customWidth="1"/>
    <col min="4109" max="4109" width="12.7109375" customWidth="1"/>
    <col min="4110" max="4110" width="13.7109375" customWidth="1"/>
    <col min="4111" max="4111" width="14" bestFit="1" customWidth="1"/>
    <col min="4112" max="4112" width="16.28515625" bestFit="1" customWidth="1"/>
    <col min="4113" max="4113" width="16.140625" customWidth="1"/>
    <col min="4114" max="4114" width="16.85546875" bestFit="1" customWidth="1"/>
    <col min="4115" max="4115" width="15.7109375" bestFit="1" customWidth="1"/>
    <col min="4116" max="4116" width="16.285156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28515625" bestFit="1" customWidth="1"/>
    <col min="4355" max="4355" width="45.7109375" bestFit="1" customWidth="1"/>
    <col min="4356" max="4356" width="19.85546875" bestFit="1" customWidth="1"/>
    <col min="4357" max="4357" width="15.42578125" bestFit="1" customWidth="1"/>
    <col min="4358" max="4358" width="20.42578125" bestFit="1" customWidth="1"/>
    <col min="4359" max="4359" width="13.42578125" customWidth="1"/>
    <col min="4360" max="4360" width="15.42578125" bestFit="1" customWidth="1"/>
    <col min="4361" max="4361" width="14.42578125" bestFit="1" customWidth="1"/>
    <col min="4362" max="4362" width="15.28515625" customWidth="1"/>
    <col min="4363" max="4363" width="15.85546875" customWidth="1"/>
    <col min="4364" max="4364" width="17.140625" bestFit="1" customWidth="1"/>
    <col min="4365" max="4365" width="12.7109375" customWidth="1"/>
    <col min="4366" max="4366" width="13.7109375" customWidth="1"/>
    <col min="4367" max="4367" width="14" bestFit="1" customWidth="1"/>
    <col min="4368" max="4368" width="16.28515625" bestFit="1" customWidth="1"/>
    <col min="4369" max="4369" width="16.140625" customWidth="1"/>
    <col min="4370" max="4370" width="16.85546875" bestFit="1" customWidth="1"/>
    <col min="4371" max="4371" width="15.7109375" bestFit="1" customWidth="1"/>
    <col min="4372" max="4372" width="16.285156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28515625" bestFit="1" customWidth="1"/>
    <col min="4611" max="4611" width="45.7109375" bestFit="1" customWidth="1"/>
    <col min="4612" max="4612" width="19.85546875" bestFit="1" customWidth="1"/>
    <col min="4613" max="4613" width="15.42578125" bestFit="1" customWidth="1"/>
    <col min="4614" max="4614" width="20.42578125" bestFit="1" customWidth="1"/>
    <col min="4615" max="4615" width="13.42578125" customWidth="1"/>
    <col min="4616" max="4616" width="15.42578125" bestFit="1" customWidth="1"/>
    <col min="4617" max="4617" width="14.42578125" bestFit="1" customWidth="1"/>
    <col min="4618" max="4618" width="15.28515625" customWidth="1"/>
    <col min="4619" max="4619" width="15.85546875" customWidth="1"/>
    <col min="4620" max="4620" width="17.140625" bestFit="1" customWidth="1"/>
    <col min="4621" max="4621" width="12.7109375" customWidth="1"/>
    <col min="4622" max="4622" width="13.7109375" customWidth="1"/>
    <col min="4623" max="4623" width="14" bestFit="1" customWidth="1"/>
    <col min="4624" max="4624" width="16.28515625" bestFit="1" customWidth="1"/>
    <col min="4625" max="4625" width="16.140625" customWidth="1"/>
    <col min="4626" max="4626" width="16.85546875" bestFit="1" customWidth="1"/>
    <col min="4627" max="4627" width="15.7109375" bestFit="1" customWidth="1"/>
    <col min="4628" max="4628" width="16.285156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28515625" bestFit="1" customWidth="1"/>
    <col min="4867" max="4867" width="45.7109375" bestFit="1" customWidth="1"/>
    <col min="4868" max="4868" width="19.85546875" bestFit="1" customWidth="1"/>
    <col min="4869" max="4869" width="15.42578125" bestFit="1" customWidth="1"/>
    <col min="4870" max="4870" width="20.42578125" bestFit="1" customWidth="1"/>
    <col min="4871" max="4871" width="13.42578125" customWidth="1"/>
    <col min="4872" max="4872" width="15.42578125" bestFit="1" customWidth="1"/>
    <col min="4873" max="4873" width="14.42578125" bestFit="1" customWidth="1"/>
    <col min="4874" max="4874" width="15.28515625" customWidth="1"/>
    <col min="4875" max="4875" width="15.85546875" customWidth="1"/>
    <col min="4876" max="4876" width="17.140625" bestFit="1" customWidth="1"/>
    <col min="4877" max="4877" width="12.7109375" customWidth="1"/>
    <col min="4878" max="4878" width="13.7109375" customWidth="1"/>
    <col min="4879" max="4879" width="14" bestFit="1" customWidth="1"/>
    <col min="4880" max="4880" width="16.28515625" bestFit="1" customWidth="1"/>
    <col min="4881" max="4881" width="16.140625" customWidth="1"/>
    <col min="4882" max="4882" width="16.85546875" bestFit="1" customWidth="1"/>
    <col min="4883" max="4883" width="15.7109375" bestFit="1" customWidth="1"/>
    <col min="4884" max="4884" width="16.285156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28515625" bestFit="1" customWidth="1"/>
    <col min="5123" max="5123" width="45.7109375" bestFit="1" customWidth="1"/>
    <col min="5124" max="5124" width="19.85546875" bestFit="1" customWidth="1"/>
    <col min="5125" max="5125" width="15.42578125" bestFit="1" customWidth="1"/>
    <col min="5126" max="5126" width="20.42578125" bestFit="1" customWidth="1"/>
    <col min="5127" max="5127" width="13.42578125" customWidth="1"/>
    <col min="5128" max="5128" width="15.42578125" bestFit="1" customWidth="1"/>
    <col min="5129" max="5129" width="14.42578125" bestFit="1" customWidth="1"/>
    <col min="5130" max="5130" width="15.28515625" customWidth="1"/>
    <col min="5131" max="5131" width="15.85546875" customWidth="1"/>
    <col min="5132" max="5132" width="17.140625" bestFit="1" customWidth="1"/>
    <col min="5133" max="5133" width="12.7109375" customWidth="1"/>
    <col min="5134" max="5134" width="13.7109375" customWidth="1"/>
    <col min="5135" max="5135" width="14" bestFit="1" customWidth="1"/>
    <col min="5136" max="5136" width="16.28515625" bestFit="1" customWidth="1"/>
    <col min="5137" max="5137" width="16.140625" customWidth="1"/>
    <col min="5138" max="5138" width="16.85546875" bestFit="1" customWidth="1"/>
    <col min="5139" max="5139" width="15.7109375" bestFit="1" customWidth="1"/>
    <col min="5140" max="5140" width="16.285156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28515625" bestFit="1" customWidth="1"/>
    <col min="5379" max="5379" width="45.7109375" bestFit="1" customWidth="1"/>
    <col min="5380" max="5380" width="19.85546875" bestFit="1" customWidth="1"/>
    <col min="5381" max="5381" width="15.42578125" bestFit="1" customWidth="1"/>
    <col min="5382" max="5382" width="20.42578125" bestFit="1" customWidth="1"/>
    <col min="5383" max="5383" width="13.42578125" customWidth="1"/>
    <col min="5384" max="5384" width="15.42578125" bestFit="1" customWidth="1"/>
    <col min="5385" max="5385" width="14.42578125" bestFit="1" customWidth="1"/>
    <col min="5386" max="5386" width="15.28515625" customWidth="1"/>
    <col min="5387" max="5387" width="15.85546875" customWidth="1"/>
    <col min="5388" max="5388" width="17.140625" bestFit="1" customWidth="1"/>
    <col min="5389" max="5389" width="12.7109375" customWidth="1"/>
    <col min="5390" max="5390" width="13.7109375" customWidth="1"/>
    <col min="5391" max="5391" width="14" bestFit="1" customWidth="1"/>
    <col min="5392" max="5392" width="16.28515625" bestFit="1" customWidth="1"/>
    <col min="5393" max="5393" width="16.140625" customWidth="1"/>
    <col min="5394" max="5394" width="16.85546875" bestFit="1" customWidth="1"/>
    <col min="5395" max="5395" width="15.7109375" bestFit="1" customWidth="1"/>
    <col min="5396" max="5396" width="16.285156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28515625" bestFit="1" customWidth="1"/>
    <col min="5635" max="5635" width="45.7109375" bestFit="1" customWidth="1"/>
    <col min="5636" max="5636" width="19.85546875" bestFit="1" customWidth="1"/>
    <col min="5637" max="5637" width="15.42578125" bestFit="1" customWidth="1"/>
    <col min="5638" max="5638" width="20.42578125" bestFit="1" customWidth="1"/>
    <col min="5639" max="5639" width="13.42578125" customWidth="1"/>
    <col min="5640" max="5640" width="15.42578125" bestFit="1" customWidth="1"/>
    <col min="5641" max="5641" width="14.42578125" bestFit="1" customWidth="1"/>
    <col min="5642" max="5642" width="15.28515625" customWidth="1"/>
    <col min="5643" max="5643" width="15.85546875" customWidth="1"/>
    <col min="5644" max="5644" width="17.140625" bestFit="1" customWidth="1"/>
    <col min="5645" max="5645" width="12.7109375" customWidth="1"/>
    <col min="5646" max="5646" width="13.7109375" customWidth="1"/>
    <col min="5647" max="5647" width="14" bestFit="1" customWidth="1"/>
    <col min="5648" max="5648" width="16.28515625" bestFit="1" customWidth="1"/>
    <col min="5649" max="5649" width="16.140625" customWidth="1"/>
    <col min="5650" max="5650" width="16.85546875" bestFit="1" customWidth="1"/>
    <col min="5651" max="5651" width="15.7109375" bestFit="1" customWidth="1"/>
    <col min="5652" max="5652" width="16.285156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28515625" bestFit="1" customWidth="1"/>
    <col min="5891" max="5891" width="45.7109375" bestFit="1" customWidth="1"/>
    <col min="5892" max="5892" width="19.85546875" bestFit="1" customWidth="1"/>
    <col min="5893" max="5893" width="15.42578125" bestFit="1" customWidth="1"/>
    <col min="5894" max="5894" width="20.42578125" bestFit="1" customWidth="1"/>
    <col min="5895" max="5895" width="13.42578125" customWidth="1"/>
    <col min="5896" max="5896" width="15.42578125" bestFit="1" customWidth="1"/>
    <col min="5897" max="5897" width="14.42578125" bestFit="1" customWidth="1"/>
    <col min="5898" max="5898" width="15.28515625" customWidth="1"/>
    <col min="5899" max="5899" width="15.85546875" customWidth="1"/>
    <col min="5900" max="5900" width="17.140625" bestFit="1" customWidth="1"/>
    <col min="5901" max="5901" width="12.7109375" customWidth="1"/>
    <col min="5902" max="5902" width="13.7109375" customWidth="1"/>
    <col min="5903" max="5903" width="14" bestFit="1" customWidth="1"/>
    <col min="5904" max="5904" width="16.28515625" bestFit="1" customWidth="1"/>
    <col min="5905" max="5905" width="16.140625" customWidth="1"/>
    <col min="5906" max="5906" width="16.85546875" bestFit="1" customWidth="1"/>
    <col min="5907" max="5907" width="15.7109375" bestFit="1" customWidth="1"/>
    <col min="5908" max="5908" width="16.285156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28515625" bestFit="1" customWidth="1"/>
    <col min="6147" max="6147" width="45.7109375" bestFit="1" customWidth="1"/>
    <col min="6148" max="6148" width="19.85546875" bestFit="1" customWidth="1"/>
    <col min="6149" max="6149" width="15.42578125" bestFit="1" customWidth="1"/>
    <col min="6150" max="6150" width="20.42578125" bestFit="1" customWidth="1"/>
    <col min="6151" max="6151" width="13.42578125" customWidth="1"/>
    <col min="6152" max="6152" width="15.42578125" bestFit="1" customWidth="1"/>
    <col min="6153" max="6153" width="14.42578125" bestFit="1" customWidth="1"/>
    <col min="6154" max="6154" width="15.28515625" customWidth="1"/>
    <col min="6155" max="6155" width="15.85546875" customWidth="1"/>
    <col min="6156" max="6156" width="17.140625" bestFit="1" customWidth="1"/>
    <col min="6157" max="6157" width="12.7109375" customWidth="1"/>
    <col min="6158" max="6158" width="13.7109375" customWidth="1"/>
    <col min="6159" max="6159" width="14" bestFit="1" customWidth="1"/>
    <col min="6160" max="6160" width="16.28515625" bestFit="1" customWidth="1"/>
    <col min="6161" max="6161" width="16.140625" customWidth="1"/>
    <col min="6162" max="6162" width="16.85546875" bestFit="1" customWidth="1"/>
    <col min="6163" max="6163" width="15.7109375" bestFit="1" customWidth="1"/>
    <col min="6164" max="6164" width="16.285156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28515625" bestFit="1" customWidth="1"/>
    <col min="6403" max="6403" width="45.7109375" bestFit="1" customWidth="1"/>
    <col min="6404" max="6404" width="19.85546875" bestFit="1" customWidth="1"/>
    <col min="6405" max="6405" width="15.42578125" bestFit="1" customWidth="1"/>
    <col min="6406" max="6406" width="20.42578125" bestFit="1" customWidth="1"/>
    <col min="6407" max="6407" width="13.42578125" customWidth="1"/>
    <col min="6408" max="6408" width="15.42578125" bestFit="1" customWidth="1"/>
    <col min="6409" max="6409" width="14.42578125" bestFit="1" customWidth="1"/>
    <col min="6410" max="6410" width="15.28515625" customWidth="1"/>
    <col min="6411" max="6411" width="15.85546875" customWidth="1"/>
    <col min="6412" max="6412" width="17.140625" bestFit="1" customWidth="1"/>
    <col min="6413" max="6413" width="12.7109375" customWidth="1"/>
    <col min="6414" max="6414" width="13.7109375" customWidth="1"/>
    <col min="6415" max="6415" width="14" bestFit="1" customWidth="1"/>
    <col min="6416" max="6416" width="16.28515625" bestFit="1" customWidth="1"/>
    <col min="6417" max="6417" width="16.140625" customWidth="1"/>
    <col min="6418" max="6418" width="16.85546875" bestFit="1" customWidth="1"/>
    <col min="6419" max="6419" width="15.7109375" bestFit="1" customWidth="1"/>
    <col min="6420" max="6420" width="16.285156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28515625" bestFit="1" customWidth="1"/>
    <col min="6659" max="6659" width="45.7109375" bestFit="1" customWidth="1"/>
    <col min="6660" max="6660" width="19.85546875" bestFit="1" customWidth="1"/>
    <col min="6661" max="6661" width="15.42578125" bestFit="1" customWidth="1"/>
    <col min="6662" max="6662" width="20.42578125" bestFit="1" customWidth="1"/>
    <col min="6663" max="6663" width="13.42578125" customWidth="1"/>
    <col min="6664" max="6664" width="15.42578125" bestFit="1" customWidth="1"/>
    <col min="6665" max="6665" width="14.42578125" bestFit="1" customWidth="1"/>
    <col min="6666" max="6666" width="15.28515625" customWidth="1"/>
    <col min="6667" max="6667" width="15.85546875" customWidth="1"/>
    <col min="6668" max="6668" width="17.140625" bestFit="1" customWidth="1"/>
    <col min="6669" max="6669" width="12.7109375" customWidth="1"/>
    <col min="6670" max="6670" width="13.7109375" customWidth="1"/>
    <col min="6671" max="6671" width="14" bestFit="1" customWidth="1"/>
    <col min="6672" max="6672" width="16.28515625" bestFit="1" customWidth="1"/>
    <col min="6673" max="6673" width="16.140625" customWidth="1"/>
    <col min="6674" max="6674" width="16.85546875" bestFit="1" customWidth="1"/>
    <col min="6675" max="6675" width="15.7109375" bestFit="1" customWidth="1"/>
    <col min="6676" max="6676" width="16.285156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28515625" bestFit="1" customWidth="1"/>
    <col min="6915" max="6915" width="45.7109375" bestFit="1" customWidth="1"/>
    <col min="6916" max="6916" width="19.85546875" bestFit="1" customWidth="1"/>
    <col min="6917" max="6917" width="15.42578125" bestFit="1" customWidth="1"/>
    <col min="6918" max="6918" width="20.42578125" bestFit="1" customWidth="1"/>
    <col min="6919" max="6919" width="13.42578125" customWidth="1"/>
    <col min="6920" max="6920" width="15.42578125" bestFit="1" customWidth="1"/>
    <col min="6921" max="6921" width="14.42578125" bestFit="1" customWidth="1"/>
    <col min="6922" max="6922" width="15.28515625" customWidth="1"/>
    <col min="6923" max="6923" width="15.85546875" customWidth="1"/>
    <col min="6924" max="6924" width="17.140625" bestFit="1" customWidth="1"/>
    <col min="6925" max="6925" width="12.7109375" customWidth="1"/>
    <col min="6926" max="6926" width="13.7109375" customWidth="1"/>
    <col min="6927" max="6927" width="14" bestFit="1" customWidth="1"/>
    <col min="6928" max="6928" width="16.28515625" bestFit="1" customWidth="1"/>
    <col min="6929" max="6929" width="16.140625" customWidth="1"/>
    <col min="6930" max="6930" width="16.85546875" bestFit="1" customWidth="1"/>
    <col min="6931" max="6931" width="15.7109375" bestFit="1" customWidth="1"/>
    <col min="6932" max="6932" width="16.285156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28515625" bestFit="1" customWidth="1"/>
    <col min="7171" max="7171" width="45.7109375" bestFit="1" customWidth="1"/>
    <col min="7172" max="7172" width="19.85546875" bestFit="1" customWidth="1"/>
    <col min="7173" max="7173" width="15.42578125" bestFit="1" customWidth="1"/>
    <col min="7174" max="7174" width="20.42578125" bestFit="1" customWidth="1"/>
    <col min="7175" max="7175" width="13.42578125" customWidth="1"/>
    <col min="7176" max="7176" width="15.42578125" bestFit="1" customWidth="1"/>
    <col min="7177" max="7177" width="14.42578125" bestFit="1" customWidth="1"/>
    <col min="7178" max="7178" width="15.28515625" customWidth="1"/>
    <col min="7179" max="7179" width="15.85546875" customWidth="1"/>
    <col min="7180" max="7180" width="17.140625" bestFit="1" customWidth="1"/>
    <col min="7181" max="7181" width="12.7109375" customWidth="1"/>
    <col min="7182" max="7182" width="13.7109375" customWidth="1"/>
    <col min="7183" max="7183" width="14" bestFit="1" customWidth="1"/>
    <col min="7184" max="7184" width="16.28515625" bestFit="1" customWidth="1"/>
    <col min="7185" max="7185" width="16.140625" customWidth="1"/>
    <col min="7186" max="7186" width="16.85546875" bestFit="1" customWidth="1"/>
    <col min="7187" max="7187" width="15.7109375" bestFit="1" customWidth="1"/>
    <col min="7188" max="7188" width="16.285156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28515625" bestFit="1" customWidth="1"/>
    <col min="7427" max="7427" width="45.7109375" bestFit="1" customWidth="1"/>
    <col min="7428" max="7428" width="19.85546875" bestFit="1" customWidth="1"/>
    <col min="7429" max="7429" width="15.42578125" bestFit="1" customWidth="1"/>
    <col min="7430" max="7430" width="20.42578125" bestFit="1" customWidth="1"/>
    <col min="7431" max="7431" width="13.42578125" customWidth="1"/>
    <col min="7432" max="7432" width="15.42578125" bestFit="1" customWidth="1"/>
    <col min="7433" max="7433" width="14.42578125" bestFit="1" customWidth="1"/>
    <col min="7434" max="7434" width="15.28515625" customWidth="1"/>
    <col min="7435" max="7435" width="15.85546875" customWidth="1"/>
    <col min="7436" max="7436" width="17.140625" bestFit="1" customWidth="1"/>
    <col min="7437" max="7437" width="12.7109375" customWidth="1"/>
    <col min="7438" max="7438" width="13.7109375" customWidth="1"/>
    <col min="7439" max="7439" width="14" bestFit="1" customWidth="1"/>
    <col min="7440" max="7440" width="16.28515625" bestFit="1" customWidth="1"/>
    <col min="7441" max="7441" width="16.140625" customWidth="1"/>
    <col min="7442" max="7442" width="16.85546875" bestFit="1" customWidth="1"/>
    <col min="7443" max="7443" width="15.7109375" bestFit="1" customWidth="1"/>
    <col min="7444" max="7444" width="16.285156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28515625" bestFit="1" customWidth="1"/>
    <col min="7683" max="7683" width="45.7109375" bestFit="1" customWidth="1"/>
    <col min="7684" max="7684" width="19.85546875" bestFit="1" customWidth="1"/>
    <col min="7685" max="7685" width="15.42578125" bestFit="1" customWidth="1"/>
    <col min="7686" max="7686" width="20.42578125" bestFit="1" customWidth="1"/>
    <col min="7687" max="7687" width="13.42578125" customWidth="1"/>
    <col min="7688" max="7688" width="15.42578125" bestFit="1" customWidth="1"/>
    <col min="7689" max="7689" width="14.42578125" bestFit="1" customWidth="1"/>
    <col min="7690" max="7690" width="15.28515625" customWidth="1"/>
    <col min="7691" max="7691" width="15.85546875" customWidth="1"/>
    <col min="7692" max="7692" width="17.140625" bestFit="1" customWidth="1"/>
    <col min="7693" max="7693" width="12.7109375" customWidth="1"/>
    <col min="7694" max="7694" width="13.7109375" customWidth="1"/>
    <col min="7695" max="7695" width="14" bestFit="1" customWidth="1"/>
    <col min="7696" max="7696" width="16.28515625" bestFit="1" customWidth="1"/>
    <col min="7697" max="7697" width="16.140625" customWidth="1"/>
    <col min="7698" max="7698" width="16.85546875" bestFit="1" customWidth="1"/>
    <col min="7699" max="7699" width="15.7109375" bestFit="1" customWidth="1"/>
    <col min="7700" max="7700" width="16.285156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28515625" bestFit="1" customWidth="1"/>
    <col min="7939" max="7939" width="45.7109375" bestFit="1" customWidth="1"/>
    <col min="7940" max="7940" width="19.85546875" bestFit="1" customWidth="1"/>
    <col min="7941" max="7941" width="15.42578125" bestFit="1" customWidth="1"/>
    <col min="7942" max="7942" width="20.42578125" bestFit="1" customWidth="1"/>
    <col min="7943" max="7943" width="13.42578125" customWidth="1"/>
    <col min="7944" max="7944" width="15.42578125" bestFit="1" customWidth="1"/>
    <col min="7945" max="7945" width="14.42578125" bestFit="1" customWidth="1"/>
    <col min="7946" max="7946" width="15.28515625" customWidth="1"/>
    <col min="7947" max="7947" width="15.85546875" customWidth="1"/>
    <col min="7948" max="7948" width="17.140625" bestFit="1" customWidth="1"/>
    <col min="7949" max="7949" width="12.7109375" customWidth="1"/>
    <col min="7950" max="7950" width="13.7109375" customWidth="1"/>
    <col min="7951" max="7951" width="14" bestFit="1" customWidth="1"/>
    <col min="7952" max="7952" width="16.28515625" bestFit="1" customWidth="1"/>
    <col min="7953" max="7953" width="16.140625" customWidth="1"/>
    <col min="7954" max="7954" width="16.85546875" bestFit="1" customWidth="1"/>
    <col min="7955" max="7955" width="15.7109375" bestFit="1" customWidth="1"/>
    <col min="7956" max="7956" width="16.285156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28515625" bestFit="1" customWidth="1"/>
    <col min="8195" max="8195" width="45.7109375" bestFit="1" customWidth="1"/>
    <col min="8196" max="8196" width="19.85546875" bestFit="1" customWidth="1"/>
    <col min="8197" max="8197" width="15.42578125" bestFit="1" customWidth="1"/>
    <col min="8198" max="8198" width="20.42578125" bestFit="1" customWidth="1"/>
    <col min="8199" max="8199" width="13.42578125" customWidth="1"/>
    <col min="8200" max="8200" width="15.42578125" bestFit="1" customWidth="1"/>
    <col min="8201" max="8201" width="14.42578125" bestFit="1" customWidth="1"/>
    <col min="8202" max="8202" width="15.28515625" customWidth="1"/>
    <col min="8203" max="8203" width="15.85546875" customWidth="1"/>
    <col min="8204" max="8204" width="17.140625" bestFit="1" customWidth="1"/>
    <col min="8205" max="8205" width="12.7109375" customWidth="1"/>
    <col min="8206" max="8206" width="13.7109375" customWidth="1"/>
    <col min="8207" max="8207" width="14" bestFit="1" customWidth="1"/>
    <col min="8208" max="8208" width="16.28515625" bestFit="1" customWidth="1"/>
    <col min="8209" max="8209" width="16.140625" customWidth="1"/>
    <col min="8210" max="8210" width="16.85546875" bestFit="1" customWidth="1"/>
    <col min="8211" max="8211" width="15.7109375" bestFit="1" customWidth="1"/>
    <col min="8212" max="8212" width="16.285156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28515625" bestFit="1" customWidth="1"/>
    <col min="8451" max="8451" width="45.7109375" bestFit="1" customWidth="1"/>
    <col min="8452" max="8452" width="19.85546875" bestFit="1" customWidth="1"/>
    <col min="8453" max="8453" width="15.42578125" bestFit="1" customWidth="1"/>
    <col min="8454" max="8454" width="20.42578125" bestFit="1" customWidth="1"/>
    <col min="8455" max="8455" width="13.42578125" customWidth="1"/>
    <col min="8456" max="8456" width="15.42578125" bestFit="1" customWidth="1"/>
    <col min="8457" max="8457" width="14.42578125" bestFit="1" customWidth="1"/>
    <col min="8458" max="8458" width="15.28515625" customWidth="1"/>
    <col min="8459" max="8459" width="15.85546875" customWidth="1"/>
    <col min="8460" max="8460" width="17.140625" bestFit="1" customWidth="1"/>
    <col min="8461" max="8461" width="12.7109375" customWidth="1"/>
    <col min="8462" max="8462" width="13.7109375" customWidth="1"/>
    <col min="8463" max="8463" width="14" bestFit="1" customWidth="1"/>
    <col min="8464" max="8464" width="16.28515625" bestFit="1" customWidth="1"/>
    <col min="8465" max="8465" width="16.140625" customWidth="1"/>
    <col min="8466" max="8466" width="16.85546875" bestFit="1" customWidth="1"/>
    <col min="8467" max="8467" width="15.7109375" bestFit="1" customWidth="1"/>
    <col min="8468" max="8468" width="16.285156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28515625" bestFit="1" customWidth="1"/>
    <col min="8707" max="8707" width="45.7109375" bestFit="1" customWidth="1"/>
    <col min="8708" max="8708" width="19.85546875" bestFit="1" customWidth="1"/>
    <col min="8709" max="8709" width="15.42578125" bestFit="1" customWidth="1"/>
    <col min="8710" max="8710" width="20.42578125" bestFit="1" customWidth="1"/>
    <col min="8711" max="8711" width="13.42578125" customWidth="1"/>
    <col min="8712" max="8712" width="15.42578125" bestFit="1" customWidth="1"/>
    <col min="8713" max="8713" width="14.42578125" bestFit="1" customWidth="1"/>
    <col min="8714" max="8714" width="15.28515625" customWidth="1"/>
    <col min="8715" max="8715" width="15.85546875" customWidth="1"/>
    <col min="8716" max="8716" width="17.140625" bestFit="1" customWidth="1"/>
    <col min="8717" max="8717" width="12.7109375" customWidth="1"/>
    <col min="8718" max="8718" width="13.7109375" customWidth="1"/>
    <col min="8719" max="8719" width="14" bestFit="1" customWidth="1"/>
    <col min="8720" max="8720" width="16.28515625" bestFit="1" customWidth="1"/>
    <col min="8721" max="8721" width="16.140625" customWidth="1"/>
    <col min="8722" max="8722" width="16.85546875" bestFit="1" customWidth="1"/>
    <col min="8723" max="8723" width="15.7109375" bestFit="1" customWidth="1"/>
    <col min="8724" max="8724" width="16.285156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28515625" bestFit="1" customWidth="1"/>
    <col min="8963" max="8963" width="45.7109375" bestFit="1" customWidth="1"/>
    <col min="8964" max="8964" width="19.85546875" bestFit="1" customWidth="1"/>
    <col min="8965" max="8965" width="15.42578125" bestFit="1" customWidth="1"/>
    <col min="8966" max="8966" width="20.42578125" bestFit="1" customWidth="1"/>
    <col min="8967" max="8967" width="13.42578125" customWidth="1"/>
    <col min="8968" max="8968" width="15.42578125" bestFit="1" customWidth="1"/>
    <col min="8969" max="8969" width="14.42578125" bestFit="1" customWidth="1"/>
    <col min="8970" max="8970" width="15.28515625" customWidth="1"/>
    <col min="8971" max="8971" width="15.85546875" customWidth="1"/>
    <col min="8972" max="8972" width="17.140625" bestFit="1" customWidth="1"/>
    <col min="8973" max="8973" width="12.7109375" customWidth="1"/>
    <col min="8974" max="8974" width="13.7109375" customWidth="1"/>
    <col min="8975" max="8975" width="14" bestFit="1" customWidth="1"/>
    <col min="8976" max="8976" width="16.28515625" bestFit="1" customWidth="1"/>
    <col min="8977" max="8977" width="16.140625" customWidth="1"/>
    <col min="8978" max="8978" width="16.85546875" bestFit="1" customWidth="1"/>
    <col min="8979" max="8979" width="15.7109375" bestFit="1" customWidth="1"/>
    <col min="8980" max="8980" width="16.285156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28515625" bestFit="1" customWidth="1"/>
    <col min="9219" max="9219" width="45.7109375" bestFit="1" customWidth="1"/>
    <col min="9220" max="9220" width="19.85546875" bestFit="1" customWidth="1"/>
    <col min="9221" max="9221" width="15.42578125" bestFit="1" customWidth="1"/>
    <col min="9222" max="9222" width="20.42578125" bestFit="1" customWidth="1"/>
    <col min="9223" max="9223" width="13.42578125" customWidth="1"/>
    <col min="9224" max="9224" width="15.42578125" bestFit="1" customWidth="1"/>
    <col min="9225" max="9225" width="14.42578125" bestFit="1" customWidth="1"/>
    <col min="9226" max="9226" width="15.28515625" customWidth="1"/>
    <col min="9227" max="9227" width="15.85546875" customWidth="1"/>
    <col min="9228" max="9228" width="17.140625" bestFit="1" customWidth="1"/>
    <col min="9229" max="9229" width="12.7109375" customWidth="1"/>
    <col min="9230" max="9230" width="13.7109375" customWidth="1"/>
    <col min="9231" max="9231" width="14" bestFit="1" customWidth="1"/>
    <col min="9232" max="9232" width="16.28515625" bestFit="1" customWidth="1"/>
    <col min="9233" max="9233" width="16.140625" customWidth="1"/>
    <col min="9234" max="9234" width="16.85546875" bestFit="1" customWidth="1"/>
    <col min="9235" max="9235" width="15.7109375" bestFit="1" customWidth="1"/>
    <col min="9236" max="9236" width="16.285156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28515625" bestFit="1" customWidth="1"/>
    <col min="9475" max="9475" width="45.7109375" bestFit="1" customWidth="1"/>
    <col min="9476" max="9476" width="19.85546875" bestFit="1" customWidth="1"/>
    <col min="9477" max="9477" width="15.42578125" bestFit="1" customWidth="1"/>
    <col min="9478" max="9478" width="20.42578125" bestFit="1" customWidth="1"/>
    <col min="9479" max="9479" width="13.42578125" customWidth="1"/>
    <col min="9480" max="9480" width="15.42578125" bestFit="1" customWidth="1"/>
    <col min="9481" max="9481" width="14.42578125" bestFit="1" customWidth="1"/>
    <col min="9482" max="9482" width="15.28515625" customWidth="1"/>
    <col min="9483" max="9483" width="15.85546875" customWidth="1"/>
    <col min="9484" max="9484" width="17.140625" bestFit="1" customWidth="1"/>
    <col min="9485" max="9485" width="12.7109375" customWidth="1"/>
    <col min="9486" max="9486" width="13.7109375" customWidth="1"/>
    <col min="9487" max="9487" width="14" bestFit="1" customWidth="1"/>
    <col min="9488" max="9488" width="16.28515625" bestFit="1" customWidth="1"/>
    <col min="9489" max="9489" width="16.140625" customWidth="1"/>
    <col min="9490" max="9490" width="16.85546875" bestFit="1" customWidth="1"/>
    <col min="9491" max="9491" width="15.7109375" bestFit="1" customWidth="1"/>
    <col min="9492" max="9492" width="16.285156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28515625" bestFit="1" customWidth="1"/>
    <col min="9731" max="9731" width="45.7109375" bestFit="1" customWidth="1"/>
    <col min="9732" max="9732" width="19.85546875" bestFit="1" customWidth="1"/>
    <col min="9733" max="9733" width="15.42578125" bestFit="1" customWidth="1"/>
    <col min="9734" max="9734" width="20.42578125" bestFit="1" customWidth="1"/>
    <col min="9735" max="9735" width="13.42578125" customWidth="1"/>
    <col min="9736" max="9736" width="15.42578125" bestFit="1" customWidth="1"/>
    <col min="9737" max="9737" width="14.42578125" bestFit="1" customWidth="1"/>
    <col min="9738" max="9738" width="15.28515625" customWidth="1"/>
    <col min="9739" max="9739" width="15.85546875" customWidth="1"/>
    <col min="9740" max="9740" width="17.140625" bestFit="1" customWidth="1"/>
    <col min="9741" max="9741" width="12.7109375" customWidth="1"/>
    <col min="9742" max="9742" width="13.7109375" customWidth="1"/>
    <col min="9743" max="9743" width="14" bestFit="1" customWidth="1"/>
    <col min="9744" max="9744" width="16.28515625" bestFit="1" customWidth="1"/>
    <col min="9745" max="9745" width="16.140625" customWidth="1"/>
    <col min="9746" max="9746" width="16.85546875" bestFit="1" customWidth="1"/>
    <col min="9747" max="9747" width="15.7109375" bestFit="1" customWidth="1"/>
    <col min="9748" max="9748" width="16.285156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28515625" bestFit="1" customWidth="1"/>
    <col min="9987" max="9987" width="45.7109375" bestFit="1" customWidth="1"/>
    <col min="9988" max="9988" width="19.85546875" bestFit="1" customWidth="1"/>
    <col min="9989" max="9989" width="15.42578125" bestFit="1" customWidth="1"/>
    <col min="9990" max="9990" width="20.42578125" bestFit="1" customWidth="1"/>
    <col min="9991" max="9991" width="13.42578125" customWidth="1"/>
    <col min="9992" max="9992" width="15.42578125" bestFit="1" customWidth="1"/>
    <col min="9993" max="9993" width="14.42578125" bestFit="1" customWidth="1"/>
    <col min="9994" max="9994" width="15.28515625" customWidth="1"/>
    <col min="9995" max="9995" width="15.85546875" customWidth="1"/>
    <col min="9996" max="9996" width="17.140625" bestFit="1" customWidth="1"/>
    <col min="9997" max="9997" width="12.7109375" customWidth="1"/>
    <col min="9998" max="9998" width="13.7109375" customWidth="1"/>
    <col min="9999" max="9999" width="14" bestFit="1" customWidth="1"/>
    <col min="10000" max="10000" width="16.28515625" bestFit="1" customWidth="1"/>
    <col min="10001" max="10001" width="16.140625" customWidth="1"/>
    <col min="10002" max="10002" width="16.85546875" bestFit="1" customWidth="1"/>
    <col min="10003" max="10003" width="15.7109375" bestFit="1" customWidth="1"/>
    <col min="10004" max="10004" width="16.285156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28515625" bestFit="1" customWidth="1"/>
    <col min="10243" max="10243" width="45.7109375" bestFit="1" customWidth="1"/>
    <col min="10244" max="10244" width="19.85546875" bestFit="1" customWidth="1"/>
    <col min="10245" max="10245" width="15.42578125" bestFit="1" customWidth="1"/>
    <col min="10246" max="10246" width="20.42578125" bestFit="1" customWidth="1"/>
    <col min="10247" max="10247" width="13.42578125" customWidth="1"/>
    <col min="10248" max="10248" width="15.42578125" bestFit="1" customWidth="1"/>
    <col min="10249" max="10249" width="14.42578125" bestFit="1" customWidth="1"/>
    <col min="10250" max="10250" width="15.28515625" customWidth="1"/>
    <col min="10251" max="10251" width="15.85546875" customWidth="1"/>
    <col min="10252" max="10252" width="17.140625" bestFit="1" customWidth="1"/>
    <col min="10253" max="10253" width="12.7109375" customWidth="1"/>
    <col min="10254" max="10254" width="13.7109375" customWidth="1"/>
    <col min="10255" max="10255" width="14" bestFit="1" customWidth="1"/>
    <col min="10256" max="10256" width="16.28515625" bestFit="1" customWidth="1"/>
    <col min="10257" max="10257" width="16.140625" customWidth="1"/>
    <col min="10258" max="10258" width="16.85546875" bestFit="1" customWidth="1"/>
    <col min="10259" max="10259" width="15.7109375" bestFit="1" customWidth="1"/>
    <col min="10260" max="10260" width="16.285156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28515625" bestFit="1" customWidth="1"/>
    <col min="10499" max="10499" width="45.7109375" bestFit="1" customWidth="1"/>
    <col min="10500" max="10500" width="19.85546875" bestFit="1" customWidth="1"/>
    <col min="10501" max="10501" width="15.42578125" bestFit="1" customWidth="1"/>
    <col min="10502" max="10502" width="20.42578125" bestFit="1" customWidth="1"/>
    <col min="10503" max="10503" width="13.42578125" customWidth="1"/>
    <col min="10504" max="10504" width="15.42578125" bestFit="1" customWidth="1"/>
    <col min="10505" max="10505" width="14.42578125" bestFit="1" customWidth="1"/>
    <col min="10506" max="10506" width="15.28515625" customWidth="1"/>
    <col min="10507" max="10507" width="15.85546875" customWidth="1"/>
    <col min="10508" max="10508" width="17.140625" bestFit="1" customWidth="1"/>
    <col min="10509" max="10509" width="12.7109375" customWidth="1"/>
    <col min="10510" max="10510" width="13.7109375" customWidth="1"/>
    <col min="10511" max="10511" width="14" bestFit="1" customWidth="1"/>
    <col min="10512" max="10512" width="16.28515625" bestFit="1" customWidth="1"/>
    <col min="10513" max="10513" width="16.140625" customWidth="1"/>
    <col min="10514" max="10514" width="16.85546875" bestFit="1" customWidth="1"/>
    <col min="10515" max="10515" width="15.7109375" bestFit="1" customWidth="1"/>
    <col min="10516" max="10516" width="16.285156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28515625" bestFit="1" customWidth="1"/>
    <col min="10755" max="10755" width="45.7109375" bestFit="1" customWidth="1"/>
    <col min="10756" max="10756" width="19.85546875" bestFit="1" customWidth="1"/>
    <col min="10757" max="10757" width="15.42578125" bestFit="1" customWidth="1"/>
    <col min="10758" max="10758" width="20.42578125" bestFit="1" customWidth="1"/>
    <col min="10759" max="10759" width="13.42578125" customWidth="1"/>
    <col min="10760" max="10760" width="15.42578125" bestFit="1" customWidth="1"/>
    <col min="10761" max="10761" width="14.42578125" bestFit="1" customWidth="1"/>
    <col min="10762" max="10762" width="15.28515625" customWidth="1"/>
    <col min="10763" max="10763" width="15.85546875" customWidth="1"/>
    <col min="10764" max="10764" width="17.140625" bestFit="1" customWidth="1"/>
    <col min="10765" max="10765" width="12.7109375" customWidth="1"/>
    <col min="10766" max="10766" width="13.7109375" customWidth="1"/>
    <col min="10767" max="10767" width="14" bestFit="1" customWidth="1"/>
    <col min="10768" max="10768" width="16.28515625" bestFit="1" customWidth="1"/>
    <col min="10769" max="10769" width="16.140625" customWidth="1"/>
    <col min="10770" max="10770" width="16.85546875" bestFit="1" customWidth="1"/>
    <col min="10771" max="10771" width="15.7109375" bestFit="1" customWidth="1"/>
    <col min="10772" max="10772" width="16.285156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28515625" bestFit="1" customWidth="1"/>
    <col min="11011" max="11011" width="45.7109375" bestFit="1" customWidth="1"/>
    <col min="11012" max="11012" width="19.85546875" bestFit="1" customWidth="1"/>
    <col min="11013" max="11013" width="15.42578125" bestFit="1" customWidth="1"/>
    <col min="11014" max="11014" width="20.42578125" bestFit="1" customWidth="1"/>
    <col min="11015" max="11015" width="13.42578125" customWidth="1"/>
    <col min="11016" max="11016" width="15.42578125" bestFit="1" customWidth="1"/>
    <col min="11017" max="11017" width="14.42578125" bestFit="1" customWidth="1"/>
    <col min="11018" max="11018" width="15.28515625" customWidth="1"/>
    <col min="11019" max="11019" width="15.85546875" customWidth="1"/>
    <col min="11020" max="11020" width="17.140625" bestFit="1" customWidth="1"/>
    <col min="11021" max="11021" width="12.7109375" customWidth="1"/>
    <col min="11022" max="11022" width="13.7109375" customWidth="1"/>
    <col min="11023" max="11023" width="14" bestFit="1" customWidth="1"/>
    <col min="11024" max="11024" width="16.28515625" bestFit="1" customWidth="1"/>
    <col min="11025" max="11025" width="16.140625" customWidth="1"/>
    <col min="11026" max="11026" width="16.85546875" bestFit="1" customWidth="1"/>
    <col min="11027" max="11027" width="15.7109375" bestFit="1" customWidth="1"/>
    <col min="11028" max="11028" width="16.285156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28515625" bestFit="1" customWidth="1"/>
    <col min="11267" max="11267" width="45.7109375" bestFit="1" customWidth="1"/>
    <col min="11268" max="11268" width="19.85546875" bestFit="1" customWidth="1"/>
    <col min="11269" max="11269" width="15.42578125" bestFit="1" customWidth="1"/>
    <col min="11270" max="11270" width="20.42578125" bestFit="1" customWidth="1"/>
    <col min="11271" max="11271" width="13.42578125" customWidth="1"/>
    <col min="11272" max="11272" width="15.42578125" bestFit="1" customWidth="1"/>
    <col min="11273" max="11273" width="14.42578125" bestFit="1" customWidth="1"/>
    <col min="11274" max="11274" width="15.28515625" customWidth="1"/>
    <col min="11275" max="11275" width="15.85546875" customWidth="1"/>
    <col min="11276" max="11276" width="17.140625" bestFit="1" customWidth="1"/>
    <col min="11277" max="11277" width="12.7109375" customWidth="1"/>
    <col min="11278" max="11278" width="13.7109375" customWidth="1"/>
    <col min="11279" max="11279" width="14" bestFit="1" customWidth="1"/>
    <col min="11280" max="11280" width="16.28515625" bestFit="1" customWidth="1"/>
    <col min="11281" max="11281" width="16.140625" customWidth="1"/>
    <col min="11282" max="11282" width="16.85546875" bestFit="1" customWidth="1"/>
    <col min="11283" max="11283" width="15.7109375" bestFit="1" customWidth="1"/>
    <col min="11284" max="11284" width="16.285156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28515625" bestFit="1" customWidth="1"/>
    <col min="11523" max="11523" width="45.7109375" bestFit="1" customWidth="1"/>
    <col min="11524" max="11524" width="19.85546875" bestFit="1" customWidth="1"/>
    <col min="11525" max="11525" width="15.42578125" bestFit="1" customWidth="1"/>
    <col min="11526" max="11526" width="20.42578125" bestFit="1" customWidth="1"/>
    <col min="11527" max="11527" width="13.42578125" customWidth="1"/>
    <col min="11528" max="11528" width="15.42578125" bestFit="1" customWidth="1"/>
    <col min="11529" max="11529" width="14.42578125" bestFit="1" customWidth="1"/>
    <col min="11530" max="11530" width="15.28515625" customWidth="1"/>
    <col min="11531" max="11531" width="15.85546875" customWidth="1"/>
    <col min="11532" max="11532" width="17.140625" bestFit="1" customWidth="1"/>
    <col min="11533" max="11533" width="12.7109375" customWidth="1"/>
    <col min="11534" max="11534" width="13.7109375" customWidth="1"/>
    <col min="11535" max="11535" width="14" bestFit="1" customWidth="1"/>
    <col min="11536" max="11536" width="16.28515625" bestFit="1" customWidth="1"/>
    <col min="11537" max="11537" width="16.140625" customWidth="1"/>
    <col min="11538" max="11538" width="16.85546875" bestFit="1" customWidth="1"/>
    <col min="11539" max="11539" width="15.7109375" bestFit="1" customWidth="1"/>
    <col min="11540" max="11540" width="16.285156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28515625" bestFit="1" customWidth="1"/>
    <col min="11779" max="11779" width="45.7109375" bestFit="1" customWidth="1"/>
    <col min="11780" max="11780" width="19.85546875" bestFit="1" customWidth="1"/>
    <col min="11781" max="11781" width="15.42578125" bestFit="1" customWidth="1"/>
    <col min="11782" max="11782" width="20.42578125" bestFit="1" customWidth="1"/>
    <col min="11783" max="11783" width="13.42578125" customWidth="1"/>
    <col min="11784" max="11784" width="15.42578125" bestFit="1" customWidth="1"/>
    <col min="11785" max="11785" width="14.42578125" bestFit="1" customWidth="1"/>
    <col min="11786" max="11786" width="15.28515625" customWidth="1"/>
    <col min="11787" max="11787" width="15.85546875" customWidth="1"/>
    <col min="11788" max="11788" width="17.140625" bestFit="1" customWidth="1"/>
    <col min="11789" max="11789" width="12.7109375" customWidth="1"/>
    <col min="11790" max="11790" width="13.7109375" customWidth="1"/>
    <col min="11791" max="11791" width="14" bestFit="1" customWidth="1"/>
    <col min="11792" max="11792" width="16.28515625" bestFit="1" customWidth="1"/>
    <col min="11793" max="11793" width="16.140625" customWidth="1"/>
    <col min="11794" max="11794" width="16.85546875" bestFit="1" customWidth="1"/>
    <col min="11795" max="11795" width="15.7109375" bestFit="1" customWidth="1"/>
    <col min="11796" max="11796" width="16.285156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28515625" bestFit="1" customWidth="1"/>
    <col min="12035" max="12035" width="45.7109375" bestFit="1" customWidth="1"/>
    <col min="12036" max="12036" width="19.85546875" bestFit="1" customWidth="1"/>
    <col min="12037" max="12037" width="15.42578125" bestFit="1" customWidth="1"/>
    <col min="12038" max="12038" width="20.42578125" bestFit="1" customWidth="1"/>
    <col min="12039" max="12039" width="13.42578125" customWidth="1"/>
    <col min="12040" max="12040" width="15.42578125" bestFit="1" customWidth="1"/>
    <col min="12041" max="12041" width="14.42578125" bestFit="1" customWidth="1"/>
    <col min="12042" max="12042" width="15.28515625" customWidth="1"/>
    <col min="12043" max="12043" width="15.85546875" customWidth="1"/>
    <col min="12044" max="12044" width="17.140625" bestFit="1" customWidth="1"/>
    <col min="12045" max="12045" width="12.7109375" customWidth="1"/>
    <col min="12046" max="12046" width="13.7109375" customWidth="1"/>
    <col min="12047" max="12047" width="14" bestFit="1" customWidth="1"/>
    <col min="12048" max="12048" width="16.28515625" bestFit="1" customWidth="1"/>
    <col min="12049" max="12049" width="16.140625" customWidth="1"/>
    <col min="12050" max="12050" width="16.85546875" bestFit="1" customWidth="1"/>
    <col min="12051" max="12051" width="15.7109375" bestFit="1" customWidth="1"/>
    <col min="12052" max="12052" width="16.285156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28515625" bestFit="1" customWidth="1"/>
    <col min="12291" max="12291" width="45.7109375" bestFit="1" customWidth="1"/>
    <col min="12292" max="12292" width="19.85546875" bestFit="1" customWidth="1"/>
    <col min="12293" max="12293" width="15.42578125" bestFit="1" customWidth="1"/>
    <col min="12294" max="12294" width="20.42578125" bestFit="1" customWidth="1"/>
    <col min="12295" max="12295" width="13.42578125" customWidth="1"/>
    <col min="12296" max="12296" width="15.42578125" bestFit="1" customWidth="1"/>
    <col min="12297" max="12297" width="14.42578125" bestFit="1" customWidth="1"/>
    <col min="12298" max="12298" width="15.28515625" customWidth="1"/>
    <col min="12299" max="12299" width="15.85546875" customWidth="1"/>
    <col min="12300" max="12300" width="17.140625" bestFit="1" customWidth="1"/>
    <col min="12301" max="12301" width="12.7109375" customWidth="1"/>
    <col min="12302" max="12302" width="13.7109375" customWidth="1"/>
    <col min="12303" max="12303" width="14" bestFit="1" customWidth="1"/>
    <col min="12304" max="12304" width="16.28515625" bestFit="1" customWidth="1"/>
    <col min="12305" max="12305" width="16.140625" customWidth="1"/>
    <col min="12306" max="12306" width="16.85546875" bestFit="1" customWidth="1"/>
    <col min="12307" max="12307" width="15.7109375" bestFit="1" customWidth="1"/>
    <col min="12308" max="12308" width="16.285156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28515625" bestFit="1" customWidth="1"/>
    <col min="12547" max="12547" width="45.7109375" bestFit="1" customWidth="1"/>
    <col min="12548" max="12548" width="19.85546875" bestFit="1" customWidth="1"/>
    <col min="12549" max="12549" width="15.42578125" bestFit="1" customWidth="1"/>
    <col min="12550" max="12550" width="20.42578125" bestFit="1" customWidth="1"/>
    <col min="12551" max="12551" width="13.42578125" customWidth="1"/>
    <col min="12552" max="12552" width="15.42578125" bestFit="1" customWidth="1"/>
    <col min="12553" max="12553" width="14.42578125" bestFit="1" customWidth="1"/>
    <col min="12554" max="12554" width="15.28515625" customWidth="1"/>
    <col min="12555" max="12555" width="15.85546875" customWidth="1"/>
    <col min="12556" max="12556" width="17.140625" bestFit="1" customWidth="1"/>
    <col min="12557" max="12557" width="12.7109375" customWidth="1"/>
    <col min="12558" max="12558" width="13.7109375" customWidth="1"/>
    <col min="12559" max="12559" width="14" bestFit="1" customWidth="1"/>
    <col min="12560" max="12560" width="16.28515625" bestFit="1" customWidth="1"/>
    <col min="12561" max="12561" width="16.140625" customWidth="1"/>
    <col min="12562" max="12562" width="16.85546875" bestFit="1" customWidth="1"/>
    <col min="12563" max="12563" width="15.7109375" bestFit="1" customWidth="1"/>
    <col min="12564" max="12564" width="16.285156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28515625" bestFit="1" customWidth="1"/>
    <col min="12803" max="12803" width="45.7109375" bestFit="1" customWidth="1"/>
    <col min="12804" max="12804" width="19.85546875" bestFit="1" customWidth="1"/>
    <col min="12805" max="12805" width="15.42578125" bestFit="1" customWidth="1"/>
    <col min="12806" max="12806" width="20.42578125" bestFit="1" customWidth="1"/>
    <col min="12807" max="12807" width="13.42578125" customWidth="1"/>
    <col min="12808" max="12808" width="15.42578125" bestFit="1" customWidth="1"/>
    <col min="12809" max="12809" width="14.42578125" bestFit="1" customWidth="1"/>
    <col min="12810" max="12810" width="15.28515625" customWidth="1"/>
    <col min="12811" max="12811" width="15.85546875" customWidth="1"/>
    <col min="12812" max="12812" width="17.140625" bestFit="1" customWidth="1"/>
    <col min="12813" max="12813" width="12.7109375" customWidth="1"/>
    <col min="12814" max="12814" width="13.7109375" customWidth="1"/>
    <col min="12815" max="12815" width="14" bestFit="1" customWidth="1"/>
    <col min="12816" max="12816" width="16.28515625" bestFit="1" customWidth="1"/>
    <col min="12817" max="12817" width="16.140625" customWidth="1"/>
    <col min="12818" max="12818" width="16.85546875" bestFit="1" customWidth="1"/>
    <col min="12819" max="12819" width="15.7109375" bestFit="1" customWidth="1"/>
    <col min="12820" max="12820" width="16.285156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28515625" bestFit="1" customWidth="1"/>
    <col min="13059" max="13059" width="45.7109375" bestFit="1" customWidth="1"/>
    <col min="13060" max="13060" width="19.85546875" bestFit="1" customWidth="1"/>
    <col min="13061" max="13061" width="15.42578125" bestFit="1" customWidth="1"/>
    <col min="13062" max="13062" width="20.42578125" bestFit="1" customWidth="1"/>
    <col min="13063" max="13063" width="13.42578125" customWidth="1"/>
    <col min="13064" max="13064" width="15.42578125" bestFit="1" customWidth="1"/>
    <col min="13065" max="13065" width="14.42578125" bestFit="1" customWidth="1"/>
    <col min="13066" max="13066" width="15.28515625" customWidth="1"/>
    <col min="13067" max="13067" width="15.85546875" customWidth="1"/>
    <col min="13068" max="13068" width="17.140625" bestFit="1" customWidth="1"/>
    <col min="13069" max="13069" width="12.7109375" customWidth="1"/>
    <col min="13070" max="13070" width="13.7109375" customWidth="1"/>
    <col min="13071" max="13071" width="14" bestFit="1" customWidth="1"/>
    <col min="13072" max="13072" width="16.28515625" bestFit="1" customWidth="1"/>
    <col min="13073" max="13073" width="16.140625" customWidth="1"/>
    <col min="13074" max="13074" width="16.85546875" bestFit="1" customWidth="1"/>
    <col min="13075" max="13075" width="15.7109375" bestFit="1" customWidth="1"/>
    <col min="13076" max="13076" width="16.285156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28515625" bestFit="1" customWidth="1"/>
    <col min="13315" max="13315" width="45.7109375" bestFit="1" customWidth="1"/>
    <col min="13316" max="13316" width="19.85546875" bestFit="1" customWidth="1"/>
    <col min="13317" max="13317" width="15.42578125" bestFit="1" customWidth="1"/>
    <col min="13318" max="13318" width="20.42578125" bestFit="1" customWidth="1"/>
    <col min="13319" max="13319" width="13.42578125" customWidth="1"/>
    <col min="13320" max="13320" width="15.42578125" bestFit="1" customWidth="1"/>
    <col min="13321" max="13321" width="14.42578125" bestFit="1" customWidth="1"/>
    <col min="13322" max="13322" width="15.28515625" customWidth="1"/>
    <col min="13323" max="13323" width="15.85546875" customWidth="1"/>
    <col min="13324" max="13324" width="17.140625" bestFit="1" customWidth="1"/>
    <col min="13325" max="13325" width="12.7109375" customWidth="1"/>
    <col min="13326" max="13326" width="13.7109375" customWidth="1"/>
    <col min="13327" max="13327" width="14" bestFit="1" customWidth="1"/>
    <col min="13328" max="13328" width="16.28515625" bestFit="1" customWidth="1"/>
    <col min="13329" max="13329" width="16.140625" customWidth="1"/>
    <col min="13330" max="13330" width="16.85546875" bestFit="1" customWidth="1"/>
    <col min="13331" max="13331" width="15.7109375" bestFit="1" customWidth="1"/>
    <col min="13332" max="13332" width="16.285156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28515625" bestFit="1" customWidth="1"/>
    <col min="13571" max="13571" width="45.7109375" bestFit="1" customWidth="1"/>
    <col min="13572" max="13572" width="19.85546875" bestFit="1" customWidth="1"/>
    <col min="13573" max="13573" width="15.42578125" bestFit="1" customWidth="1"/>
    <col min="13574" max="13574" width="20.42578125" bestFit="1" customWidth="1"/>
    <col min="13575" max="13575" width="13.42578125" customWidth="1"/>
    <col min="13576" max="13576" width="15.42578125" bestFit="1" customWidth="1"/>
    <col min="13577" max="13577" width="14.42578125" bestFit="1" customWidth="1"/>
    <col min="13578" max="13578" width="15.28515625" customWidth="1"/>
    <col min="13579" max="13579" width="15.85546875" customWidth="1"/>
    <col min="13580" max="13580" width="17.140625" bestFit="1" customWidth="1"/>
    <col min="13581" max="13581" width="12.7109375" customWidth="1"/>
    <col min="13582" max="13582" width="13.7109375" customWidth="1"/>
    <col min="13583" max="13583" width="14" bestFit="1" customWidth="1"/>
    <col min="13584" max="13584" width="16.28515625" bestFit="1" customWidth="1"/>
    <col min="13585" max="13585" width="16.140625" customWidth="1"/>
    <col min="13586" max="13586" width="16.85546875" bestFit="1" customWidth="1"/>
    <col min="13587" max="13587" width="15.7109375" bestFit="1" customWidth="1"/>
    <col min="13588" max="13588" width="16.285156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28515625" bestFit="1" customWidth="1"/>
    <col min="13827" max="13827" width="45.7109375" bestFit="1" customWidth="1"/>
    <col min="13828" max="13828" width="19.85546875" bestFit="1" customWidth="1"/>
    <col min="13829" max="13829" width="15.42578125" bestFit="1" customWidth="1"/>
    <col min="13830" max="13830" width="20.42578125" bestFit="1" customWidth="1"/>
    <col min="13831" max="13831" width="13.42578125" customWidth="1"/>
    <col min="13832" max="13832" width="15.42578125" bestFit="1" customWidth="1"/>
    <col min="13833" max="13833" width="14.42578125" bestFit="1" customWidth="1"/>
    <col min="13834" max="13834" width="15.28515625" customWidth="1"/>
    <col min="13835" max="13835" width="15.85546875" customWidth="1"/>
    <col min="13836" max="13836" width="17.140625" bestFit="1" customWidth="1"/>
    <col min="13837" max="13837" width="12.7109375" customWidth="1"/>
    <col min="13838" max="13838" width="13.7109375" customWidth="1"/>
    <col min="13839" max="13839" width="14" bestFit="1" customWidth="1"/>
    <col min="13840" max="13840" width="16.28515625" bestFit="1" customWidth="1"/>
    <col min="13841" max="13841" width="16.140625" customWidth="1"/>
    <col min="13842" max="13842" width="16.85546875" bestFit="1" customWidth="1"/>
    <col min="13843" max="13843" width="15.7109375" bestFit="1" customWidth="1"/>
    <col min="13844" max="13844" width="16.285156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28515625" bestFit="1" customWidth="1"/>
    <col min="14083" max="14083" width="45.7109375" bestFit="1" customWidth="1"/>
    <col min="14084" max="14084" width="19.85546875" bestFit="1" customWidth="1"/>
    <col min="14085" max="14085" width="15.42578125" bestFit="1" customWidth="1"/>
    <col min="14086" max="14086" width="20.42578125" bestFit="1" customWidth="1"/>
    <col min="14087" max="14087" width="13.42578125" customWidth="1"/>
    <col min="14088" max="14088" width="15.42578125" bestFit="1" customWidth="1"/>
    <col min="14089" max="14089" width="14.42578125" bestFit="1" customWidth="1"/>
    <col min="14090" max="14090" width="15.28515625" customWidth="1"/>
    <col min="14091" max="14091" width="15.85546875" customWidth="1"/>
    <col min="14092" max="14092" width="17.140625" bestFit="1" customWidth="1"/>
    <col min="14093" max="14093" width="12.7109375" customWidth="1"/>
    <col min="14094" max="14094" width="13.7109375" customWidth="1"/>
    <col min="14095" max="14095" width="14" bestFit="1" customWidth="1"/>
    <col min="14096" max="14096" width="16.28515625" bestFit="1" customWidth="1"/>
    <col min="14097" max="14097" width="16.140625" customWidth="1"/>
    <col min="14098" max="14098" width="16.85546875" bestFit="1" customWidth="1"/>
    <col min="14099" max="14099" width="15.7109375" bestFit="1" customWidth="1"/>
    <col min="14100" max="14100" width="16.285156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28515625" bestFit="1" customWidth="1"/>
    <col min="14339" max="14339" width="45.7109375" bestFit="1" customWidth="1"/>
    <col min="14340" max="14340" width="19.85546875" bestFit="1" customWidth="1"/>
    <col min="14341" max="14341" width="15.42578125" bestFit="1" customWidth="1"/>
    <col min="14342" max="14342" width="20.42578125" bestFit="1" customWidth="1"/>
    <col min="14343" max="14343" width="13.42578125" customWidth="1"/>
    <col min="14344" max="14344" width="15.42578125" bestFit="1" customWidth="1"/>
    <col min="14345" max="14345" width="14.42578125" bestFit="1" customWidth="1"/>
    <col min="14346" max="14346" width="15.28515625" customWidth="1"/>
    <col min="14347" max="14347" width="15.85546875" customWidth="1"/>
    <col min="14348" max="14348" width="17.140625" bestFit="1" customWidth="1"/>
    <col min="14349" max="14349" width="12.7109375" customWidth="1"/>
    <col min="14350" max="14350" width="13.7109375" customWidth="1"/>
    <col min="14351" max="14351" width="14" bestFit="1" customWidth="1"/>
    <col min="14352" max="14352" width="16.28515625" bestFit="1" customWidth="1"/>
    <col min="14353" max="14353" width="16.140625" customWidth="1"/>
    <col min="14354" max="14354" width="16.85546875" bestFit="1" customWidth="1"/>
    <col min="14355" max="14355" width="15.7109375" bestFit="1" customWidth="1"/>
    <col min="14356" max="14356" width="16.285156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28515625" bestFit="1" customWidth="1"/>
    <col min="14595" max="14595" width="45.7109375" bestFit="1" customWidth="1"/>
    <col min="14596" max="14596" width="19.85546875" bestFit="1" customWidth="1"/>
    <col min="14597" max="14597" width="15.42578125" bestFit="1" customWidth="1"/>
    <col min="14598" max="14598" width="20.42578125" bestFit="1" customWidth="1"/>
    <col min="14599" max="14599" width="13.42578125" customWidth="1"/>
    <col min="14600" max="14600" width="15.42578125" bestFit="1" customWidth="1"/>
    <col min="14601" max="14601" width="14.42578125" bestFit="1" customWidth="1"/>
    <col min="14602" max="14602" width="15.28515625" customWidth="1"/>
    <col min="14603" max="14603" width="15.85546875" customWidth="1"/>
    <col min="14604" max="14604" width="17.140625" bestFit="1" customWidth="1"/>
    <col min="14605" max="14605" width="12.7109375" customWidth="1"/>
    <col min="14606" max="14606" width="13.7109375" customWidth="1"/>
    <col min="14607" max="14607" width="14" bestFit="1" customWidth="1"/>
    <col min="14608" max="14608" width="16.28515625" bestFit="1" customWidth="1"/>
    <col min="14609" max="14609" width="16.140625" customWidth="1"/>
    <col min="14610" max="14610" width="16.85546875" bestFit="1" customWidth="1"/>
    <col min="14611" max="14611" width="15.7109375" bestFit="1" customWidth="1"/>
    <col min="14612" max="14612" width="16.285156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28515625" bestFit="1" customWidth="1"/>
    <col min="14851" max="14851" width="45.7109375" bestFit="1" customWidth="1"/>
    <col min="14852" max="14852" width="19.85546875" bestFit="1" customWidth="1"/>
    <col min="14853" max="14853" width="15.42578125" bestFit="1" customWidth="1"/>
    <col min="14854" max="14854" width="20.42578125" bestFit="1" customWidth="1"/>
    <col min="14855" max="14855" width="13.42578125" customWidth="1"/>
    <col min="14856" max="14856" width="15.42578125" bestFit="1" customWidth="1"/>
    <col min="14857" max="14857" width="14.42578125" bestFit="1" customWidth="1"/>
    <col min="14858" max="14858" width="15.28515625" customWidth="1"/>
    <col min="14859" max="14859" width="15.85546875" customWidth="1"/>
    <col min="14860" max="14860" width="17.140625" bestFit="1" customWidth="1"/>
    <col min="14861" max="14861" width="12.7109375" customWidth="1"/>
    <col min="14862" max="14862" width="13.7109375" customWidth="1"/>
    <col min="14863" max="14863" width="14" bestFit="1" customWidth="1"/>
    <col min="14864" max="14864" width="16.28515625" bestFit="1" customWidth="1"/>
    <col min="14865" max="14865" width="16.140625" customWidth="1"/>
    <col min="14866" max="14866" width="16.85546875" bestFit="1" customWidth="1"/>
    <col min="14867" max="14867" width="15.7109375" bestFit="1" customWidth="1"/>
    <col min="14868" max="14868" width="16.285156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28515625" bestFit="1" customWidth="1"/>
    <col min="15107" max="15107" width="45.7109375" bestFit="1" customWidth="1"/>
    <col min="15108" max="15108" width="19.85546875" bestFit="1" customWidth="1"/>
    <col min="15109" max="15109" width="15.42578125" bestFit="1" customWidth="1"/>
    <col min="15110" max="15110" width="20.42578125" bestFit="1" customWidth="1"/>
    <col min="15111" max="15111" width="13.42578125" customWidth="1"/>
    <col min="15112" max="15112" width="15.42578125" bestFit="1" customWidth="1"/>
    <col min="15113" max="15113" width="14.42578125" bestFit="1" customWidth="1"/>
    <col min="15114" max="15114" width="15.28515625" customWidth="1"/>
    <col min="15115" max="15115" width="15.85546875" customWidth="1"/>
    <col min="15116" max="15116" width="17.140625" bestFit="1" customWidth="1"/>
    <col min="15117" max="15117" width="12.7109375" customWidth="1"/>
    <col min="15118" max="15118" width="13.7109375" customWidth="1"/>
    <col min="15119" max="15119" width="14" bestFit="1" customWidth="1"/>
    <col min="15120" max="15120" width="16.28515625" bestFit="1" customWidth="1"/>
    <col min="15121" max="15121" width="16.140625" customWidth="1"/>
    <col min="15122" max="15122" width="16.85546875" bestFit="1" customWidth="1"/>
    <col min="15123" max="15123" width="15.7109375" bestFit="1" customWidth="1"/>
    <col min="15124" max="15124" width="16.285156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28515625" bestFit="1" customWidth="1"/>
    <col min="15363" max="15363" width="45.7109375" bestFit="1" customWidth="1"/>
    <col min="15364" max="15364" width="19.85546875" bestFit="1" customWidth="1"/>
    <col min="15365" max="15365" width="15.42578125" bestFit="1" customWidth="1"/>
    <col min="15366" max="15366" width="20.42578125" bestFit="1" customWidth="1"/>
    <col min="15367" max="15367" width="13.42578125" customWidth="1"/>
    <col min="15368" max="15368" width="15.42578125" bestFit="1" customWidth="1"/>
    <col min="15369" max="15369" width="14.42578125" bestFit="1" customWidth="1"/>
    <col min="15370" max="15370" width="15.28515625" customWidth="1"/>
    <col min="15371" max="15371" width="15.85546875" customWidth="1"/>
    <col min="15372" max="15372" width="17.140625" bestFit="1" customWidth="1"/>
    <col min="15373" max="15373" width="12.7109375" customWidth="1"/>
    <col min="15374" max="15374" width="13.7109375" customWidth="1"/>
    <col min="15375" max="15375" width="14" bestFit="1" customWidth="1"/>
    <col min="15376" max="15376" width="16.28515625" bestFit="1" customWidth="1"/>
    <col min="15377" max="15377" width="16.140625" customWidth="1"/>
    <col min="15378" max="15378" width="16.85546875" bestFit="1" customWidth="1"/>
    <col min="15379" max="15379" width="15.7109375" bestFit="1" customWidth="1"/>
    <col min="15380" max="15380" width="16.285156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28515625" bestFit="1" customWidth="1"/>
    <col min="15619" max="15619" width="45.7109375" bestFit="1" customWidth="1"/>
    <col min="15620" max="15620" width="19.85546875" bestFit="1" customWidth="1"/>
    <col min="15621" max="15621" width="15.42578125" bestFit="1" customWidth="1"/>
    <col min="15622" max="15622" width="20.42578125" bestFit="1" customWidth="1"/>
    <col min="15623" max="15623" width="13.42578125" customWidth="1"/>
    <col min="15624" max="15624" width="15.42578125" bestFit="1" customWidth="1"/>
    <col min="15625" max="15625" width="14.42578125" bestFit="1" customWidth="1"/>
    <col min="15626" max="15626" width="15.28515625" customWidth="1"/>
    <col min="15627" max="15627" width="15.85546875" customWidth="1"/>
    <col min="15628" max="15628" width="17.140625" bestFit="1" customWidth="1"/>
    <col min="15629" max="15629" width="12.7109375" customWidth="1"/>
    <col min="15630" max="15630" width="13.7109375" customWidth="1"/>
    <col min="15631" max="15631" width="14" bestFit="1" customWidth="1"/>
    <col min="15632" max="15632" width="16.28515625" bestFit="1" customWidth="1"/>
    <col min="15633" max="15633" width="16.140625" customWidth="1"/>
    <col min="15634" max="15634" width="16.85546875" bestFit="1" customWidth="1"/>
    <col min="15635" max="15635" width="15.7109375" bestFit="1" customWidth="1"/>
    <col min="15636" max="15636" width="16.285156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28515625" bestFit="1" customWidth="1"/>
    <col min="15875" max="15875" width="45.7109375" bestFit="1" customWidth="1"/>
    <col min="15876" max="15876" width="19.85546875" bestFit="1" customWidth="1"/>
    <col min="15877" max="15877" width="15.42578125" bestFit="1" customWidth="1"/>
    <col min="15878" max="15878" width="20.42578125" bestFit="1" customWidth="1"/>
    <col min="15879" max="15879" width="13.42578125" customWidth="1"/>
    <col min="15880" max="15880" width="15.42578125" bestFit="1" customWidth="1"/>
    <col min="15881" max="15881" width="14.42578125" bestFit="1" customWidth="1"/>
    <col min="15882" max="15882" width="15.28515625" customWidth="1"/>
    <col min="15883" max="15883" width="15.85546875" customWidth="1"/>
    <col min="15884" max="15884" width="17.140625" bestFit="1" customWidth="1"/>
    <col min="15885" max="15885" width="12.7109375" customWidth="1"/>
    <col min="15886" max="15886" width="13.7109375" customWidth="1"/>
    <col min="15887" max="15887" width="14" bestFit="1" customWidth="1"/>
    <col min="15888" max="15888" width="16.28515625" bestFit="1" customWidth="1"/>
    <col min="15889" max="15889" width="16.140625" customWidth="1"/>
    <col min="15890" max="15890" width="16.85546875" bestFit="1" customWidth="1"/>
    <col min="15891" max="15891" width="15.7109375" bestFit="1" customWidth="1"/>
    <col min="15892" max="15892" width="16.285156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28515625" bestFit="1" customWidth="1"/>
    <col min="16131" max="16131" width="45.7109375" bestFit="1" customWidth="1"/>
    <col min="16132" max="16132" width="19.85546875" bestFit="1" customWidth="1"/>
    <col min="16133" max="16133" width="15.42578125" bestFit="1" customWidth="1"/>
    <col min="16134" max="16134" width="20.42578125" bestFit="1" customWidth="1"/>
    <col min="16135" max="16135" width="13.42578125" customWidth="1"/>
    <col min="16136" max="16136" width="15.42578125" bestFit="1" customWidth="1"/>
    <col min="16137" max="16137" width="14.42578125" bestFit="1" customWidth="1"/>
    <col min="16138" max="16138" width="15.28515625" customWidth="1"/>
    <col min="16139" max="16139" width="15.85546875" customWidth="1"/>
    <col min="16140" max="16140" width="17.140625" bestFit="1" customWidth="1"/>
    <col min="16141" max="16141" width="12.7109375" customWidth="1"/>
    <col min="16142" max="16142" width="13.7109375" customWidth="1"/>
    <col min="16143" max="16143" width="14" bestFit="1" customWidth="1"/>
    <col min="16144" max="16144" width="16.28515625" bestFit="1" customWidth="1"/>
    <col min="16145" max="16145" width="16.140625" customWidth="1"/>
    <col min="16146" max="16146" width="16.85546875" bestFit="1" customWidth="1"/>
    <col min="16147" max="16147" width="15.7109375" bestFit="1" customWidth="1"/>
    <col min="16148" max="16148" width="16.285156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 customHeight="1" thickBot="1">
      <c r="B1" s="3461"/>
      <c r="F1" s="198"/>
      <c r="G1" s="198">
        <f>C3</f>
        <v>18230612</v>
      </c>
      <c r="H1" s="198" t="str">
        <f>C4</f>
        <v>Fuel Conversion Rebate</v>
      </c>
      <c r="I1" s="198"/>
    </row>
    <row r="2" spans="2:22" ht="16.5" thickBot="1">
      <c r="B2" s="198" t="s">
        <v>109</v>
      </c>
      <c r="C2" s="199" t="s">
        <v>474</v>
      </c>
      <c r="G2" s="200" t="s">
        <v>8</v>
      </c>
      <c r="Q2" s="5133"/>
      <c r="R2" s="5133"/>
      <c r="S2" s="5124" t="s">
        <v>110</v>
      </c>
      <c r="T2" s="5125"/>
      <c r="U2" s="5126"/>
      <c r="V2" s="5118" t="s">
        <v>111</v>
      </c>
    </row>
    <row r="3" spans="2:22" ht="16.5" thickBot="1">
      <c r="B3" s="199" t="s">
        <v>6</v>
      </c>
      <c r="C3" s="199">
        <v>18230612</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475</v>
      </c>
      <c r="F4" s="198">
        <v>2011</v>
      </c>
      <c r="G4" s="206">
        <f>B13</f>
        <v>64570.559999999998</v>
      </c>
      <c r="H4" s="207">
        <f>B18</f>
        <v>11530.08</v>
      </c>
      <c r="I4" s="207">
        <f>B23</f>
        <v>47943.4</v>
      </c>
      <c r="J4" s="207">
        <f>B28</f>
        <v>36023.5</v>
      </c>
      <c r="K4" s="207">
        <f>B33</f>
        <v>1127.68</v>
      </c>
      <c r="L4" s="207">
        <f>B38</f>
        <v>521.39</v>
      </c>
      <c r="M4" s="207">
        <f>B43</f>
        <v>635.66999999999996</v>
      </c>
      <c r="N4" s="207">
        <f>B48</f>
        <v>1587.15</v>
      </c>
      <c r="O4" s="207">
        <f>B53</f>
        <v>839678.7</v>
      </c>
      <c r="P4" s="207">
        <f>B54</f>
        <v>0</v>
      </c>
      <c r="Q4" s="209">
        <f>B55</f>
        <v>1003618.13</v>
      </c>
      <c r="R4" s="210">
        <f>T55</f>
        <v>0</v>
      </c>
      <c r="S4" s="316">
        <f>O4/Q4</f>
        <v>0.83665158579787713</v>
      </c>
      <c r="T4" s="316">
        <f>(J4+(H4*1.63))/Q4</f>
        <v>5.4619908470565394E-2</v>
      </c>
      <c r="U4" s="316">
        <f>L4/Q4</f>
        <v>5.195103440389224E-4</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317" t="e">
        <f>O5/Q5</f>
        <v>#DIV/0!</v>
      </c>
      <c r="T5" s="317" t="e">
        <f>(J5+(H5*1.63))/Q5</f>
        <v>#DIV/0!</v>
      </c>
      <c r="U5" s="317" t="e">
        <f>L5/Q5</f>
        <v>#DIV/0!</v>
      </c>
      <c r="V5" s="218" t="e">
        <f>Q5/R5</f>
        <v>#DIV/0!</v>
      </c>
    </row>
    <row r="6" spans="2:22" s="3532" customFormat="1" ht="16.5" thickBot="1">
      <c r="B6" s="3536"/>
      <c r="D6" s="3533"/>
      <c r="F6" s="4249" t="s">
        <v>1168</v>
      </c>
      <c r="G6" s="4241">
        <v>83014.679999999993</v>
      </c>
      <c r="H6" s="4242">
        <v>30750</v>
      </c>
      <c r="I6" s="4242">
        <v>71671.748399999997</v>
      </c>
      <c r="J6" s="4242">
        <v>56000</v>
      </c>
      <c r="K6" s="4242">
        <v>1200</v>
      </c>
      <c r="L6" s="4242">
        <v>1000</v>
      </c>
      <c r="M6" s="4242">
        <v>1000</v>
      </c>
      <c r="N6" s="4242">
        <v>2000</v>
      </c>
      <c r="O6" s="4242">
        <v>591000</v>
      </c>
      <c r="P6" s="4242">
        <v>0</v>
      </c>
      <c r="Q6" s="4243">
        <v>837636.42839999998</v>
      </c>
      <c r="R6" s="219">
        <v>2649750</v>
      </c>
      <c r="S6" s="3637">
        <v>0.70555670689835059</v>
      </c>
      <c r="T6" s="3637">
        <v>0.1266927946325215</v>
      </c>
      <c r="U6" s="3637">
        <v>1.193835375462522E-3</v>
      </c>
      <c r="V6" s="3498">
        <v>0.31611904081517123</v>
      </c>
    </row>
    <row r="7" spans="2:22" ht="16.5" thickBot="1">
      <c r="C7" s="198" t="s">
        <v>476</v>
      </c>
      <c r="F7" s="4191" t="s">
        <v>1169</v>
      </c>
      <c r="G7" s="4192">
        <f>E13</f>
        <v>142000</v>
      </c>
      <c r="H7" s="4193">
        <f>E18</f>
        <v>61500</v>
      </c>
      <c r="I7" s="4193">
        <f>E23</f>
        <v>143874.5</v>
      </c>
      <c r="J7" s="4193">
        <f>E28</f>
        <v>140000</v>
      </c>
      <c r="K7" s="4193">
        <f>E33</f>
        <v>1200</v>
      </c>
      <c r="L7" s="4193">
        <f>E38</f>
        <v>1000</v>
      </c>
      <c r="M7" s="4193">
        <f>E43</f>
        <v>1000</v>
      </c>
      <c r="N7" s="4193">
        <f>E48</f>
        <v>2000</v>
      </c>
      <c r="O7" s="4193">
        <f>E53</f>
        <v>591000</v>
      </c>
      <c r="P7" s="4193">
        <f>E54</f>
        <v>0</v>
      </c>
      <c r="Q7" s="4244">
        <f>SUM(G7:P7)</f>
        <v>1083574.5</v>
      </c>
      <c r="R7" s="4245">
        <f>Q55</f>
        <v>2649750</v>
      </c>
      <c r="S7" s="317">
        <f>O7/Q7</f>
        <v>0.54541704331358853</v>
      </c>
      <c r="T7" s="317">
        <f>(J7+(H7*1.63))/Q7</f>
        <v>0.22171525815714563</v>
      </c>
      <c r="U7" s="317">
        <f>L7/Q7</f>
        <v>9.22871477687967E-4</v>
      </c>
      <c r="V7" s="218">
        <f>Q7/R7</f>
        <v>0.40893461647325219</v>
      </c>
    </row>
    <row r="8" spans="2:22" ht="16.5" thickBot="1">
      <c r="C8" s="220" t="s">
        <v>230</v>
      </c>
      <c r="F8" s="221" t="s">
        <v>1170</v>
      </c>
      <c r="G8" s="222">
        <f>SUM(G5+G7)</f>
        <v>142000</v>
      </c>
      <c r="H8" s="222">
        <f t="shared" ref="H8:R8" si="0">SUM(H5+H7)</f>
        <v>61500</v>
      </c>
      <c r="I8" s="222">
        <f t="shared" si="0"/>
        <v>143874.5</v>
      </c>
      <c r="J8" s="222">
        <f t="shared" si="0"/>
        <v>140000</v>
      </c>
      <c r="K8" s="222">
        <f t="shared" si="0"/>
        <v>1200</v>
      </c>
      <c r="L8" s="222">
        <f t="shared" si="0"/>
        <v>1000</v>
      </c>
      <c r="M8" s="222">
        <f t="shared" si="0"/>
        <v>1000</v>
      </c>
      <c r="N8" s="222">
        <f t="shared" si="0"/>
        <v>2000</v>
      </c>
      <c r="O8" s="222">
        <f t="shared" si="0"/>
        <v>591000</v>
      </c>
      <c r="P8" s="222">
        <f t="shared" si="0"/>
        <v>0</v>
      </c>
      <c r="Q8" s="4248">
        <f t="shared" si="0"/>
        <v>1083574.5</v>
      </c>
      <c r="R8" s="223">
        <f t="shared" si="0"/>
        <v>2649750</v>
      </c>
      <c r="S8" s="317">
        <f>O8/Q8</f>
        <v>0.54541704331358853</v>
      </c>
      <c r="T8" s="317">
        <f>(J8+(H8*1.63))/Q8</f>
        <v>0.22171525815714563</v>
      </c>
      <c r="U8" s="317">
        <f>L8/Q8</f>
        <v>9.22871477687967E-4</v>
      </c>
      <c r="V8" s="218">
        <f>Q8/R8</f>
        <v>0.40893461647325219</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35">
        <v>64570.559999999998</v>
      </c>
      <c r="C13" s="236" t="s">
        <v>138</v>
      </c>
      <c r="D13" s="237">
        <f>SUM(D14:D17)</f>
        <v>0</v>
      </c>
      <c r="E13" s="4468">
        <f>SUM(E14:E17)</f>
        <v>142000</v>
      </c>
      <c r="F13" s="238">
        <f>D13+E13</f>
        <v>142000</v>
      </c>
      <c r="H13" s="132"/>
      <c r="I13" s="239" t="str">
        <f t="shared" ref="I13:I54" si="1">C63</f>
        <v>E2G Fuel Conv - Space &amp; WH - BB - 19-20K</v>
      </c>
      <c r="J13" s="240"/>
      <c r="K13" s="241"/>
      <c r="L13" s="242">
        <f>D63</f>
        <v>12000</v>
      </c>
      <c r="M13" s="2339">
        <v>0</v>
      </c>
      <c r="N13" s="2341">
        <v>10</v>
      </c>
      <c r="O13" s="244">
        <f>M13+N13</f>
        <v>10</v>
      </c>
      <c r="P13" s="245">
        <f t="shared" ref="P13:R28" si="2">M13*$D63</f>
        <v>0</v>
      </c>
      <c r="Q13" s="245">
        <f t="shared" si="2"/>
        <v>120000</v>
      </c>
      <c r="R13" s="246">
        <f t="shared" si="2"/>
        <v>120000</v>
      </c>
      <c r="T13" s="4891"/>
    </row>
    <row r="14" spans="2:22">
      <c r="B14" s="247"/>
      <c r="C14" s="248" t="s">
        <v>139</v>
      </c>
      <c r="D14" s="249">
        <v>0</v>
      </c>
      <c r="E14" s="4447">
        <v>142000</v>
      </c>
      <c r="F14" s="249">
        <f>SUM(D14:E14)</f>
        <v>142000</v>
      </c>
      <c r="H14" s="132"/>
      <c r="I14" s="250" t="str">
        <f t="shared" si="1"/>
        <v>E2G Fuel Conv - Space &amp; WH - BB - 20-22.5K</v>
      </c>
      <c r="J14" s="251"/>
      <c r="K14" s="252"/>
      <c r="L14" s="242">
        <f t="shared" ref="L14:L54" si="3">D64</f>
        <v>13750</v>
      </c>
      <c r="M14" s="2339">
        <v>0</v>
      </c>
      <c r="N14" s="2341">
        <v>10</v>
      </c>
      <c r="O14" s="244">
        <f t="shared" ref="O14:O54" si="4">M14+N14</f>
        <v>10</v>
      </c>
      <c r="P14" s="245">
        <f t="shared" si="2"/>
        <v>0</v>
      </c>
      <c r="Q14" s="245">
        <f t="shared" si="2"/>
        <v>137500</v>
      </c>
      <c r="R14" s="246">
        <f t="shared" si="2"/>
        <v>137500</v>
      </c>
      <c r="T14" s="4891"/>
    </row>
    <row r="15" spans="2:22">
      <c r="B15" s="254"/>
      <c r="C15" s="255" t="s">
        <v>140</v>
      </c>
      <c r="D15" s="256">
        <v>0</v>
      </c>
      <c r="E15" s="256"/>
      <c r="F15" s="249">
        <f t="shared" ref="F15:F25" si="5">SUM(D15:E15)</f>
        <v>0</v>
      </c>
      <c r="H15" s="132"/>
      <c r="I15" s="250" t="str">
        <f t="shared" si="1"/>
        <v>E2G Fuel Conv - Space &amp; WH - BB - 22.5-25K</v>
      </c>
      <c r="J15" s="251"/>
      <c r="K15" s="252"/>
      <c r="L15" s="242">
        <f t="shared" si="3"/>
        <v>16250</v>
      </c>
      <c r="M15" s="2339">
        <v>0</v>
      </c>
      <c r="N15" s="2341">
        <v>10</v>
      </c>
      <c r="O15" s="244">
        <f t="shared" si="4"/>
        <v>10</v>
      </c>
      <c r="P15" s="245">
        <f t="shared" si="2"/>
        <v>0</v>
      </c>
      <c r="Q15" s="245">
        <f t="shared" si="2"/>
        <v>162500</v>
      </c>
      <c r="R15" s="246">
        <f t="shared" si="2"/>
        <v>162500</v>
      </c>
      <c r="T15" s="4891"/>
    </row>
    <row r="16" spans="2:22">
      <c r="B16" s="254"/>
      <c r="C16" s="255" t="s">
        <v>141</v>
      </c>
      <c r="D16" s="258">
        <v>0</v>
      </c>
      <c r="E16" s="258"/>
      <c r="F16" s="249">
        <f t="shared" si="5"/>
        <v>0</v>
      </c>
      <c r="H16" s="132"/>
      <c r="I16" s="250" t="str">
        <f t="shared" si="1"/>
        <v>E2G Fuel Conv - Space &amp; WH - BB - 25K+</v>
      </c>
      <c r="J16" s="251"/>
      <c r="K16" s="252"/>
      <c r="L16" s="242">
        <f t="shared" si="3"/>
        <v>17500</v>
      </c>
      <c r="M16" s="2339">
        <v>0</v>
      </c>
      <c r="N16" s="2341">
        <v>10</v>
      </c>
      <c r="O16" s="244">
        <f t="shared" si="4"/>
        <v>10</v>
      </c>
      <c r="P16" s="245">
        <f t="shared" si="2"/>
        <v>0</v>
      </c>
      <c r="Q16" s="245">
        <f t="shared" si="2"/>
        <v>175000</v>
      </c>
      <c r="R16" s="246">
        <f t="shared" si="2"/>
        <v>175000</v>
      </c>
      <c r="T16" s="4891"/>
    </row>
    <row r="17" spans="2:20" ht="13.5" thickBot="1">
      <c r="B17" s="254"/>
      <c r="C17" s="255" t="s">
        <v>142</v>
      </c>
      <c r="D17" s="258">
        <v>0</v>
      </c>
      <c r="E17" s="258"/>
      <c r="F17" s="249">
        <f t="shared" si="5"/>
        <v>0</v>
      </c>
      <c r="H17" s="132"/>
      <c r="I17" s="250" t="str">
        <f t="shared" si="1"/>
        <v>E2G Fuel Conv - Space &amp; WH - FA - 19-20K</v>
      </c>
      <c r="J17" s="251"/>
      <c r="K17" s="252"/>
      <c r="L17" s="242">
        <f t="shared" si="3"/>
        <v>12000</v>
      </c>
      <c r="M17" s="2339">
        <v>0</v>
      </c>
      <c r="N17" s="2341">
        <v>10</v>
      </c>
      <c r="O17" s="244">
        <f t="shared" si="4"/>
        <v>10</v>
      </c>
      <c r="P17" s="245">
        <f t="shared" si="2"/>
        <v>0</v>
      </c>
      <c r="Q17" s="245">
        <f t="shared" si="2"/>
        <v>120000</v>
      </c>
      <c r="R17" s="246">
        <f t="shared" si="2"/>
        <v>120000</v>
      </c>
      <c r="T17" s="4891"/>
    </row>
    <row r="18" spans="2:20" ht="13.5" thickBot="1">
      <c r="B18" s="235">
        <v>11530.08</v>
      </c>
      <c r="C18" s="236" t="s">
        <v>143</v>
      </c>
      <c r="D18" s="237">
        <f>SUM(D19:D22)</f>
        <v>0</v>
      </c>
      <c r="E18" s="4468">
        <f>SUM(E19:E22)</f>
        <v>61500</v>
      </c>
      <c r="F18" s="238">
        <f>D18+E18</f>
        <v>61500</v>
      </c>
      <c r="H18" s="132"/>
      <c r="I18" s="250" t="str">
        <f t="shared" si="1"/>
        <v>E2G Fuel Conv - Space &amp; WH - FA - 20-22.5K</v>
      </c>
      <c r="J18" s="251"/>
      <c r="K18" s="252"/>
      <c r="L18" s="242">
        <f t="shared" si="3"/>
        <v>13750</v>
      </c>
      <c r="M18" s="2339">
        <v>0</v>
      </c>
      <c r="N18" s="2341">
        <v>10</v>
      </c>
      <c r="O18" s="244">
        <f t="shared" si="4"/>
        <v>10</v>
      </c>
      <c r="P18" s="245">
        <f t="shared" si="2"/>
        <v>0</v>
      </c>
      <c r="Q18" s="245">
        <f t="shared" si="2"/>
        <v>137500</v>
      </c>
      <c r="R18" s="246">
        <f t="shared" si="2"/>
        <v>137500</v>
      </c>
      <c r="T18" s="4891"/>
    </row>
    <row r="19" spans="2:20">
      <c r="B19" s="247"/>
      <c r="C19" s="248" t="s">
        <v>139</v>
      </c>
      <c r="D19" s="249">
        <v>0</v>
      </c>
      <c r="E19" s="4447">
        <v>61500</v>
      </c>
      <c r="F19" s="249">
        <f t="shared" si="5"/>
        <v>61500</v>
      </c>
      <c r="H19" s="132"/>
      <c r="I19" s="250" t="str">
        <f t="shared" si="1"/>
        <v>E2G Fuel Conv - Space &amp; WH - FA - 22.5-25K</v>
      </c>
      <c r="J19" s="251"/>
      <c r="K19" s="252"/>
      <c r="L19" s="242">
        <f t="shared" si="3"/>
        <v>16250</v>
      </c>
      <c r="M19" s="2339">
        <v>0</v>
      </c>
      <c r="N19" s="2341">
        <v>10</v>
      </c>
      <c r="O19" s="244">
        <f t="shared" si="4"/>
        <v>10</v>
      </c>
      <c r="P19" s="245">
        <f t="shared" si="2"/>
        <v>0</v>
      </c>
      <c r="Q19" s="245">
        <f t="shared" si="2"/>
        <v>162500</v>
      </c>
      <c r="R19" s="246">
        <f t="shared" si="2"/>
        <v>162500</v>
      </c>
      <c r="T19" s="4891"/>
    </row>
    <row r="20" spans="2:20">
      <c r="B20" s="254"/>
      <c r="C20" s="255" t="s">
        <v>140</v>
      </c>
      <c r="D20" s="256">
        <v>0</v>
      </c>
      <c r="E20" s="256"/>
      <c r="F20" s="249">
        <f t="shared" si="5"/>
        <v>0</v>
      </c>
      <c r="H20" s="132"/>
      <c r="I20" s="250" t="str">
        <f t="shared" si="1"/>
        <v>E2G Fuel Conv - Space &amp; WH - FA - 25K+</v>
      </c>
      <c r="J20" s="251"/>
      <c r="K20" s="252"/>
      <c r="L20" s="242">
        <f t="shared" si="3"/>
        <v>17500</v>
      </c>
      <c r="M20" s="2339">
        <v>0</v>
      </c>
      <c r="N20" s="2341">
        <v>10</v>
      </c>
      <c r="O20" s="244">
        <f t="shared" si="4"/>
        <v>10</v>
      </c>
      <c r="P20" s="245">
        <f t="shared" si="2"/>
        <v>0</v>
      </c>
      <c r="Q20" s="245">
        <f t="shared" si="2"/>
        <v>175000</v>
      </c>
      <c r="R20" s="246">
        <f t="shared" si="2"/>
        <v>175000</v>
      </c>
      <c r="T20" s="4891"/>
    </row>
    <row r="21" spans="2:20">
      <c r="B21" s="254"/>
      <c r="C21" s="255" t="s">
        <v>141</v>
      </c>
      <c r="D21" s="258">
        <v>0</v>
      </c>
      <c r="E21" s="258"/>
      <c r="F21" s="249">
        <f t="shared" si="5"/>
        <v>0</v>
      </c>
      <c r="H21" s="132"/>
      <c r="I21" s="250" t="str">
        <f t="shared" si="1"/>
        <v>E2G Fuel Conv - Space Heat Only - BB - 20-22.5K</v>
      </c>
      <c r="J21" s="251"/>
      <c r="K21" s="252"/>
      <c r="L21" s="242">
        <f t="shared" si="3"/>
        <v>10250</v>
      </c>
      <c r="M21" s="2339">
        <v>0</v>
      </c>
      <c r="N21" s="2341">
        <v>1</v>
      </c>
      <c r="O21" s="244">
        <f t="shared" si="4"/>
        <v>1</v>
      </c>
      <c r="P21" s="245">
        <f t="shared" si="2"/>
        <v>0</v>
      </c>
      <c r="Q21" s="245">
        <f t="shared" si="2"/>
        <v>10250</v>
      </c>
      <c r="R21" s="246">
        <f t="shared" si="2"/>
        <v>10250</v>
      </c>
      <c r="T21" s="4891"/>
    </row>
    <row r="22" spans="2:20" ht="13.5" thickBot="1">
      <c r="B22" s="254"/>
      <c r="C22" s="255" t="s">
        <v>142</v>
      </c>
      <c r="D22" s="258">
        <v>0</v>
      </c>
      <c r="E22" s="258"/>
      <c r="F22" s="249">
        <f t="shared" si="5"/>
        <v>0</v>
      </c>
      <c r="H22" s="132"/>
      <c r="I22" s="250" t="str">
        <f t="shared" si="1"/>
        <v>E2G Fuel Conv - Space Heat Only - BB - 25K+</v>
      </c>
      <c r="J22" s="251"/>
      <c r="K22" s="252"/>
      <c r="L22" s="242">
        <f t="shared" si="3"/>
        <v>14000</v>
      </c>
      <c r="M22" s="2339">
        <v>0</v>
      </c>
      <c r="N22" s="2341">
        <v>6</v>
      </c>
      <c r="O22" s="244">
        <f t="shared" si="4"/>
        <v>6</v>
      </c>
      <c r="P22" s="245">
        <f t="shared" si="2"/>
        <v>0</v>
      </c>
      <c r="Q22" s="245">
        <f t="shared" si="2"/>
        <v>84000</v>
      </c>
      <c r="R22" s="246">
        <f t="shared" si="2"/>
        <v>84000</v>
      </c>
      <c r="T22" s="4891"/>
    </row>
    <row r="23" spans="2:20" ht="13.5" thickBot="1">
      <c r="B23" s="235">
        <v>47943.4</v>
      </c>
      <c r="C23" s="236" t="s">
        <v>144</v>
      </c>
      <c r="D23" s="237">
        <f>SUM(D24:D27)</f>
        <v>0</v>
      </c>
      <c r="E23" s="237">
        <f>SUM(E24:E27)</f>
        <v>143874.5</v>
      </c>
      <c r="F23" s="238">
        <f>D23+E23</f>
        <v>143874.5</v>
      </c>
      <c r="G23" s="53"/>
      <c r="H23" s="132"/>
      <c r="I23" s="250" t="str">
        <f t="shared" si="1"/>
        <v>E2G Fuel Conv - Space Heat Only - FA - 20-22.5K</v>
      </c>
      <c r="J23" s="251"/>
      <c r="K23" s="252"/>
      <c r="L23" s="242">
        <f t="shared" si="3"/>
        <v>10250</v>
      </c>
      <c r="M23" s="2339">
        <v>0</v>
      </c>
      <c r="N23" s="2341">
        <v>5</v>
      </c>
      <c r="O23" s="244">
        <f t="shared" si="4"/>
        <v>5</v>
      </c>
      <c r="P23" s="245">
        <f t="shared" si="2"/>
        <v>0</v>
      </c>
      <c r="Q23" s="245">
        <f t="shared" si="2"/>
        <v>51250</v>
      </c>
      <c r="R23" s="246">
        <f t="shared" si="2"/>
        <v>51250</v>
      </c>
      <c r="T23" s="4891"/>
    </row>
    <row r="24" spans="2:20">
      <c r="B24" s="259"/>
      <c r="C24" s="3566" t="s">
        <v>1434</v>
      </c>
      <c r="D24" s="249">
        <f>0.63*D13</f>
        <v>0</v>
      </c>
      <c r="E24" s="249">
        <f>0.707*E13</f>
        <v>100394</v>
      </c>
      <c r="F24" s="249">
        <f t="shared" si="5"/>
        <v>100394</v>
      </c>
      <c r="H24" s="132"/>
      <c r="I24" s="250" t="str">
        <f t="shared" si="1"/>
        <v>E2G Fuel Conv - Space Heat Only - FA - 22.5-25K</v>
      </c>
      <c r="J24" s="251"/>
      <c r="K24" s="252"/>
      <c r="L24" s="242">
        <f t="shared" si="3"/>
        <v>12750</v>
      </c>
      <c r="M24" s="2339">
        <v>0</v>
      </c>
      <c r="N24" s="2341">
        <v>1</v>
      </c>
      <c r="O24" s="244">
        <f t="shared" si="4"/>
        <v>1</v>
      </c>
      <c r="P24" s="245">
        <f t="shared" si="2"/>
        <v>0</v>
      </c>
      <c r="Q24" s="245">
        <f t="shared" si="2"/>
        <v>12750</v>
      </c>
      <c r="R24" s="246">
        <f t="shared" si="2"/>
        <v>12750</v>
      </c>
      <c r="T24" s="4891"/>
    </row>
    <row r="25" spans="2:20">
      <c r="B25" s="247"/>
      <c r="C25" s="3566" t="s">
        <v>1435</v>
      </c>
      <c r="D25" s="256">
        <v>0</v>
      </c>
      <c r="E25" s="256">
        <f>0.707*E18</f>
        <v>43480.5</v>
      </c>
      <c r="F25" s="249">
        <f t="shared" si="5"/>
        <v>43480.5</v>
      </c>
      <c r="H25" s="132"/>
      <c r="I25" s="250" t="str">
        <f t="shared" si="1"/>
        <v>E2G Fuel Conv - WH Only - Storage</v>
      </c>
      <c r="J25" s="251"/>
      <c r="K25" s="252"/>
      <c r="L25" s="242">
        <f t="shared" si="3"/>
        <v>3500</v>
      </c>
      <c r="M25" s="2339">
        <v>0</v>
      </c>
      <c r="N25" s="2340">
        <v>100</v>
      </c>
      <c r="O25" s="244">
        <f t="shared" si="4"/>
        <v>100</v>
      </c>
      <c r="P25" s="245">
        <f t="shared" si="2"/>
        <v>0</v>
      </c>
      <c r="Q25" s="245">
        <f t="shared" si="2"/>
        <v>350000</v>
      </c>
      <c r="R25" s="246">
        <f t="shared" si="2"/>
        <v>350000</v>
      </c>
      <c r="T25" s="4891"/>
    </row>
    <row r="26" spans="2:20">
      <c r="B26" s="254"/>
      <c r="C26" s="255"/>
      <c r="D26" s="258"/>
      <c r="E26" s="258"/>
      <c r="F26" s="258"/>
      <c r="H26" s="132"/>
      <c r="I26" s="250" t="str">
        <f t="shared" si="1"/>
        <v>E2G Fuel Conv - WH Only - Tankless</v>
      </c>
      <c r="J26" s="251"/>
      <c r="K26" s="252"/>
      <c r="L26" s="242">
        <f t="shared" si="3"/>
        <v>3500</v>
      </c>
      <c r="M26" s="2339">
        <v>0</v>
      </c>
      <c r="N26" s="2340">
        <v>200</v>
      </c>
      <c r="O26" s="244">
        <f t="shared" si="4"/>
        <v>200</v>
      </c>
      <c r="P26" s="245">
        <f t="shared" si="2"/>
        <v>0</v>
      </c>
      <c r="Q26" s="245">
        <f t="shared" si="2"/>
        <v>700000</v>
      </c>
      <c r="R26" s="246">
        <f t="shared" si="2"/>
        <v>700000</v>
      </c>
      <c r="T26" s="4891"/>
    </row>
    <row r="27" spans="2:20" ht="13.5" thickBot="1">
      <c r="B27" s="254"/>
      <c r="C27" s="255"/>
      <c r="D27" s="258"/>
      <c r="E27" s="258"/>
      <c r="F27" s="258"/>
      <c r="H27" s="132"/>
      <c r="I27" s="250" t="str">
        <f t="shared" si="1"/>
        <v>E2G Fuel Conv - Space Heat Only - BB - 19-20K</v>
      </c>
      <c r="J27" s="251"/>
      <c r="K27" s="252"/>
      <c r="L27" s="242">
        <f t="shared" si="3"/>
        <v>8500</v>
      </c>
      <c r="M27" s="2339">
        <v>0</v>
      </c>
      <c r="N27" s="2339">
        <v>1</v>
      </c>
      <c r="O27" s="244">
        <f t="shared" si="4"/>
        <v>1</v>
      </c>
      <c r="P27" s="245">
        <f t="shared" si="2"/>
        <v>0</v>
      </c>
      <c r="Q27" s="245">
        <f t="shared" si="2"/>
        <v>8500</v>
      </c>
      <c r="R27" s="246">
        <f t="shared" si="2"/>
        <v>8500</v>
      </c>
      <c r="T27" s="4891"/>
    </row>
    <row r="28" spans="2:20" ht="13.5" thickBot="1">
      <c r="B28" s="235">
        <v>36023.5</v>
      </c>
      <c r="C28" s="236" t="s">
        <v>145</v>
      </c>
      <c r="D28" s="237">
        <f>SUM(D29:D32)</f>
        <v>0</v>
      </c>
      <c r="E28" s="4468">
        <f>SUM(E29:E32)</f>
        <v>140000</v>
      </c>
      <c r="F28" s="238">
        <f>D28+E28</f>
        <v>140000</v>
      </c>
      <c r="H28" s="132"/>
      <c r="I28" s="250" t="str">
        <f t="shared" si="1"/>
        <v>E2G Fuel Conv - Space Heat Only - BB - 22.5-25K</v>
      </c>
      <c r="J28" s="251"/>
      <c r="K28" s="252"/>
      <c r="L28" s="242">
        <f t="shared" si="3"/>
        <v>12750</v>
      </c>
      <c r="M28" s="2339">
        <v>0</v>
      </c>
      <c r="N28" s="2340">
        <v>1</v>
      </c>
      <c r="O28" s="244">
        <f t="shared" si="4"/>
        <v>1</v>
      </c>
      <c r="P28" s="245">
        <f t="shared" si="2"/>
        <v>0</v>
      </c>
      <c r="Q28" s="245">
        <f t="shared" si="2"/>
        <v>12750</v>
      </c>
      <c r="R28" s="246">
        <f t="shared" si="2"/>
        <v>12750</v>
      </c>
      <c r="T28" s="4891"/>
    </row>
    <row r="29" spans="2:20">
      <c r="B29" s="247"/>
      <c r="C29" s="248" t="s">
        <v>139</v>
      </c>
      <c r="D29" s="249">
        <v>0</v>
      </c>
      <c r="E29" s="4447">
        <v>120000</v>
      </c>
      <c r="F29" s="249">
        <f t="shared" ref="F29:F37" si="6">SUM(D29:E29)</f>
        <v>120000</v>
      </c>
      <c r="H29" s="132"/>
      <c r="I29" s="250" t="str">
        <f t="shared" si="1"/>
        <v>E2G Fuel Conv - Space Heat Only - FA - 19-20K</v>
      </c>
      <c r="J29" s="251"/>
      <c r="K29" s="252"/>
      <c r="L29" s="242">
        <f t="shared" si="3"/>
        <v>8500</v>
      </c>
      <c r="M29" s="2339">
        <v>0</v>
      </c>
      <c r="N29" s="2340">
        <v>3</v>
      </c>
      <c r="O29" s="244">
        <f t="shared" si="4"/>
        <v>3</v>
      </c>
      <c r="P29" s="245">
        <f t="shared" ref="P29:R44" si="7">M29*$D79</f>
        <v>0</v>
      </c>
      <c r="Q29" s="245">
        <f t="shared" si="7"/>
        <v>25500</v>
      </c>
      <c r="R29" s="246">
        <f t="shared" si="7"/>
        <v>25500</v>
      </c>
      <c r="T29" s="4891"/>
    </row>
    <row r="30" spans="2:20">
      <c r="B30" s="254"/>
      <c r="C30" s="3572" t="s">
        <v>1263</v>
      </c>
      <c r="D30" s="256">
        <v>0</v>
      </c>
      <c r="E30" s="4449">
        <v>20000</v>
      </c>
      <c r="F30" s="249">
        <f t="shared" si="6"/>
        <v>20000</v>
      </c>
      <c r="H30" s="132"/>
      <c r="I30" s="250" t="str">
        <f t="shared" si="1"/>
        <v>E2G Fuel Conv - Space Heat Only - FA - 25K+</v>
      </c>
      <c r="J30" s="251"/>
      <c r="K30" s="252"/>
      <c r="L30" s="242">
        <f t="shared" si="3"/>
        <v>14000</v>
      </c>
      <c r="M30" s="2339">
        <v>0</v>
      </c>
      <c r="N30" s="2339">
        <v>4</v>
      </c>
      <c r="O30" s="244">
        <f t="shared" si="4"/>
        <v>4</v>
      </c>
      <c r="P30" s="245">
        <f t="shared" si="7"/>
        <v>0</v>
      </c>
      <c r="Q30" s="245">
        <f t="shared" si="7"/>
        <v>56000</v>
      </c>
      <c r="R30" s="246">
        <f t="shared" si="7"/>
        <v>56000</v>
      </c>
      <c r="T30" s="4891"/>
    </row>
    <row r="31" spans="2:20">
      <c r="B31" s="254"/>
      <c r="C31" s="255" t="s">
        <v>141</v>
      </c>
      <c r="D31" s="256">
        <v>0</v>
      </c>
      <c r="E31" s="256"/>
      <c r="F31" s="249">
        <f t="shared" si="6"/>
        <v>0</v>
      </c>
      <c r="H31" s="132"/>
      <c r="I31" s="250" t="str">
        <f t="shared" si="1"/>
        <v>E2G Fuel Conv - Boilers</v>
      </c>
      <c r="J31" s="251"/>
      <c r="K31" s="252"/>
      <c r="L31" s="242">
        <f t="shared" si="3"/>
        <v>14875</v>
      </c>
      <c r="M31" s="2339">
        <v>0</v>
      </c>
      <c r="N31" s="2339">
        <v>10</v>
      </c>
      <c r="O31" s="244">
        <f t="shared" si="4"/>
        <v>10</v>
      </c>
      <c r="P31" s="245">
        <f t="shared" si="7"/>
        <v>0</v>
      </c>
      <c r="Q31" s="245">
        <f t="shared" si="7"/>
        <v>148750</v>
      </c>
      <c r="R31" s="246">
        <f t="shared" si="7"/>
        <v>148750</v>
      </c>
      <c r="T31" s="4891"/>
    </row>
    <row r="32" spans="2:20" ht="13.5" thickBot="1">
      <c r="B32" s="254"/>
      <c r="C32" s="255" t="s">
        <v>142</v>
      </c>
      <c r="D32" s="256">
        <v>0</v>
      </c>
      <c r="E32" s="256"/>
      <c r="F32" s="249">
        <f t="shared" si="6"/>
        <v>0</v>
      </c>
      <c r="H32" s="132"/>
      <c r="I32" s="250" t="str">
        <f t="shared" si="1"/>
        <v>Measure 20</v>
      </c>
      <c r="J32" s="251"/>
      <c r="K32" s="252"/>
      <c r="L32" s="242">
        <f t="shared" si="3"/>
        <v>0</v>
      </c>
      <c r="M32" s="257">
        <v>0</v>
      </c>
      <c r="N32" s="257">
        <v>0</v>
      </c>
      <c r="O32" s="244">
        <f t="shared" si="4"/>
        <v>0</v>
      </c>
      <c r="P32" s="245">
        <f t="shared" si="7"/>
        <v>0</v>
      </c>
      <c r="Q32" s="245">
        <f t="shared" si="7"/>
        <v>0</v>
      </c>
      <c r="R32" s="246">
        <f t="shared" si="7"/>
        <v>0</v>
      </c>
      <c r="T32" s="4891"/>
    </row>
    <row r="33" spans="2:20" ht="13.5" thickBot="1">
      <c r="B33" s="235">
        <v>1127.68</v>
      </c>
      <c r="C33" s="236" t="s">
        <v>146</v>
      </c>
      <c r="D33" s="237">
        <f>SUM(D34:D37)</f>
        <v>0</v>
      </c>
      <c r="E33" s="237">
        <f>SUM(E34:E37)</f>
        <v>1200</v>
      </c>
      <c r="F33" s="238">
        <f>D33+E33</f>
        <v>1200</v>
      </c>
      <c r="H33" s="132"/>
      <c r="I33" s="250" t="str">
        <f t="shared" si="1"/>
        <v>Measure 21</v>
      </c>
      <c r="J33" s="251"/>
      <c r="K33" s="252"/>
      <c r="L33" s="242">
        <f t="shared" si="3"/>
        <v>0</v>
      </c>
      <c r="M33" s="257">
        <v>0</v>
      </c>
      <c r="N33" s="257">
        <v>0</v>
      </c>
      <c r="O33" s="244">
        <f t="shared" si="4"/>
        <v>0</v>
      </c>
      <c r="P33" s="245">
        <f t="shared" si="7"/>
        <v>0</v>
      </c>
      <c r="Q33" s="245">
        <f t="shared" si="7"/>
        <v>0</v>
      </c>
      <c r="R33" s="246">
        <f t="shared" si="7"/>
        <v>0</v>
      </c>
      <c r="T33" s="4891"/>
    </row>
    <row r="34" spans="2:20">
      <c r="B34" s="254"/>
      <c r="C34" s="255" t="s">
        <v>139</v>
      </c>
      <c r="D34" s="256">
        <v>0</v>
      </c>
      <c r="E34" s="256">
        <v>1200</v>
      </c>
      <c r="F34" s="249">
        <f t="shared" si="6"/>
        <v>1200</v>
      </c>
      <c r="H34" s="132"/>
      <c r="I34" s="250" t="str">
        <f t="shared" si="1"/>
        <v>Measure 22</v>
      </c>
      <c r="J34" s="251"/>
      <c r="K34" s="252"/>
      <c r="L34" s="242">
        <f t="shared" si="3"/>
        <v>0</v>
      </c>
      <c r="M34" s="257">
        <v>0</v>
      </c>
      <c r="N34" s="257">
        <v>0</v>
      </c>
      <c r="O34" s="244">
        <f t="shared" si="4"/>
        <v>0</v>
      </c>
      <c r="P34" s="245">
        <f t="shared" si="7"/>
        <v>0</v>
      </c>
      <c r="Q34" s="245">
        <f t="shared" si="7"/>
        <v>0</v>
      </c>
      <c r="R34" s="246">
        <f t="shared" si="7"/>
        <v>0</v>
      </c>
      <c r="T34" s="4891"/>
    </row>
    <row r="35" spans="2:20">
      <c r="B35" s="254"/>
      <c r="C35" s="255" t="s">
        <v>140</v>
      </c>
      <c r="D35" s="256">
        <v>0</v>
      </c>
      <c r="E35" s="256"/>
      <c r="F35" s="249">
        <f t="shared" si="6"/>
        <v>0</v>
      </c>
      <c r="H35" s="132"/>
      <c r="I35" s="250" t="str">
        <f t="shared" si="1"/>
        <v>Measure 23</v>
      </c>
      <c r="J35" s="251"/>
      <c r="K35" s="252"/>
      <c r="L35" s="242">
        <f t="shared" si="3"/>
        <v>0</v>
      </c>
      <c r="M35" s="257">
        <v>0</v>
      </c>
      <c r="N35" s="257">
        <v>0</v>
      </c>
      <c r="O35" s="244">
        <f t="shared" si="4"/>
        <v>0</v>
      </c>
      <c r="P35" s="245">
        <f t="shared" si="7"/>
        <v>0</v>
      </c>
      <c r="Q35" s="245">
        <f t="shared" si="7"/>
        <v>0</v>
      </c>
      <c r="R35" s="246">
        <f t="shared" si="7"/>
        <v>0</v>
      </c>
      <c r="T35" s="4891"/>
    </row>
    <row r="36" spans="2:20">
      <c r="B36" s="254"/>
      <c r="C36" s="255" t="s">
        <v>141</v>
      </c>
      <c r="D36" s="256">
        <v>0</v>
      </c>
      <c r="E36" s="256"/>
      <c r="F36" s="249">
        <f t="shared" si="6"/>
        <v>0</v>
      </c>
      <c r="H36" s="132"/>
      <c r="I36" s="250" t="str">
        <f t="shared" si="1"/>
        <v>Measure 24</v>
      </c>
      <c r="J36" s="251"/>
      <c r="K36" s="252"/>
      <c r="L36" s="242">
        <f t="shared" si="3"/>
        <v>0</v>
      </c>
      <c r="M36" s="257">
        <v>0</v>
      </c>
      <c r="N36" s="257">
        <v>0</v>
      </c>
      <c r="O36" s="244">
        <f t="shared" si="4"/>
        <v>0</v>
      </c>
      <c r="P36" s="245">
        <f t="shared" si="7"/>
        <v>0</v>
      </c>
      <c r="Q36" s="245">
        <f t="shared" si="7"/>
        <v>0</v>
      </c>
      <c r="R36" s="246">
        <f t="shared" si="7"/>
        <v>0</v>
      </c>
      <c r="T36" s="4891"/>
    </row>
    <row r="37" spans="2:20" ht="13.5" thickBot="1">
      <c r="B37" s="254"/>
      <c r="C37" s="255" t="s">
        <v>142</v>
      </c>
      <c r="D37" s="256">
        <v>0</v>
      </c>
      <c r="E37" s="256"/>
      <c r="F37" s="249">
        <f t="shared" si="6"/>
        <v>0</v>
      </c>
      <c r="H37" s="132"/>
      <c r="I37" s="250" t="str">
        <f t="shared" si="1"/>
        <v>Measure 25</v>
      </c>
      <c r="J37" s="251"/>
      <c r="K37" s="252"/>
      <c r="L37" s="242">
        <f t="shared" si="3"/>
        <v>0</v>
      </c>
      <c r="M37" s="257">
        <v>0</v>
      </c>
      <c r="N37" s="257">
        <v>0</v>
      </c>
      <c r="O37" s="244">
        <f t="shared" si="4"/>
        <v>0</v>
      </c>
      <c r="P37" s="245">
        <f t="shared" si="7"/>
        <v>0</v>
      </c>
      <c r="Q37" s="245">
        <f t="shared" si="7"/>
        <v>0</v>
      </c>
      <c r="R37" s="246">
        <f t="shared" si="7"/>
        <v>0</v>
      </c>
      <c r="T37" s="4891"/>
    </row>
    <row r="38" spans="2:20" ht="13.5" thickBot="1">
      <c r="B38" s="235">
        <v>521.39</v>
      </c>
      <c r="C38" s="236" t="s">
        <v>147</v>
      </c>
      <c r="D38" s="237">
        <f>SUM(D39:D42)</f>
        <v>0</v>
      </c>
      <c r="E38" s="237">
        <f>SUM(E39:E42)</f>
        <v>1000</v>
      </c>
      <c r="F38" s="238">
        <f>D38+E38</f>
        <v>1000</v>
      </c>
      <c r="H38" s="132"/>
      <c r="I38" s="250" t="str">
        <f t="shared" si="1"/>
        <v>Measure 26</v>
      </c>
      <c r="J38" s="251"/>
      <c r="K38" s="260"/>
      <c r="L38" s="242">
        <f t="shared" si="3"/>
        <v>0</v>
      </c>
      <c r="M38" s="257">
        <v>0</v>
      </c>
      <c r="N38" s="257">
        <v>0</v>
      </c>
      <c r="O38" s="244">
        <f t="shared" si="4"/>
        <v>0</v>
      </c>
      <c r="P38" s="245">
        <f t="shared" si="7"/>
        <v>0</v>
      </c>
      <c r="Q38" s="245">
        <f t="shared" si="7"/>
        <v>0</v>
      </c>
      <c r="R38" s="246">
        <f t="shared" si="7"/>
        <v>0</v>
      </c>
      <c r="T38" s="4891"/>
    </row>
    <row r="39" spans="2:20">
      <c r="B39" s="254"/>
      <c r="C39" s="255" t="s">
        <v>139</v>
      </c>
      <c r="D39" s="256">
        <v>0</v>
      </c>
      <c r="E39" s="256">
        <v>1000</v>
      </c>
      <c r="F39" s="249">
        <f t="shared" ref="F39:F52" si="8">SUM(D39:E39)</f>
        <v>1000</v>
      </c>
      <c r="H39" s="132"/>
      <c r="I39" s="250" t="str">
        <f t="shared" si="1"/>
        <v>Measure 27</v>
      </c>
      <c r="J39" s="251"/>
      <c r="K39" s="260"/>
      <c r="L39" s="242">
        <f t="shared" si="3"/>
        <v>0</v>
      </c>
      <c r="M39" s="257">
        <v>0</v>
      </c>
      <c r="N39" s="257">
        <v>0</v>
      </c>
      <c r="O39" s="244">
        <f t="shared" si="4"/>
        <v>0</v>
      </c>
      <c r="P39" s="245">
        <f t="shared" si="7"/>
        <v>0</v>
      </c>
      <c r="Q39" s="245">
        <f t="shared" si="7"/>
        <v>0</v>
      </c>
      <c r="R39" s="246">
        <f t="shared" si="7"/>
        <v>0</v>
      </c>
      <c r="T39" s="4891"/>
    </row>
    <row r="40" spans="2:20">
      <c r="B40" s="254"/>
      <c r="C40" s="255" t="s">
        <v>140</v>
      </c>
      <c r="D40" s="256">
        <v>0</v>
      </c>
      <c r="E40" s="256"/>
      <c r="F40" s="249">
        <f t="shared" si="8"/>
        <v>0</v>
      </c>
      <c r="H40" s="132"/>
      <c r="I40" s="250" t="str">
        <f t="shared" si="1"/>
        <v>Measure 28</v>
      </c>
      <c r="J40" s="251"/>
      <c r="K40" s="260"/>
      <c r="L40" s="242">
        <f t="shared" si="3"/>
        <v>0</v>
      </c>
      <c r="M40" s="257">
        <v>0</v>
      </c>
      <c r="N40" s="257">
        <v>0</v>
      </c>
      <c r="O40" s="244">
        <f t="shared" si="4"/>
        <v>0</v>
      </c>
      <c r="P40" s="245">
        <f t="shared" si="7"/>
        <v>0</v>
      </c>
      <c r="Q40" s="245">
        <f t="shared" si="7"/>
        <v>0</v>
      </c>
      <c r="R40" s="246">
        <f t="shared" si="7"/>
        <v>0</v>
      </c>
      <c r="T40" s="4891"/>
    </row>
    <row r="41" spans="2:20">
      <c r="B41" s="254"/>
      <c r="C41" s="255" t="s">
        <v>141</v>
      </c>
      <c r="D41" s="256">
        <v>0</v>
      </c>
      <c r="E41" s="256"/>
      <c r="F41" s="249">
        <f t="shared" si="8"/>
        <v>0</v>
      </c>
      <c r="H41" s="132"/>
      <c r="I41" s="250" t="str">
        <f t="shared" si="1"/>
        <v>Measure 29</v>
      </c>
      <c r="J41" s="251"/>
      <c r="K41" s="260"/>
      <c r="L41" s="242">
        <f t="shared" si="3"/>
        <v>0</v>
      </c>
      <c r="M41" s="257">
        <v>0</v>
      </c>
      <c r="N41" s="257">
        <v>0</v>
      </c>
      <c r="O41" s="244">
        <f t="shared" si="4"/>
        <v>0</v>
      </c>
      <c r="P41" s="245">
        <f t="shared" si="7"/>
        <v>0</v>
      </c>
      <c r="Q41" s="245">
        <f t="shared" si="7"/>
        <v>0</v>
      </c>
      <c r="R41" s="246">
        <f t="shared" si="7"/>
        <v>0</v>
      </c>
      <c r="T41" s="4891"/>
    </row>
    <row r="42" spans="2:20" ht="13.5" thickBot="1">
      <c r="B42" s="254"/>
      <c r="C42" s="255" t="s">
        <v>142</v>
      </c>
      <c r="D42" s="256">
        <v>0</v>
      </c>
      <c r="E42" s="256"/>
      <c r="F42" s="249">
        <f t="shared" si="8"/>
        <v>0</v>
      </c>
      <c r="H42" s="132"/>
      <c r="I42" s="250" t="str">
        <f t="shared" si="1"/>
        <v>Measure 30</v>
      </c>
      <c r="J42" s="251"/>
      <c r="K42" s="260"/>
      <c r="L42" s="242">
        <f t="shared" si="3"/>
        <v>0</v>
      </c>
      <c r="M42" s="257">
        <v>0</v>
      </c>
      <c r="N42" s="257">
        <v>0</v>
      </c>
      <c r="O42" s="244">
        <f t="shared" si="4"/>
        <v>0</v>
      </c>
      <c r="P42" s="245">
        <f t="shared" si="7"/>
        <v>0</v>
      </c>
      <c r="Q42" s="245">
        <f t="shared" si="7"/>
        <v>0</v>
      </c>
      <c r="R42" s="246">
        <f t="shared" si="7"/>
        <v>0</v>
      </c>
      <c r="T42" s="4891"/>
    </row>
    <row r="43" spans="2:20" ht="13.5" thickBot="1">
      <c r="B43" s="235">
        <v>635.66999999999996</v>
      </c>
      <c r="C43" s="236" t="s">
        <v>148</v>
      </c>
      <c r="D43" s="237">
        <f>SUM(D44:D47)</f>
        <v>0</v>
      </c>
      <c r="E43" s="237">
        <f>SUM(E44:E47)</f>
        <v>1000</v>
      </c>
      <c r="F43" s="238">
        <f>D43+E43</f>
        <v>1000</v>
      </c>
      <c r="H43" s="132"/>
      <c r="I43" s="250" t="str">
        <f t="shared" si="1"/>
        <v>Measure 31</v>
      </c>
      <c r="J43" s="251"/>
      <c r="K43" s="260"/>
      <c r="L43" s="242">
        <f t="shared" si="3"/>
        <v>0</v>
      </c>
      <c r="M43" s="257">
        <v>0</v>
      </c>
      <c r="N43" s="257">
        <v>0</v>
      </c>
      <c r="O43" s="244">
        <f t="shared" si="4"/>
        <v>0</v>
      </c>
      <c r="P43" s="245">
        <f t="shared" si="7"/>
        <v>0</v>
      </c>
      <c r="Q43" s="245">
        <f t="shared" si="7"/>
        <v>0</v>
      </c>
      <c r="R43" s="246">
        <f t="shared" si="7"/>
        <v>0</v>
      </c>
      <c r="T43" s="4891"/>
    </row>
    <row r="44" spans="2:20">
      <c r="B44" s="254"/>
      <c r="C44" s="255" t="s">
        <v>139</v>
      </c>
      <c r="D44" s="256">
        <v>0</v>
      </c>
      <c r="E44" s="256">
        <v>1000</v>
      </c>
      <c r="F44" s="249">
        <f t="shared" si="8"/>
        <v>1000</v>
      </c>
      <c r="H44" s="132"/>
      <c r="I44" s="250" t="str">
        <f t="shared" si="1"/>
        <v>Measure 32</v>
      </c>
      <c r="J44" s="251"/>
      <c r="K44" s="260"/>
      <c r="L44" s="242">
        <f t="shared" si="3"/>
        <v>0</v>
      </c>
      <c r="M44" s="257">
        <v>0</v>
      </c>
      <c r="N44" s="257">
        <v>0</v>
      </c>
      <c r="O44" s="244">
        <f t="shared" si="4"/>
        <v>0</v>
      </c>
      <c r="P44" s="245">
        <f t="shared" si="7"/>
        <v>0</v>
      </c>
      <c r="Q44" s="245">
        <f t="shared" si="7"/>
        <v>0</v>
      </c>
      <c r="R44" s="246">
        <f t="shared" si="7"/>
        <v>0</v>
      </c>
      <c r="T44" s="4891"/>
    </row>
    <row r="45" spans="2:20">
      <c r="B45" s="254"/>
      <c r="C45" s="255" t="s">
        <v>140</v>
      </c>
      <c r="D45" s="256">
        <v>0</v>
      </c>
      <c r="E45" s="256"/>
      <c r="F45" s="249">
        <f t="shared" si="8"/>
        <v>0</v>
      </c>
      <c r="H45" s="132"/>
      <c r="I45" s="250" t="str">
        <f t="shared" si="1"/>
        <v>Measure 33</v>
      </c>
      <c r="J45" s="251"/>
      <c r="K45" s="260"/>
      <c r="L45" s="242">
        <f t="shared" si="3"/>
        <v>0</v>
      </c>
      <c r="M45" s="257">
        <v>0</v>
      </c>
      <c r="N45" s="257">
        <v>0</v>
      </c>
      <c r="O45" s="244">
        <f t="shared" si="4"/>
        <v>0</v>
      </c>
      <c r="P45" s="245">
        <f t="shared" ref="P45:R54" si="9">M45*$D95</f>
        <v>0</v>
      </c>
      <c r="Q45" s="245">
        <f t="shared" si="9"/>
        <v>0</v>
      </c>
      <c r="R45" s="246">
        <f t="shared" si="9"/>
        <v>0</v>
      </c>
      <c r="T45" s="4891"/>
    </row>
    <row r="46" spans="2:20">
      <c r="B46" s="254"/>
      <c r="C46" s="255" t="s">
        <v>141</v>
      </c>
      <c r="D46" s="256">
        <v>0</v>
      </c>
      <c r="E46" s="256"/>
      <c r="F46" s="249">
        <f t="shared" si="8"/>
        <v>0</v>
      </c>
      <c r="H46" s="132"/>
      <c r="I46" s="250" t="str">
        <f t="shared" si="1"/>
        <v>Measure 34</v>
      </c>
      <c r="J46" s="251"/>
      <c r="K46" s="260"/>
      <c r="L46" s="242">
        <f t="shared" si="3"/>
        <v>0</v>
      </c>
      <c r="M46" s="257">
        <v>0</v>
      </c>
      <c r="N46" s="257">
        <v>0</v>
      </c>
      <c r="O46" s="244">
        <f t="shared" si="4"/>
        <v>0</v>
      </c>
      <c r="P46" s="245">
        <f t="shared" si="9"/>
        <v>0</v>
      </c>
      <c r="Q46" s="245">
        <f t="shared" si="9"/>
        <v>0</v>
      </c>
      <c r="R46" s="246">
        <f t="shared" si="9"/>
        <v>0</v>
      </c>
      <c r="T46" s="4891"/>
    </row>
    <row r="47" spans="2:20" ht="13.5" thickBot="1">
      <c r="B47" s="254"/>
      <c r="C47" s="255" t="s">
        <v>142</v>
      </c>
      <c r="D47" s="256">
        <v>0</v>
      </c>
      <c r="E47" s="256"/>
      <c r="F47" s="249">
        <f t="shared" si="8"/>
        <v>0</v>
      </c>
      <c r="H47" s="132"/>
      <c r="I47" s="250" t="str">
        <f t="shared" si="1"/>
        <v>Measure 35</v>
      </c>
      <c r="J47" s="251"/>
      <c r="K47" s="260"/>
      <c r="L47" s="242">
        <f t="shared" si="3"/>
        <v>0</v>
      </c>
      <c r="M47" s="257">
        <v>0</v>
      </c>
      <c r="N47" s="257">
        <v>0</v>
      </c>
      <c r="O47" s="244">
        <f t="shared" si="4"/>
        <v>0</v>
      </c>
      <c r="P47" s="245">
        <f t="shared" si="9"/>
        <v>0</v>
      </c>
      <c r="Q47" s="245">
        <f t="shared" si="9"/>
        <v>0</v>
      </c>
      <c r="R47" s="246">
        <f t="shared" si="9"/>
        <v>0</v>
      </c>
      <c r="T47" s="4891"/>
    </row>
    <row r="48" spans="2:20" ht="13.5" thickBot="1">
      <c r="B48" s="235">
        <v>1587.15</v>
      </c>
      <c r="C48" s="236" t="s">
        <v>149</v>
      </c>
      <c r="D48" s="237">
        <f>SUM(D49:D52)</f>
        <v>0</v>
      </c>
      <c r="E48" s="237">
        <f>SUM(E49:E52)</f>
        <v>2000</v>
      </c>
      <c r="F48" s="238">
        <f>D48+E48</f>
        <v>2000</v>
      </c>
      <c r="H48" s="132"/>
      <c r="I48" s="250" t="str">
        <f t="shared" si="1"/>
        <v>Measure 36</v>
      </c>
      <c r="J48" s="251"/>
      <c r="K48" s="260"/>
      <c r="L48" s="242">
        <f t="shared" si="3"/>
        <v>0</v>
      </c>
      <c r="M48" s="257">
        <v>0</v>
      </c>
      <c r="N48" s="257">
        <v>0</v>
      </c>
      <c r="O48" s="244">
        <f t="shared" si="4"/>
        <v>0</v>
      </c>
      <c r="P48" s="245">
        <f t="shared" si="9"/>
        <v>0</v>
      </c>
      <c r="Q48" s="245">
        <f t="shared" si="9"/>
        <v>0</v>
      </c>
      <c r="R48" s="246">
        <f t="shared" si="9"/>
        <v>0</v>
      </c>
      <c r="T48" s="4891"/>
    </row>
    <row r="49" spans="2:25">
      <c r="B49" s="254"/>
      <c r="C49" s="255" t="s">
        <v>139</v>
      </c>
      <c r="D49" s="256">
        <v>0</v>
      </c>
      <c r="E49" s="256">
        <v>2000</v>
      </c>
      <c r="F49" s="249">
        <f t="shared" si="8"/>
        <v>2000</v>
      </c>
      <c r="H49" s="132"/>
      <c r="I49" s="250" t="str">
        <f t="shared" si="1"/>
        <v>Measure 37</v>
      </c>
      <c r="J49" s="251"/>
      <c r="K49" s="260"/>
      <c r="L49" s="242">
        <f t="shared" si="3"/>
        <v>0</v>
      </c>
      <c r="M49" s="257">
        <v>0</v>
      </c>
      <c r="N49" s="257">
        <v>0</v>
      </c>
      <c r="O49" s="244">
        <f t="shared" si="4"/>
        <v>0</v>
      </c>
      <c r="P49" s="245">
        <f t="shared" si="9"/>
        <v>0</v>
      </c>
      <c r="Q49" s="245">
        <f t="shared" si="9"/>
        <v>0</v>
      </c>
      <c r="R49" s="246">
        <f t="shared" si="9"/>
        <v>0</v>
      </c>
      <c r="T49" s="4891"/>
    </row>
    <row r="50" spans="2:25">
      <c r="B50" s="254"/>
      <c r="C50" s="255" t="s">
        <v>140</v>
      </c>
      <c r="D50" s="256">
        <v>0</v>
      </c>
      <c r="E50" s="256"/>
      <c r="F50" s="249">
        <f t="shared" si="8"/>
        <v>0</v>
      </c>
      <c r="I50" s="250" t="str">
        <f t="shared" si="1"/>
        <v>Measure 38</v>
      </c>
      <c r="J50" s="251"/>
      <c r="K50" s="252"/>
      <c r="L50" s="242">
        <f t="shared" si="3"/>
        <v>0</v>
      </c>
      <c r="M50" s="257">
        <v>0</v>
      </c>
      <c r="N50" s="257">
        <v>0</v>
      </c>
      <c r="O50" s="244">
        <f t="shared" si="4"/>
        <v>0</v>
      </c>
      <c r="P50" s="245">
        <f t="shared" si="9"/>
        <v>0</v>
      </c>
      <c r="Q50" s="245">
        <f t="shared" si="9"/>
        <v>0</v>
      </c>
      <c r="R50" s="246">
        <f t="shared" si="9"/>
        <v>0</v>
      </c>
      <c r="T50" s="4891"/>
    </row>
    <row r="51" spans="2:25">
      <c r="B51" s="254"/>
      <c r="C51" s="255" t="s">
        <v>141</v>
      </c>
      <c r="D51" s="256">
        <v>0</v>
      </c>
      <c r="E51" s="256"/>
      <c r="F51" s="249">
        <f t="shared" si="8"/>
        <v>0</v>
      </c>
      <c r="I51" s="250" t="str">
        <f t="shared" si="1"/>
        <v>Measure 39</v>
      </c>
      <c r="J51" s="251"/>
      <c r="K51" s="252"/>
      <c r="L51" s="242">
        <f t="shared" si="3"/>
        <v>0</v>
      </c>
      <c r="M51" s="257">
        <v>0</v>
      </c>
      <c r="N51" s="257">
        <v>0</v>
      </c>
      <c r="O51" s="244">
        <f t="shared" si="4"/>
        <v>0</v>
      </c>
      <c r="P51" s="245">
        <f t="shared" si="9"/>
        <v>0</v>
      </c>
      <c r="Q51" s="245">
        <f t="shared" si="9"/>
        <v>0</v>
      </c>
      <c r="R51" s="246">
        <f t="shared" si="9"/>
        <v>0</v>
      </c>
      <c r="T51" s="4891"/>
    </row>
    <row r="52" spans="2:25" ht="13.5" thickBot="1">
      <c r="B52" s="254"/>
      <c r="C52" s="255" t="s">
        <v>142</v>
      </c>
      <c r="D52" s="256">
        <v>0</v>
      </c>
      <c r="E52" s="256"/>
      <c r="F52" s="249">
        <f t="shared" si="8"/>
        <v>0</v>
      </c>
      <c r="I52" s="250" t="str">
        <f t="shared" si="1"/>
        <v>Measure 40</v>
      </c>
      <c r="J52" s="251"/>
      <c r="K52" s="252"/>
      <c r="L52" s="242">
        <f t="shared" si="3"/>
        <v>0</v>
      </c>
      <c r="M52" s="257">
        <v>0</v>
      </c>
      <c r="N52" s="257">
        <v>0</v>
      </c>
      <c r="O52" s="244">
        <f t="shared" si="4"/>
        <v>0</v>
      </c>
      <c r="P52" s="245">
        <f t="shared" si="9"/>
        <v>0</v>
      </c>
      <c r="Q52" s="245">
        <f t="shared" si="9"/>
        <v>0</v>
      </c>
      <c r="R52" s="246">
        <f t="shared" si="9"/>
        <v>0</v>
      </c>
      <c r="T52" s="4891"/>
    </row>
    <row r="53" spans="2:25" ht="13.5" thickBot="1">
      <c r="B53" s="235">
        <v>839678.7</v>
      </c>
      <c r="C53" s="236" t="s">
        <v>150</v>
      </c>
      <c r="D53" s="237">
        <f>T105</f>
        <v>0</v>
      </c>
      <c r="E53" s="237">
        <f>U105</f>
        <v>591000</v>
      </c>
      <c r="F53" s="238">
        <f>V105</f>
        <v>591000</v>
      </c>
      <c r="G53" s="261" t="s">
        <v>151</v>
      </c>
      <c r="I53" s="250" t="str">
        <f t="shared" si="1"/>
        <v>Measure 41</v>
      </c>
      <c r="J53" s="251"/>
      <c r="K53" s="252"/>
      <c r="L53" s="242">
        <f t="shared" si="3"/>
        <v>0</v>
      </c>
      <c r="M53" s="257">
        <v>0</v>
      </c>
      <c r="N53" s="257">
        <v>0</v>
      </c>
      <c r="O53" s="244">
        <f t="shared" si="4"/>
        <v>0</v>
      </c>
      <c r="P53" s="245">
        <f t="shared" si="9"/>
        <v>0</v>
      </c>
      <c r="Q53" s="245">
        <f t="shared" si="9"/>
        <v>0</v>
      </c>
      <c r="R53" s="246">
        <f t="shared" si="9"/>
        <v>0</v>
      </c>
      <c r="T53" s="4891"/>
    </row>
    <row r="54" spans="2:25" ht="13.5" thickBot="1">
      <c r="B54" s="262">
        <v>0</v>
      </c>
      <c r="C54" s="236" t="s">
        <v>152</v>
      </c>
      <c r="D54" s="237">
        <v>0</v>
      </c>
      <c r="E54" s="237">
        <v>0</v>
      </c>
      <c r="F54" s="238">
        <v>0</v>
      </c>
      <c r="I54" s="250" t="str">
        <f t="shared" si="1"/>
        <v>Measure 42</v>
      </c>
      <c r="J54" s="251"/>
      <c r="K54" s="252"/>
      <c r="L54" s="242">
        <f t="shared" si="3"/>
        <v>0</v>
      </c>
      <c r="M54" s="257">
        <v>0</v>
      </c>
      <c r="N54" s="257">
        <v>0</v>
      </c>
      <c r="O54" s="244">
        <f t="shared" si="4"/>
        <v>0</v>
      </c>
      <c r="P54" s="245">
        <f t="shared" si="9"/>
        <v>0</v>
      </c>
      <c r="Q54" s="245">
        <f t="shared" si="9"/>
        <v>0</v>
      </c>
      <c r="R54" s="246">
        <f t="shared" si="9"/>
        <v>0</v>
      </c>
      <c r="T54" s="4891"/>
    </row>
    <row r="55" spans="2:25">
      <c r="B55" s="263">
        <f>B13+B18+B23+B28+B33+B38+B43+B48+B53+B54</f>
        <v>1003618.13</v>
      </c>
      <c r="C55" s="264" t="s">
        <v>153</v>
      </c>
      <c r="D55" s="263">
        <f>D13+D18+D23+D28+D33+D38+D43+D48+D53+D54</f>
        <v>0</v>
      </c>
      <c r="E55" s="263">
        <f>E13+E18+E23+E28+E33+E38+E43+E48+E53+E54</f>
        <v>1083574.5</v>
      </c>
      <c r="F55" s="263">
        <f>F13+F18+F23+F28+F33+F38+F43+F48+F53+F54</f>
        <v>1083574.5</v>
      </c>
      <c r="P55" s="265">
        <f>SUM(P13:P54)</f>
        <v>0</v>
      </c>
      <c r="Q55" s="265">
        <f>SUM(Q13:Q54)</f>
        <v>2649750</v>
      </c>
      <c r="R55" s="265">
        <f>SUM(R13:R54)</f>
        <v>2649750</v>
      </c>
      <c r="T55" s="4892"/>
    </row>
    <row r="56" spans="2:25">
      <c r="C56" s="264"/>
      <c r="D56" s="263"/>
      <c r="E56" s="263"/>
      <c r="F56" s="263"/>
    </row>
    <row r="57" spans="2:25">
      <c r="C57" s="264" t="s">
        <v>154</v>
      </c>
      <c r="D57" s="263">
        <f>D55-D53</f>
        <v>0</v>
      </c>
      <c r="E57" s="263">
        <f>E55-E53</f>
        <v>492574.5</v>
      </c>
      <c r="F57" s="263">
        <f>F55-F53</f>
        <v>492574.5</v>
      </c>
    </row>
    <row r="58" spans="2:25">
      <c r="C58" s="264" t="s">
        <v>155</v>
      </c>
      <c r="D58" s="266">
        <f>D53</f>
        <v>0</v>
      </c>
      <c r="E58" s="266">
        <f>E53</f>
        <v>591000</v>
      </c>
      <c r="F58" s="266">
        <f>F53</f>
        <v>591000</v>
      </c>
      <c r="G58" s="319">
        <f>F58/(F57+F58)</f>
        <v>0.54541704331358853</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275" t="s">
        <v>170</v>
      </c>
      <c r="M62" s="276" t="s">
        <v>171</v>
      </c>
      <c r="N62" s="3590" t="s">
        <v>1211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43">
        <v>161</v>
      </c>
      <c r="C63" s="2334" t="s">
        <v>453</v>
      </c>
      <c r="D63" s="2334">
        <v>12000</v>
      </c>
      <c r="E63" s="2334" t="s">
        <v>181</v>
      </c>
      <c r="F63" s="2334" t="s">
        <v>454</v>
      </c>
      <c r="G63" s="2336">
        <v>9618</v>
      </c>
      <c r="H63" s="2336">
        <v>3950</v>
      </c>
      <c r="I63" s="2338">
        <f t="shared" ref="I63:I81" si="10">R13/R$55</f>
        <v>4.5287291253891873E-2</v>
      </c>
      <c r="J63" s="2334">
        <v>30</v>
      </c>
      <c r="K63" s="2334" t="s">
        <v>260</v>
      </c>
      <c r="L63" s="2333">
        <v>5.9846033232902034</v>
      </c>
      <c r="M63" s="2333">
        <v>3.1106833404514878</v>
      </c>
      <c r="N63" s="4154"/>
      <c r="O63" s="3548">
        <f t="shared" ref="O63:O81" si="11">(($I63*$F$57)+$V63)/$S63</f>
        <v>57176.100689861385</v>
      </c>
      <c r="P63" s="3548">
        <f t="shared" ref="P63:P81" si="12">(($I63*$F$57)+($G63*$O13))/$S63</f>
        <v>109609.03315979663</v>
      </c>
      <c r="Q63" s="3548">
        <f>IF(K63=0, 0, (HLOOKUP(K63,'[3]E-CESTDWO'!$A$5:$O$35,J63+1,FALSE)*R13))</f>
        <v>281104.65327809018</v>
      </c>
      <c r="R63" s="3548">
        <f>IF(K63=0, 0, (HLOOKUP(K63,'[3]E-CESTD'!$A$5:$O$35,J63+1,FALSE)*R13))</f>
        <v>309215.11860589922</v>
      </c>
      <c r="S63" s="2332">
        <v>1.081</v>
      </c>
      <c r="T63" s="280">
        <f t="shared" ref="T63:T104" si="13">M13*$H63</f>
        <v>0</v>
      </c>
      <c r="U63" s="280">
        <f t="shared" ref="U63:U104" si="14">N13*$H63</f>
        <v>39500</v>
      </c>
      <c r="V63" s="280">
        <f t="shared" ref="V63:V104" si="15">O13*$H63</f>
        <v>39500</v>
      </c>
      <c r="W63" s="322">
        <f t="shared" ref="W63:W104" si="16">V63/(V63+(I63*F$57))</f>
        <v>0.6390824151552934</v>
      </c>
      <c r="X63" s="322">
        <f t="shared" ref="X63:X104" si="17">(I63*((F$18*1.63)+F$28))/(V63+(I63*F$57))</f>
        <v>0.17603153466331806</v>
      </c>
      <c r="Y63" s="322">
        <f t="shared" ref="Y63:Y104" si="18">(I63*F$38)/(V63+(I63*F$57))</f>
        <v>7.3271674608552952E-4</v>
      </c>
    </row>
    <row r="64" spans="2:25">
      <c r="B64" s="323">
        <v>162</v>
      </c>
      <c r="C64" s="2335" t="s">
        <v>455</v>
      </c>
      <c r="D64" s="2335">
        <v>13750</v>
      </c>
      <c r="E64" s="2335" t="s">
        <v>181</v>
      </c>
      <c r="F64" s="2335" t="s">
        <v>454</v>
      </c>
      <c r="G64" s="2336">
        <v>9618</v>
      </c>
      <c r="H64" s="2336">
        <v>3450</v>
      </c>
      <c r="I64" s="2338">
        <f t="shared" si="10"/>
        <v>5.1891687895084443E-2</v>
      </c>
      <c r="J64" s="2334">
        <v>30</v>
      </c>
      <c r="K64" s="2334" t="s">
        <v>260</v>
      </c>
      <c r="L64" s="2333">
        <v>7.3426016874876066</v>
      </c>
      <c r="M64" s="2333">
        <v>3.5106014185548711</v>
      </c>
      <c r="N64" s="4154"/>
      <c r="O64" s="3548">
        <f t="shared" si="11"/>
        <v>55560.150063901274</v>
      </c>
      <c r="P64" s="3548">
        <f t="shared" si="12"/>
        <v>112618.4294348541</v>
      </c>
      <c r="Q64" s="3548">
        <f>IF(K64=0, 0, (HLOOKUP(K64,'[3]E-CESTDWO'!$A$5:$O$35,J64+1,FALSE)*R14))</f>
        <v>322099.08188114502</v>
      </c>
      <c r="R64" s="3548">
        <f>IF(K64=0, 0, (HLOOKUP(K64,'[3]E-CESTD'!$A$5:$O$35,J64+1,FALSE)*R14))</f>
        <v>354308.99006925948</v>
      </c>
      <c r="S64" s="2332">
        <v>1.081</v>
      </c>
      <c r="T64" s="280">
        <f t="shared" si="13"/>
        <v>0</v>
      </c>
      <c r="U64" s="280">
        <f t="shared" si="14"/>
        <v>34500</v>
      </c>
      <c r="V64" s="280">
        <f t="shared" si="15"/>
        <v>34500</v>
      </c>
      <c r="W64" s="322">
        <f t="shared" si="16"/>
        <v>0.57442057986371653</v>
      </c>
      <c r="X64" s="322">
        <f t="shared" si="17"/>
        <v>0.20756926676196474</v>
      </c>
      <c r="Y64" s="322">
        <f t="shared" si="18"/>
        <v>8.6398995509569297E-4</v>
      </c>
    </row>
    <row r="65" spans="2:25">
      <c r="B65" s="323">
        <v>163</v>
      </c>
      <c r="C65" s="2335" t="s">
        <v>456</v>
      </c>
      <c r="D65" s="2335">
        <v>16250</v>
      </c>
      <c r="E65" s="2335" t="s">
        <v>181</v>
      </c>
      <c r="F65" s="2335" t="s">
        <v>454</v>
      </c>
      <c r="G65" s="2336">
        <v>9618</v>
      </c>
      <c r="H65" s="2336">
        <v>2950</v>
      </c>
      <c r="I65" s="2338">
        <f t="shared" si="10"/>
        <v>6.1326540239645247E-2</v>
      </c>
      <c r="J65" s="2334">
        <v>30</v>
      </c>
      <c r="K65" s="2334" t="s">
        <v>260</v>
      </c>
      <c r="L65" s="2333">
        <v>9.1914279889500961</v>
      </c>
      <c r="M65" s="2333">
        <v>4.0614411219794091</v>
      </c>
      <c r="N65" s="4154"/>
      <c r="O65" s="3548">
        <f t="shared" si="11"/>
        <v>55233.94069868006</v>
      </c>
      <c r="P65" s="3548">
        <f t="shared" si="12"/>
        <v>116917.56697065046</v>
      </c>
      <c r="Q65" s="3548">
        <f>IF(K65=0, 0, (HLOOKUP(K65,'[3]E-CESTDWO'!$A$5:$O$35,J65+1,FALSE)*R15))</f>
        <v>380662.55131408048</v>
      </c>
      <c r="R65" s="3548">
        <f>IF(K65=0, 0, (HLOOKUP(K65,'[3]E-CESTD'!$A$5:$O$35,J65+1,FALSE)*R15))</f>
        <v>418728.80644548847</v>
      </c>
      <c r="S65" s="2332">
        <v>1.081</v>
      </c>
      <c r="T65" s="280">
        <f t="shared" si="13"/>
        <v>0</v>
      </c>
      <c r="U65" s="280">
        <f t="shared" si="14"/>
        <v>29500</v>
      </c>
      <c r="V65" s="280">
        <f t="shared" si="15"/>
        <v>29500</v>
      </c>
      <c r="W65" s="322">
        <f t="shared" si="16"/>
        <v>0.49407205734020437</v>
      </c>
      <c r="X65" s="322">
        <f t="shared" si="17"/>
        <v>0.24675791902403107</v>
      </c>
      <c r="Y65" s="322">
        <f t="shared" si="18"/>
        <v>1.0271094883307918E-3</v>
      </c>
    </row>
    <row r="66" spans="2:25">
      <c r="B66" s="323">
        <v>164</v>
      </c>
      <c r="C66" s="2335" t="s">
        <v>457</v>
      </c>
      <c r="D66" s="2335">
        <v>17500</v>
      </c>
      <c r="E66" s="2335" t="s">
        <v>181</v>
      </c>
      <c r="F66" s="2335" t="s">
        <v>454</v>
      </c>
      <c r="G66" s="2336">
        <v>9618</v>
      </c>
      <c r="H66" s="2336">
        <v>2450</v>
      </c>
      <c r="I66" s="2338">
        <f t="shared" si="10"/>
        <v>6.6043966411925656E-2</v>
      </c>
      <c r="J66" s="2334">
        <v>30</v>
      </c>
      <c r="K66" s="2334" t="s">
        <v>260</v>
      </c>
      <c r="L66" s="2333">
        <v>10.823275737791977</v>
      </c>
      <c r="M66" s="2333">
        <v>4.3282437323965404</v>
      </c>
      <c r="N66" s="4154"/>
      <c r="O66" s="3548">
        <f t="shared" si="11"/>
        <v>52758.162565560662</v>
      </c>
      <c r="P66" s="3548">
        <f t="shared" si="12"/>
        <v>119067.13573854863</v>
      </c>
      <c r="Q66" s="3548">
        <f>IF(K66=0, 0, (HLOOKUP(K66,'[3]E-CESTDWO'!$A$5:$O$35,J66+1,FALSE)*R16))</f>
        <v>409944.28603054822</v>
      </c>
      <c r="R66" s="3548">
        <f>IF(K66=0, 0, (HLOOKUP(K66,'[3]E-CESTD'!$A$5:$O$35,J66+1,FALSE)*R16))</f>
        <v>450938.714633603</v>
      </c>
      <c r="S66" s="2332">
        <v>1.081</v>
      </c>
      <c r="T66" s="280">
        <f t="shared" si="13"/>
        <v>0</v>
      </c>
      <c r="U66" s="280">
        <f t="shared" si="14"/>
        <v>24500</v>
      </c>
      <c r="V66" s="280">
        <f t="shared" si="15"/>
        <v>24500</v>
      </c>
      <c r="W66" s="322">
        <f t="shared" si="16"/>
        <v>0.42958660258158432</v>
      </c>
      <c r="X66" s="322">
        <f t="shared" si="17"/>
        <v>0.27820962445840636</v>
      </c>
      <c r="Y66" s="322">
        <f t="shared" si="18"/>
        <v>1.1580246184453636E-3</v>
      </c>
    </row>
    <row r="67" spans="2:25">
      <c r="B67" s="323">
        <v>165</v>
      </c>
      <c r="C67" s="2335" t="s">
        <v>458</v>
      </c>
      <c r="D67" s="2335">
        <v>12000</v>
      </c>
      <c r="E67" s="2335" t="s">
        <v>181</v>
      </c>
      <c r="F67" s="2335" t="s">
        <v>454</v>
      </c>
      <c r="G67" s="2336">
        <v>7733</v>
      </c>
      <c r="H67" s="2336">
        <v>3450</v>
      </c>
      <c r="I67" s="2338">
        <f t="shared" si="10"/>
        <v>4.5287291253891873E-2</v>
      </c>
      <c r="J67" s="2334">
        <v>30</v>
      </c>
      <c r="K67" s="2334" t="s">
        <v>260</v>
      </c>
      <c r="L67" s="2333">
        <v>6.6382870493658048</v>
      </c>
      <c r="M67" s="2333">
        <v>3.7724488045841151</v>
      </c>
      <c r="N67" s="4154"/>
      <c r="O67" s="3548">
        <f t="shared" si="11"/>
        <v>52550.753788843809</v>
      </c>
      <c r="P67" s="3548">
        <f t="shared" si="12"/>
        <v>92171.475342960373</v>
      </c>
      <c r="Q67" s="3548">
        <f>IF(K67=0, 0, (HLOOKUP(K67,'[3]E-CESTDWO'!$A$5:$O$35,J67+1,FALSE)*R17))</f>
        <v>281104.65327809018</v>
      </c>
      <c r="R67" s="3548">
        <f>IF(K67=0, 0, (HLOOKUP(K67,'[3]E-CESTD'!$A$5:$O$35,J67+1,FALSE)*R17))</f>
        <v>309215.11860589922</v>
      </c>
      <c r="S67" s="2332">
        <v>1.081</v>
      </c>
      <c r="T67" s="280">
        <f t="shared" si="13"/>
        <v>0</v>
      </c>
      <c r="U67" s="280">
        <f t="shared" si="14"/>
        <v>34500</v>
      </c>
      <c r="V67" s="280">
        <f t="shared" si="15"/>
        <v>34500</v>
      </c>
      <c r="W67" s="322">
        <f t="shared" si="16"/>
        <v>0.60731561996731254</v>
      </c>
      <c r="X67" s="322">
        <f t="shared" si="17"/>
        <v>0.19152525938909348</v>
      </c>
      <c r="Y67" s="322">
        <f t="shared" si="18"/>
        <v>7.9720809752166933E-4</v>
      </c>
    </row>
    <row r="68" spans="2:25">
      <c r="B68" s="323">
        <v>166</v>
      </c>
      <c r="C68" s="2335" t="s">
        <v>459</v>
      </c>
      <c r="D68" s="2335">
        <v>13750</v>
      </c>
      <c r="E68" s="2335" t="s">
        <v>181</v>
      </c>
      <c r="F68" s="2335" t="s">
        <v>454</v>
      </c>
      <c r="G68" s="2336">
        <v>7733</v>
      </c>
      <c r="H68" s="2336">
        <v>2950</v>
      </c>
      <c r="I68" s="2338">
        <f t="shared" si="10"/>
        <v>5.1891687895084443E-2</v>
      </c>
      <c r="J68" s="2334">
        <v>30</v>
      </c>
      <c r="K68" s="2334" t="s">
        <v>260</v>
      </c>
      <c r="L68" s="2333">
        <v>8.2080581334399358</v>
      </c>
      <c r="M68" s="2333">
        <v>4.2438373587205138</v>
      </c>
      <c r="N68" s="4154"/>
      <c r="O68" s="3548">
        <f t="shared" si="11"/>
        <v>50934.803162883698</v>
      </c>
      <c r="P68" s="3548">
        <f t="shared" si="12"/>
        <v>95180.871618017831</v>
      </c>
      <c r="Q68" s="3548">
        <f>IF(K68=0, 0, (HLOOKUP(K68,'[3]E-CESTDWO'!$A$5:$O$35,J68+1,FALSE)*R18))</f>
        <v>322099.08188114502</v>
      </c>
      <c r="R68" s="3548">
        <f>IF(K68=0, 0, (HLOOKUP(K68,'[3]E-CESTD'!$A$5:$O$35,J68+1,FALSE)*R18))</f>
        <v>354308.99006925948</v>
      </c>
      <c r="S68" s="2332">
        <v>1.081</v>
      </c>
      <c r="T68" s="280">
        <f t="shared" si="13"/>
        <v>0</v>
      </c>
      <c r="U68" s="280">
        <f t="shared" si="14"/>
        <v>29500</v>
      </c>
      <c r="V68" s="280">
        <f t="shared" si="15"/>
        <v>29500</v>
      </c>
      <c r="W68" s="322">
        <f t="shared" si="16"/>
        <v>0.53577406844461217</v>
      </c>
      <c r="X68" s="322">
        <f t="shared" si="17"/>
        <v>0.22641845837842625</v>
      </c>
      <c r="Y68" s="322">
        <f t="shared" si="18"/>
        <v>9.4244816074601451E-4</v>
      </c>
    </row>
    <row r="69" spans="2:25">
      <c r="B69" s="323">
        <v>167</v>
      </c>
      <c r="C69" s="2335" t="s">
        <v>460</v>
      </c>
      <c r="D69" s="2335">
        <v>16250</v>
      </c>
      <c r="E69" s="2335" t="s">
        <v>181</v>
      </c>
      <c r="F69" s="2335" t="s">
        <v>454</v>
      </c>
      <c r="G69" s="2336">
        <v>7733</v>
      </c>
      <c r="H69" s="2336">
        <v>2450</v>
      </c>
      <c r="I69" s="2338">
        <f t="shared" si="10"/>
        <v>6.1326540239645247E-2</v>
      </c>
      <c r="J69" s="2334">
        <v>30</v>
      </c>
      <c r="K69" s="2334" t="s">
        <v>260</v>
      </c>
      <c r="L69" s="2333">
        <v>10.347013719104222</v>
      </c>
      <c r="M69" s="2333">
        <v>4.8882070628635779</v>
      </c>
      <c r="N69" s="4154"/>
      <c r="O69" s="3548">
        <f t="shared" si="11"/>
        <v>50608.593797662477</v>
      </c>
      <c r="P69" s="3548">
        <f t="shared" si="12"/>
        <v>99480.009153814201</v>
      </c>
      <c r="Q69" s="3548">
        <f>IF(K69=0, 0, (HLOOKUP(K69,'[3]E-CESTDWO'!$A$5:$O$35,J69+1,FALSE)*R19))</f>
        <v>380662.55131408048</v>
      </c>
      <c r="R69" s="3548">
        <f>IF(K69=0, 0, (HLOOKUP(K69,'[3]E-CESTD'!$A$5:$O$35,J69+1,FALSE)*R19))</f>
        <v>418728.80644548847</v>
      </c>
      <c r="S69" s="2332">
        <v>1.081</v>
      </c>
      <c r="T69" s="280">
        <f t="shared" si="13"/>
        <v>0</v>
      </c>
      <c r="U69" s="280">
        <f t="shared" si="14"/>
        <v>24500</v>
      </c>
      <c r="V69" s="280">
        <f t="shared" si="15"/>
        <v>24500</v>
      </c>
      <c r="W69" s="322">
        <f t="shared" si="16"/>
        <v>0.44783302823231069</v>
      </c>
      <c r="X69" s="322">
        <f t="shared" si="17"/>
        <v>0.26931023455807906</v>
      </c>
      <c r="Y69" s="322">
        <f t="shared" si="18"/>
        <v>1.1209816418992239E-3</v>
      </c>
    </row>
    <row r="70" spans="2:25">
      <c r="B70" s="323">
        <v>168</v>
      </c>
      <c r="C70" s="2335" t="s">
        <v>461</v>
      </c>
      <c r="D70" s="2335">
        <v>17500</v>
      </c>
      <c r="E70" s="2335" t="s">
        <v>181</v>
      </c>
      <c r="F70" s="2335" t="s">
        <v>454</v>
      </c>
      <c r="G70" s="2336">
        <v>7733</v>
      </c>
      <c r="H70" s="2336">
        <v>1950</v>
      </c>
      <c r="I70" s="2338">
        <f t="shared" si="10"/>
        <v>6.6043966411925656E-2</v>
      </c>
      <c r="J70" s="2334">
        <v>30</v>
      </c>
      <c r="K70" s="2334" t="s">
        <v>260</v>
      </c>
      <c r="L70" s="2333">
        <v>12.328844402967922</v>
      </c>
      <c r="M70" s="2333">
        <v>5.1982851941835335</v>
      </c>
      <c r="N70" s="4154"/>
      <c r="O70" s="3548">
        <f t="shared" si="11"/>
        <v>48132.815664543086</v>
      </c>
      <c r="P70" s="3548">
        <f t="shared" si="12"/>
        <v>101629.57792171238</v>
      </c>
      <c r="Q70" s="3548">
        <f>IF(K70=0, 0, (HLOOKUP(K70,'[3]E-CESTDWO'!$A$5:$O$35,J70+1,FALSE)*R20))</f>
        <v>409944.28603054822</v>
      </c>
      <c r="R70" s="3548">
        <f>IF(K70=0, 0, (HLOOKUP(K70,'[3]E-CESTD'!$A$5:$O$35,J70+1,FALSE)*R20))</f>
        <v>450938.714633603</v>
      </c>
      <c r="S70" s="2332">
        <v>1.081</v>
      </c>
      <c r="T70" s="280">
        <f t="shared" si="13"/>
        <v>0</v>
      </c>
      <c r="U70" s="280">
        <f t="shared" si="14"/>
        <v>19500</v>
      </c>
      <c r="V70" s="280">
        <f t="shared" si="15"/>
        <v>19500</v>
      </c>
      <c r="W70" s="322">
        <f t="shared" si="16"/>
        <v>0.3747724429771272</v>
      </c>
      <c r="X70" s="322">
        <f t="shared" si="17"/>
        <v>0.30494431692456692</v>
      </c>
      <c r="Y70" s="322">
        <f t="shared" si="18"/>
        <v>1.2693055710818826E-3</v>
      </c>
    </row>
    <row r="71" spans="2:25">
      <c r="B71" s="323">
        <v>169</v>
      </c>
      <c r="C71" s="2335" t="s">
        <v>462</v>
      </c>
      <c r="D71" s="2335">
        <v>10250</v>
      </c>
      <c r="E71" s="2335" t="s">
        <v>181</v>
      </c>
      <c r="F71" s="2335" t="s">
        <v>454</v>
      </c>
      <c r="G71" s="2336">
        <v>7422</v>
      </c>
      <c r="H71" s="2336">
        <v>2000</v>
      </c>
      <c r="I71" s="2338">
        <f t="shared" si="10"/>
        <v>3.8682894612699311E-3</v>
      </c>
      <c r="J71" s="2334">
        <v>30</v>
      </c>
      <c r="K71" s="2334" t="s">
        <v>260</v>
      </c>
      <c r="L71" s="2333">
        <v>8.7595475463155896</v>
      </c>
      <c r="M71" s="2333">
        <v>3.4050056021693251</v>
      </c>
      <c r="N71" s="4154"/>
      <c r="O71" s="3548">
        <f t="shared" si="11"/>
        <v>3612.7851500835395</v>
      </c>
      <c r="P71" s="3548">
        <f t="shared" si="12"/>
        <v>8628.5113295469982</v>
      </c>
      <c r="Q71" s="3548">
        <f>IF(K71=0, 0, (HLOOKUP(K71,'[3]E-CESTDWO'!$A$5:$O$35,J71+1,FALSE)*R21))</f>
        <v>24011.022467503535</v>
      </c>
      <c r="R71" s="3548">
        <f>IF(K71=0, 0, (HLOOKUP(K71,'[3]E-CESTD'!$A$5:$O$35,J71+1,FALSE)*R21))</f>
        <v>26412.124714253889</v>
      </c>
      <c r="S71" s="2332">
        <v>1.081</v>
      </c>
      <c r="T71" s="280">
        <f t="shared" si="13"/>
        <v>0</v>
      </c>
      <c r="U71" s="280">
        <f t="shared" si="14"/>
        <v>2000</v>
      </c>
      <c r="V71" s="280">
        <f t="shared" si="15"/>
        <v>2000</v>
      </c>
      <c r="W71" s="322">
        <f t="shared" si="16"/>
        <v>0.51210871489666343</v>
      </c>
      <c r="X71" s="322">
        <f t="shared" si="17"/>
        <v>0.23796084001435536</v>
      </c>
      <c r="Y71" s="322">
        <f t="shared" si="18"/>
        <v>9.9049237242962549E-4</v>
      </c>
    </row>
    <row r="72" spans="2:25">
      <c r="B72" s="323">
        <v>170</v>
      </c>
      <c r="C72" s="2335" t="s">
        <v>463</v>
      </c>
      <c r="D72" s="2335">
        <v>14000</v>
      </c>
      <c r="E72" s="2335" t="s">
        <v>181</v>
      </c>
      <c r="F72" s="2335" t="s">
        <v>454</v>
      </c>
      <c r="G72" s="2336">
        <v>7422</v>
      </c>
      <c r="H72" s="2336">
        <v>1000</v>
      </c>
      <c r="I72" s="2338">
        <f t="shared" si="10"/>
        <v>3.1701103877724311E-2</v>
      </c>
      <c r="J72" s="2334">
        <v>30</v>
      </c>
      <c r="K72" s="2334" t="s">
        <v>260</v>
      </c>
      <c r="L72" s="2333">
        <v>15.310515143818112</v>
      </c>
      <c r="M72" s="2333">
        <v>4.4631804221470199</v>
      </c>
      <c r="N72" s="4154"/>
      <c r="O72" s="3548">
        <f t="shared" si="11"/>
        <v>19995.518401496869</v>
      </c>
      <c r="P72" s="3548">
        <f t="shared" si="12"/>
        <v>55640.291759498723</v>
      </c>
      <c r="Q72" s="3548">
        <f>IF(K72=0, 0, (HLOOKUP(K72,'[3]E-CESTDWO'!$A$5:$O$35,J72+1,FALSE)*R22))</f>
        <v>196773.25729466314</v>
      </c>
      <c r="R72" s="3548">
        <f>IF(K72=0, 0, (HLOOKUP(K72,'[3]E-CESTD'!$A$5:$O$35,J72+1,FALSE)*R22))</f>
        <v>216450.58302412945</v>
      </c>
      <c r="S72" s="2332">
        <v>1.081</v>
      </c>
      <c r="T72" s="280">
        <f t="shared" si="13"/>
        <v>0</v>
      </c>
      <c r="U72" s="280">
        <f t="shared" si="14"/>
        <v>6000</v>
      </c>
      <c r="V72" s="280">
        <f t="shared" si="15"/>
        <v>6000</v>
      </c>
      <c r="W72" s="322">
        <f t="shared" si="16"/>
        <v>0.27758301484224518</v>
      </c>
      <c r="X72" s="322">
        <f t="shared" si="17"/>
        <v>0.35234684012108786</v>
      </c>
      <c r="Y72" s="322">
        <f t="shared" si="18"/>
        <v>1.4666146647009839E-3</v>
      </c>
    </row>
    <row r="73" spans="2:25">
      <c r="B73" s="323">
        <v>171</v>
      </c>
      <c r="C73" s="2335" t="s">
        <v>464</v>
      </c>
      <c r="D73" s="2335">
        <v>10250</v>
      </c>
      <c r="E73" s="2335" t="s">
        <v>181</v>
      </c>
      <c r="F73" s="2335" t="s">
        <v>454</v>
      </c>
      <c r="G73" s="2336">
        <v>5537</v>
      </c>
      <c r="H73" s="2336">
        <v>1000</v>
      </c>
      <c r="I73" s="2338">
        <f t="shared" si="10"/>
        <v>1.9341447306349655E-2</v>
      </c>
      <c r="J73" s="2334">
        <v>30</v>
      </c>
      <c r="K73" s="2334" t="s">
        <v>260</v>
      </c>
      <c r="L73" s="2333">
        <v>13.221517328048861</v>
      </c>
      <c r="M73" s="2333">
        <v>4.3924333651971459</v>
      </c>
      <c r="N73" s="4154"/>
      <c r="O73" s="3548">
        <f t="shared" si="11"/>
        <v>13438.578849400119</v>
      </c>
      <c r="P73" s="3548">
        <f t="shared" si="12"/>
        <v>34423.777739316865</v>
      </c>
      <c r="Q73" s="3548">
        <f>IF(K73=0, 0, (HLOOKUP(K73,'[3]E-CESTDWO'!$A$5:$O$35,J73+1,FALSE)*R23))</f>
        <v>120055.11233751768</v>
      </c>
      <c r="R73" s="3548">
        <f>IF(K73=0, 0, (HLOOKUP(K73,'[3]E-CESTD'!$A$5:$O$35,J73+1,FALSE)*R23))</f>
        <v>132060.62357126945</v>
      </c>
      <c r="S73" s="2332">
        <v>1.081</v>
      </c>
      <c r="T73" s="280">
        <f t="shared" si="13"/>
        <v>0</v>
      </c>
      <c r="U73" s="280">
        <f t="shared" si="14"/>
        <v>5000</v>
      </c>
      <c r="V73" s="280">
        <f t="shared" si="15"/>
        <v>5000</v>
      </c>
      <c r="W73" s="322">
        <f t="shared" si="16"/>
        <v>0.34418422906556417</v>
      </c>
      <c r="X73" s="322">
        <f t="shared" si="17"/>
        <v>0.31986320828249032</v>
      </c>
      <c r="Y73" s="322">
        <f t="shared" si="18"/>
        <v>1.3314042260296377E-3</v>
      </c>
    </row>
    <row r="74" spans="2:25">
      <c r="B74" s="323">
        <v>172</v>
      </c>
      <c r="C74" s="2335" t="s">
        <v>465</v>
      </c>
      <c r="D74" s="2335">
        <v>12750</v>
      </c>
      <c r="E74" s="2335" t="s">
        <v>181</v>
      </c>
      <c r="F74" s="2335" t="s">
        <v>454</v>
      </c>
      <c r="G74" s="2336">
        <v>5537</v>
      </c>
      <c r="H74" s="2336">
        <v>500</v>
      </c>
      <c r="I74" s="2338">
        <f t="shared" si="10"/>
        <v>4.811774695726012E-3</v>
      </c>
      <c r="J74" s="2334">
        <v>30</v>
      </c>
      <c r="K74" s="2334" t="s">
        <v>260</v>
      </c>
      <c r="L74" s="2333">
        <v>19.013680838307849</v>
      </c>
      <c r="M74" s="2333">
        <v>5.2731851121065656</v>
      </c>
      <c r="N74" s="4154"/>
      <c r="O74" s="3548">
        <f t="shared" si="11"/>
        <v>2655.0948333579026</v>
      </c>
      <c r="P74" s="3548">
        <f t="shared" si="12"/>
        <v>7314.6693014430093</v>
      </c>
      <c r="Q74" s="3548">
        <f>IF(K74=0, 0, (HLOOKUP(K74,'[3]E-CESTDWO'!$A$5:$O$35,J74+1,FALSE)*R24))</f>
        <v>29867.36941079708</v>
      </c>
      <c r="R74" s="3548">
        <f>IF(K74=0, 0, (HLOOKUP(K74,'[3]E-CESTD'!$A$5:$O$35,J74+1,FALSE)*R24))</f>
        <v>32854.106351876791</v>
      </c>
      <c r="S74" s="2332">
        <v>1.081</v>
      </c>
      <c r="T74" s="280">
        <f t="shared" si="13"/>
        <v>0</v>
      </c>
      <c r="U74" s="280">
        <f t="shared" si="14"/>
        <v>500</v>
      </c>
      <c r="V74" s="280">
        <f t="shared" si="15"/>
        <v>500</v>
      </c>
      <c r="W74" s="322">
        <f t="shared" si="16"/>
        <v>0.17420646686159577</v>
      </c>
      <c r="X74" s="322">
        <f t="shared" si="17"/>
        <v>0.40276702786854762</v>
      </c>
      <c r="Y74" s="322">
        <f t="shared" si="18"/>
        <v>1.6764845381529172E-3</v>
      </c>
    </row>
    <row r="75" spans="2:25">
      <c r="B75" s="323">
        <v>173</v>
      </c>
      <c r="C75" s="2335" t="s">
        <v>466</v>
      </c>
      <c r="D75" s="2335">
        <v>3500</v>
      </c>
      <c r="E75" s="2335" t="s">
        <v>181</v>
      </c>
      <c r="F75" s="2335" t="s">
        <v>454</v>
      </c>
      <c r="G75" s="2336">
        <v>2196</v>
      </c>
      <c r="H75" s="2336">
        <v>950</v>
      </c>
      <c r="I75" s="2338">
        <f t="shared" si="10"/>
        <v>0.13208793282385131</v>
      </c>
      <c r="J75" s="2334">
        <v>30</v>
      </c>
      <c r="K75" s="2334" t="s">
        <v>467</v>
      </c>
      <c r="L75" s="2333">
        <v>3.9833965362024086</v>
      </c>
      <c r="M75" s="2333">
        <v>2.2194009447052934</v>
      </c>
      <c r="N75" s="4154"/>
      <c r="O75" s="3548">
        <f t="shared" si="11"/>
        <v>148069.51662048302</v>
      </c>
      <c r="P75" s="3548">
        <f t="shared" si="12"/>
        <v>263333.16139384103</v>
      </c>
      <c r="Q75" s="3548">
        <f>IF(K75=0, 0, (HLOOKUP(K75,'[3]E-CESTDWO'!$A$5:$O$35,J75+1,FALSE)*R25))</f>
        <v>471257.88426521898</v>
      </c>
      <c r="R75" s="3548">
        <f>IF(K75=0, 0, (HLOOKUP(K75,'[3]E-CESTD'!$A$5:$O$35,J75+1,FALSE)*R25))</f>
        <v>518383.67269174068</v>
      </c>
      <c r="S75" s="2332">
        <v>1.081</v>
      </c>
      <c r="T75" s="280">
        <f t="shared" si="13"/>
        <v>0</v>
      </c>
      <c r="U75" s="280">
        <f t="shared" si="14"/>
        <v>95000</v>
      </c>
      <c r="V75" s="280">
        <f t="shared" si="15"/>
        <v>95000</v>
      </c>
      <c r="W75" s="322">
        <f t="shared" si="16"/>
        <v>0.59351575614704855</v>
      </c>
      <c r="X75" s="322">
        <f t="shared" si="17"/>
        <v>0.19825591289125266</v>
      </c>
      <c r="Y75" s="322">
        <f t="shared" si="18"/>
        <v>8.2522388766156484E-4</v>
      </c>
    </row>
    <row r="76" spans="2:25">
      <c r="B76" s="323">
        <v>174</v>
      </c>
      <c r="C76" s="2335" t="s">
        <v>468</v>
      </c>
      <c r="D76" s="2335">
        <v>3500</v>
      </c>
      <c r="E76" s="2335" t="s">
        <v>181</v>
      </c>
      <c r="F76" s="2335" t="s">
        <v>454</v>
      </c>
      <c r="G76" s="2336">
        <v>3489</v>
      </c>
      <c r="H76" s="2336">
        <v>950</v>
      </c>
      <c r="I76" s="2338">
        <f t="shared" si="10"/>
        <v>0.26417586564770262</v>
      </c>
      <c r="J76" s="2334">
        <v>30</v>
      </c>
      <c r="K76" s="2334" t="s">
        <v>467</v>
      </c>
      <c r="L76" s="2333">
        <v>3.9833965362024082</v>
      </c>
      <c r="M76" s="2333">
        <v>1.4677578236698094</v>
      </c>
      <c r="N76" s="4154"/>
      <c r="O76" s="3548">
        <f t="shared" si="11"/>
        <v>296139.03324096603</v>
      </c>
      <c r="P76" s="3548">
        <f t="shared" si="12"/>
        <v>765889.26450831117</v>
      </c>
      <c r="Q76" s="3548">
        <f>IF(K76=0, 0, (HLOOKUP(K76,'[3]E-CESTDWO'!$A$5:$O$35,J76+1,FALSE)*R26))</f>
        <v>942515.76853043796</v>
      </c>
      <c r="R76" s="3548">
        <f>IF(K76=0, 0, (HLOOKUP(K76,'[3]E-CESTD'!$A$5:$O$35,J76+1,FALSE)*R26))</f>
        <v>1036767.3453834814</v>
      </c>
      <c r="S76" s="2332">
        <v>1.081</v>
      </c>
      <c r="T76" s="280">
        <f t="shared" si="13"/>
        <v>0</v>
      </c>
      <c r="U76" s="280">
        <f t="shared" si="14"/>
        <v>190000</v>
      </c>
      <c r="V76" s="280">
        <f t="shared" si="15"/>
        <v>190000</v>
      </c>
      <c r="W76" s="322">
        <f t="shared" si="16"/>
        <v>0.59351575614704855</v>
      </c>
      <c r="X76" s="322">
        <f t="shared" si="17"/>
        <v>0.19825591289125266</v>
      </c>
      <c r="Y76" s="322">
        <f t="shared" si="18"/>
        <v>8.2522388766156484E-4</v>
      </c>
    </row>
    <row r="77" spans="2:25">
      <c r="B77" s="323">
        <v>239</v>
      </c>
      <c r="C77" s="2335" t="s">
        <v>469</v>
      </c>
      <c r="D77" s="2335">
        <v>8500</v>
      </c>
      <c r="E77" s="2335" t="s">
        <v>181</v>
      </c>
      <c r="F77" s="2335" t="s">
        <v>454</v>
      </c>
      <c r="G77" s="2336">
        <v>7422</v>
      </c>
      <c r="H77" s="2336">
        <v>2500</v>
      </c>
      <c r="I77" s="2338">
        <f t="shared" si="10"/>
        <v>3.2078497971506745E-3</v>
      </c>
      <c r="J77" s="2334">
        <v>30</v>
      </c>
      <c r="K77" s="2334" t="s">
        <v>260</v>
      </c>
      <c r="L77" s="2333">
        <v>6.5250903724877851</v>
      </c>
      <c r="M77" s="2333">
        <v>2.880145767811086</v>
      </c>
      <c r="N77" s="4154"/>
      <c r="O77" s="3548">
        <f t="shared" si="11"/>
        <v>3774.3802126795517</v>
      </c>
      <c r="P77" s="3548">
        <f t="shared" si="12"/>
        <v>8327.5717020412521</v>
      </c>
      <c r="Q77" s="3548">
        <f>IF(K77=0, 0, (HLOOKUP(K77,'[3]E-CESTDWO'!$A$5:$O$35,J77+1,FALSE)*R27))</f>
        <v>19911.579607198055</v>
      </c>
      <c r="R77" s="3548">
        <f>IF(K77=0, 0, (HLOOKUP(K77,'[3]E-CESTD'!$A$5:$O$35,J77+1,FALSE)*R27))</f>
        <v>21902.737567917859</v>
      </c>
      <c r="S77" s="2332">
        <v>1.081</v>
      </c>
      <c r="T77" s="280">
        <f t="shared" si="13"/>
        <v>0</v>
      </c>
      <c r="U77" s="280">
        <f t="shared" si="14"/>
        <v>2500</v>
      </c>
      <c r="V77" s="280">
        <f t="shared" si="15"/>
        <v>2500</v>
      </c>
      <c r="W77" s="322">
        <f t="shared" si="16"/>
        <v>0.61272932778199052</v>
      </c>
      <c r="X77" s="322">
        <f t="shared" si="17"/>
        <v>0.18888481366172155</v>
      </c>
      <c r="Y77" s="322">
        <f t="shared" si="18"/>
        <v>7.86217459933491E-4</v>
      </c>
    </row>
    <row r="78" spans="2:25">
      <c r="B78" s="323">
        <v>240</v>
      </c>
      <c r="C78" s="2335" t="s">
        <v>470</v>
      </c>
      <c r="D78" s="2335">
        <v>12750</v>
      </c>
      <c r="E78" s="2335" t="s">
        <v>181</v>
      </c>
      <c r="F78" s="2335" t="s">
        <v>454</v>
      </c>
      <c r="G78" s="2336">
        <v>7422</v>
      </c>
      <c r="H78" s="2336">
        <v>2000</v>
      </c>
      <c r="I78" s="2338">
        <f t="shared" si="10"/>
        <v>4.811774695726012E-3</v>
      </c>
      <c r="J78" s="2334">
        <v>30</v>
      </c>
      <c r="K78" s="2334" t="s">
        <v>260</v>
      </c>
      <c r="L78" s="2333">
        <v>10.095648830242142</v>
      </c>
      <c r="M78" s="2333">
        <v>4.1200680289082436</v>
      </c>
      <c r="N78" s="4154"/>
      <c r="O78" s="3548">
        <f t="shared" si="11"/>
        <v>4042.6989036631762</v>
      </c>
      <c r="P78" s="3548">
        <f t="shared" si="12"/>
        <v>9058.4250831266363</v>
      </c>
      <c r="Q78" s="3548">
        <f>IF(K78=0, 0, (HLOOKUP(K78,'[3]E-CESTDWO'!$A$5:$O$35,J78+1,FALSE)*R28))</f>
        <v>29867.36941079708</v>
      </c>
      <c r="R78" s="3548">
        <f>IF(K78=0, 0, (HLOOKUP(K78,'[3]E-CESTD'!$A$5:$O$35,J78+1,FALSE)*R28))</f>
        <v>32854.106351876791</v>
      </c>
      <c r="S78" s="2332">
        <v>1.081</v>
      </c>
      <c r="T78" s="280">
        <f t="shared" si="13"/>
        <v>0</v>
      </c>
      <c r="U78" s="280">
        <f t="shared" si="14"/>
        <v>2000</v>
      </c>
      <c r="V78" s="280">
        <f t="shared" si="15"/>
        <v>2000</v>
      </c>
      <c r="W78" s="322">
        <f t="shared" si="16"/>
        <v>0.45764940810471444</v>
      </c>
      <c r="X78" s="322">
        <f t="shared" si="17"/>
        <v>0.26452245893744569</v>
      </c>
      <c r="Y78" s="322">
        <f t="shared" si="18"/>
        <v>1.1010529207161259E-3</v>
      </c>
    </row>
    <row r="79" spans="2:25">
      <c r="B79" s="323">
        <v>241</v>
      </c>
      <c r="C79" s="2335" t="s">
        <v>471</v>
      </c>
      <c r="D79" s="2335">
        <v>8500</v>
      </c>
      <c r="E79" s="2335" t="s">
        <v>181</v>
      </c>
      <c r="F79" s="2335" t="s">
        <v>454</v>
      </c>
      <c r="G79" s="2336">
        <v>5537</v>
      </c>
      <c r="H79" s="2336">
        <v>1500</v>
      </c>
      <c r="I79" s="2338">
        <f t="shared" si="10"/>
        <v>9.6235493914520239E-3</v>
      </c>
      <c r="J79" s="2334">
        <v>30</v>
      </c>
      <c r="K79" s="2334" t="s">
        <v>260</v>
      </c>
      <c r="L79" s="2333">
        <v>9.3636713201513242</v>
      </c>
      <c r="M79" s="2333">
        <v>3.7370457764431642</v>
      </c>
      <c r="N79" s="4154"/>
      <c r="O79" s="3548">
        <f t="shared" si="11"/>
        <v>8547.9324974281099</v>
      </c>
      <c r="P79" s="3548">
        <f t="shared" si="12"/>
        <v>19751.447761072883</v>
      </c>
      <c r="Q79" s="3548">
        <f>IF(K79=0, 0, (HLOOKUP(K79,'[3]E-CESTDWO'!$A$5:$O$35,J79+1,FALSE)*R29))</f>
        <v>59734.738821594161</v>
      </c>
      <c r="R79" s="3548">
        <f>IF(K79=0, 0, (HLOOKUP(K79,'[3]E-CESTD'!$A$5:$O$35,J79+1,FALSE)*R29))</f>
        <v>65708.212703753583</v>
      </c>
      <c r="S79" s="2332">
        <v>1.081</v>
      </c>
      <c r="T79" s="280">
        <f t="shared" si="13"/>
        <v>0</v>
      </c>
      <c r="U79" s="280">
        <f t="shared" si="14"/>
        <v>4500</v>
      </c>
      <c r="V79" s="280">
        <f t="shared" si="15"/>
        <v>4500</v>
      </c>
      <c r="W79" s="322">
        <f t="shared" si="16"/>
        <v>0.48699638329716805</v>
      </c>
      <c r="X79" s="322">
        <f t="shared" si="17"/>
        <v>0.25020896107040019</v>
      </c>
      <c r="Y79" s="322">
        <f t="shared" si="18"/>
        <v>1.0414741662486218E-3</v>
      </c>
    </row>
    <row r="80" spans="2:25">
      <c r="B80" s="323">
        <v>242</v>
      </c>
      <c r="C80" s="2335" t="s">
        <v>472</v>
      </c>
      <c r="D80" s="2337">
        <v>14000</v>
      </c>
      <c r="E80" s="2335" t="s">
        <v>181</v>
      </c>
      <c r="F80" s="2335" t="s">
        <v>454</v>
      </c>
      <c r="G80" s="2336">
        <v>5537</v>
      </c>
      <c r="H80" s="2336">
        <v>2000</v>
      </c>
      <c r="I80" s="2338">
        <f t="shared" si="10"/>
        <v>2.1134069251816209E-2</v>
      </c>
      <c r="J80" s="2334">
        <v>30</v>
      </c>
      <c r="K80" s="2334" t="s">
        <v>260</v>
      </c>
      <c r="L80" s="2333">
        <v>10.69269908228188</v>
      </c>
      <c r="M80" s="2333">
        <v>5.6909157422516969</v>
      </c>
      <c r="N80" s="4154"/>
      <c r="O80" s="3548">
        <f t="shared" si="11"/>
        <v>17030.623121811976</v>
      </c>
      <c r="P80" s="3548">
        <f t="shared" si="12"/>
        <v>30118.50471293131</v>
      </c>
      <c r="Q80" s="3548">
        <f>IF(K80=0, 0, (HLOOKUP(K80,'[3]E-CESTDWO'!$A$5:$O$35,J80+1,FALSE)*R30))</f>
        <v>131182.17152977543</v>
      </c>
      <c r="R80" s="3548">
        <f>IF(K80=0, 0, (HLOOKUP(K80,'[3]E-CESTD'!$A$5:$O$35,J80+1,FALSE)*R30))</f>
        <v>144300.38868275296</v>
      </c>
      <c r="S80" s="2332">
        <v>1.081</v>
      </c>
      <c r="T80" s="280">
        <f t="shared" si="13"/>
        <v>0</v>
      </c>
      <c r="U80" s="280">
        <f t="shared" si="14"/>
        <v>8000</v>
      </c>
      <c r="V80" s="280">
        <f t="shared" si="15"/>
        <v>8000</v>
      </c>
      <c r="W80" s="322">
        <f t="shared" si="16"/>
        <v>0.43454399693396184</v>
      </c>
      <c r="X80" s="322">
        <f t="shared" si="17"/>
        <v>0.27579173801445328</v>
      </c>
      <c r="Y80" s="322">
        <f t="shared" si="18"/>
        <v>1.1479603655204199E-3</v>
      </c>
    </row>
    <row r="81" spans="2:25">
      <c r="B81" s="323"/>
      <c r="C81" s="2335" t="s">
        <v>473</v>
      </c>
      <c r="D81" s="2337">
        <v>14875</v>
      </c>
      <c r="E81" s="2335" t="s">
        <v>181</v>
      </c>
      <c r="F81" s="2335" t="s">
        <v>454</v>
      </c>
      <c r="G81" s="2336">
        <v>9618</v>
      </c>
      <c r="H81" s="2336">
        <v>3950</v>
      </c>
      <c r="I81" s="2338">
        <f t="shared" si="10"/>
        <v>5.6137371450136808E-2</v>
      </c>
      <c r="J81" s="2334">
        <v>30</v>
      </c>
      <c r="K81" s="2334" t="s">
        <v>260</v>
      </c>
      <c r="L81" s="2333">
        <v>7.0436565347861766</v>
      </c>
      <c r="M81" s="2333">
        <v>3.7613866499635247</v>
      </c>
      <c r="N81" s="4154"/>
      <c r="O81" s="3548">
        <f t="shared" si="11"/>
        <v>62120.108856027211</v>
      </c>
      <c r="P81" s="3548">
        <f t="shared" si="12"/>
        <v>114553.04132596246</v>
      </c>
      <c r="Q81" s="3548">
        <f>IF(K81=0, 0, (HLOOKUP(K81,'[3]E-CESTDWO'!$A$5:$O$35,J81+1,FALSE)*R31))</f>
        <v>348452.64312596596</v>
      </c>
      <c r="R81" s="3548">
        <f>IF(K81=0, 0, (HLOOKUP(K81,'[3]E-CESTD'!$A$5:$O$35,J81+1,FALSE)*R31))</f>
        <v>383297.90743856254</v>
      </c>
      <c r="S81" s="2332">
        <v>1.081</v>
      </c>
      <c r="T81" s="280">
        <f t="shared" si="13"/>
        <v>0</v>
      </c>
      <c r="U81" s="280">
        <f t="shared" si="14"/>
        <v>39500</v>
      </c>
      <c r="V81" s="280">
        <f t="shared" si="15"/>
        <v>39500</v>
      </c>
      <c r="W81" s="322">
        <f t="shared" si="16"/>
        <v>0.58821919650408871</v>
      </c>
      <c r="X81" s="322">
        <f t="shared" si="17"/>
        <v>0.20083922155100437</v>
      </c>
      <c r="Y81" s="322">
        <f t="shared" si="18"/>
        <v>8.3597669691774801E-4</v>
      </c>
    </row>
    <row r="82" spans="2:25">
      <c r="B82" s="282"/>
      <c r="C82" s="282" t="s">
        <v>204</v>
      </c>
      <c r="D82" s="282">
        <v>0</v>
      </c>
      <c r="E82" s="282" t="s">
        <v>181</v>
      </c>
      <c r="F82" s="282" t="s">
        <v>186</v>
      </c>
      <c r="G82" s="283"/>
      <c r="H82" s="283"/>
      <c r="I82" s="311">
        <v>0</v>
      </c>
      <c r="J82" s="257"/>
      <c r="K82" s="257"/>
      <c r="L82" s="278" t="e">
        <f t="shared" ref="L82:M104" si="19">Q82/O82</f>
        <v>#DIV/0!</v>
      </c>
      <c r="M82" s="278" t="e">
        <f t="shared" si="19"/>
        <v>#DIV/0!</v>
      </c>
      <c r="N82" s="278"/>
      <c r="O82" s="214">
        <f t="shared" ref="O82:O104" si="20">(($I82*$F$57)+$V82)/$S82</f>
        <v>0</v>
      </c>
      <c r="P82" s="214">
        <f t="shared" ref="P82:P104" si="21">(($I82*$F$57)+($G82*$O32))/$S82</f>
        <v>0</v>
      </c>
      <c r="Q82" s="214">
        <f>IF(K82=0, 0, (HLOOKUP(K82,'[1]E-CESTDWO'!$A$5:$O$35,J82+1,FALSE)*R32))</f>
        <v>0</v>
      </c>
      <c r="R82" s="214">
        <f>IF(K82=0, 0, (HLOOKUP(K82,'[1]E-CESTD'!$A$5:$O$35,J82+1,FALSE)*R32))</f>
        <v>0</v>
      </c>
      <c r="S82" s="279">
        <v>1.081</v>
      </c>
      <c r="T82" s="280">
        <f t="shared" si="13"/>
        <v>0</v>
      </c>
      <c r="U82" s="280">
        <f t="shared" si="14"/>
        <v>0</v>
      </c>
      <c r="V82" s="280">
        <f t="shared" si="15"/>
        <v>0</v>
      </c>
      <c r="W82" s="322" t="e">
        <f t="shared" si="16"/>
        <v>#DIV/0!</v>
      </c>
      <c r="X82" s="322" t="e">
        <f t="shared" si="17"/>
        <v>#DIV/0!</v>
      </c>
      <c r="Y82" s="322" t="e">
        <f t="shared" si="18"/>
        <v>#DIV/0!</v>
      </c>
    </row>
    <row r="83" spans="2:25">
      <c r="B83" s="282"/>
      <c r="C83" s="282" t="s">
        <v>205</v>
      </c>
      <c r="D83" s="285">
        <v>0</v>
      </c>
      <c r="E83" s="282" t="s">
        <v>181</v>
      </c>
      <c r="F83" s="282" t="s">
        <v>186</v>
      </c>
      <c r="G83" s="283"/>
      <c r="H83" s="283"/>
      <c r="I83" s="311">
        <v>0</v>
      </c>
      <c r="J83" s="257"/>
      <c r="K83" s="257"/>
      <c r="L83" s="278" t="e">
        <f t="shared" si="19"/>
        <v>#DIV/0!</v>
      </c>
      <c r="M83" s="278" t="e">
        <f t="shared" si="19"/>
        <v>#DIV/0!</v>
      </c>
      <c r="N83" s="278"/>
      <c r="O83" s="214">
        <f t="shared" si="20"/>
        <v>0</v>
      </c>
      <c r="P83" s="214">
        <f t="shared" si="21"/>
        <v>0</v>
      </c>
      <c r="Q83" s="214">
        <f>IF(K83=0, 0, (HLOOKUP(K83,'[1]E-CESTDWO'!$A$5:$O$35,J83+1,FALSE)*R33))</f>
        <v>0</v>
      </c>
      <c r="R83" s="214">
        <f>IF(K83=0, 0, (HLOOKUP(K83,'[1]E-CESTD'!$A$5:$O$35,J83+1,FALSE)*R33))</f>
        <v>0</v>
      </c>
      <c r="S83" s="279">
        <v>1.081</v>
      </c>
      <c r="T83" s="280">
        <f t="shared" si="13"/>
        <v>0</v>
      </c>
      <c r="U83" s="280">
        <f t="shared" si="14"/>
        <v>0</v>
      </c>
      <c r="V83" s="280">
        <f t="shared" si="15"/>
        <v>0</v>
      </c>
      <c r="W83" s="322" t="e">
        <f t="shared" si="16"/>
        <v>#DIV/0!</v>
      </c>
      <c r="X83" s="322" t="e">
        <f t="shared" si="17"/>
        <v>#DIV/0!</v>
      </c>
      <c r="Y83" s="322" t="e">
        <f t="shared" si="18"/>
        <v>#DIV/0!</v>
      </c>
    </row>
    <row r="84" spans="2:25">
      <c r="B84" s="282"/>
      <c r="C84" s="282" t="s">
        <v>206</v>
      </c>
      <c r="D84" s="285">
        <v>0</v>
      </c>
      <c r="E84" s="282" t="s">
        <v>181</v>
      </c>
      <c r="F84" s="282" t="s">
        <v>186</v>
      </c>
      <c r="G84" s="283"/>
      <c r="H84" s="283"/>
      <c r="I84" s="311">
        <v>0</v>
      </c>
      <c r="J84" s="257"/>
      <c r="K84" s="257"/>
      <c r="L84" s="278" t="e">
        <f t="shared" si="19"/>
        <v>#DIV/0!</v>
      </c>
      <c r="M84" s="278" t="e">
        <f t="shared" si="19"/>
        <v>#DIV/0!</v>
      </c>
      <c r="N84" s="278"/>
      <c r="O84" s="214">
        <f t="shared" si="20"/>
        <v>0</v>
      </c>
      <c r="P84" s="214">
        <f t="shared" si="21"/>
        <v>0</v>
      </c>
      <c r="Q84" s="214">
        <f>IF(K84=0, 0, (HLOOKUP(K84,'[1]E-CESTDWO'!$A$5:$O$35,J84+1,FALSE)*R34))</f>
        <v>0</v>
      </c>
      <c r="R84" s="214">
        <f>IF(K84=0, 0, (HLOOKUP(K84,'[1]E-CESTD'!$A$5:$O$35,J84+1,FALSE)*R34))</f>
        <v>0</v>
      </c>
      <c r="S84" s="279">
        <v>1.081</v>
      </c>
      <c r="T84" s="280">
        <f t="shared" si="13"/>
        <v>0</v>
      </c>
      <c r="U84" s="280">
        <f t="shared" si="14"/>
        <v>0</v>
      </c>
      <c r="V84" s="280">
        <f t="shared" si="15"/>
        <v>0</v>
      </c>
      <c r="W84" s="322" t="e">
        <f t="shared" si="16"/>
        <v>#DIV/0!</v>
      </c>
      <c r="X84" s="322" t="e">
        <f t="shared" si="17"/>
        <v>#DIV/0!</v>
      </c>
      <c r="Y84" s="322" t="e">
        <f t="shared" si="18"/>
        <v>#DIV/0!</v>
      </c>
    </row>
    <row r="85" spans="2:25">
      <c r="B85" s="282"/>
      <c r="C85" s="282" t="s">
        <v>207</v>
      </c>
      <c r="D85" s="285">
        <v>0</v>
      </c>
      <c r="E85" s="282" t="s">
        <v>181</v>
      </c>
      <c r="F85" s="282" t="s">
        <v>186</v>
      </c>
      <c r="G85" s="283"/>
      <c r="H85" s="283"/>
      <c r="I85" s="311">
        <v>0</v>
      </c>
      <c r="J85" s="257"/>
      <c r="K85" s="257"/>
      <c r="L85" s="278" t="e">
        <f t="shared" si="19"/>
        <v>#DIV/0!</v>
      </c>
      <c r="M85" s="278" t="e">
        <f t="shared" si="19"/>
        <v>#DIV/0!</v>
      </c>
      <c r="N85" s="278"/>
      <c r="O85" s="214">
        <f t="shared" si="20"/>
        <v>0</v>
      </c>
      <c r="P85" s="214">
        <f t="shared" si="21"/>
        <v>0</v>
      </c>
      <c r="Q85" s="214">
        <f>IF(K85=0, 0, (HLOOKUP(K85,'[1]E-CESTDWO'!$A$5:$O$35,J85+1,FALSE)*R35))</f>
        <v>0</v>
      </c>
      <c r="R85" s="214">
        <f>IF(K85=0, 0, (HLOOKUP(K85,'[1]E-CESTD'!$A$5:$O$35,J85+1,FALSE)*R35))</f>
        <v>0</v>
      </c>
      <c r="S85" s="279">
        <v>1.081</v>
      </c>
      <c r="T85" s="280">
        <f t="shared" si="13"/>
        <v>0</v>
      </c>
      <c r="U85" s="280">
        <f t="shared" si="14"/>
        <v>0</v>
      </c>
      <c r="V85" s="280">
        <f t="shared" si="15"/>
        <v>0</v>
      </c>
      <c r="W85" s="322" t="e">
        <f t="shared" si="16"/>
        <v>#DIV/0!</v>
      </c>
      <c r="X85" s="322" t="e">
        <f t="shared" si="17"/>
        <v>#DIV/0!</v>
      </c>
      <c r="Y85" s="322" t="e">
        <f t="shared" si="18"/>
        <v>#DIV/0!</v>
      </c>
    </row>
    <row r="86" spans="2:25">
      <c r="B86" s="282"/>
      <c r="C86" s="282" t="s">
        <v>208</v>
      </c>
      <c r="D86" s="285">
        <v>0</v>
      </c>
      <c r="E86" s="282" t="s">
        <v>181</v>
      </c>
      <c r="F86" s="282" t="s">
        <v>186</v>
      </c>
      <c r="G86" s="283"/>
      <c r="H86" s="283"/>
      <c r="I86" s="311">
        <v>0</v>
      </c>
      <c r="J86" s="257"/>
      <c r="K86" s="257"/>
      <c r="L86" s="278" t="e">
        <f t="shared" si="19"/>
        <v>#DIV/0!</v>
      </c>
      <c r="M86" s="278" t="e">
        <f t="shared" si="19"/>
        <v>#DIV/0!</v>
      </c>
      <c r="N86" s="278"/>
      <c r="O86" s="214">
        <f t="shared" si="20"/>
        <v>0</v>
      </c>
      <c r="P86" s="214">
        <f t="shared" si="21"/>
        <v>0</v>
      </c>
      <c r="Q86" s="214">
        <f>IF(K86=0, 0, (HLOOKUP(K86,'[1]E-CESTDWO'!$A$5:$O$35,J86+1,FALSE)*R36))</f>
        <v>0</v>
      </c>
      <c r="R86" s="214">
        <f>IF(K86=0, 0, (HLOOKUP(K86,'[1]E-CESTD'!$A$5:$O$35,J86+1,FALSE)*R36))</f>
        <v>0</v>
      </c>
      <c r="S86" s="279">
        <v>1.081</v>
      </c>
      <c r="T86" s="280">
        <f t="shared" si="13"/>
        <v>0</v>
      </c>
      <c r="U86" s="280">
        <f t="shared" si="14"/>
        <v>0</v>
      </c>
      <c r="V86" s="280">
        <f t="shared" si="15"/>
        <v>0</v>
      </c>
      <c r="W86" s="322" t="e">
        <f t="shared" si="16"/>
        <v>#DIV/0!</v>
      </c>
      <c r="X86" s="322" t="e">
        <f t="shared" si="17"/>
        <v>#DIV/0!</v>
      </c>
      <c r="Y86" s="322" t="e">
        <f t="shared" si="18"/>
        <v>#DIV/0!</v>
      </c>
    </row>
    <row r="87" spans="2:25">
      <c r="B87" s="282"/>
      <c r="C87" s="282" t="s">
        <v>209</v>
      </c>
      <c r="D87" s="285">
        <v>0</v>
      </c>
      <c r="E87" s="282" t="s">
        <v>181</v>
      </c>
      <c r="F87" s="282" t="s">
        <v>186</v>
      </c>
      <c r="G87" s="283"/>
      <c r="H87" s="283"/>
      <c r="I87" s="311">
        <v>0</v>
      </c>
      <c r="J87" s="257"/>
      <c r="K87" s="257"/>
      <c r="L87" s="278" t="e">
        <f t="shared" si="19"/>
        <v>#DIV/0!</v>
      </c>
      <c r="M87" s="278" t="e">
        <f t="shared" si="19"/>
        <v>#DIV/0!</v>
      </c>
      <c r="N87" s="278"/>
      <c r="O87" s="214">
        <f t="shared" si="20"/>
        <v>0</v>
      </c>
      <c r="P87" s="214">
        <f t="shared" si="21"/>
        <v>0</v>
      </c>
      <c r="Q87" s="214">
        <f>IF(K87=0, 0, (HLOOKUP(K87,'[1]E-CESTDWO'!$A$5:$O$35,J87+1,FALSE)*R37))</f>
        <v>0</v>
      </c>
      <c r="R87" s="214">
        <f>IF(K87=0, 0, (HLOOKUP(K87,'[1]E-CESTD'!$A$5:$O$35,J87+1,FALSE)*R37))</f>
        <v>0</v>
      </c>
      <c r="S87" s="279">
        <v>1.081</v>
      </c>
      <c r="T87" s="280">
        <f t="shared" si="13"/>
        <v>0</v>
      </c>
      <c r="U87" s="280">
        <f t="shared" si="14"/>
        <v>0</v>
      </c>
      <c r="V87" s="280">
        <f t="shared" si="15"/>
        <v>0</v>
      </c>
      <c r="W87" s="322" t="e">
        <f t="shared" si="16"/>
        <v>#DIV/0!</v>
      </c>
      <c r="X87" s="322" t="e">
        <f t="shared" si="17"/>
        <v>#DIV/0!</v>
      </c>
      <c r="Y87" s="322" t="e">
        <f t="shared" si="18"/>
        <v>#DIV/0!</v>
      </c>
    </row>
    <row r="88" spans="2:25">
      <c r="B88" s="282"/>
      <c r="C88" s="282" t="s">
        <v>210</v>
      </c>
      <c r="D88" s="285">
        <v>0</v>
      </c>
      <c r="E88" s="282" t="s">
        <v>181</v>
      </c>
      <c r="F88" s="282" t="s">
        <v>186</v>
      </c>
      <c r="G88" s="283"/>
      <c r="H88" s="283"/>
      <c r="I88" s="311">
        <v>0</v>
      </c>
      <c r="J88" s="257"/>
      <c r="K88" s="257"/>
      <c r="L88" s="278" t="e">
        <f t="shared" si="19"/>
        <v>#DIV/0!</v>
      </c>
      <c r="M88" s="278" t="e">
        <f t="shared" si="19"/>
        <v>#DIV/0!</v>
      </c>
      <c r="N88" s="278"/>
      <c r="O88" s="214">
        <f t="shared" si="20"/>
        <v>0</v>
      </c>
      <c r="P88" s="214">
        <f t="shared" si="21"/>
        <v>0</v>
      </c>
      <c r="Q88" s="214">
        <f>IF(K88=0, 0, (HLOOKUP(K88,'[1]E-CESTDWO'!$A$5:$O$35,J88+1,FALSE)*R38))</f>
        <v>0</v>
      </c>
      <c r="R88" s="214">
        <f>IF(K88=0, 0, (HLOOKUP(K88,'[1]E-CESTD'!$A$5:$O$35,J88+1,FALSE)*R38))</f>
        <v>0</v>
      </c>
      <c r="S88" s="279">
        <v>1.081</v>
      </c>
      <c r="T88" s="280">
        <f t="shared" si="13"/>
        <v>0</v>
      </c>
      <c r="U88" s="280">
        <f t="shared" si="14"/>
        <v>0</v>
      </c>
      <c r="V88" s="280">
        <f t="shared" si="15"/>
        <v>0</v>
      </c>
      <c r="W88" s="322" t="e">
        <f t="shared" si="16"/>
        <v>#DIV/0!</v>
      </c>
      <c r="X88" s="322" t="e">
        <f t="shared" si="17"/>
        <v>#DIV/0!</v>
      </c>
      <c r="Y88" s="322" t="e">
        <f t="shared" si="18"/>
        <v>#DIV/0!</v>
      </c>
    </row>
    <row r="89" spans="2:25">
      <c r="B89" s="282"/>
      <c r="C89" s="282" t="s">
        <v>211</v>
      </c>
      <c r="D89" s="285">
        <v>0</v>
      </c>
      <c r="E89" s="282" t="s">
        <v>181</v>
      </c>
      <c r="F89" s="282" t="s">
        <v>186</v>
      </c>
      <c r="G89" s="283"/>
      <c r="H89" s="283"/>
      <c r="I89" s="311">
        <v>0</v>
      </c>
      <c r="J89" s="257"/>
      <c r="K89" s="257"/>
      <c r="L89" s="278" t="e">
        <f t="shared" si="19"/>
        <v>#DIV/0!</v>
      </c>
      <c r="M89" s="278" t="e">
        <f t="shared" si="19"/>
        <v>#DIV/0!</v>
      </c>
      <c r="N89" s="278"/>
      <c r="O89" s="214">
        <f t="shared" si="20"/>
        <v>0</v>
      </c>
      <c r="P89" s="214">
        <f t="shared" si="21"/>
        <v>0</v>
      </c>
      <c r="Q89" s="214">
        <f>IF(K89=0, 0, (HLOOKUP(K89,'[1]E-CESTDWO'!$A$5:$O$35,J89+1,FALSE)*R39))</f>
        <v>0</v>
      </c>
      <c r="R89" s="214">
        <f>IF(K89=0, 0, (HLOOKUP(K89,'[1]E-CESTD'!$A$5:$O$35,J89+1,FALSE)*R39))</f>
        <v>0</v>
      </c>
      <c r="S89" s="279">
        <v>1.081</v>
      </c>
      <c r="T89" s="280">
        <f t="shared" si="13"/>
        <v>0</v>
      </c>
      <c r="U89" s="280">
        <f t="shared" si="14"/>
        <v>0</v>
      </c>
      <c r="V89" s="280">
        <f t="shared" si="15"/>
        <v>0</v>
      </c>
      <c r="W89" s="322" t="e">
        <f t="shared" si="16"/>
        <v>#DIV/0!</v>
      </c>
      <c r="X89" s="322" t="e">
        <f t="shared" si="17"/>
        <v>#DIV/0!</v>
      </c>
      <c r="Y89" s="322" t="e">
        <f t="shared" si="18"/>
        <v>#DIV/0!</v>
      </c>
    </row>
    <row r="90" spans="2:25">
      <c r="B90" s="282"/>
      <c r="C90" s="282" t="s">
        <v>212</v>
      </c>
      <c r="D90" s="285">
        <v>0</v>
      </c>
      <c r="E90" s="282" t="s">
        <v>181</v>
      </c>
      <c r="F90" s="282" t="s">
        <v>186</v>
      </c>
      <c r="G90" s="283"/>
      <c r="H90" s="283"/>
      <c r="I90" s="311">
        <v>0</v>
      </c>
      <c r="J90" s="257"/>
      <c r="K90" s="257"/>
      <c r="L90" s="278" t="e">
        <f t="shared" si="19"/>
        <v>#DIV/0!</v>
      </c>
      <c r="M90" s="278" t="e">
        <f t="shared" si="19"/>
        <v>#DIV/0!</v>
      </c>
      <c r="N90" s="278"/>
      <c r="O90" s="214">
        <f t="shared" si="20"/>
        <v>0</v>
      </c>
      <c r="P90" s="214">
        <f t="shared" si="21"/>
        <v>0</v>
      </c>
      <c r="Q90" s="214">
        <f>IF(K90=0, 0, (HLOOKUP(K90,'[1]E-CESTDWO'!$A$5:$O$35,J90+1,FALSE)*R40))</f>
        <v>0</v>
      </c>
      <c r="R90" s="214">
        <f>IF(K90=0, 0, (HLOOKUP(K90,'[1]E-CESTD'!$A$5:$O$35,J90+1,FALSE)*R40))</f>
        <v>0</v>
      </c>
      <c r="S90" s="279">
        <v>1.081</v>
      </c>
      <c r="T90" s="280">
        <f t="shared" si="13"/>
        <v>0</v>
      </c>
      <c r="U90" s="280">
        <f t="shared" si="14"/>
        <v>0</v>
      </c>
      <c r="V90" s="280">
        <f t="shared" si="15"/>
        <v>0</v>
      </c>
      <c r="W90" s="322" t="e">
        <f t="shared" si="16"/>
        <v>#DIV/0!</v>
      </c>
      <c r="X90" s="322" t="e">
        <f t="shared" si="17"/>
        <v>#DIV/0!</v>
      </c>
      <c r="Y90" s="322" t="e">
        <f t="shared" si="18"/>
        <v>#DIV/0!</v>
      </c>
    </row>
    <row r="91" spans="2:25">
      <c r="B91" s="282"/>
      <c r="C91" s="282" t="s">
        <v>213</v>
      </c>
      <c r="D91" s="285">
        <v>0</v>
      </c>
      <c r="E91" s="282" t="s">
        <v>181</v>
      </c>
      <c r="F91" s="282" t="s">
        <v>186</v>
      </c>
      <c r="G91" s="283"/>
      <c r="H91" s="283"/>
      <c r="I91" s="311">
        <v>0</v>
      </c>
      <c r="J91" s="257"/>
      <c r="K91" s="257"/>
      <c r="L91" s="278" t="e">
        <f t="shared" si="19"/>
        <v>#DIV/0!</v>
      </c>
      <c r="M91" s="278" t="e">
        <f t="shared" si="19"/>
        <v>#DIV/0!</v>
      </c>
      <c r="N91" s="278"/>
      <c r="O91" s="214">
        <f t="shared" si="20"/>
        <v>0</v>
      </c>
      <c r="P91" s="214">
        <f t="shared" si="21"/>
        <v>0</v>
      </c>
      <c r="Q91" s="214">
        <f>IF(K91=0, 0, (HLOOKUP(K91,'[1]E-CESTDWO'!$A$5:$O$35,J91+1,FALSE)*R41))</f>
        <v>0</v>
      </c>
      <c r="R91" s="214">
        <f>IF(K91=0, 0, (HLOOKUP(K91,'[1]E-CESTD'!$A$5:$O$35,J91+1,FALSE)*R41))</f>
        <v>0</v>
      </c>
      <c r="S91" s="279">
        <v>1.081</v>
      </c>
      <c r="T91" s="280">
        <f t="shared" si="13"/>
        <v>0</v>
      </c>
      <c r="U91" s="280">
        <f t="shared" si="14"/>
        <v>0</v>
      </c>
      <c r="V91" s="280">
        <f t="shared" si="15"/>
        <v>0</v>
      </c>
      <c r="W91" s="322" t="e">
        <f t="shared" si="16"/>
        <v>#DIV/0!</v>
      </c>
      <c r="X91" s="322" t="e">
        <f t="shared" si="17"/>
        <v>#DIV/0!</v>
      </c>
      <c r="Y91" s="322" t="e">
        <f t="shared" si="18"/>
        <v>#DIV/0!</v>
      </c>
    </row>
    <row r="92" spans="2:25">
      <c r="B92" s="282"/>
      <c r="C92" s="282" t="s">
        <v>214</v>
      </c>
      <c r="D92" s="285">
        <v>0</v>
      </c>
      <c r="E92" s="282" t="s">
        <v>181</v>
      </c>
      <c r="F92" s="282" t="s">
        <v>186</v>
      </c>
      <c r="G92" s="283"/>
      <c r="H92" s="283"/>
      <c r="I92" s="311">
        <v>0</v>
      </c>
      <c r="J92" s="257"/>
      <c r="K92" s="257"/>
      <c r="L92" s="278" t="e">
        <f t="shared" si="19"/>
        <v>#DIV/0!</v>
      </c>
      <c r="M92" s="278" t="e">
        <f t="shared" si="19"/>
        <v>#DIV/0!</v>
      </c>
      <c r="N92" s="278"/>
      <c r="O92" s="214">
        <f t="shared" si="20"/>
        <v>0</v>
      </c>
      <c r="P92" s="214">
        <f t="shared" si="21"/>
        <v>0</v>
      </c>
      <c r="Q92" s="214">
        <f>IF(K92=0, 0, (HLOOKUP(K92,'[1]E-CESTDWO'!$A$5:$O$35,J92+1,FALSE)*R42))</f>
        <v>0</v>
      </c>
      <c r="R92" s="214">
        <f>IF(K92=0, 0, (HLOOKUP(K92,'[1]E-CESTD'!$A$5:$O$35,J92+1,FALSE)*R42))</f>
        <v>0</v>
      </c>
      <c r="S92" s="279">
        <v>1.081</v>
      </c>
      <c r="T92" s="280">
        <f t="shared" si="13"/>
        <v>0</v>
      </c>
      <c r="U92" s="280">
        <f t="shared" si="14"/>
        <v>0</v>
      </c>
      <c r="V92" s="280">
        <f t="shared" si="15"/>
        <v>0</v>
      </c>
      <c r="W92" s="322" t="e">
        <f t="shared" si="16"/>
        <v>#DIV/0!</v>
      </c>
      <c r="X92" s="322" t="e">
        <f t="shared" si="17"/>
        <v>#DIV/0!</v>
      </c>
      <c r="Y92" s="322" t="e">
        <f t="shared" si="18"/>
        <v>#DIV/0!</v>
      </c>
    </row>
    <row r="93" spans="2:25">
      <c r="B93" s="282"/>
      <c r="C93" s="282" t="s">
        <v>215</v>
      </c>
      <c r="D93" s="285">
        <v>0</v>
      </c>
      <c r="E93" s="282" t="s">
        <v>181</v>
      </c>
      <c r="F93" s="282" t="s">
        <v>186</v>
      </c>
      <c r="G93" s="283"/>
      <c r="H93" s="283"/>
      <c r="I93" s="311">
        <v>0</v>
      </c>
      <c r="J93" s="257"/>
      <c r="K93" s="257"/>
      <c r="L93" s="278" t="e">
        <f t="shared" si="19"/>
        <v>#DIV/0!</v>
      </c>
      <c r="M93" s="278" t="e">
        <f t="shared" si="19"/>
        <v>#DIV/0!</v>
      </c>
      <c r="N93" s="278"/>
      <c r="O93" s="214">
        <f t="shared" si="20"/>
        <v>0</v>
      </c>
      <c r="P93" s="214">
        <f t="shared" si="21"/>
        <v>0</v>
      </c>
      <c r="Q93" s="214">
        <f>IF(K93=0, 0, (HLOOKUP(K93,'[1]E-CESTDWO'!$A$5:$O$35,J93+1,FALSE)*R43))</f>
        <v>0</v>
      </c>
      <c r="R93" s="214">
        <f>IF(K93=0, 0, (HLOOKUP(K93,'[1]E-CESTD'!$A$5:$O$35,J93+1,FALSE)*R43))</f>
        <v>0</v>
      </c>
      <c r="S93" s="279">
        <v>1.081</v>
      </c>
      <c r="T93" s="280">
        <f t="shared" si="13"/>
        <v>0</v>
      </c>
      <c r="U93" s="280">
        <f t="shared" si="14"/>
        <v>0</v>
      </c>
      <c r="V93" s="280">
        <f t="shared" si="15"/>
        <v>0</v>
      </c>
      <c r="W93" s="322" t="e">
        <f t="shared" si="16"/>
        <v>#DIV/0!</v>
      </c>
      <c r="X93" s="322" t="e">
        <f t="shared" si="17"/>
        <v>#DIV/0!</v>
      </c>
      <c r="Y93" s="322" t="e">
        <f t="shared" si="18"/>
        <v>#DIV/0!</v>
      </c>
    </row>
    <row r="94" spans="2:25">
      <c r="B94" s="282"/>
      <c r="C94" s="282" t="s">
        <v>216</v>
      </c>
      <c r="D94" s="285">
        <v>0</v>
      </c>
      <c r="E94" s="282" t="s">
        <v>181</v>
      </c>
      <c r="F94" s="282" t="s">
        <v>186</v>
      </c>
      <c r="G94" s="283"/>
      <c r="H94" s="283"/>
      <c r="I94" s="311">
        <v>0</v>
      </c>
      <c r="J94" s="257"/>
      <c r="K94" s="257"/>
      <c r="L94" s="278" t="e">
        <f t="shared" si="19"/>
        <v>#DIV/0!</v>
      </c>
      <c r="M94" s="278" t="e">
        <f t="shared" si="19"/>
        <v>#DIV/0!</v>
      </c>
      <c r="N94" s="278"/>
      <c r="O94" s="214">
        <f t="shared" si="20"/>
        <v>0</v>
      </c>
      <c r="P94" s="214">
        <f t="shared" si="21"/>
        <v>0</v>
      </c>
      <c r="Q94" s="214">
        <f>IF(K94=0, 0, (HLOOKUP(K94,'[1]E-CESTDWO'!$A$5:$O$35,J94+1,FALSE)*R44))</f>
        <v>0</v>
      </c>
      <c r="R94" s="214">
        <f>IF(K94=0, 0, (HLOOKUP(K94,'[1]E-CESTD'!$A$5:$O$35,J94+1,FALSE)*R44))</f>
        <v>0</v>
      </c>
      <c r="S94" s="279">
        <v>1.081</v>
      </c>
      <c r="T94" s="280">
        <f t="shared" si="13"/>
        <v>0</v>
      </c>
      <c r="U94" s="280">
        <f t="shared" si="14"/>
        <v>0</v>
      </c>
      <c r="V94" s="280">
        <f t="shared" si="15"/>
        <v>0</v>
      </c>
      <c r="W94" s="322" t="e">
        <f t="shared" si="16"/>
        <v>#DIV/0!</v>
      </c>
      <c r="X94" s="322" t="e">
        <f t="shared" si="17"/>
        <v>#DIV/0!</v>
      </c>
      <c r="Y94" s="322" t="e">
        <f t="shared" si="18"/>
        <v>#DIV/0!</v>
      </c>
    </row>
    <row r="95" spans="2:25">
      <c r="B95" s="282"/>
      <c r="C95" s="282" t="s">
        <v>217</v>
      </c>
      <c r="D95" s="285">
        <v>0</v>
      </c>
      <c r="E95" s="282" t="s">
        <v>181</v>
      </c>
      <c r="F95" s="282" t="s">
        <v>186</v>
      </c>
      <c r="G95" s="283"/>
      <c r="H95" s="283"/>
      <c r="I95" s="311">
        <v>0</v>
      </c>
      <c r="J95" s="257"/>
      <c r="K95" s="257"/>
      <c r="L95" s="278" t="e">
        <f t="shared" si="19"/>
        <v>#DIV/0!</v>
      </c>
      <c r="M95" s="278" t="e">
        <f t="shared" si="19"/>
        <v>#DIV/0!</v>
      </c>
      <c r="N95" s="278"/>
      <c r="O95" s="214">
        <f t="shared" si="20"/>
        <v>0</v>
      </c>
      <c r="P95" s="214">
        <f t="shared" si="21"/>
        <v>0</v>
      </c>
      <c r="Q95" s="214">
        <f>IF(K95=0, 0, (HLOOKUP(K95,'[1]E-CESTDWO'!$A$5:$O$35,J95+1,FALSE)*R45))</f>
        <v>0</v>
      </c>
      <c r="R95" s="214">
        <f>IF(K95=0, 0, (HLOOKUP(K95,'[1]E-CESTD'!$A$5:$O$35,J95+1,FALSE)*R45))</f>
        <v>0</v>
      </c>
      <c r="S95" s="279">
        <v>1.081</v>
      </c>
      <c r="T95" s="280">
        <f t="shared" si="13"/>
        <v>0</v>
      </c>
      <c r="U95" s="280">
        <f t="shared" si="14"/>
        <v>0</v>
      </c>
      <c r="V95" s="280">
        <f t="shared" si="15"/>
        <v>0</v>
      </c>
      <c r="W95" s="322" t="e">
        <f t="shared" si="16"/>
        <v>#DIV/0!</v>
      </c>
      <c r="X95" s="322" t="e">
        <f t="shared" si="17"/>
        <v>#DIV/0!</v>
      </c>
      <c r="Y95" s="322" t="e">
        <f t="shared" si="18"/>
        <v>#DIV/0!</v>
      </c>
    </row>
    <row r="96" spans="2:25">
      <c r="B96" s="282"/>
      <c r="C96" s="282" t="s">
        <v>218</v>
      </c>
      <c r="D96" s="285">
        <v>0</v>
      </c>
      <c r="E96" s="282" t="s">
        <v>181</v>
      </c>
      <c r="F96" s="282" t="s">
        <v>186</v>
      </c>
      <c r="G96" s="283"/>
      <c r="H96" s="283"/>
      <c r="I96" s="311">
        <v>0</v>
      </c>
      <c r="J96" s="257"/>
      <c r="K96" s="257"/>
      <c r="L96" s="278" t="e">
        <f t="shared" si="19"/>
        <v>#DIV/0!</v>
      </c>
      <c r="M96" s="278" t="e">
        <f t="shared" si="19"/>
        <v>#DIV/0!</v>
      </c>
      <c r="N96" s="278"/>
      <c r="O96" s="214">
        <f t="shared" si="20"/>
        <v>0</v>
      </c>
      <c r="P96" s="214">
        <f t="shared" si="21"/>
        <v>0</v>
      </c>
      <c r="Q96" s="214">
        <f>IF(K96=0, 0, (HLOOKUP(K96,'[1]E-CESTDWO'!$A$5:$O$35,J96+1,FALSE)*R46))</f>
        <v>0</v>
      </c>
      <c r="R96" s="214">
        <f>IF(K96=0, 0, (HLOOKUP(K96,'[1]E-CESTD'!$A$5:$O$35,J96+1,FALSE)*R46))</f>
        <v>0</v>
      </c>
      <c r="S96" s="279">
        <v>1.081</v>
      </c>
      <c r="T96" s="280">
        <f t="shared" si="13"/>
        <v>0</v>
      </c>
      <c r="U96" s="280">
        <f t="shared" si="14"/>
        <v>0</v>
      </c>
      <c r="V96" s="280">
        <f t="shared" si="15"/>
        <v>0</v>
      </c>
      <c r="W96" s="322" t="e">
        <f t="shared" si="16"/>
        <v>#DIV/0!</v>
      </c>
      <c r="X96" s="322" t="e">
        <f t="shared" si="17"/>
        <v>#DIV/0!</v>
      </c>
      <c r="Y96" s="322" t="e">
        <f t="shared" si="18"/>
        <v>#DIV/0!</v>
      </c>
    </row>
    <row r="97" spans="2:25">
      <c r="B97" s="282"/>
      <c r="C97" s="282" t="s">
        <v>219</v>
      </c>
      <c r="D97" s="285">
        <v>0</v>
      </c>
      <c r="E97" s="282" t="s">
        <v>181</v>
      </c>
      <c r="F97" s="282" t="s">
        <v>186</v>
      </c>
      <c r="G97" s="283"/>
      <c r="H97" s="283"/>
      <c r="I97" s="311">
        <v>0</v>
      </c>
      <c r="J97" s="257"/>
      <c r="K97" s="257"/>
      <c r="L97" s="278" t="e">
        <f t="shared" si="19"/>
        <v>#DIV/0!</v>
      </c>
      <c r="M97" s="278" t="e">
        <f t="shared" si="19"/>
        <v>#DIV/0!</v>
      </c>
      <c r="N97" s="278"/>
      <c r="O97" s="214">
        <f t="shared" si="20"/>
        <v>0</v>
      </c>
      <c r="P97" s="214">
        <f t="shared" si="21"/>
        <v>0</v>
      </c>
      <c r="Q97" s="214">
        <f>IF(K97=0, 0, (HLOOKUP(K97,'[1]E-CESTDWO'!$A$5:$O$35,J97+1,FALSE)*R47))</f>
        <v>0</v>
      </c>
      <c r="R97" s="214">
        <f>IF(K97=0, 0, (HLOOKUP(K97,'[1]E-CESTD'!$A$5:$O$35,J97+1,FALSE)*R47))</f>
        <v>0</v>
      </c>
      <c r="S97" s="279">
        <v>1.081</v>
      </c>
      <c r="T97" s="280">
        <f t="shared" si="13"/>
        <v>0</v>
      </c>
      <c r="U97" s="280">
        <f t="shared" si="14"/>
        <v>0</v>
      </c>
      <c r="V97" s="280">
        <f t="shared" si="15"/>
        <v>0</v>
      </c>
      <c r="W97" s="322" t="e">
        <f t="shared" si="16"/>
        <v>#DIV/0!</v>
      </c>
      <c r="X97" s="322" t="e">
        <f t="shared" si="17"/>
        <v>#DIV/0!</v>
      </c>
      <c r="Y97" s="322" t="e">
        <f t="shared" si="18"/>
        <v>#DIV/0!</v>
      </c>
    </row>
    <row r="98" spans="2:25">
      <c r="B98" s="282"/>
      <c r="C98" s="282" t="s">
        <v>220</v>
      </c>
      <c r="D98" s="285">
        <v>0</v>
      </c>
      <c r="E98" s="282" t="s">
        <v>181</v>
      </c>
      <c r="F98" s="282" t="s">
        <v>186</v>
      </c>
      <c r="G98" s="283"/>
      <c r="H98" s="283"/>
      <c r="I98" s="311">
        <v>0</v>
      </c>
      <c r="J98" s="257"/>
      <c r="K98" s="257"/>
      <c r="L98" s="278" t="e">
        <f t="shared" si="19"/>
        <v>#DIV/0!</v>
      </c>
      <c r="M98" s="278" t="e">
        <f t="shared" si="19"/>
        <v>#DIV/0!</v>
      </c>
      <c r="N98" s="278"/>
      <c r="O98" s="214">
        <f t="shared" si="20"/>
        <v>0</v>
      </c>
      <c r="P98" s="214">
        <f t="shared" si="21"/>
        <v>0</v>
      </c>
      <c r="Q98" s="214">
        <f>IF(K98=0, 0, (HLOOKUP(K98,'[1]E-CESTDWO'!$A$5:$O$35,J98+1,FALSE)*R48))</f>
        <v>0</v>
      </c>
      <c r="R98" s="214">
        <f>IF(K98=0, 0, (HLOOKUP(K98,'[1]E-CESTD'!$A$5:$O$35,J98+1,FALSE)*R48))</f>
        <v>0</v>
      </c>
      <c r="S98" s="279">
        <v>1.081</v>
      </c>
      <c r="T98" s="280">
        <f t="shared" si="13"/>
        <v>0</v>
      </c>
      <c r="U98" s="280">
        <f t="shared" si="14"/>
        <v>0</v>
      </c>
      <c r="V98" s="280">
        <f t="shared" si="15"/>
        <v>0</v>
      </c>
      <c r="W98" s="322" t="e">
        <f t="shared" si="16"/>
        <v>#DIV/0!</v>
      </c>
      <c r="X98" s="322" t="e">
        <f t="shared" si="17"/>
        <v>#DIV/0!</v>
      </c>
      <c r="Y98" s="322" t="e">
        <f t="shared" si="18"/>
        <v>#DIV/0!</v>
      </c>
    </row>
    <row r="99" spans="2:25">
      <c r="B99" s="282"/>
      <c r="C99" s="282" t="s">
        <v>221</v>
      </c>
      <c r="D99" s="285">
        <v>0</v>
      </c>
      <c r="E99" s="282" t="s">
        <v>181</v>
      </c>
      <c r="F99" s="282" t="s">
        <v>186</v>
      </c>
      <c r="G99" s="283"/>
      <c r="H99" s="283"/>
      <c r="I99" s="311">
        <v>0</v>
      </c>
      <c r="J99" s="257"/>
      <c r="K99" s="257"/>
      <c r="L99" s="278" t="e">
        <f t="shared" si="19"/>
        <v>#DIV/0!</v>
      </c>
      <c r="M99" s="278" t="e">
        <f t="shared" si="19"/>
        <v>#DIV/0!</v>
      </c>
      <c r="N99" s="278"/>
      <c r="O99" s="214">
        <f t="shared" si="20"/>
        <v>0</v>
      </c>
      <c r="P99" s="214">
        <f t="shared" si="21"/>
        <v>0</v>
      </c>
      <c r="Q99" s="214">
        <f>IF(K99=0, 0, (HLOOKUP(K99,'[1]E-CESTDWO'!$A$5:$O$35,J99+1,FALSE)*R49))</f>
        <v>0</v>
      </c>
      <c r="R99" s="214">
        <f>IF(K99=0, 0, (HLOOKUP(K99,'[1]E-CESTD'!$A$5:$O$35,J99+1,FALSE)*R49))</f>
        <v>0</v>
      </c>
      <c r="S99" s="279">
        <v>1.081</v>
      </c>
      <c r="T99" s="280">
        <f t="shared" si="13"/>
        <v>0</v>
      </c>
      <c r="U99" s="280">
        <f t="shared" si="14"/>
        <v>0</v>
      </c>
      <c r="V99" s="280">
        <f t="shared" si="15"/>
        <v>0</v>
      </c>
      <c r="W99" s="322" t="e">
        <f t="shared" si="16"/>
        <v>#DIV/0!</v>
      </c>
      <c r="X99" s="322" t="e">
        <f t="shared" si="17"/>
        <v>#DIV/0!</v>
      </c>
      <c r="Y99" s="322" t="e">
        <f t="shared" si="18"/>
        <v>#DIV/0!</v>
      </c>
    </row>
    <row r="100" spans="2:25">
      <c r="B100" s="282"/>
      <c r="C100" s="282" t="s">
        <v>222</v>
      </c>
      <c r="D100" s="285">
        <v>0</v>
      </c>
      <c r="E100" s="282" t="s">
        <v>181</v>
      </c>
      <c r="F100" s="282" t="s">
        <v>186</v>
      </c>
      <c r="G100" s="283"/>
      <c r="H100" s="283"/>
      <c r="I100" s="311">
        <v>0</v>
      </c>
      <c r="J100" s="257"/>
      <c r="K100" s="257"/>
      <c r="L100" s="278" t="e">
        <f t="shared" si="19"/>
        <v>#DIV/0!</v>
      </c>
      <c r="M100" s="278" t="e">
        <f t="shared" si="19"/>
        <v>#DIV/0!</v>
      </c>
      <c r="N100" s="278"/>
      <c r="O100" s="214">
        <f t="shared" si="20"/>
        <v>0</v>
      </c>
      <c r="P100" s="214">
        <f t="shared" si="21"/>
        <v>0</v>
      </c>
      <c r="Q100" s="214">
        <f>IF(K100=0, 0, (HLOOKUP(K100,'[1]E-CESTDWO'!$A$5:$O$35,J100+1,FALSE)*R50))</f>
        <v>0</v>
      </c>
      <c r="R100" s="214">
        <f>IF(K100=0, 0, (HLOOKUP(K100,'[1]E-CESTD'!$A$5:$O$35,J100+1,FALSE)*R50))</f>
        <v>0</v>
      </c>
      <c r="S100" s="279">
        <v>1.081</v>
      </c>
      <c r="T100" s="280">
        <f t="shared" si="13"/>
        <v>0</v>
      </c>
      <c r="U100" s="280">
        <f t="shared" si="14"/>
        <v>0</v>
      </c>
      <c r="V100" s="280">
        <f t="shared" si="15"/>
        <v>0</v>
      </c>
      <c r="W100" s="322" t="e">
        <f t="shared" si="16"/>
        <v>#DIV/0!</v>
      </c>
      <c r="X100" s="322" t="e">
        <f t="shared" si="17"/>
        <v>#DIV/0!</v>
      </c>
      <c r="Y100" s="322" t="e">
        <f t="shared" si="18"/>
        <v>#DIV/0!</v>
      </c>
    </row>
    <row r="101" spans="2:25">
      <c r="B101" s="282"/>
      <c r="C101" s="282" t="s">
        <v>223</v>
      </c>
      <c r="D101" s="285">
        <v>0</v>
      </c>
      <c r="E101" s="282" t="s">
        <v>181</v>
      </c>
      <c r="F101" s="282" t="s">
        <v>186</v>
      </c>
      <c r="G101" s="283"/>
      <c r="H101" s="283"/>
      <c r="I101" s="311">
        <v>0</v>
      </c>
      <c r="J101" s="257"/>
      <c r="K101" s="257"/>
      <c r="L101" s="278" t="e">
        <f t="shared" si="19"/>
        <v>#DIV/0!</v>
      </c>
      <c r="M101" s="278" t="e">
        <f t="shared" si="19"/>
        <v>#DIV/0!</v>
      </c>
      <c r="N101" s="278"/>
      <c r="O101" s="214">
        <f t="shared" si="20"/>
        <v>0</v>
      </c>
      <c r="P101" s="214">
        <f t="shared" si="21"/>
        <v>0</v>
      </c>
      <c r="Q101" s="214">
        <f>IF(K101=0, 0, (HLOOKUP(K101,'[1]E-CESTDWO'!$A$5:$O$35,J101+1,FALSE)*R51))</f>
        <v>0</v>
      </c>
      <c r="R101" s="214">
        <f>IF(K101=0, 0, (HLOOKUP(K101,'[1]E-CESTD'!$A$5:$O$35,J101+1,FALSE)*R51))</f>
        <v>0</v>
      </c>
      <c r="S101" s="279">
        <v>1.081</v>
      </c>
      <c r="T101" s="280">
        <f t="shared" si="13"/>
        <v>0</v>
      </c>
      <c r="U101" s="280">
        <f t="shared" si="14"/>
        <v>0</v>
      </c>
      <c r="V101" s="280">
        <f t="shared" si="15"/>
        <v>0</v>
      </c>
      <c r="W101" s="322" t="e">
        <f t="shared" si="16"/>
        <v>#DIV/0!</v>
      </c>
      <c r="X101" s="322" t="e">
        <f t="shared" si="17"/>
        <v>#DIV/0!</v>
      </c>
      <c r="Y101" s="322" t="e">
        <f t="shared" si="18"/>
        <v>#DIV/0!</v>
      </c>
    </row>
    <row r="102" spans="2:25">
      <c r="B102" s="282"/>
      <c r="C102" s="282" t="s">
        <v>224</v>
      </c>
      <c r="D102" s="285">
        <v>0</v>
      </c>
      <c r="E102" s="282" t="s">
        <v>181</v>
      </c>
      <c r="F102" s="282" t="s">
        <v>186</v>
      </c>
      <c r="G102" s="283"/>
      <c r="H102" s="283"/>
      <c r="I102" s="311">
        <v>0</v>
      </c>
      <c r="J102" s="257"/>
      <c r="K102" s="257"/>
      <c r="L102" s="278" t="e">
        <f t="shared" si="19"/>
        <v>#DIV/0!</v>
      </c>
      <c r="M102" s="278" t="e">
        <f t="shared" si="19"/>
        <v>#DIV/0!</v>
      </c>
      <c r="N102" s="278"/>
      <c r="O102" s="214">
        <f t="shared" si="20"/>
        <v>0</v>
      </c>
      <c r="P102" s="214">
        <f t="shared" si="21"/>
        <v>0</v>
      </c>
      <c r="Q102" s="214">
        <f>IF(K102=0, 0, (HLOOKUP(K102,'[1]E-CESTDWO'!$A$5:$O$35,J102+1,FALSE)*R52))</f>
        <v>0</v>
      </c>
      <c r="R102" s="214">
        <f>IF(K102=0, 0, (HLOOKUP(K102,'[1]E-CESTD'!$A$5:$O$35,J102+1,FALSE)*R52))</f>
        <v>0</v>
      </c>
      <c r="S102" s="279">
        <v>1.081</v>
      </c>
      <c r="T102" s="280">
        <f t="shared" si="13"/>
        <v>0</v>
      </c>
      <c r="U102" s="280">
        <f t="shared" si="14"/>
        <v>0</v>
      </c>
      <c r="V102" s="280">
        <f t="shared" si="15"/>
        <v>0</v>
      </c>
      <c r="W102" s="322" t="e">
        <f t="shared" si="16"/>
        <v>#DIV/0!</v>
      </c>
      <c r="X102" s="322" t="e">
        <f t="shared" si="17"/>
        <v>#DIV/0!</v>
      </c>
      <c r="Y102" s="322" t="e">
        <f t="shared" si="18"/>
        <v>#DIV/0!</v>
      </c>
    </row>
    <row r="103" spans="2:25">
      <c r="B103" s="282"/>
      <c r="C103" s="282" t="s">
        <v>225</v>
      </c>
      <c r="D103" s="285">
        <v>0</v>
      </c>
      <c r="E103" s="282" t="s">
        <v>181</v>
      </c>
      <c r="F103" s="282" t="s">
        <v>186</v>
      </c>
      <c r="G103" s="283"/>
      <c r="H103" s="283"/>
      <c r="I103" s="311">
        <v>0</v>
      </c>
      <c r="J103" s="257"/>
      <c r="K103" s="257"/>
      <c r="L103" s="278" t="e">
        <f t="shared" si="19"/>
        <v>#DIV/0!</v>
      </c>
      <c r="M103" s="278" t="e">
        <f t="shared" si="19"/>
        <v>#DIV/0!</v>
      </c>
      <c r="N103" s="278"/>
      <c r="O103" s="214">
        <f t="shared" si="20"/>
        <v>0</v>
      </c>
      <c r="P103" s="214">
        <f t="shared" si="21"/>
        <v>0</v>
      </c>
      <c r="Q103" s="214">
        <f>IF(K103=0, 0, (HLOOKUP(K103,'[1]E-CESTDWO'!$A$5:$O$35,J103+1,FALSE)*R53))</f>
        <v>0</v>
      </c>
      <c r="R103" s="214">
        <f>IF(K103=0, 0, (HLOOKUP(K103,'[1]E-CESTD'!$A$5:$O$35,J103+1,FALSE)*R53))</f>
        <v>0</v>
      </c>
      <c r="S103" s="279">
        <v>1.081</v>
      </c>
      <c r="T103" s="280">
        <f t="shared" si="13"/>
        <v>0</v>
      </c>
      <c r="U103" s="280">
        <f t="shared" si="14"/>
        <v>0</v>
      </c>
      <c r="V103" s="280">
        <f t="shared" si="15"/>
        <v>0</v>
      </c>
      <c r="W103" s="322" t="e">
        <f t="shared" si="16"/>
        <v>#DIV/0!</v>
      </c>
      <c r="X103" s="322" t="e">
        <f t="shared" si="17"/>
        <v>#DIV/0!</v>
      </c>
      <c r="Y103" s="322" t="e">
        <f t="shared" si="18"/>
        <v>#DIV/0!</v>
      </c>
    </row>
    <row r="104" spans="2:25" ht="13.5" thickBot="1">
      <c r="B104" s="282"/>
      <c r="C104" s="282" t="s">
        <v>226</v>
      </c>
      <c r="D104" s="285">
        <v>0</v>
      </c>
      <c r="E104" s="282" t="s">
        <v>181</v>
      </c>
      <c r="F104" s="282" t="s">
        <v>186</v>
      </c>
      <c r="G104" s="283"/>
      <c r="H104" s="283"/>
      <c r="I104" s="311">
        <v>0</v>
      </c>
      <c r="J104" s="257"/>
      <c r="K104" s="257"/>
      <c r="L104" s="278" t="e">
        <f t="shared" si="19"/>
        <v>#DIV/0!</v>
      </c>
      <c r="M104" s="278" t="e">
        <f t="shared" si="19"/>
        <v>#DIV/0!</v>
      </c>
      <c r="N104" s="278"/>
      <c r="O104" s="214">
        <f t="shared" si="20"/>
        <v>0</v>
      </c>
      <c r="P104" s="214">
        <f t="shared" si="21"/>
        <v>0</v>
      </c>
      <c r="Q104" s="214">
        <f>IF(K104=0, 0, (HLOOKUP(K104,'[1]E-CESTDWO'!$A$5:$O$35,J104+1,FALSE)*R54))</f>
        <v>0</v>
      </c>
      <c r="R104" s="214">
        <f>IF(K104=0, 0, (HLOOKUP(K104,'[1]E-CESTD'!$A$5:$O$35,J104+1,FALSE)*R54))</f>
        <v>0</v>
      </c>
      <c r="S104" s="279">
        <v>1.081</v>
      </c>
      <c r="T104" s="280">
        <f t="shared" si="13"/>
        <v>0</v>
      </c>
      <c r="U104" s="280">
        <f t="shared" si="14"/>
        <v>0</v>
      </c>
      <c r="V104" s="280">
        <f t="shared" si="15"/>
        <v>0</v>
      </c>
      <c r="W104" s="322" t="e">
        <f t="shared" si="16"/>
        <v>#DIV/0!</v>
      </c>
      <c r="X104" s="322" t="e">
        <f t="shared" si="17"/>
        <v>#DIV/0!</v>
      </c>
      <c r="Y104" s="322" t="e">
        <f t="shared" si="18"/>
        <v>#DIV/0!</v>
      </c>
    </row>
    <row r="105" spans="2:25" ht="13.5" thickBot="1">
      <c r="G105" s="286">
        <f>SUMPRODUCT(G63:G104,O13:O54)</f>
        <v>1846399</v>
      </c>
      <c r="H105" s="287">
        <f>V105</f>
        <v>591000</v>
      </c>
      <c r="I105" s="288">
        <f>SUM(I63:I104)</f>
        <v>1.0000000000000002</v>
      </c>
      <c r="J105" s="289">
        <f>ROUND(SUMPRODUCT(J63:J104,R13:R54)/R55,0)</f>
        <v>30</v>
      </c>
      <c r="K105" s="264"/>
      <c r="L105" s="290">
        <f>Q105/O105</f>
        <v>5.1489872794309397</v>
      </c>
      <c r="M105" s="291">
        <f>R105/P105</f>
        <v>2.623904224865016</v>
      </c>
      <c r="N105" s="315"/>
      <c r="O105" s="292">
        <f>SUM(O63:O104)</f>
        <v>1002381.591119334</v>
      </c>
      <c r="P105" s="292">
        <f>SUM(P63:P104)</f>
        <v>2163712.7659574468</v>
      </c>
      <c r="Q105" s="292">
        <f>SUM(Q63:Q104)</f>
        <v>5161250.0618091961</v>
      </c>
      <c r="R105" s="292">
        <f>SUM(R63:R104)</f>
        <v>5677375.067990114</v>
      </c>
      <c r="S105" s="293"/>
      <c r="T105" s="294">
        <f>SUM(T63:T104)</f>
        <v>0</v>
      </c>
      <c r="U105" s="294">
        <f>SUM(U63:U104)</f>
        <v>591000</v>
      </c>
      <c r="V105" s="294">
        <f>SUM(V63:V104)</f>
        <v>591000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31" top="0.37" bottom="0.33"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7" right="0.31" top="0.37" bottom="0.33" header="0.3" footer="0.3"/>
  <pageSetup paperSize="17" scale="53" orientation="landscape" r:id="rId2"/>
  <drawing r:id="rId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sheetPr enableFormatConditionsCalculation="0">
    <pageSetUpPr fitToPage="1"/>
  </sheetPr>
  <dimension ref="A1:Y110"/>
  <sheetViews>
    <sheetView zoomScaleNormal="100" zoomScalePageLayoutView="80" workbookViewId="0">
      <pane xSplit="1" ySplit="1" topLeftCell="B2" activePane="bottomRight" state="frozen"/>
      <selection pane="topRight" activeCell="B1" sqref="B1"/>
      <selection pane="bottomLeft" activeCell="A2" sqref="A2"/>
      <selection pane="bottomRight" activeCell="H25" sqref="H25"/>
    </sheetView>
  </sheetViews>
  <sheetFormatPr defaultColWidth="9.140625" defaultRowHeight="12.75"/>
  <cols>
    <col min="1" max="1" width="15.28515625" style="3064" customWidth="1"/>
    <col min="2" max="2" width="19" customWidth="1"/>
    <col min="3" max="3" width="37.42578125" customWidth="1"/>
    <col min="4" max="4" width="15.42578125" style="19" customWidth="1"/>
    <col min="5" max="5" width="15.42578125" customWidth="1"/>
    <col min="6" max="6" width="18.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6.42578125" customWidth="1"/>
    <col min="17" max="17" width="17.140625" customWidth="1"/>
    <col min="18" max="18" width="18.42578125" customWidth="1"/>
    <col min="19" max="20" width="20.42578125" bestFit="1" customWidth="1"/>
    <col min="21" max="21" width="23.42578125" bestFit="1" customWidth="1"/>
    <col min="22" max="22" width="17.425781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31" max="257" width="8.85546875"/>
    <col min="258" max="258" width="24" bestFit="1" customWidth="1"/>
    <col min="259" max="259" width="45.7109375" bestFit="1" customWidth="1"/>
    <col min="260" max="260" width="19.7109375" bestFit="1" customWidth="1"/>
    <col min="261" max="261" width="16"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6.42578125" customWidth="1"/>
    <col min="273" max="273" width="17.140625" customWidth="1"/>
    <col min="274" max="274" width="18.42578125" customWidth="1"/>
    <col min="275" max="276" width="20.42578125" bestFit="1" customWidth="1"/>
    <col min="277" max="277" width="23.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287" max="513" width="8.85546875"/>
    <col min="514" max="514" width="24" bestFit="1" customWidth="1"/>
    <col min="515" max="515" width="45.7109375" bestFit="1" customWidth="1"/>
    <col min="516" max="516" width="19.7109375" bestFit="1" customWidth="1"/>
    <col min="517" max="517" width="16"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6.42578125" customWidth="1"/>
    <col min="529" max="529" width="17.140625" customWidth="1"/>
    <col min="530" max="530" width="18.42578125" customWidth="1"/>
    <col min="531" max="532" width="20.42578125" bestFit="1" customWidth="1"/>
    <col min="533" max="533" width="23.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543" max="769" width="8.85546875"/>
    <col min="770" max="770" width="24" bestFit="1" customWidth="1"/>
    <col min="771" max="771" width="45.7109375" bestFit="1" customWidth="1"/>
    <col min="772" max="772" width="19.7109375" bestFit="1" customWidth="1"/>
    <col min="773" max="773" width="16"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6.42578125" customWidth="1"/>
    <col min="785" max="785" width="17.140625" customWidth="1"/>
    <col min="786" max="786" width="18.42578125" customWidth="1"/>
    <col min="787" max="788" width="20.42578125" bestFit="1" customWidth="1"/>
    <col min="789" max="789" width="23.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6"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6.42578125" customWidth="1"/>
    <col min="1041" max="1041" width="17.140625" customWidth="1"/>
    <col min="1042" max="1042" width="18.42578125" customWidth="1"/>
    <col min="1043" max="1044" width="20.42578125" bestFit="1" customWidth="1"/>
    <col min="1045" max="1045" width="23.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055" max="1281" width="8.85546875"/>
    <col min="1282" max="1282" width="24" bestFit="1" customWidth="1"/>
    <col min="1283" max="1283" width="45.7109375" bestFit="1" customWidth="1"/>
    <col min="1284" max="1284" width="19.7109375" bestFit="1" customWidth="1"/>
    <col min="1285" max="1285" width="16"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6.42578125" customWidth="1"/>
    <col min="1297" max="1297" width="17.140625" customWidth="1"/>
    <col min="1298" max="1298" width="18.42578125" customWidth="1"/>
    <col min="1299" max="1300" width="20.42578125" bestFit="1" customWidth="1"/>
    <col min="1301" max="1301" width="23.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311" max="1537" width="8.85546875"/>
    <col min="1538" max="1538" width="24" bestFit="1" customWidth="1"/>
    <col min="1539" max="1539" width="45.7109375" bestFit="1" customWidth="1"/>
    <col min="1540" max="1540" width="19.7109375" bestFit="1" customWidth="1"/>
    <col min="1541" max="1541" width="16"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6.42578125" customWidth="1"/>
    <col min="1553" max="1553" width="17.140625" customWidth="1"/>
    <col min="1554" max="1554" width="18.42578125" customWidth="1"/>
    <col min="1555" max="1556" width="20.42578125" bestFit="1" customWidth="1"/>
    <col min="1557" max="1557" width="23.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567" max="1793" width="8.85546875"/>
    <col min="1794" max="1794" width="24" bestFit="1" customWidth="1"/>
    <col min="1795" max="1795" width="45.7109375" bestFit="1" customWidth="1"/>
    <col min="1796" max="1796" width="19.7109375" bestFit="1" customWidth="1"/>
    <col min="1797" max="1797" width="16"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6.42578125" customWidth="1"/>
    <col min="1809" max="1809" width="17.140625" customWidth="1"/>
    <col min="1810" max="1810" width="18.42578125" customWidth="1"/>
    <col min="1811" max="1812" width="20.42578125" bestFit="1" customWidth="1"/>
    <col min="1813" max="1813" width="23.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6"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6.42578125" customWidth="1"/>
    <col min="2065" max="2065" width="17.140625" customWidth="1"/>
    <col min="2066" max="2066" width="18.42578125" customWidth="1"/>
    <col min="2067" max="2068" width="20.42578125" bestFit="1" customWidth="1"/>
    <col min="2069" max="2069" width="23.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079" max="2305" width="8.85546875"/>
    <col min="2306" max="2306" width="24" bestFit="1" customWidth="1"/>
    <col min="2307" max="2307" width="45.7109375" bestFit="1" customWidth="1"/>
    <col min="2308" max="2308" width="19.7109375" bestFit="1" customWidth="1"/>
    <col min="2309" max="2309" width="16"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6.42578125" customWidth="1"/>
    <col min="2321" max="2321" width="17.140625" customWidth="1"/>
    <col min="2322" max="2322" width="18.42578125" customWidth="1"/>
    <col min="2323" max="2324" width="20.42578125" bestFit="1" customWidth="1"/>
    <col min="2325" max="2325" width="23.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335" max="2561" width="8.85546875"/>
    <col min="2562" max="2562" width="24" bestFit="1" customWidth="1"/>
    <col min="2563" max="2563" width="45.7109375" bestFit="1" customWidth="1"/>
    <col min="2564" max="2564" width="19.7109375" bestFit="1" customWidth="1"/>
    <col min="2565" max="2565" width="16"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6.42578125" customWidth="1"/>
    <col min="2577" max="2577" width="17.140625" customWidth="1"/>
    <col min="2578" max="2578" width="18.42578125" customWidth="1"/>
    <col min="2579" max="2580" width="20.42578125" bestFit="1" customWidth="1"/>
    <col min="2581" max="2581" width="23.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591" max="2817" width="8.85546875"/>
    <col min="2818" max="2818" width="24" bestFit="1" customWidth="1"/>
    <col min="2819" max="2819" width="45.7109375" bestFit="1" customWidth="1"/>
    <col min="2820" max="2820" width="19.7109375" bestFit="1" customWidth="1"/>
    <col min="2821" max="2821" width="16"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6.42578125" customWidth="1"/>
    <col min="2833" max="2833" width="17.140625" customWidth="1"/>
    <col min="2834" max="2834" width="18.42578125" customWidth="1"/>
    <col min="2835" max="2836" width="20.42578125" bestFit="1" customWidth="1"/>
    <col min="2837" max="2837" width="23.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6"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6.42578125" customWidth="1"/>
    <col min="3089" max="3089" width="17.140625" customWidth="1"/>
    <col min="3090" max="3090" width="18.42578125" customWidth="1"/>
    <col min="3091" max="3092" width="20.42578125" bestFit="1" customWidth="1"/>
    <col min="3093" max="3093" width="23.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103" max="3329" width="8.85546875"/>
    <col min="3330" max="3330" width="24" bestFit="1" customWidth="1"/>
    <col min="3331" max="3331" width="45.7109375" bestFit="1" customWidth="1"/>
    <col min="3332" max="3332" width="19.7109375" bestFit="1" customWidth="1"/>
    <col min="3333" max="3333" width="16"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6.42578125" customWidth="1"/>
    <col min="3345" max="3345" width="17.140625" customWidth="1"/>
    <col min="3346" max="3346" width="18.42578125" customWidth="1"/>
    <col min="3347" max="3348" width="20.42578125" bestFit="1" customWidth="1"/>
    <col min="3349" max="3349" width="23.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359" max="3585" width="8.85546875"/>
    <col min="3586" max="3586" width="24" bestFit="1" customWidth="1"/>
    <col min="3587" max="3587" width="45.7109375" bestFit="1" customWidth="1"/>
    <col min="3588" max="3588" width="19.7109375" bestFit="1" customWidth="1"/>
    <col min="3589" max="3589" width="16"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6.42578125" customWidth="1"/>
    <col min="3601" max="3601" width="17.140625" customWidth="1"/>
    <col min="3602" max="3602" width="18.42578125" customWidth="1"/>
    <col min="3603" max="3604" width="20.42578125" bestFit="1" customWidth="1"/>
    <col min="3605" max="3605" width="23.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615" max="3841" width="8.85546875"/>
    <col min="3842" max="3842" width="24" bestFit="1" customWidth="1"/>
    <col min="3843" max="3843" width="45.7109375" bestFit="1" customWidth="1"/>
    <col min="3844" max="3844" width="19.7109375" bestFit="1" customWidth="1"/>
    <col min="3845" max="3845" width="16"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6.42578125" customWidth="1"/>
    <col min="3857" max="3857" width="17.140625" customWidth="1"/>
    <col min="3858" max="3858" width="18.42578125" customWidth="1"/>
    <col min="3859" max="3860" width="20.42578125" bestFit="1" customWidth="1"/>
    <col min="3861" max="3861" width="23.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6"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6.42578125" customWidth="1"/>
    <col min="4113" max="4113" width="17.140625" customWidth="1"/>
    <col min="4114" max="4114" width="18.42578125" customWidth="1"/>
    <col min="4115" max="4116" width="20.42578125" bestFit="1" customWidth="1"/>
    <col min="4117" max="4117" width="23.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127" max="4353" width="8.85546875"/>
    <col min="4354" max="4354" width="24" bestFit="1" customWidth="1"/>
    <col min="4355" max="4355" width="45.7109375" bestFit="1" customWidth="1"/>
    <col min="4356" max="4356" width="19.7109375" bestFit="1" customWidth="1"/>
    <col min="4357" max="4357" width="16"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6.42578125" customWidth="1"/>
    <col min="4369" max="4369" width="17.140625" customWidth="1"/>
    <col min="4370" max="4370" width="18.42578125" customWidth="1"/>
    <col min="4371" max="4372" width="20.42578125" bestFit="1" customWidth="1"/>
    <col min="4373" max="4373" width="23.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383" max="4609" width="8.85546875"/>
    <col min="4610" max="4610" width="24" bestFit="1" customWidth="1"/>
    <col min="4611" max="4611" width="45.7109375" bestFit="1" customWidth="1"/>
    <col min="4612" max="4612" width="19.7109375" bestFit="1" customWidth="1"/>
    <col min="4613" max="4613" width="16"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6.42578125" customWidth="1"/>
    <col min="4625" max="4625" width="17.140625" customWidth="1"/>
    <col min="4626" max="4626" width="18.42578125" customWidth="1"/>
    <col min="4627" max="4628" width="20.42578125" bestFit="1" customWidth="1"/>
    <col min="4629" max="4629" width="23.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639" max="4865" width="8.85546875"/>
    <col min="4866" max="4866" width="24" bestFit="1" customWidth="1"/>
    <col min="4867" max="4867" width="45.7109375" bestFit="1" customWidth="1"/>
    <col min="4868" max="4868" width="19.7109375" bestFit="1" customWidth="1"/>
    <col min="4869" max="4869" width="16"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6.42578125" customWidth="1"/>
    <col min="4881" max="4881" width="17.140625" customWidth="1"/>
    <col min="4882" max="4882" width="18.42578125" customWidth="1"/>
    <col min="4883" max="4884" width="20.42578125" bestFit="1" customWidth="1"/>
    <col min="4885" max="4885" width="23.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6"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6.42578125" customWidth="1"/>
    <col min="5137" max="5137" width="17.140625" customWidth="1"/>
    <col min="5138" max="5138" width="18.42578125" customWidth="1"/>
    <col min="5139" max="5140" width="20.42578125" bestFit="1" customWidth="1"/>
    <col min="5141" max="5141" width="23.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151" max="5377" width="8.85546875"/>
    <col min="5378" max="5378" width="24" bestFit="1" customWidth="1"/>
    <col min="5379" max="5379" width="45.7109375" bestFit="1" customWidth="1"/>
    <col min="5380" max="5380" width="19.7109375" bestFit="1" customWidth="1"/>
    <col min="5381" max="5381" width="16"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6.42578125" customWidth="1"/>
    <col min="5393" max="5393" width="17.140625" customWidth="1"/>
    <col min="5394" max="5394" width="18.42578125" customWidth="1"/>
    <col min="5395" max="5396" width="20.42578125" bestFit="1" customWidth="1"/>
    <col min="5397" max="5397" width="23.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407" max="5633" width="8.85546875"/>
    <col min="5634" max="5634" width="24" bestFit="1" customWidth="1"/>
    <col min="5635" max="5635" width="45.7109375" bestFit="1" customWidth="1"/>
    <col min="5636" max="5636" width="19.7109375" bestFit="1" customWidth="1"/>
    <col min="5637" max="5637" width="16"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6.42578125" customWidth="1"/>
    <col min="5649" max="5649" width="17.140625" customWidth="1"/>
    <col min="5650" max="5650" width="18.42578125" customWidth="1"/>
    <col min="5651" max="5652" width="20.42578125" bestFit="1" customWidth="1"/>
    <col min="5653" max="5653" width="23.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663" max="5889" width="8.85546875"/>
    <col min="5890" max="5890" width="24" bestFit="1" customWidth="1"/>
    <col min="5891" max="5891" width="45.7109375" bestFit="1" customWidth="1"/>
    <col min="5892" max="5892" width="19.7109375" bestFit="1" customWidth="1"/>
    <col min="5893" max="5893" width="16"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6.42578125" customWidth="1"/>
    <col min="5905" max="5905" width="17.140625" customWidth="1"/>
    <col min="5906" max="5906" width="18.42578125" customWidth="1"/>
    <col min="5907" max="5908" width="20.42578125" bestFit="1" customWidth="1"/>
    <col min="5909" max="5909" width="23.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6"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6.42578125" customWidth="1"/>
    <col min="6161" max="6161" width="17.140625" customWidth="1"/>
    <col min="6162" max="6162" width="18.42578125" customWidth="1"/>
    <col min="6163" max="6164" width="20.42578125" bestFit="1" customWidth="1"/>
    <col min="6165" max="6165" width="23.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175" max="6401" width="8.85546875"/>
    <col min="6402" max="6402" width="24" bestFit="1" customWidth="1"/>
    <col min="6403" max="6403" width="45.7109375" bestFit="1" customWidth="1"/>
    <col min="6404" max="6404" width="19.7109375" bestFit="1" customWidth="1"/>
    <col min="6405" max="6405" width="16"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6.42578125" customWidth="1"/>
    <col min="6417" max="6417" width="17.140625" customWidth="1"/>
    <col min="6418" max="6418" width="18.42578125" customWidth="1"/>
    <col min="6419" max="6420" width="20.42578125" bestFit="1" customWidth="1"/>
    <col min="6421" max="6421" width="23.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431" max="6657" width="8.85546875"/>
    <col min="6658" max="6658" width="24" bestFit="1" customWidth="1"/>
    <col min="6659" max="6659" width="45.7109375" bestFit="1" customWidth="1"/>
    <col min="6660" max="6660" width="19.7109375" bestFit="1" customWidth="1"/>
    <col min="6661" max="6661" width="16"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6.42578125" customWidth="1"/>
    <col min="6673" max="6673" width="17.140625" customWidth="1"/>
    <col min="6674" max="6674" width="18.42578125" customWidth="1"/>
    <col min="6675" max="6676" width="20.42578125" bestFit="1" customWidth="1"/>
    <col min="6677" max="6677" width="23.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687" max="6913" width="8.85546875"/>
    <col min="6914" max="6914" width="24" bestFit="1" customWidth="1"/>
    <col min="6915" max="6915" width="45.7109375" bestFit="1" customWidth="1"/>
    <col min="6916" max="6916" width="19.7109375" bestFit="1" customWidth="1"/>
    <col min="6917" max="6917" width="16"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6.42578125" customWidth="1"/>
    <col min="6929" max="6929" width="17.140625" customWidth="1"/>
    <col min="6930" max="6930" width="18.42578125" customWidth="1"/>
    <col min="6931" max="6932" width="20.42578125" bestFit="1" customWidth="1"/>
    <col min="6933" max="6933" width="23.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6"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6.42578125" customWidth="1"/>
    <col min="7185" max="7185" width="17.140625" customWidth="1"/>
    <col min="7186" max="7186" width="18.42578125" customWidth="1"/>
    <col min="7187" max="7188" width="20.42578125" bestFit="1" customWidth="1"/>
    <col min="7189" max="7189" width="23.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199" max="7425" width="8.85546875"/>
    <col min="7426" max="7426" width="24" bestFit="1" customWidth="1"/>
    <col min="7427" max="7427" width="45.7109375" bestFit="1" customWidth="1"/>
    <col min="7428" max="7428" width="19.7109375" bestFit="1" customWidth="1"/>
    <col min="7429" max="7429" width="16"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6.42578125" customWidth="1"/>
    <col min="7441" max="7441" width="17.140625" customWidth="1"/>
    <col min="7442" max="7442" width="18.42578125" customWidth="1"/>
    <col min="7443" max="7444" width="20.42578125" bestFit="1" customWidth="1"/>
    <col min="7445" max="7445" width="23.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455" max="7681" width="8.85546875"/>
    <col min="7682" max="7682" width="24" bestFit="1" customWidth="1"/>
    <col min="7683" max="7683" width="45.7109375" bestFit="1" customWidth="1"/>
    <col min="7684" max="7684" width="19.7109375" bestFit="1" customWidth="1"/>
    <col min="7685" max="7685" width="16"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6.42578125" customWidth="1"/>
    <col min="7697" max="7697" width="17.140625" customWidth="1"/>
    <col min="7698" max="7698" width="18.42578125" customWidth="1"/>
    <col min="7699" max="7700" width="20.42578125" bestFit="1" customWidth="1"/>
    <col min="7701" max="7701" width="23.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711" max="7937" width="8.85546875"/>
    <col min="7938" max="7938" width="24" bestFit="1" customWidth="1"/>
    <col min="7939" max="7939" width="45.7109375" bestFit="1" customWidth="1"/>
    <col min="7940" max="7940" width="19.7109375" bestFit="1" customWidth="1"/>
    <col min="7941" max="7941" width="16"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6.42578125" customWidth="1"/>
    <col min="7953" max="7953" width="17.140625" customWidth="1"/>
    <col min="7954" max="7954" width="18.42578125" customWidth="1"/>
    <col min="7955" max="7956" width="20.42578125" bestFit="1" customWidth="1"/>
    <col min="7957" max="7957" width="23.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6"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6.42578125" customWidth="1"/>
    <col min="8209" max="8209" width="17.140625" customWidth="1"/>
    <col min="8210" max="8210" width="18.42578125" customWidth="1"/>
    <col min="8211" max="8212" width="20.42578125" bestFit="1" customWidth="1"/>
    <col min="8213" max="8213" width="23.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223" max="8449" width="8.85546875"/>
    <col min="8450" max="8450" width="24" bestFit="1" customWidth="1"/>
    <col min="8451" max="8451" width="45.7109375" bestFit="1" customWidth="1"/>
    <col min="8452" max="8452" width="19.7109375" bestFit="1" customWidth="1"/>
    <col min="8453" max="8453" width="16"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6.42578125" customWidth="1"/>
    <col min="8465" max="8465" width="17.140625" customWidth="1"/>
    <col min="8466" max="8466" width="18.42578125" customWidth="1"/>
    <col min="8467" max="8468" width="20.42578125" bestFit="1" customWidth="1"/>
    <col min="8469" max="8469" width="23.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479" max="8705" width="8.85546875"/>
    <col min="8706" max="8706" width="24" bestFit="1" customWidth="1"/>
    <col min="8707" max="8707" width="45.7109375" bestFit="1" customWidth="1"/>
    <col min="8708" max="8708" width="19.7109375" bestFit="1" customWidth="1"/>
    <col min="8709" max="8709" width="16"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6.42578125" customWidth="1"/>
    <col min="8721" max="8721" width="17.140625" customWidth="1"/>
    <col min="8722" max="8722" width="18.42578125" customWidth="1"/>
    <col min="8723" max="8724" width="20.42578125" bestFit="1" customWidth="1"/>
    <col min="8725" max="8725" width="23.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735" max="8961" width="8.85546875"/>
    <col min="8962" max="8962" width="24" bestFit="1" customWidth="1"/>
    <col min="8963" max="8963" width="45.7109375" bestFit="1" customWidth="1"/>
    <col min="8964" max="8964" width="19.7109375" bestFit="1" customWidth="1"/>
    <col min="8965" max="8965" width="16"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6.42578125" customWidth="1"/>
    <col min="8977" max="8977" width="17.140625" customWidth="1"/>
    <col min="8978" max="8978" width="18.42578125" customWidth="1"/>
    <col min="8979" max="8980" width="20.42578125" bestFit="1" customWidth="1"/>
    <col min="8981" max="8981" width="23.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6"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6.42578125" customWidth="1"/>
    <col min="9233" max="9233" width="17.140625" customWidth="1"/>
    <col min="9234" max="9234" width="18.42578125" customWidth="1"/>
    <col min="9235" max="9236" width="20.42578125" bestFit="1" customWidth="1"/>
    <col min="9237" max="9237" width="23.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247" max="9473" width="8.85546875"/>
    <col min="9474" max="9474" width="24" bestFit="1" customWidth="1"/>
    <col min="9475" max="9475" width="45.7109375" bestFit="1" customWidth="1"/>
    <col min="9476" max="9476" width="19.7109375" bestFit="1" customWidth="1"/>
    <col min="9477" max="9477" width="16"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6.42578125" customWidth="1"/>
    <col min="9489" max="9489" width="17.140625" customWidth="1"/>
    <col min="9490" max="9490" width="18.42578125" customWidth="1"/>
    <col min="9491" max="9492" width="20.42578125" bestFit="1" customWidth="1"/>
    <col min="9493" max="9493" width="23.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503" max="9729" width="8.85546875"/>
    <col min="9730" max="9730" width="24" bestFit="1" customWidth="1"/>
    <col min="9731" max="9731" width="45.7109375" bestFit="1" customWidth="1"/>
    <col min="9732" max="9732" width="19.7109375" bestFit="1" customWidth="1"/>
    <col min="9733" max="9733" width="16"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6.42578125" customWidth="1"/>
    <col min="9745" max="9745" width="17.140625" customWidth="1"/>
    <col min="9746" max="9746" width="18.42578125" customWidth="1"/>
    <col min="9747" max="9748" width="20.42578125" bestFit="1" customWidth="1"/>
    <col min="9749" max="9749" width="23.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759" max="9985" width="8.85546875"/>
    <col min="9986" max="9986" width="24" bestFit="1" customWidth="1"/>
    <col min="9987" max="9987" width="45.7109375" bestFit="1" customWidth="1"/>
    <col min="9988" max="9988" width="19.7109375" bestFit="1" customWidth="1"/>
    <col min="9989" max="9989" width="16"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6.42578125" customWidth="1"/>
    <col min="10001" max="10001" width="17.140625" customWidth="1"/>
    <col min="10002" max="10002" width="18.42578125" customWidth="1"/>
    <col min="10003" max="10004" width="20.42578125" bestFit="1" customWidth="1"/>
    <col min="10005" max="10005" width="23.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6"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6.42578125" customWidth="1"/>
    <col min="10257" max="10257" width="17.140625" customWidth="1"/>
    <col min="10258" max="10258" width="18.42578125" customWidth="1"/>
    <col min="10259" max="10260" width="20.42578125" bestFit="1" customWidth="1"/>
    <col min="10261" max="10261" width="23.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271" max="10497" width="8.85546875"/>
    <col min="10498" max="10498" width="24" bestFit="1" customWidth="1"/>
    <col min="10499" max="10499" width="45.7109375" bestFit="1" customWidth="1"/>
    <col min="10500" max="10500" width="19.7109375" bestFit="1" customWidth="1"/>
    <col min="10501" max="10501" width="16"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6.42578125" customWidth="1"/>
    <col min="10513" max="10513" width="17.140625" customWidth="1"/>
    <col min="10514" max="10514" width="18.42578125" customWidth="1"/>
    <col min="10515" max="10516" width="20.42578125" bestFit="1" customWidth="1"/>
    <col min="10517" max="10517" width="23.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527" max="10753" width="8.85546875"/>
    <col min="10754" max="10754" width="24" bestFit="1" customWidth="1"/>
    <col min="10755" max="10755" width="45.7109375" bestFit="1" customWidth="1"/>
    <col min="10756" max="10756" width="19.7109375" bestFit="1" customWidth="1"/>
    <col min="10757" max="10757" width="16"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6.42578125" customWidth="1"/>
    <col min="10769" max="10769" width="17.140625" customWidth="1"/>
    <col min="10770" max="10770" width="18.42578125" customWidth="1"/>
    <col min="10771" max="10772" width="20.42578125" bestFit="1" customWidth="1"/>
    <col min="10773" max="10773" width="23.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0783" max="11009" width="8.85546875"/>
    <col min="11010" max="11010" width="24" bestFit="1" customWidth="1"/>
    <col min="11011" max="11011" width="45.7109375" bestFit="1" customWidth="1"/>
    <col min="11012" max="11012" width="19.7109375" bestFit="1" customWidth="1"/>
    <col min="11013" max="11013" width="16"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6.42578125" customWidth="1"/>
    <col min="11025" max="11025" width="17.140625" customWidth="1"/>
    <col min="11026" max="11026" width="18.42578125" customWidth="1"/>
    <col min="11027" max="11028" width="20.42578125" bestFit="1" customWidth="1"/>
    <col min="11029" max="11029" width="23.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6"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6.42578125" customWidth="1"/>
    <col min="11281" max="11281" width="17.140625" customWidth="1"/>
    <col min="11282" max="11282" width="18.42578125" customWidth="1"/>
    <col min="11283" max="11284" width="20.42578125" bestFit="1" customWidth="1"/>
    <col min="11285" max="11285" width="23.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295" max="11521" width="8.85546875"/>
    <col min="11522" max="11522" width="24" bestFit="1" customWidth="1"/>
    <col min="11523" max="11523" width="45.7109375" bestFit="1" customWidth="1"/>
    <col min="11524" max="11524" width="19.7109375" bestFit="1" customWidth="1"/>
    <col min="11525" max="11525" width="16"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6.42578125" customWidth="1"/>
    <col min="11537" max="11537" width="17.140625" customWidth="1"/>
    <col min="11538" max="11538" width="18.42578125" customWidth="1"/>
    <col min="11539" max="11540" width="20.42578125" bestFit="1" customWidth="1"/>
    <col min="11541" max="11541" width="23.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551" max="11777" width="8.85546875"/>
    <col min="11778" max="11778" width="24" bestFit="1" customWidth="1"/>
    <col min="11779" max="11779" width="45.7109375" bestFit="1" customWidth="1"/>
    <col min="11780" max="11780" width="19.7109375" bestFit="1" customWidth="1"/>
    <col min="11781" max="11781" width="16"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6.42578125" customWidth="1"/>
    <col min="11793" max="11793" width="17.140625" customWidth="1"/>
    <col min="11794" max="11794" width="18.42578125" customWidth="1"/>
    <col min="11795" max="11796" width="20.42578125" bestFit="1" customWidth="1"/>
    <col min="11797" max="11797" width="23.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1807" max="12033" width="8.85546875"/>
    <col min="12034" max="12034" width="24" bestFit="1" customWidth="1"/>
    <col min="12035" max="12035" width="45.7109375" bestFit="1" customWidth="1"/>
    <col min="12036" max="12036" width="19.7109375" bestFit="1" customWidth="1"/>
    <col min="12037" max="12037" width="16"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6.42578125" customWidth="1"/>
    <col min="12049" max="12049" width="17.140625" customWidth="1"/>
    <col min="12050" max="12050" width="18.42578125" customWidth="1"/>
    <col min="12051" max="12052" width="20.42578125" bestFit="1" customWidth="1"/>
    <col min="12053" max="12053" width="23.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6"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6.42578125" customWidth="1"/>
    <col min="12305" max="12305" width="17.140625" customWidth="1"/>
    <col min="12306" max="12306" width="18.42578125" customWidth="1"/>
    <col min="12307" max="12308" width="20.42578125" bestFit="1" customWidth="1"/>
    <col min="12309" max="12309" width="23.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319" max="12545" width="8.85546875"/>
    <col min="12546" max="12546" width="24" bestFit="1" customWidth="1"/>
    <col min="12547" max="12547" width="45.7109375" bestFit="1" customWidth="1"/>
    <col min="12548" max="12548" width="19.7109375" bestFit="1" customWidth="1"/>
    <col min="12549" max="12549" width="16"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6.42578125" customWidth="1"/>
    <col min="12561" max="12561" width="17.140625" customWidth="1"/>
    <col min="12562" max="12562" width="18.42578125" customWidth="1"/>
    <col min="12563" max="12564" width="20.42578125" bestFit="1" customWidth="1"/>
    <col min="12565" max="12565" width="23.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575" max="12801" width="8.85546875"/>
    <col min="12802" max="12802" width="24" bestFit="1" customWidth="1"/>
    <col min="12803" max="12803" width="45.7109375" bestFit="1" customWidth="1"/>
    <col min="12804" max="12804" width="19.7109375" bestFit="1" customWidth="1"/>
    <col min="12805" max="12805" width="16"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6.42578125" customWidth="1"/>
    <col min="12817" max="12817" width="17.140625" customWidth="1"/>
    <col min="12818" max="12818" width="18.42578125" customWidth="1"/>
    <col min="12819" max="12820" width="20.42578125" bestFit="1" customWidth="1"/>
    <col min="12821" max="12821" width="23.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2831" max="13057" width="8.85546875"/>
    <col min="13058" max="13058" width="24" bestFit="1" customWidth="1"/>
    <col min="13059" max="13059" width="45.7109375" bestFit="1" customWidth="1"/>
    <col min="13060" max="13060" width="19.7109375" bestFit="1" customWidth="1"/>
    <col min="13061" max="13061" width="16"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6.42578125" customWidth="1"/>
    <col min="13073" max="13073" width="17.140625" customWidth="1"/>
    <col min="13074" max="13074" width="18.42578125" customWidth="1"/>
    <col min="13075" max="13076" width="20.42578125" bestFit="1" customWidth="1"/>
    <col min="13077" max="13077" width="23.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6"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6.42578125" customWidth="1"/>
    <col min="13329" max="13329" width="17.140625" customWidth="1"/>
    <col min="13330" max="13330" width="18.42578125" customWidth="1"/>
    <col min="13331" max="13332" width="20.42578125" bestFit="1" customWidth="1"/>
    <col min="13333" max="13333" width="23.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343" max="13569" width="8.85546875"/>
    <col min="13570" max="13570" width="24" bestFit="1" customWidth="1"/>
    <col min="13571" max="13571" width="45.7109375" bestFit="1" customWidth="1"/>
    <col min="13572" max="13572" width="19.7109375" bestFit="1" customWidth="1"/>
    <col min="13573" max="13573" width="16"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6.42578125" customWidth="1"/>
    <col min="13585" max="13585" width="17.140625" customWidth="1"/>
    <col min="13586" max="13586" width="18.42578125" customWidth="1"/>
    <col min="13587" max="13588" width="20.42578125" bestFit="1" customWidth="1"/>
    <col min="13589" max="13589" width="23.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599" max="13825" width="8.85546875"/>
    <col min="13826" max="13826" width="24" bestFit="1" customWidth="1"/>
    <col min="13827" max="13827" width="45.7109375" bestFit="1" customWidth="1"/>
    <col min="13828" max="13828" width="19.7109375" bestFit="1" customWidth="1"/>
    <col min="13829" max="13829" width="16"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6.42578125" customWidth="1"/>
    <col min="13841" max="13841" width="17.140625" customWidth="1"/>
    <col min="13842" max="13842" width="18.42578125" customWidth="1"/>
    <col min="13843" max="13844" width="20.42578125" bestFit="1" customWidth="1"/>
    <col min="13845" max="13845" width="23.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3855" max="14081" width="8.85546875"/>
    <col min="14082" max="14082" width="24" bestFit="1" customWidth="1"/>
    <col min="14083" max="14083" width="45.7109375" bestFit="1" customWidth="1"/>
    <col min="14084" max="14084" width="19.7109375" bestFit="1" customWidth="1"/>
    <col min="14085" max="14085" width="16"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6.42578125" customWidth="1"/>
    <col min="14097" max="14097" width="17.140625" customWidth="1"/>
    <col min="14098" max="14098" width="18.42578125" customWidth="1"/>
    <col min="14099" max="14100" width="20.42578125" bestFit="1" customWidth="1"/>
    <col min="14101" max="14101" width="23.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6"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6.42578125" customWidth="1"/>
    <col min="14353" max="14353" width="17.140625" customWidth="1"/>
    <col min="14354" max="14354" width="18.42578125" customWidth="1"/>
    <col min="14355" max="14356" width="20.42578125" bestFit="1" customWidth="1"/>
    <col min="14357" max="14357" width="23.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367" max="14593" width="8.85546875"/>
    <col min="14594" max="14594" width="24" bestFit="1" customWidth="1"/>
    <col min="14595" max="14595" width="45.7109375" bestFit="1" customWidth="1"/>
    <col min="14596" max="14596" width="19.7109375" bestFit="1" customWidth="1"/>
    <col min="14597" max="14597" width="16"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6.42578125" customWidth="1"/>
    <col min="14609" max="14609" width="17.140625" customWidth="1"/>
    <col min="14610" max="14610" width="18.42578125" customWidth="1"/>
    <col min="14611" max="14612" width="20.42578125" bestFit="1" customWidth="1"/>
    <col min="14613" max="14613" width="23.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623" max="14849" width="8.85546875"/>
    <col min="14850" max="14850" width="24" bestFit="1" customWidth="1"/>
    <col min="14851" max="14851" width="45.7109375" bestFit="1" customWidth="1"/>
    <col min="14852" max="14852" width="19.7109375" bestFit="1" customWidth="1"/>
    <col min="14853" max="14853" width="16"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6.42578125" customWidth="1"/>
    <col min="14865" max="14865" width="17.140625" customWidth="1"/>
    <col min="14866" max="14866" width="18.42578125" customWidth="1"/>
    <col min="14867" max="14868" width="20.42578125" bestFit="1" customWidth="1"/>
    <col min="14869" max="14869" width="23.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4879" max="15105" width="8.85546875"/>
    <col min="15106" max="15106" width="24" bestFit="1" customWidth="1"/>
    <col min="15107" max="15107" width="45.7109375" bestFit="1" customWidth="1"/>
    <col min="15108" max="15108" width="19.7109375" bestFit="1" customWidth="1"/>
    <col min="15109" max="15109" width="16"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6.42578125" customWidth="1"/>
    <col min="15121" max="15121" width="17.140625" customWidth="1"/>
    <col min="15122" max="15122" width="18.42578125" customWidth="1"/>
    <col min="15123" max="15124" width="20.42578125" bestFit="1" customWidth="1"/>
    <col min="15125" max="15125" width="23.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6"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6.42578125" customWidth="1"/>
    <col min="15377" max="15377" width="17.140625" customWidth="1"/>
    <col min="15378" max="15378" width="18.42578125" customWidth="1"/>
    <col min="15379" max="15380" width="20.42578125" bestFit="1" customWidth="1"/>
    <col min="15381" max="15381" width="23.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391" max="15617" width="8.85546875"/>
    <col min="15618" max="15618" width="24" bestFit="1" customWidth="1"/>
    <col min="15619" max="15619" width="45.7109375" bestFit="1" customWidth="1"/>
    <col min="15620" max="15620" width="19.7109375" bestFit="1" customWidth="1"/>
    <col min="15621" max="15621" width="16"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6.42578125" customWidth="1"/>
    <col min="15633" max="15633" width="17.140625" customWidth="1"/>
    <col min="15634" max="15634" width="18.42578125" customWidth="1"/>
    <col min="15635" max="15636" width="20.42578125" bestFit="1" customWidth="1"/>
    <col min="15637" max="15637" width="23.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647" max="15873" width="8.85546875"/>
    <col min="15874" max="15874" width="24" bestFit="1" customWidth="1"/>
    <col min="15875" max="15875" width="45.7109375" bestFit="1" customWidth="1"/>
    <col min="15876" max="15876" width="19.7109375" bestFit="1" customWidth="1"/>
    <col min="15877" max="15877" width="16"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6.42578125" customWidth="1"/>
    <col min="15889" max="15889" width="17.140625" customWidth="1"/>
    <col min="15890" max="15890" width="18.42578125" customWidth="1"/>
    <col min="15891" max="15892" width="20.42578125" bestFit="1" customWidth="1"/>
    <col min="15893" max="15893" width="23.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5903" max="16129" width="8.85546875"/>
    <col min="16130" max="16130" width="24" bestFit="1" customWidth="1"/>
    <col min="16131" max="16131" width="45.7109375" bestFit="1" customWidth="1"/>
    <col min="16132" max="16132" width="19.7109375" bestFit="1" customWidth="1"/>
    <col min="16133" max="16133" width="16"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6.42578125" customWidth="1"/>
    <col min="16145" max="16145" width="17.140625" customWidth="1"/>
    <col min="16146" max="16146" width="18.42578125" customWidth="1"/>
    <col min="16147" max="16148" width="20.42578125" bestFit="1" customWidth="1"/>
    <col min="16149" max="16149" width="23.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461"/>
      <c r="F1" s="198"/>
      <c r="G1" s="198">
        <f>C3</f>
        <v>18230407</v>
      </c>
      <c r="H1" s="198" t="str">
        <f>C4</f>
        <v>Multi-Family Retrofit Elect</v>
      </c>
      <c r="I1" s="198"/>
    </row>
    <row r="2" spans="2:22" ht="16.5" thickBot="1">
      <c r="B2" s="198" t="s">
        <v>109</v>
      </c>
      <c r="C2" s="199" t="s">
        <v>510</v>
      </c>
      <c r="G2" s="200" t="s">
        <v>8</v>
      </c>
      <c r="Q2" s="5133"/>
      <c r="R2" s="5133"/>
      <c r="S2" s="5124" t="s">
        <v>110</v>
      </c>
      <c r="T2" s="5125"/>
      <c r="U2" s="5126"/>
      <c r="V2" s="5118" t="s">
        <v>111</v>
      </c>
    </row>
    <row r="3" spans="2:22" ht="16.5" thickBot="1">
      <c r="B3" s="199" t="s">
        <v>6</v>
      </c>
      <c r="C3" s="199">
        <v>18230407</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511</v>
      </c>
      <c r="F4" s="198">
        <v>2011</v>
      </c>
      <c r="G4" s="206">
        <f>B13</f>
        <v>120756</v>
      </c>
      <c r="H4" s="207">
        <f>B18</f>
        <v>64569</v>
      </c>
      <c r="I4" s="207">
        <f>B23</f>
        <v>120461</v>
      </c>
      <c r="J4" s="207">
        <f>B28</f>
        <v>55193</v>
      </c>
      <c r="K4" s="207">
        <f>B33</f>
        <v>6340</v>
      </c>
      <c r="L4" s="207">
        <f>B38</f>
        <v>618552</v>
      </c>
      <c r="M4" s="207">
        <f>B43</f>
        <v>480</v>
      </c>
      <c r="N4" s="207">
        <f>B48</f>
        <v>11155</v>
      </c>
      <c r="O4" s="207">
        <f>B53</f>
        <v>4248785</v>
      </c>
      <c r="P4" s="207">
        <f>B54</f>
        <v>0</v>
      </c>
      <c r="Q4" s="209">
        <f>B55</f>
        <v>5246291</v>
      </c>
      <c r="R4" s="210">
        <f>T55</f>
        <v>0</v>
      </c>
      <c r="S4" s="316">
        <f>O4/Q4</f>
        <v>0.80986453096101607</v>
      </c>
      <c r="T4" s="316">
        <f>(J4+(H4*1.63))/Q4</f>
        <v>3.0581694763024005E-2</v>
      </c>
      <c r="U4" s="316">
        <f>L4/Q4</f>
        <v>0.11790272403875424</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317" t="e">
        <f>O5/Q5</f>
        <v>#DIV/0!</v>
      </c>
      <c r="T5" s="317" t="e">
        <f>(J5+(H5*1.63))/Q5</f>
        <v>#DIV/0!</v>
      </c>
      <c r="U5" s="317" t="e">
        <f>L5/Q5</f>
        <v>#DIV/0!</v>
      </c>
      <c r="V5" s="218" t="e">
        <f>Q5/R5</f>
        <v>#DIV/0!</v>
      </c>
    </row>
    <row r="6" spans="2:22" s="3532" customFormat="1" ht="16.5" thickBot="1">
      <c r="B6" s="3536"/>
      <c r="D6" s="3533"/>
      <c r="F6" s="4249" t="s">
        <v>1168</v>
      </c>
      <c r="G6" s="4241">
        <v>372019.5</v>
      </c>
      <c r="H6" s="4242">
        <v>84870</v>
      </c>
      <c r="I6" s="4242">
        <v>287840.38500000001</v>
      </c>
      <c r="J6" s="4242">
        <v>67500</v>
      </c>
      <c r="K6" s="4242">
        <v>9520</v>
      </c>
      <c r="L6" s="4242">
        <v>877435.9</v>
      </c>
      <c r="M6" s="4242">
        <v>0</v>
      </c>
      <c r="N6" s="4242">
        <v>9620</v>
      </c>
      <c r="O6" s="4242">
        <v>5111355</v>
      </c>
      <c r="P6" s="4242">
        <v>0</v>
      </c>
      <c r="Q6" s="4243">
        <v>6820160.7850000001</v>
      </c>
      <c r="R6" s="219">
        <v>16746692</v>
      </c>
      <c r="S6" s="3637">
        <v>0.74944787390375278</v>
      </c>
      <c r="T6" s="3637">
        <v>3.0180828060932578E-2</v>
      </c>
      <c r="U6" s="3637">
        <v>0.12865325725601642</v>
      </c>
      <c r="V6" s="3498">
        <v>0.40725420787580019</v>
      </c>
    </row>
    <row r="7" spans="2:22" ht="16.5" thickBot="1">
      <c r="C7" s="198" t="s">
        <v>512</v>
      </c>
      <c r="F7" s="4191" t="s">
        <v>1169</v>
      </c>
      <c r="G7" s="4192">
        <f>E13</f>
        <v>257631.75</v>
      </c>
      <c r="H7" s="4193">
        <f>E18</f>
        <v>70110</v>
      </c>
      <c r="I7" s="4193">
        <f>E23</f>
        <v>231713.41724999997</v>
      </c>
      <c r="J7" s="4193">
        <f>E28</f>
        <v>71250</v>
      </c>
      <c r="K7" s="4193">
        <f>E33</f>
        <v>11010</v>
      </c>
      <c r="L7" s="4193">
        <f>E38</f>
        <v>827392.3</v>
      </c>
      <c r="M7" s="4193">
        <f>E43</f>
        <v>250</v>
      </c>
      <c r="N7" s="4193">
        <f>E48</f>
        <v>9620</v>
      </c>
      <c r="O7" s="4193">
        <f>E53</f>
        <v>5382843.7000000002</v>
      </c>
      <c r="P7" s="4193">
        <f>E54</f>
        <v>0</v>
      </c>
      <c r="Q7" s="4244">
        <f>SUM(G7:P7)</f>
        <v>6861821.1672499999</v>
      </c>
      <c r="R7" s="4245">
        <f>Q59</f>
        <v>16746954.299999999</v>
      </c>
      <c r="S7" s="317">
        <f>O7/Q7</f>
        <v>0.78446283702221187</v>
      </c>
      <c r="T7" s="317">
        <f>(J7+(H7*1.63))/Q7</f>
        <v>2.7037909540034578E-2</v>
      </c>
      <c r="U7" s="317">
        <f>L7/Q7</f>
        <v>0.12057911155553951</v>
      </c>
      <c r="V7" s="218">
        <f>Q7/R7</f>
        <v>0.40973546857114196</v>
      </c>
    </row>
    <row r="8" spans="2:22" ht="16.5" thickBot="1">
      <c r="C8" s="220" t="s">
        <v>513</v>
      </c>
      <c r="F8" s="221" t="s">
        <v>1170</v>
      </c>
      <c r="G8" s="222">
        <f>SUM(G5+G7)</f>
        <v>257631.75</v>
      </c>
      <c r="H8" s="222">
        <f t="shared" ref="H8:R8" si="0">SUM(H5+H7)</f>
        <v>70110</v>
      </c>
      <c r="I8" s="222">
        <f t="shared" si="0"/>
        <v>231713.41724999997</v>
      </c>
      <c r="J8" s="222">
        <f t="shared" si="0"/>
        <v>71250</v>
      </c>
      <c r="K8" s="222">
        <f t="shared" si="0"/>
        <v>11010</v>
      </c>
      <c r="L8" s="222">
        <f t="shared" si="0"/>
        <v>827392.3</v>
      </c>
      <c r="M8" s="222">
        <f t="shared" si="0"/>
        <v>250</v>
      </c>
      <c r="N8" s="222">
        <f t="shared" si="0"/>
        <v>9620</v>
      </c>
      <c r="O8" s="222">
        <f t="shared" si="0"/>
        <v>5382843.7000000002</v>
      </c>
      <c r="P8" s="222">
        <f t="shared" si="0"/>
        <v>0</v>
      </c>
      <c r="Q8" s="4248">
        <f t="shared" si="0"/>
        <v>6861821.1672499999</v>
      </c>
      <c r="R8" s="4246">
        <f t="shared" si="0"/>
        <v>16746954.299999999</v>
      </c>
      <c r="S8" s="317">
        <f>O8/Q8</f>
        <v>0.78446283702221187</v>
      </c>
      <c r="T8" s="317">
        <f>(J8+(H8*1.63))/Q8</f>
        <v>2.7037909540034578E-2</v>
      </c>
      <c r="U8" s="317">
        <f>L8/Q8</f>
        <v>0.12057911155553951</v>
      </c>
      <c r="V8" s="218">
        <f>Q8/R8</f>
        <v>0.40973546857114196</v>
      </c>
    </row>
    <row r="10" spans="2:22" ht="20.25" customHeight="1" thickBot="1">
      <c r="C10" s="224" t="s">
        <v>118</v>
      </c>
      <c r="D10" s="5120" t="s">
        <v>119</v>
      </c>
      <c r="E10" s="5120"/>
      <c r="I10" s="5121" t="s">
        <v>120</v>
      </c>
      <c r="J10" s="5121"/>
      <c r="K10" s="5121"/>
      <c r="L10" s="5121"/>
      <c r="M10" s="5134" t="s">
        <v>119</v>
      </c>
      <c r="N10" s="5134"/>
      <c r="S10" s="3534"/>
      <c r="T10" s="3534"/>
      <c r="U10" s="3534"/>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S11" s="3534"/>
      <c r="T11" s="4883"/>
      <c r="U11" s="3534"/>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S12" s="3534"/>
      <c r="T12" s="4861"/>
      <c r="U12" s="3534"/>
    </row>
    <row r="13" spans="2:22" ht="13.5" thickBot="1">
      <c r="B13" s="262">
        <v>120756</v>
      </c>
      <c r="C13" s="236" t="s">
        <v>138</v>
      </c>
      <c r="D13" s="237">
        <f>SUM(D14:D17)</f>
        <v>0</v>
      </c>
      <c r="E13" s="4468">
        <f>SUM(E14:E17)</f>
        <v>257631.75</v>
      </c>
      <c r="F13" s="238">
        <f>D13+E13</f>
        <v>257631.75</v>
      </c>
      <c r="H13" s="132"/>
      <c r="I13" s="239" t="str">
        <f t="shared" ref="I13:I54" si="1">C63</f>
        <v>Showerhead - Max 1.5 gpm EWH</v>
      </c>
      <c r="J13" s="240"/>
      <c r="K13" s="241"/>
      <c r="L13" s="242">
        <f t="shared" ref="L13:L57" si="2">D63</f>
        <v>307</v>
      </c>
      <c r="M13" s="4552">
        <v>0</v>
      </c>
      <c r="N13" s="4834">
        <v>8650</v>
      </c>
      <c r="O13" s="4554">
        <f>M13+N13</f>
        <v>8650</v>
      </c>
      <c r="P13" s="4135">
        <f t="shared" ref="P13:P58" si="3">M13*$D63</f>
        <v>0</v>
      </c>
      <c r="Q13" s="4555">
        <f t="shared" ref="Q13:Q58" si="4">N13*$D63</f>
        <v>2655550</v>
      </c>
      <c r="R13" s="4136">
        <f t="shared" ref="R13:R58" si="5">O13*$D63</f>
        <v>2655550</v>
      </c>
      <c r="S13" s="3534"/>
      <c r="T13" s="4891"/>
      <c r="U13" s="3534"/>
    </row>
    <row r="14" spans="2:22">
      <c r="B14" s="247"/>
      <c r="C14" s="248" t="s">
        <v>477</v>
      </c>
      <c r="D14" s="249">
        <v>0</v>
      </c>
      <c r="E14" s="4447">
        <v>257631.75</v>
      </c>
      <c r="F14" s="249">
        <f>SUM(D14:E14)</f>
        <v>257631.75</v>
      </c>
      <c r="H14" s="132"/>
      <c r="I14" s="3568" t="str">
        <f t="shared" si="1"/>
        <v>Solar Pool Heater (Calculated)</v>
      </c>
      <c r="J14" s="3569"/>
      <c r="K14" s="3570"/>
      <c r="L14" s="242">
        <f t="shared" si="2"/>
        <v>27000</v>
      </c>
      <c r="M14" s="4552">
        <v>0</v>
      </c>
      <c r="N14" s="4834">
        <v>2</v>
      </c>
      <c r="O14" s="4554">
        <f t="shared" ref="O14:O57" si="6">M14+N14</f>
        <v>2</v>
      </c>
      <c r="P14" s="4135">
        <f t="shared" si="3"/>
        <v>0</v>
      </c>
      <c r="Q14" s="4555">
        <f t="shared" si="4"/>
        <v>54000</v>
      </c>
      <c r="R14" s="4136">
        <f t="shared" si="5"/>
        <v>54000</v>
      </c>
      <c r="S14" s="3534"/>
      <c r="T14" s="4891"/>
      <c r="U14" s="3534"/>
    </row>
    <row r="15" spans="2:22">
      <c r="B15" s="254"/>
      <c r="C15" s="255" t="s">
        <v>140</v>
      </c>
      <c r="D15" s="256">
        <v>0</v>
      </c>
      <c r="E15" s="256"/>
      <c r="F15" s="249">
        <f t="shared" ref="F15:F25" si="7">SUM(D15:E15)</f>
        <v>0</v>
      </c>
      <c r="H15" s="132"/>
      <c r="I15" s="3568" t="str">
        <f t="shared" si="1"/>
        <v>Water Heater Pipewrap</v>
      </c>
      <c r="J15" s="3569"/>
      <c r="K15" s="3570"/>
      <c r="L15" s="242">
        <f t="shared" si="2"/>
        <v>20</v>
      </c>
      <c r="M15" s="4552">
        <v>0</v>
      </c>
      <c r="N15" s="4834">
        <v>4100</v>
      </c>
      <c r="O15" s="4554">
        <f t="shared" si="6"/>
        <v>4100</v>
      </c>
      <c r="P15" s="4135">
        <f t="shared" si="3"/>
        <v>0</v>
      </c>
      <c r="Q15" s="4555">
        <f t="shared" si="4"/>
        <v>82000</v>
      </c>
      <c r="R15" s="4136">
        <f t="shared" si="5"/>
        <v>82000</v>
      </c>
      <c r="S15" s="3534"/>
      <c r="T15" s="4891"/>
      <c r="U15" s="3534"/>
    </row>
    <row r="16" spans="2:22">
      <c r="B16" s="254"/>
      <c r="C16" s="255" t="s">
        <v>141</v>
      </c>
      <c r="D16" s="258">
        <v>0</v>
      </c>
      <c r="E16" s="258"/>
      <c r="F16" s="249">
        <f t="shared" si="7"/>
        <v>0</v>
      </c>
      <c r="H16" s="132"/>
      <c r="I16" s="3568" t="str">
        <f t="shared" si="1"/>
        <v>Attic Insulation R-0 to R-38 MF</v>
      </c>
      <c r="J16" s="3569"/>
      <c r="K16" s="3570"/>
      <c r="L16" s="242">
        <f t="shared" si="2"/>
        <v>2.1800000000000002</v>
      </c>
      <c r="M16" s="4556">
        <v>0</v>
      </c>
      <c r="N16" s="4833">
        <v>12100</v>
      </c>
      <c r="O16" s="4554">
        <f t="shared" si="6"/>
        <v>12100</v>
      </c>
      <c r="P16" s="4135">
        <f t="shared" si="3"/>
        <v>0</v>
      </c>
      <c r="Q16" s="4555">
        <f t="shared" si="4"/>
        <v>26378.000000000004</v>
      </c>
      <c r="R16" s="4136">
        <f t="shared" si="5"/>
        <v>26378.000000000004</v>
      </c>
      <c r="S16" s="3534"/>
      <c r="T16" s="4891"/>
      <c r="U16" s="3534"/>
    </row>
    <row r="17" spans="2:21" ht="13.5" thickBot="1">
      <c r="B17" s="254"/>
      <c r="C17" s="255" t="s">
        <v>142</v>
      </c>
      <c r="D17" s="258">
        <v>0</v>
      </c>
      <c r="E17" s="258"/>
      <c r="F17" s="249">
        <f t="shared" si="7"/>
        <v>0</v>
      </c>
      <c r="H17" s="132"/>
      <c r="I17" s="3568" t="str">
        <f t="shared" si="1"/>
        <v>Attic Insulation R-11 to R-38 MF</v>
      </c>
      <c r="J17" s="3569"/>
      <c r="K17" s="3570"/>
      <c r="L17" s="242">
        <f t="shared" si="2"/>
        <v>1.39</v>
      </c>
      <c r="M17" s="4556">
        <v>0</v>
      </c>
      <c r="N17" s="4837">
        <v>1000000</v>
      </c>
      <c r="O17" s="4554">
        <f t="shared" si="6"/>
        <v>1000000</v>
      </c>
      <c r="P17" s="4135">
        <f t="shared" si="3"/>
        <v>0</v>
      </c>
      <c r="Q17" s="4555">
        <f t="shared" si="4"/>
        <v>1390000</v>
      </c>
      <c r="R17" s="4136">
        <f t="shared" si="5"/>
        <v>1390000</v>
      </c>
      <c r="S17" s="3534"/>
      <c r="T17" s="4891"/>
      <c r="U17" s="3534"/>
    </row>
    <row r="18" spans="2:21" ht="13.5" thickBot="1">
      <c r="B18" s="262">
        <v>64569</v>
      </c>
      <c r="C18" s="236" t="s">
        <v>143</v>
      </c>
      <c r="D18" s="237">
        <f>SUM(D19:D22)</f>
        <v>0</v>
      </c>
      <c r="E18" s="4468">
        <f>SUM(E19:E22)</f>
        <v>70110</v>
      </c>
      <c r="F18" s="238">
        <f>D18+E18</f>
        <v>70110</v>
      </c>
      <c r="H18" s="132"/>
      <c r="I18" s="3568" t="str">
        <f t="shared" si="1"/>
        <v>Attic Insulation R-19 to R-38 MF</v>
      </c>
      <c r="J18" s="3569"/>
      <c r="K18" s="3570"/>
      <c r="L18" s="242">
        <f t="shared" si="2"/>
        <v>0.57999999999999996</v>
      </c>
      <c r="M18" s="4556">
        <v>0</v>
      </c>
      <c r="N18" s="4836">
        <v>0</v>
      </c>
      <c r="O18" s="4554">
        <f t="shared" si="6"/>
        <v>0</v>
      </c>
      <c r="P18" s="4135">
        <f t="shared" si="3"/>
        <v>0</v>
      </c>
      <c r="Q18" s="4555">
        <f t="shared" si="4"/>
        <v>0</v>
      </c>
      <c r="R18" s="4136">
        <f t="shared" si="5"/>
        <v>0</v>
      </c>
      <c r="S18" s="3534"/>
      <c r="T18" s="4891"/>
      <c r="U18" s="3534"/>
    </row>
    <row r="19" spans="2:21">
      <c r="B19" s="247"/>
      <c r="C19" s="248" t="s">
        <v>478</v>
      </c>
      <c r="D19" s="249">
        <v>0</v>
      </c>
      <c r="E19" s="4447">
        <v>70110</v>
      </c>
      <c r="F19" s="249">
        <f t="shared" si="7"/>
        <v>70110</v>
      </c>
      <c r="H19" s="132"/>
      <c r="I19" s="3568" t="str">
        <f t="shared" si="1"/>
        <v>Floor Insulation R-0 to R-30 MF</v>
      </c>
      <c r="J19" s="3569"/>
      <c r="K19" s="3570"/>
      <c r="L19" s="242">
        <f t="shared" si="2"/>
        <v>1.3</v>
      </c>
      <c r="M19" s="4556">
        <v>0</v>
      </c>
      <c r="N19" s="4837">
        <v>104000</v>
      </c>
      <c r="O19" s="4554">
        <f t="shared" si="6"/>
        <v>104000</v>
      </c>
      <c r="P19" s="4135">
        <f t="shared" si="3"/>
        <v>0</v>
      </c>
      <c r="Q19" s="4555">
        <f t="shared" si="4"/>
        <v>135200</v>
      </c>
      <c r="R19" s="4136">
        <f t="shared" si="5"/>
        <v>135200</v>
      </c>
      <c r="S19" s="3534"/>
      <c r="T19" s="4891"/>
      <c r="U19" s="3534"/>
    </row>
    <row r="20" spans="2:21">
      <c r="B20" s="254"/>
      <c r="C20" s="255" t="s">
        <v>479</v>
      </c>
      <c r="D20" s="256">
        <v>0</v>
      </c>
      <c r="E20" s="256"/>
      <c r="F20" s="249">
        <f t="shared" si="7"/>
        <v>0</v>
      </c>
      <c r="H20" s="132"/>
      <c r="I20" s="4532" t="str">
        <f t="shared" si="1"/>
        <v>Showerhead CWA- Max 1.5 gpm EWH</v>
      </c>
      <c r="J20" s="3569"/>
      <c r="K20" s="3570"/>
      <c r="L20" s="242">
        <f t="shared" si="2"/>
        <v>307</v>
      </c>
      <c r="M20" s="4556">
        <v>0</v>
      </c>
      <c r="N20" s="4836">
        <v>4350</v>
      </c>
      <c r="O20" s="4554">
        <f t="shared" si="6"/>
        <v>4350</v>
      </c>
      <c r="P20" s="4135">
        <f t="shared" si="3"/>
        <v>0</v>
      </c>
      <c r="Q20" s="4555">
        <f t="shared" si="4"/>
        <v>1335450</v>
      </c>
      <c r="R20" s="4136">
        <f t="shared" si="5"/>
        <v>1335450</v>
      </c>
      <c r="S20" s="3534"/>
      <c r="T20" s="4891"/>
      <c r="U20" s="3534"/>
    </row>
    <row r="21" spans="2:21">
      <c r="B21" s="254"/>
      <c r="C21" s="255" t="s">
        <v>141</v>
      </c>
      <c r="D21" s="258">
        <v>0</v>
      </c>
      <c r="E21" s="258"/>
      <c r="F21" s="249">
        <f t="shared" si="7"/>
        <v>0</v>
      </c>
      <c r="H21" s="132"/>
      <c r="I21" s="3568" t="str">
        <f t="shared" si="1"/>
        <v>Floor Insulation R-11 to R-30 MF</v>
      </c>
      <c r="J21" s="3569"/>
      <c r="K21" s="3570"/>
      <c r="L21" s="242">
        <f t="shared" si="2"/>
        <v>0.76</v>
      </c>
      <c r="M21" s="4556">
        <v>0</v>
      </c>
      <c r="N21" s="4836">
        <v>0</v>
      </c>
      <c r="O21" s="4554">
        <f t="shared" si="6"/>
        <v>0</v>
      </c>
      <c r="P21" s="4135">
        <f t="shared" si="3"/>
        <v>0</v>
      </c>
      <c r="Q21" s="4555">
        <f t="shared" si="4"/>
        <v>0</v>
      </c>
      <c r="R21" s="4136">
        <f t="shared" si="5"/>
        <v>0</v>
      </c>
      <c r="S21" s="3534"/>
      <c r="T21" s="4891"/>
      <c r="U21" s="3534"/>
    </row>
    <row r="22" spans="2:21" ht="13.5" thickBot="1">
      <c r="B22" s="254"/>
      <c r="C22" s="255" t="s">
        <v>142</v>
      </c>
      <c r="D22" s="258">
        <v>0</v>
      </c>
      <c r="E22" s="258"/>
      <c r="F22" s="249">
        <f t="shared" si="7"/>
        <v>0</v>
      </c>
      <c r="H22" s="132"/>
      <c r="I22" s="3568" t="str">
        <f t="shared" si="1"/>
        <v>Wall Insulation R-0 to R-11 MF</v>
      </c>
      <c r="J22" s="3569"/>
      <c r="K22" s="3570"/>
      <c r="L22" s="242">
        <f t="shared" si="2"/>
        <v>1.3</v>
      </c>
      <c r="M22" s="4556">
        <v>0</v>
      </c>
      <c r="N22" s="4836">
        <v>5500</v>
      </c>
      <c r="O22" s="4554">
        <f t="shared" si="6"/>
        <v>5500</v>
      </c>
      <c r="P22" s="4135">
        <f t="shared" si="3"/>
        <v>0</v>
      </c>
      <c r="Q22" s="4555">
        <f t="shared" si="4"/>
        <v>7150</v>
      </c>
      <c r="R22" s="4136">
        <f t="shared" si="5"/>
        <v>7150</v>
      </c>
      <c r="S22" s="3534"/>
      <c r="T22" s="4891"/>
      <c r="U22" s="3534"/>
    </row>
    <row r="23" spans="2:21" ht="13.5" thickBot="1">
      <c r="B23" s="262">
        <v>120461</v>
      </c>
      <c r="C23" s="236" t="s">
        <v>144</v>
      </c>
      <c r="D23" s="237">
        <f>SUM(D24:D27)</f>
        <v>0</v>
      </c>
      <c r="E23" s="237">
        <f>SUM(E24:E27)</f>
        <v>231713.41724999997</v>
      </c>
      <c r="F23" s="238">
        <f>D23+E23</f>
        <v>231713.41724999997</v>
      </c>
      <c r="G23" s="53"/>
      <c r="H23" s="132"/>
      <c r="I23" s="3568" t="str">
        <f t="shared" si="1"/>
        <v>Windows (single to double paned) U= 1.2 to 0.30</v>
      </c>
      <c r="J23" s="3569"/>
      <c r="K23" s="3570"/>
      <c r="L23" s="242">
        <f t="shared" si="2"/>
        <v>21.65</v>
      </c>
      <c r="M23" s="4556">
        <v>0</v>
      </c>
      <c r="N23" s="4836">
        <v>42948</v>
      </c>
      <c r="O23" s="4554">
        <f t="shared" si="6"/>
        <v>42948</v>
      </c>
      <c r="P23" s="4135">
        <f t="shared" si="3"/>
        <v>0</v>
      </c>
      <c r="Q23" s="4555">
        <f t="shared" si="4"/>
        <v>929824.2</v>
      </c>
      <c r="R23" s="4136">
        <f t="shared" si="5"/>
        <v>929824.2</v>
      </c>
      <c r="S23" s="3534"/>
      <c r="T23" s="4891"/>
      <c r="U23" s="3534"/>
    </row>
    <row r="24" spans="2:21">
      <c r="B24" s="247"/>
      <c r="C24" s="3566" t="s">
        <v>1434</v>
      </c>
      <c r="D24" s="249">
        <f>0.63*D13</f>
        <v>0</v>
      </c>
      <c r="E24" s="249">
        <f>0.707*E13</f>
        <v>182145.64724999998</v>
      </c>
      <c r="F24" s="249">
        <f t="shared" si="7"/>
        <v>182145.64724999998</v>
      </c>
      <c r="H24" s="132"/>
      <c r="I24" s="3568" t="str">
        <f t="shared" si="1"/>
        <v>Windows (single to triple paned) U= 1.2 to 0.22</v>
      </c>
      <c r="J24" s="3569"/>
      <c r="K24" s="3570"/>
      <c r="L24" s="242">
        <f t="shared" si="2"/>
        <v>23.58</v>
      </c>
      <c r="M24" s="4556">
        <v>0</v>
      </c>
      <c r="N24" s="4836">
        <v>3000</v>
      </c>
      <c r="O24" s="4554">
        <f t="shared" si="6"/>
        <v>3000</v>
      </c>
      <c r="P24" s="4135">
        <f t="shared" si="3"/>
        <v>0</v>
      </c>
      <c r="Q24" s="4555">
        <f t="shared" si="4"/>
        <v>70740</v>
      </c>
      <c r="R24" s="4136">
        <f t="shared" si="5"/>
        <v>70740</v>
      </c>
      <c r="S24" s="3534"/>
      <c r="T24" s="4891"/>
      <c r="U24" s="3534"/>
    </row>
    <row r="25" spans="2:21">
      <c r="B25" s="247"/>
      <c r="C25" s="3566" t="s">
        <v>1435</v>
      </c>
      <c r="D25" s="256">
        <f>0.63*D18</f>
        <v>0</v>
      </c>
      <c r="E25" s="256">
        <f>0.707*E18</f>
        <v>49567.77</v>
      </c>
      <c r="F25" s="249">
        <f t="shared" si="7"/>
        <v>49567.77</v>
      </c>
      <c r="H25" s="132"/>
      <c r="I25" s="3568" t="str">
        <f t="shared" si="1"/>
        <v>Windows (double to double paned) U= 0.6 to 0.30</v>
      </c>
      <c r="J25" s="3569"/>
      <c r="K25" s="3570"/>
      <c r="L25" s="242">
        <f t="shared" si="2"/>
        <v>11.94</v>
      </c>
      <c r="M25" s="4556">
        <v>0</v>
      </c>
      <c r="N25" s="4837">
        <v>118000</v>
      </c>
      <c r="O25" s="4554">
        <f t="shared" si="6"/>
        <v>118000</v>
      </c>
      <c r="P25" s="4135">
        <f t="shared" si="3"/>
        <v>0</v>
      </c>
      <c r="Q25" s="4555">
        <f t="shared" si="4"/>
        <v>1408920</v>
      </c>
      <c r="R25" s="4136">
        <f t="shared" si="5"/>
        <v>1408920</v>
      </c>
      <c r="S25" s="3534"/>
      <c r="T25" s="4891"/>
      <c r="U25" s="3534"/>
    </row>
    <row r="26" spans="2:21">
      <c r="B26" s="254"/>
      <c r="C26" s="255"/>
      <c r="D26" s="258"/>
      <c r="E26" s="258"/>
      <c r="F26" s="258"/>
      <c r="H26" s="132"/>
      <c r="I26" s="3568" t="str">
        <f t="shared" si="1"/>
        <v>Windows (double to triple paned) U= 0.6 to 0.22</v>
      </c>
      <c r="J26" s="3569"/>
      <c r="K26" s="3570"/>
      <c r="L26" s="242">
        <f t="shared" si="2"/>
        <v>13.87</v>
      </c>
      <c r="M26" s="4556">
        <v>0</v>
      </c>
      <c r="N26" s="4836">
        <v>1500</v>
      </c>
      <c r="O26" s="4554">
        <f t="shared" si="6"/>
        <v>1500</v>
      </c>
      <c r="P26" s="4135">
        <f t="shared" si="3"/>
        <v>0</v>
      </c>
      <c r="Q26" s="4555">
        <f t="shared" si="4"/>
        <v>20805</v>
      </c>
      <c r="R26" s="4136">
        <f t="shared" si="5"/>
        <v>20805</v>
      </c>
      <c r="S26" s="3534"/>
      <c r="T26" s="4891"/>
      <c r="U26" s="3534"/>
    </row>
    <row r="27" spans="2:21" ht="13.5" thickBot="1">
      <c r="B27" s="254"/>
      <c r="C27" s="255"/>
      <c r="D27" s="258"/>
      <c r="E27" s="258"/>
      <c r="F27" s="258"/>
      <c r="H27" s="132"/>
      <c r="I27" s="3568" t="str">
        <f t="shared" si="1"/>
        <v>Common Area Lighting (Calculated)</v>
      </c>
      <c r="J27" s="3569"/>
      <c r="K27" s="3570"/>
      <c r="L27" s="242">
        <f t="shared" si="2"/>
        <v>54135</v>
      </c>
      <c r="M27" s="4556">
        <v>0</v>
      </c>
      <c r="N27" s="4837">
        <v>50</v>
      </c>
      <c r="O27" s="4554">
        <f t="shared" si="6"/>
        <v>50</v>
      </c>
      <c r="P27" s="4135">
        <f t="shared" si="3"/>
        <v>0</v>
      </c>
      <c r="Q27" s="4555">
        <f t="shared" si="4"/>
        <v>2706750</v>
      </c>
      <c r="R27" s="4136">
        <f t="shared" si="5"/>
        <v>2706750</v>
      </c>
      <c r="S27" s="3534"/>
      <c r="T27" s="4891"/>
      <c r="U27" s="3534"/>
    </row>
    <row r="28" spans="2:21" ht="13.5" thickBot="1">
      <c r="B28" s="262">
        <v>55193</v>
      </c>
      <c r="C28" s="236" t="s">
        <v>145</v>
      </c>
      <c r="D28" s="237">
        <f>SUM(D29:D32)</f>
        <v>0</v>
      </c>
      <c r="E28" s="4468">
        <f>SUM(E29:E32)</f>
        <v>71250</v>
      </c>
      <c r="F28" s="238">
        <f>D28+E28</f>
        <v>71250</v>
      </c>
      <c r="H28" s="132"/>
      <c r="I28" s="4557" t="str">
        <f t="shared" si="1"/>
        <v>Clothes Washer Tier 1 MEF 2.2-2.45 (EWH/Edryer)</v>
      </c>
      <c r="J28" s="3569"/>
      <c r="K28" s="3570"/>
      <c r="L28" s="242">
        <f t="shared" si="2"/>
        <v>112</v>
      </c>
      <c r="M28" s="4552">
        <v>0</v>
      </c>
      <c r="N28" s="4832">
        <v>0</v>
      </c>
      <c r="O28" s="4554">
        <f t="shared" si="6"/>
        <v>0</v>
      </c>
      <c r="P28" s="4135">
        <f t="shared" si="3"/>
        <v>0</v>
      </c>
      <c r="Q28" s="4555">
        <f t="shared" si="4"/>
        <v>0</v>
      </c>
      <c r="R28" s="4136">
        <f t="shared" si="5"/>
        <v>0</v>
      </c>
      <c r="S28" s="3534"/>
      <c r="T28" s="4891"/>
      <c r="U28" s="3534"/>
    </row>
    <row r="29" spans="2:21">
      <c r="B29" s="247"/>
      <c r="C29" s="248" t="s">
        <v>480</v>
      </c>
      <c r="D29" s="249">
        <v>0</v>
      </c>
      <c r="E29" s="4447">
        <v>71250</v>
      </c>
      <c r="F29" s="249">
        <f t="shared" ref="F29:F37" si="8">SUM(D29:E29)</f>
        <v>71250</v>
      </c>
      <c r="H29" s="132"/>
      <c r="I29" s="3568" t="str">
        <f t="shared" si="1"/>
        <v>Clothes Washer MEF 2.46 or Higher (EWH/Edryer)</v>
      </c>
      <c r="J29" s="3569"/>
      <c r="K29" s="3570"/>
      <c r="L29" s="242">
        <f t="shared" si="2"/>
        <v>92</v>
      </c>
      <c r="M29" s="4552">
        <v>0</v>
      </c>
      <c r="N29" s="4832">
        <v>100</v>
      </c>
      <c r="O29" s="4554">
        <f t="shared" si="6"/>
        <v>100</v>
      </c>
      <c r="P29" s="4135">
        <f t="shared" si="3"/>
        <v>0</v>
      </c>
      <c r="Q29" s="4555">
        <f t="shared" si="4"/>
        <v>9200</v>
      </c>
      <c r="R29" s="4136">
        <f t="shared" si="5"/>
        <v>9200</v>
      </c>
      <c r="S29" s="3534"/>
      <c r="T29" s="4891"/>
      <c r="U29" s="3534"/>
    </row>
    <row r="30" spans="2:21">
      <c r="B30" s="254"/>
      <c r="C30" s="255" t="s">
        <v>140</v>
      </c>
      <c r="D30" s="256">
        <v>0</v>
      </c>
      <c r="E30" s="256"/>
      <c r="F30" s="249">
        <f t="shared" si="8"/>
        <v>0</v>
      </c>
      <c r="H30" s="132"/>
      <c r="I30" s="3568" t="str">
        <f t="shared" si="1"/>
        <v>Energy Star CF Fixture - Tenant Controlled</v>
      </c>
      <c r="J30" s="3569"/>
      <c r="K30" s="3570"/>
      <c r="L30" s="242">
        <f t="shared" si="2"/>
        <v>49</v>
      </c>
      <c r="M30" s="4552">
        <v>0</v>
      </c>
      <c r="N30" s="4834">
        <v>3000</v>
      </c>
      <c r="O30" s="4554">
        <f t="shared" si="6"/>
        <v>3000</v>
      </c>
      <c r="P30" s="4135">
        <f t="shared" si="3"/>
        <v>0</v>
      </c>
      <c r="Q30" s="4555">
        <f t="shared" si="4"/>
        <v>147000</v>
      </c>
      <c r="R30" s="4136">
        <f t="shared" si="5"/>
        <v>147000</v>
      </c>
      <c r="S30" s="3534"/>
      <c r="T30" s="4891"/>
      <c r="U30" s="3534"/>
    </row>
    <row r="31" spans="2:21">
      <c r="B31" s="254"/>
      <c r="C31" s="255" t="s">
        <v>141</v>
      </c>
      <c r="D31" s="256">
        <v>0</v>
      </c>
      <c r="E31" s="256"/>
      <c r="F31" s="249">
        <f t="shared" si="8"/>
        <v>0</v>
      </c>
      <c r="H31" s="132"/>
      <c r="I31" s="3568" t="str">
        <f t="shared" si="1"/>
        <v>Energy Star CFL - Direct Install</v>
      </c>
      <c r="J31" s="3569"/>
      <c r="K31" s="3570"/>
      <c r="L31" s="242">
        <f t="shared" si="2"/>
        <v>23</v>
      </c>
      <c r="M31" s="4552">
        <v>0</v>
      </c>
      <c r="N31" s="4832">
        <v>137500</v>
      </c>
      <c r="O31" s="4554">
        <f t="shared" si="6"/>
        <v>137500</v>
      </c>
      <c r="P31" s="4135">
        <f t="shared" si="3"/>
        <v>0</v>
      </c>
      <c r="Q31" s="4555">
        <f t="shared" si="4"/>
        <v>3162500</v>
      </c>
      <c r="R31" s="4136">
        <f t="shared" si="5"/>
        <v>3162500</v>
      </c>
      <c r="S31" s="3534"/>
      <c r="T31" s="4891"/>
      <c r="U31" s="3534"/>
    </row>
    <row r="32" spans="2:21" ht="13.5" thickBot="1">
      <c r="B32" s="254"/>
      <c r="C32" s="255" t="s">
        <v>142</v>
      </c>
      <c r="D32" s="256">
        <v>0</v>
      </c>
      <c r="E32" s="256"/>
      <c r="F32" s="249">
        <f t="shared" si="8"/>
        <v>0</v>
      </c>
      <c r="H32" s="132"/>
      <c r="I32" s="3568" t="str">
        <f t="shared" si="1"/>
        <v>Water Heater (0.95)</v>
      </c>
      <c r="J32" s="3569"/>
      <c r="K32" s="3570"/>
      <c r="L32" s="242">
        <f t="shared" si="2"/>
        <v>131</v>
      </c>
      <c r="M32" s="4552">
        <v>0</v>
      </c>
      <c r="N32" s="4832">
        <v>20</v>
      </c>
      <c r="O32" s="4554">
        <f t="shared" si="6"/>
        <v>20</v>
      </c>
      <c r="P32" s="4135">
        <f t="shared" si="3"/>
        <v>0</v>
      </c>
      <c r="Q32" s="4555">
        <f t="shared" si="4"/>
        <v>2620</v>
      </c>
      <c r="R32" s="4136">
        <f t="shared" si="5"/>
        <v>2620</v>
      </c>
      <c r="S32" s="3534"/>
      <c r="T32" s="4891"/>
      <c r="U32" s="3534"/>
    </row>
    <row r="33" spans="2:21" ht="13.5" thickBot="1">
      <c r="B33" s="262">
        <v>6340</v>
      </c>
      <c r="C33" s="236" t="s">
        <v>146</v>
      </c>
      <c r="D33" s="237">
        <f>SUM(D34:D37)</f>
        <v>0</v>
      </c>
      <c r="E33" s="4468">
        <f>SUM(E34:E37)</f>
        <v>11010</v>
      </c>
      <c r="F33" s="238">
        <f>D33+E33</f>
        <v>11010</v>
      </c>
      <c r="H33" s="132"/>
      <c r="I33" s="3568" t="str">
        <f t="shared" si="1"/>
        <v>Energy Star Refrigerator Upgrade</v>
      </c>
      <c r="J33" s="3569"/>
      <c r="K33" s="3570"/>
      <c r="L33" s="242">
        <f t="shared" si="2"/>
        <v>44</v>
      </c>
      <c r="M33" s="4552">
        <v>0</v>
      </c>
      <c r="N33" s="4832">
        <v>50</v>
      </c>
      <c r="O33" s="4554">
        <f t="shared" si="6"/>
        <v>50</v>
      </c>
      <c r="P33" s="4135">
        <f t="shared" si="3"/>
        <v>0</v>
      </c>
      <c r="Q33" s="4555">
        <f t="shared" si="4"/>
        <v>2200</v>
      </c>
      <c r="R33" s="4136">
        <f t="shared" si="5"/>
        <v>2200</v>
      </c>
      <c r="S33" s="3534"/>
      <c r="T33" s="4891"/>
      <c r="U33" s="3534"/>
    </row>
    <row r="34" spans="2:21">
      <c r="B34" s="254"/>
      <c r="C34" s="255" t="s">
        <v>481</v>
      </c>
      <c r="D34" s="256">
        <v>0</v>
      </c>
      <c r="E34" s="4449">
        <v>11010</v>
      </c>
      <c r="F34" s="249">
        <f t="shared" si="8"/>
        <v>11010</v>
      </c>
      <c r="H34" s="132"/>
      <c r="I34" s="4558" t="str">
        <f t="shared" si="1"/>
        <v>Refrigerator Replacement</v>
      </c>
      <c r="J34" s="3569"/>
      <c r="K34" s="3570"/>
      <c r="L34" s="242">
        <f t="shared" si="2"/>
        <v>755</v>
      </c>
      <c r="M34" s="4552">
        <v>0</v>
      </c>
      <c r="N34" s="4838">
        <v>2000</v>
      </c>
      <c r="O34" s="4554">
        <f t="shared" si="6"/>
        <v>2000</v>
      </c>
      <c r="P34" s="4135">
        <f t="shared" si="3"/>
        <v>0</v>
      </c>
      <c r="Q34" s="4555">
        <f t="shared" si="4"/>
        <v>1510000</v>
      </c>
      <c r="R34" s="4136">
        <f t="shared" si="5"/>
        <v>1510000</v>
      </c>
      <c r="S34" s="3534"/>
      <c r="T34" s="4891"/>
      <c r="U34" s="3534"/>
    </row>
    <row r="35" spans="2:21">
      <c r="B35" s="254"/>
      <c r="C35" s="255" t="s">
        <v>140</v>
      </c>
      <c r="D35" s="256">
        <v>0</v>
      </c>
      <c r="E35" s="256"/>
      <c r="F35" s="249">
        <f t="shared" si="8"/>
        <v>0</v>
      </c>
      <c r="H35" s="132"/>
      <c r="I35" s="4559" t="str">
        <f t="shared" si="1"/>
        <v>Energy Star LED - Direct Install</v>
      </c>
      <c r="J35" s="3569"/>
      <c r="K35" s="3570"/>
      <c r="L35" s="242">
        <f t="shared" si="2"/>
        <v>34</v>
      </c>
      <c r="M35" s="4552">
        <v>0</v>
      </c>
      <c r="N35" s="4834">
        <v>12500</v>
      </c>
      <c r="O35" s="4554">
        <f t="shared" si="6"/>
        <v>12500</v>
      </c>
      <c r="P35" s="4135">
        <f t="shared" si="3"/>
        <v>0</v>
      </c>
      <c r="Q35" s="4555">
        <f t="shared" si="4"/>
        <v>425000</v>
      </c>
      <c r="R35" s="4136">
        <f t="shared" si="5"/>
        <v>425000</v>
      </c>
      <c r="S35" s="3534"/>
      <c r="T35" s="4891"/>
      <c r="U35" s="3534"/>
    </row>
    <row r="36" spans="2:21">
      <c r="B36" s="254"/>
      <c r="C36" s="255" t="s">
        <v>141</v>
      </c>
      <c r="D36" s="256">
        <v>0</v>
      </c>
      <c r="E36" s="256"/>
      <c r="F36" s="249">
        <f t="shared" si="8"/>
        <v>0</v>
      </c>
      <c r="H36" s="132"/>
      <c r="I36" s="4558" t="str">
        <f t="shared" si="1"/>
        <v>Energy Star LED Fixture - Tenant Controlled</v>
      </c>
      <c r="J36" s="3569"/>
      <c r="K36" s="3570"/>
      <c r="L36" s="242">
        <f t="shared" si="2"/>
        <v>61</v>
      </c>
      <c r="M36" s="4552">
        <v>0</v>
      </c>
      <c r="N36" s="4832">
        <v>200</v>
      </c>
      <c r="O36" s="4554">
        <f t="shared" si="6"/>
        <v>200</v>
      </c>
      <c r="P36" s="4135">
        <f t="shared" si="3"/>
        <v>0</v>
      </c>
      <c r="Q36" s="4555">
        <f t="shared" si="4"/>
        <v>12200</v>
      </c>
      <c r="R36" s="4136">
        <f t="shared" si="5"/>
        <v>12200</v>
      </c>
      <c r="S36" s="3534"/>
      <c r="T36" s="4891"/>
      <c r="U36" s="3534"/>
    </row>
    <row r="37" spans="2:21" ht="13.5" thickBot="1">
      <c r="B37" s="254"/>
      <c r="C37" s="255" t="s">
        <v>142</v>
      </c>
      <c r="D37" s="256">
        <v>0</v>
      </c>
      <c r="E37" s="256"/>
      <c r="F37" s="249">
        <f t="shared" si="8"/>
        <v>0</v>
      </c>
      <c r="H37" s="132"/>
      <c r="I37" s="3568" t="str">
        <f t="shared" si="1"/>
        <v>Smart Strips</v>
      </c>
      <c r="J37" s="3569"/>
      <c r="K37" s="3570"/>
      <c r="L37" s="242">
        <f t="shared" si="2"/>
        <v>100</v>
      </c>
      <c r="M37" s="4552">
        <v>0</v>
      </c>
      <c r="N37" s="4838">
        <v>0</v>
      </c>
      <c r="O37" s="4554">
        <f t="shared" si="6"/>
        <v>0</v>
      </c>
      <c r="P37" s="4135">
        <f t="shared" si="3"/>
        <v>0</v>
      </c>
      <c r="Q37" s="4555">
        <f t="shared" si="4"/>
        <v>0</v>
      </c>
      <c r="R37" s="4136">
        <f t="shared" si="5"/>
        <v>0</v>
      </c>
      <c r="S37" s="3534"/>
      <c r="T37" s="4891"/>
      <c r="U37" s="3534"/>
    </row>
    <row r="38" spans="2:21" ht="13.5" thickBot="1">
      <c r="B38" s="262">
        <v>618552</v>
      </c>
      <c r="C38" s="236" t="s">
        <v>147</v>
      </c>
      <c r="D38" s="237">
        <f>SUM(D39:D42)</f>
        <v>0</v>
      </c>
      <c r="E38" s="4468">
        <f>SUM(E39:E42)</f>
        <v>827392.3</v>
      </c>
      <c r="F38" s="238">
        <f>D38+E38</f>
        <v>827392.3</v>
      </c>
      <c r="H38" s="132"/>
      <c r="I38" s="4557" t="str">
        <f t="shared" si="1"/>
        <v>LED Lamps</v>
      </c>
      <c r="J38" s="3569"/>
      <c r="K38" s="3576"/>
      <c r="L38" s="242">
        <f t="shared" si="2"/>
        <v>34.1</v>
      </c>
      <c r="M38" s="4552">
        <v>0</v>
      </c>
      <c r="N38" s="4834">
        <v>0</v>
      </c>
      <c r="O38" s="4554">
        <f t="shared" si="6"/>
        <v>0</v>
      </c>
      <c r="P38" s="4135">
        <f t="shared" si="3"/>
        <v>0</v>
      </c>
      <c r="Q38" s="4555">
        <f t="shared" si="4"/>
        <v>0</v>
      </c>
      <c r="R38" s="4136">
        <f t="shared" si="5"/>
        <v>0</v>
      </c>
      <c r="S38" s="3534"/>
      <c r="T38" s="4891"/>
      <c r="U38" s="3534"/>
    </row>
    <row r="39" spans="2:21">
      <c r="B39" s="254"/>
      <c r="C39" s="2406" t="s">
        <v>482</v>
      </c>
      <c r="D39" s="2408">
        <v>0</v>
      </c>
      <c r="E39" s="2408">
        <v>0</v>
      </c>
      <c r="F39" s="2407">
        <v>0</v>
      </c>
      <c r="H39" s="132"/>
      <c r="I39" s="3568" t="str">
        <f t="shared" si="1"/>
        <v>Energy Star Whole House Ventilation</v>
      </c>
      <c r="J39" s="3569"/>
      <c r="K39" s="3576"/>
      <c r="L39" s="242">
        <f t="shared" si="2"/>
        <v>128</v>
      </c>
      <c r="M39" s="4552">
        <v>0</v>
      </c>
      <c r="N39" s="4834">
        <v>5</v>
      </c>
      <c r="O39" s="4554">
        <f t="shared" si="6"/>
        <v>5</v>
      </c>
      <c r="P39" s="4135">
        <f t="shared" si="3"/>
        <v>0</v>
      </c>
      <c r="Q39" s="4555">
        <f t="shared" si="4"/>
        <v>640</v>
      </c>
      <c r="R39" s="4136">
        <f t="shared" si="5"/>
        <v>640</v>
      </c>
      <c r="S39" s="3534"/>
      <c r="T39" s="4891"/>
      <c r="U39" s="3534"/>
    </row>
    <row r="40" spans="2:21">
      <c r="B40" s="254"/>
      <c r="C40" s="2406" t="s">
        <v>9</v>
      </c>
      <c r="D40" s="2408">
        <v>0</v>
      </c>
      <c r="E40" s="4454">
        <v>444000</v>
      </c>
      <c r="F40" s="2407">
        <v>900000</v>
      </c>
      <c r="H40" s="132"/>
      <c r="I40" s="3568" t="str">
        <f t="shared" si="1"/>
        <v>Parking Garage CO Sensors</v>
      </c>
      <c r="J40" s="3569"/>
      <c r="K40" s="3576"/>
      <c r="L40" s="242">
        <f t="shared" si="2"/>
        <v>10095</v>
      </c>
      <c r="M40" s="4552">
        <v>0</v>
      </c>
      <c r="N40" s="4834">
        <v>0</v>
      </c>
      <c r="O40" s="4554">
        <f t="shared" si="6"/>
        <v>0</v>
      </c>
      <c r="P40" s="4135">
        <f t="shared" si="3"/>
        <v>0</v>
      </c>
      <c r="Q40" s="4135">
        <f t="shared" si="4"/>
        <v>0</v>
      </c>
      <c r="R40" s="4136">
        <f t="shared" si="5"/>
        <v>0</v>
      </c>
      <c r="S40" s="3534"/>
      <c r="T40" s="4891"/>
      <c r="U40" s="3534"/>
    </row>
    <row r="41" spans="2:21">
      <c r="B41" s="254"/>
      <c r="C41" s="2406" t="s">
        <v>951</v>
      </c>
      <c r="D41" s="2408">
        <v>0</v>
      </c>
      <c r="E41" s="4454">
        <v>365864.8</v>
      </c>
      <c r="F41" s="2407">
        <v>805448.7</v>
      </c>
      <c r="H41" s="132"/>
      <c r="I41" s="4532" t="str">
        <f t="shared" si="1"/>
        <v>Structure Air Sealing  (Attic &amp; Floor Stand-Alone)</v>
      </c>
      <c r="J41" s="3569"/>
      <c r="K41" s="3576"/>
      <c r="L41" s="242">
        <f t="shared" si="2"/>
        <v>1.1000000000000001</v>
      </c>
      <c r="M41" s="4552">
        <v>0</v>
      </c>
      <c r="N41" s="4834">
        <v>0</v>
      </c>
      <c r="O41" s="4554">
        <f t="shared" si="6"/>
        <v>0</v>
      </c>
      <c r="P41" s="4135">
        <f t="shared" si="3"/>
        <v>0</v>
      </c>
      <c r="Q41" s="4135">
        <f t="shared" si="4"/>
        <v>0</v>
      </c>
      <c r="R41" s="4136">
        <f t="shared" si="5"/>
        <v>0</v>
      </c>
      <c r="S41" s="3534"/>
      <c r="T41" s="4891"/>
      <c r="U41" s="3534"/>
    </row>
    <row r="42" spans="2:21" ht="13.5" thickBot="1">
      <c r="B42" s="254"/>
      <c r="C42" s="3572" t="s">
        <v>1283</v>
      </c>
      <c r="D42" s="256">
        <v>0</v>
      </c>
      <c r="E42" s="4449">
        <v>17527.5</v>
      </c>
      <c r="F42" s="249">
        <f t="shared" ref="F42:F52" si="9">SUM(D42:E42)</f>
        <v>17527.5</v>
      </c>
      <c r="H42" s="132"/>
      <c r="I42" s="4532" t="str">
        <f t="shared" si="1"/>
        <v>Structure Air Sealing  (Wall  Blow)</v>
      </c>
      <c r="J42" s="3569"/>
      <c r="K42" s="3576"/>
      <c r="L42" s="242">
        <f t="shared" si="2"/>
        <v>2</v>
      </c>
      <c r="M42" s="4552">
        <v>0</v>
      </c>
      <c r="N42" s="4834">
        <v>0</v>
      </c>
      <c r="O42" s="4554">
        <f t="shared" si="6"/>
        <v>0</v>
      </c>
      <c r="P42" s="4135">
        <f t="shared" si="3"/>
        <v>0</v>
      </c>
      <c r="Q42" s="4135">
        <f t="shared" si="4"/>
        <v>0</v>
      </c>
      <c r="R42" s="4136">
        <f t="shared" si="5"/>
        <v>0</v>
      </c>
      <c r="S42" s="3534"/>
      <c r="T42" s="4891"/>
      <c r="U42" s="3534"/>
    </row>
    <row r="43" spans="2:21" ht="13.5" thickBot="1">
      <c r="B43" s="262">
        <v>480</v>
      </c>
      <c r="C43" s="236" t="s">
        <v>148</v>
      </c>
      <c r="D43" s="237">
        <f>SUM(D44:D47)</f>
        <v>0</v>
      </c>
      <c r="E43" s="4468">
        <f>SUM(E44:E47)</f>
        <v>250</v>
      </c>
      <c r="F43" s="238">
        <f>D43+E43</f>
        <v>250</v>
      </c>
      <c r="H43" s="132"/>
      <c r="I43" s="4532" t="str">
        <f t="shared" si="1"/>
        <v>Structure Air Sealing  (Attic &amp; Floor Blended Insulation)</v>
      </c>
      <c r="J43" s="3569"/>
      <c r="K43" s="3576"/>
      <c r="L43" s="242">
        <f t="shared" si="2"/>
        <v>2.1</v>
      </c>
      <c r="M43" s="4552">
        <v>0</v>
      </c>
      <c r="N43" s="4832">
        <v>0</v>
      </c>
      <c r="O43" s="4554">
        <f t="shared" si="6"/>
        <v>0</v>
      </c>
      <c r="P43" s="4135">
        <f t="shared" si="3"/>
        <v>0</v>
      </c>
      <c r="Q43" s="4135">
        <f t="shared" si="4"/>
        <v>0</v>
      </c>
      <c r="R43" s="4136">
        <f t="shared" si="5"/>
        <v>0</v>
      </c>
      <c r="S43" s="3534"/>
      <c r="T43" s="4891"/>
      <c r="U43" s="3534"/>
    </row>
    <row r="44" spans="2:21">
      <c r="B44" s="254"/>
      <c r="C44" s="255" t="s">
        <v>139</v>
      </c>
      <c r="D44" s="256">
        <v>0</v>
      </c>
      <c r="E44" s="4449">
        <v>250</v>
      </c>
      <c r="F44" s="249">
        <f t="shared" si="9"/>
        <v>250</v>
      </c>
      <c r="H44" s="132"/>
      <c r="I44" s="4558" t="str">
        <f t="shared" si="1"/>
        <v>Air Tightening - Ceiling reduce by 15%</v>
      </c>
      <c r="J44" s="3569"/>
      <c r="K44" s="3576"/>
      <c r="L44" s="242">
        <f t="shared" si="2"/>
        <v>0.86</v>
      </c>
      <c r="M44" s="4552">
        <v>0</v>
      </c>
      <c r="N44" s="4832">
        <v>0</v>
      </c>
      <c r="O44" s="4554">
        <f t="shared" si="6"/>
        <v>0</v>
      </c>
      <c r="P44" s="4135">
        <f t="shared" si="3"/>
        <v>0</v>
      </c>
      <c r="Q44" s="4135">
        <f t="shared" si="4"/>
        <v>0</v>
      </c>
      <c r="R44" s="4136">
        <f t="shared" si="5"/>
        <v>0</v>
      </c>
      <c r="S44" s="3534"/>
      <c r="T44" s="4891"/>
      <c r="U44" s="3534"/>
    </row>
    <row r="45" spans="2:21">
      <c r="B45" s="254"/>
      <c r="C45" s="255" t="s">
        <v>140</v>
      </c>
      <c r="D45" s="256">
        <v>0</v>
      </c>
      <c r="E45" s="256"/>
      <c r="F45" s="249">
        <f t="shared" si="9"/>
        <v>0</v>
      </c>
      <c r="H45" s="132"/>
      <c r="I45" s="4558" t="str">
        <f t="shared" si="1"/>
        <v>Air Tightening - Floor reduce by 10%</v>
      </c>
      <c r="J45" s="3569"/>
      <c r="K45" s="3576"/>
      <c r="L45" s="242">
        <f t="shared" si="2"/>
        <v>0.56999999999999995</v>
      </c>
      <c r="M45" s="4552">
        <v>0</v>
      </c>
      <c r="N45" s="4832">
        <v>0</v>
      </c>
      <c r="O45" s="4554">
        <f t="shared" si="6"/>
        <v>0</v>
      </c>
      <c r="P45" s="4135">
        <f t="shared" si="3"/>
        <v>0</v>
      </c>
      <c r="Q45" s="4135">
        <f t="shared" si="4"/>
        <v>0</v>
      </c>
      <c r="R45" s="4136">
        <f t="shared" si="5"/>
        <v>0</v>
      </c>
      <c r="S45" s="3534"/>
      <c r="T45" s="4891"/>
      <c r="U45" s="3534"/>
    </row>
    <row r="46" spans="2:21">
      <c r="B46" s="254"/>
      <c r="C46" s="255" t="s">
        <v>141</v>
      </c>
      <c r="D46" s="256">
        <v>0</v>
      </c>
      <c r="E46" s="256"/>
      <c r="F46" s="249">
        <f t="shared" si="9"/>
        <v>0</v>
      </c>
      <c r="H46" s="132"/>
      <c r="I46" s="4558" t="str">
        <f t="shared" si="1"/>
        <v>Air Tightening - Ceiling and Floor reduce by 25%</v>
      </c>
      <c r="J46" s="3569"/>
      <c r="K46" s="3576"/>
      <c r="L46" s="242">
        <f t="shared" si="2"/>
        <v>0.68</v>
      </c>
      <c r="M46" s="4552">
        <v>0</v>
      </c>
      <c r="N46" s="4832">
        <v>0</v>
      </c>
      <c r="O46" s="4554">
        <f t="shared" si="6"/>
        <v>0</v>
      </c>
      <c r="P46" s="4135">
        <f t="shared" si="3"/>
        <v>0</v>
      </c>
      <c r="Q46" s="4135">
        <f t="shared" si="4"/>
        <v>0</v>
      </c>
      <c r="R46" s="4136">
        <f t="shared" si="5"/>
        <v>0</v>
      </c>
      <c r="S46" s="3534"/>
      <c r="T46" s="4891"/>
      <c r="U46" s="3534"/>
    </row>
    <row r="47" spans="2:21" ht="13.5" thickBot="1">
      <c r="B47" s="254"/>
      <c r="C47" s="255" t="s">
        <v>142</v>
      </c>
      <c r="D47" s="256">
        <v>0</v>
      </c>
      <c r="E47" s="256"/>
      <c r="F47" s="249">
        <f t="shared" si="9"/>
        <v>0</v>
      </c>
      <c r="H47" s="132"/>
      <c r="I47" s="4558" t="str">
        <f t="shared" si="1"/>
        <v>Air Tightening - Ceiling, Wall insulation to R13 reduce by 50%</v>
      </c>
      <c r="J47" s="3569"/>
      <c r="K47" s="3576"/>
      <c r="L47" s="242">
        <f t="shared" si="2"/>
        <v>2.21</v>
      </c>
      <c r="M47" s="4552">
        <v>0</v>
      </c>
      <c r="N47" s="4832">
        <v>0</v>
      </c>
      <c r="O47" s="4554">
        <f t="shared" si="6"/>
        <v>0</v>
      </c>
      <c r="P47" s="4135">
        <f t="shared" si="3"/>
        <v>0</v>
      </c>
      <c r="Q47" s="4135">
        <f t="shared" si="4"/>
        <v>0</v>
      </c>
      <c r="R47" s="4136">
        <f t="shared" si="5"/>
        <v>0</v>
      </c>
      <c r="S47" s="3534"/>
      <c r="T47" s="4891"/>
      <c r="U47" s="3534"/>
    </row>
    <row r="48" spans="2:21" ht="13.5" thickBot="1">
      <c r="B48" s="262">
        <v>11155</v>
      </c>
      <c r="C48" s="236" t="s">
        <v>149</v>
      </c>
      <c r="D48" s="237">
        <f>SUM(D49:D52)</f>
        <v>0</v>
      </c>
      <c r="E48" s="237">
        <f>SUM(E49:E52)</f>
        <v>9620</v>
      </c>
      <c r="F48" s="238">
        <f>D48+E48</f>
        <v>9620</v>
      </c>
      <c r="H48" s="132"/>
      <c r="I48" s="4558" t="str">
        <f t="shared" si="1"/>
        <v>Air Tightening - Floor, Wall insulation to R13 reduce by 45%</v>
      </c>
      <c r="J48" s="3569"/>
      <c r="K48" s="3576"/>
      <c r="L48" s="242">
        <f t="shared" si="2"/>
        <v>2.08</v>
      </c>
      <c r="M48" s="4552">
        <v>0</v>
      </c>
      <c r="N48" s="4832">
        <v>0</v>
      </c>
      <c r="O48" s="4554">
        <f t="shared" si="6"/>
        <v>0</v>
      </c>
      <c r="P48" s="4135">
        <f t="shared" si="3"/>
        <v>0</v>
      </c>
      <c r="Q48" s="4135">
        <f t="shared" si="4"/>
        <v>0</v>
      </c>
      <c r="R48" s="4136">
        <f t="shared" si="5"/>
        <v>0</v>
      </c>
      <c r="S48" s="3534"/>
      <c r="T48" s="4891"/>
      <c r="U48" s="3534"/>
    </row>
    <row r="49" spans="2:25">
      <c r="B49" s="254"/>
      <c r="C49" s="255" t="s">
        <v>483</v>
      </c>
      <c r="D49" s="256">
        <v>0</v>
      </c>
      <c r="E49" s="256">
        <v>480</v>
      </c>
      <c r="F49" s="249">
        <f t="shared" si="9"/>
        <v>480</v>
      </c>
      <c r="H49" s="132"/>
      <c r="I49" s="3568" t="str">
        <f t="shared" si="1"/>
        <v>Air Tightening - Ceiling, Floor, Wall insulation to R13 reduce by 60%</v>
      </c>
      <c r="J49" s="3569"/>
      <c r="K49" s="3576"/>
      <c r="L49" s="242">
        <f t="shared" si="2"/>
        <v>1.63</v>
      </c>
      <c r="M49" s="4552">
        <v>0</v>
      </c>
      <c r="N49" s="4832">
        <v>385170</v>
      </c>
      <c r="O49" s="4554">
        <f t="shared" si="6"/>
        <v>385170</v>
      </c>
      <c r="P49" s="4135">
        <f t="shared" si="3"/>
        <v>0</v>
      </c>
      <c r="Q49" s="4135">
        <f t="shared" si="4"/>
        <v>627827.1</v>
      </c>
      <c r="R49" s="4136">
        <f t="shared" si="5"/>
        <v>627827.1</v>
      </c>
      <c r="S49" s="3534"/>
      <c r="T49" s="4891"/>
      <c r="U49" s="3534"/>
    </row>
    <row r="50" spans="2:25">
      <c r="B50" s="254"/>
      <c r="C50" s="255" t="s">
        <v>484</v>
      </c>
      <c r="D50" s="256">
        <v>0</v>
      </c>
      <c r="E50" s="256">
        <v>5140</v>
      </c>
      <c r="F50" s="249">
        <f t="shared" si="9"/>
        <v>5140</v>
      </c>
      <c r="I50" s="3568" t="str">
        <f t="shared" si="1"/>
        <v>Wall Insulation to R13 and Air Tightening by 35%</v>
      </c>
      <c r="J50" s="3569"/>
      <c r="K50" s="3570"/>
      <c r="L50" s="242">
        <f t="shared" si="2"/>
        <v>3.43</v>
      </c>
      <c r="M50" s="4552">
        <v>0</v>
      </c>
      <c r="N50" s="4832">
        <v>0</v>
      </c>
      <c r="O50" s="4554">
        <f t="shared" si="6"/>
        <v>0</v>
      </c>
      <c r="P50" s="4135">
        <f t="shared" si="3"/>
        <v>0</v>
      </c>
      <c r="Q50" s="4135">
        <f t="shared" si="4"/>
        <v>0</v>
      </c>
      <c r="R50" s="4136">
        <f t="shared" si="5"/>
        <v>0</v>
      </c>
      <c r="S50" s="3534"/>
      <c r="T50" s="4891"/>
      <c r="U50" s="3534"/>
    </row>
    <row r="51" spans="2:25">
      <c r="B51" s="254"/>
      <c r="C51" s="255" t="s">
        <v>485</v>
      </c>
      <c r="D51" s="256">
        <v>0</v>
      </c>
      <c r="E51" s="256">
        <v>4000</v>
      </c>
      <c r="F51" s="249">
        <f t="shared" si="9"/>
        <v>4000</v>
      </c>
      <c r="I51" s="3568" t="str">
        <f t="shared" si="1"/>
        <v>Floor Insulation to R30 and Air Tightening by 10%</v>
      </c>
      <c r="J51" s="3569"/>
      <c r="K51" s="3570"/>
      <c r="L51" s="242">
        <f t="shared" si="2"/>
        <v>2.98</v>
      </c>
      <c r="M51" s="4552">
        <v>0</v>
      </c>
      <c r="N51" s="4832">
        <v>0</v>
      </c>
      <c r="O51" s="4554">
        <f t="shared" si="6"/>
        <v>0</v>
      </c>
      <c r="P51" s="4135">
        <f t="shared" si="3"/>
        <v>0</v>
      </c>
      <c r="Q51" s="4135">
        <f t="shared" si="4"/>
        <v>0</v>
      </c>
      <c r="R51" s="4136">
        <f t="shared" si="5"/>
        <v>0</v>
      </c>
      <c r="S51" s="3534"/>
      <c r="T51" s="4891"/>
      <c r="U51" s="3534"/>
    </row>
    <row r="52" spans="2:25" ht="13.5" thickBot="1">
      <c r="B52" s="254"/>
      <c r="C52" s="255" t="s">
        <v>142</v>
      </c>
      <c r="D52" s="256">
        <v>0</v>
      </c>
      <c r="E52" s="256"/>
      <c r="F52" s="249">
        <f t="shared" si="9"/>
        <v>0</v>
      </c>
      <c r="I52" s="3568" t="str">
        <f t="shared" si="1"/>
        <v>Ceiling Insulation to R38 and Air Tightening by 15%</v>
      </c>
      <c r="J52" s="3569"/>
      <c r="K52" s="3570"/>
      <c r="L52" s="242">
        <f t="shared" si="2"/>
        <v>2.13</v>
      </c>
      <c r="M52" s="4552">
        <v>0</v>
      </c>
      <c r="N52" s="4832">
        <v>0</v>
      </c>
      <c r="O52" s="4554">
        <f t="shared" si="6"/>
        <v>0</v>
      </c>
      <c r="P52" s="4135">
        <f t="shared" si="3"/>
        <v>0</v>
      </c>
      <c r="Q52" s="4135">
        <f t="shared" si="4"/>
        <v>0</v>
      </c>
      <c r="R52" s="4136">
        <f t="shared" si="5"/>
        <v>0</v>
      </c>
      <c r="S52" s="3534"/>
      <c r="T52" s="4891"/>
      <c r="U52" s="3534"/>
    </row>
    <row r="53" spans="2:25" ht="13.5" thickBot="1">
      <c r="B53" s="262">
        <v>4248785</v>
      </c>
      <c r="C53" s="236" t="s">
        <v>150</v>
      </c>
      <c r="D53" s="237">
        <f>T110</f>
        <v>0</v>
      </c>
      <c r="E53" s="237">
        <f>U110</f>
        <v>5382843.7000000002</v>
      </c>
      <c r="F53" s="238">
        <f>V110</f>
        <v>5382843.7000000002</v>
      </c>
      <c r="G53" s="261" t="s">
        <v>151</v>
      </c>
      <c r="I53" s="3568" t="str">
        <f t="shared" si="1"/>
        <v>Floor Insulation to R30, Wall Insulation to R13 and Air Tightening by 45%</v>
      </c>
      <c r="J53" s="3569"/>
      <c r="K53" s="3570"/>
      <c r="L53" s="242">
        <f t="shared" si="2"/>
        <v>3.06</v>
      </c>
      <c r="M53" s="4552">
        <v>0</v>
      </c>
      <c r="N53" s="4832">
        <v>0</v>
      </c>
      <c r="O53" s="4554">
        <f t="shared" si="6"/>
        <v>0</v>
      </c>
      <c r="P53" s="4135">
        <f t="shared" si="3"/>
        <v>0</v>
      </c>
      <c r="Q53" s="4135">
        <f t="shared" si="4"/>
        <v>0</v>
      </c>
      <c r="R53" s="4136">
        <f t="shared" si="5"/>
        <v>0</v>
      </c>
      <c r="S53" s="3534"/>
      <c r="T53" s="4891"/>
      <c r="U53" s="3534"/>
    </row>
    <row r="54" spans="2:25" ht="13.5" thickBot="1">
      <c r="B54" s="262">
        <v>0</v>
      </c>
      <c r="C54" s="236" t="s">
        <v>152</v>
      </c>
      <c r="D54" s="237">
        <v>0</v>
      </c>
      <c r="E54" s="237">
        <v>0</v>
      </c>
      <c r="F54" s="238">
        <v>0</v>
      </c>
      <c r="I54" s="3568" t="str">
        <f t="shared" si="1"/>
        <v>Ceiling Insulation to R38 and Floor to R30 and Air Tightening by 25%</v>
      </c>
      <c r="J54" s="3569"/>
      <c r="K54" s="3570"/>
      <c r="L54" s="242">
        <f t="shared" si="2"/>
        <v>2.4300000000000002</v>
      </c>
      <c r="M54" s="4552">
        <v>0</v>
      </c>
      <c r="N54" s="4832">
        <v>0</v>
      </c>
      <c r="O54" s="4554">
        <f t="shared" si="6"/>
        <v>0</v>
      </c>
      <c r="P54" s="4135">
        <f t="shared" si="3"/>
        <v>0</v>
      </c>
      <c r="Q54" s="4135">
        <f t="shared" si="4"/>
        <v>0</v>
      </c>
      <c r="R54" s="4136">
        <f t="shared" si="5"/>
        <v>0</v>
      </c>
      <c r="S54" s="3534"/>
      <c r="T54" s="4893"/>
      <c r="U54" s="3534"/>
    </row>
    <row r="55" spans="2:25">
      <c r="B55" s="263">
        <f>B13+B18+B23+B28+B33+B38+B43+B48+B53+B54</f>
        <v>5246291</v>
      </c>
      <c r="C55" s="264" t="s">
        <v>153</v>
      </c>
      <c r="D55" s="263">
        <f>D13+D18+D23+D28+D33+D38+D43+D48+D53+D54</f>
        <v>0</v>
      </c>
      <c r="E55" s="263">
        <f>E13+E18+E23+E28+E33+E38+E43+E48+E53+E54</f>
        <v>6861821.1672499999</v>
      </c>
      <c r="F55" s="263">
        <f>F13+F18+F23+F28+F33+F38+F43+F48+F53+F54</f>
        <v>6861821.1672499999</v>
      </c>
      <c r="I55" s="3568" t="str">
        <f>C105</f>
        <v>Ceiling Insulation to R38 and Wall Insulation to R13 and Air Tightening by 50%</v>
      </c>
      <c r="J55" s="2125"/>
      <c r="K55" s="4560"/>
      <c r="L55" s="242">
        <f t="shared" si="2"/>
        <v>2.76</v>
      </c>
      <c r="M55" s="4561">
        <v>0</v>
      </c>
      <c r="N55" s="4835">
        <v>0</v>
      </c>
      <c r="O55" s="4562">
        <f t="shared" si="6"/>
        <v>0</v>
      </c>
      <c r="P55" s="4135">
        <f t="shared" si="3"/>
        <v>0</v>
      </c>
      <c r="Q55" s="4135">
        <f t="shared" si="4"/>
        <v>0</v>
      </c>
      <c r="R55" s="4136">
        <f t="shared" si="5"/>
        <v>0</v>
      </c>
      <c r="S55" s="3534"/>
      <c r="T55" s="4890"/>
      <c r="U55" s="3534"/>
    </row>
    <row r="56" spans="2:25">
      <c r="C56" s="264"/>
      <c r="D56" s="263"/>
      <c r="E56" s="263"/>
      <c r="F56" s="263"/>
      <c r="I56" s="3568" t="str">
        <f>C106</f>
        <v>Ceiling Insulation to R38, Floor Insulation to R30, Wall Insulation to R13 and Air Tightening by 60%</v>
      </c>
      <c r="J56" s="2125"/>
      <c r="K56" s="4560"/>
      <c r="L56" s="242">
        <f t="shared" si="2"/>
        <v>2.4900000000000002</v>
      </c>
      <c r="M56" s="4561">
        <v>0</v>
      </c>
      <c r="N56" s="4835">
        <v>0</v>
      </c>
      <c r="O56" s="4562">
        <f t="shared" si="6"/>
        <v>0</v>
      </c>
      <c r="P56" s="4135">
        <f t="shared" si="3"/>
        <v>0</v>
      </c>
      <c r="Q56" s="4135">
        <f t="shared" si="4"/>
        <v>0</v>
      </c>
      <c r="R56" s="4136">
        <f t="shared" si="5"/>
        <v>0</v>
      </c>
      <c r="S56" s="3534"/>
      <c r="T56" s="3534"/>
      <c r="U56" s="3534"/>
    </row>
    <row r="57" spans="2:25">
      <c r="C57" s="264" t="s">
        <v>154</v>
      </c>
      <c r="D57" s="263">
        <f>D55-D53</f>
        <v>0</v>
      </c>
      <c r="E57" s="263">
        <f>E55-E53</f>
        <v>1478977.4672499998</v>
      </c>
      <c r="F57" s="263">
        <f>F55-F53</f>
        <v>1478977.4672499998</v>
      </c>
      <c r="I57" s="4789" t="str">
        <f>C107</f>
        <v>Energy Star LED Candelabra- Direct Install</v>
      </c>
      <c r="J57" s="2370"/>
      <c r="K57" s="4563"/>
      <c r="L57" s="4564">
        <f t="shared" si="2"/>
        <v>25</v>
      </c>
      <c r="M57" s="4565">
        <v>0</v>
      </c>
      <c r="N57" s="4839">
        <v>1000</v>
      </c>
      <c r="O57" s="346">
        <f t="shared" si="6"/>
        <v>1000</v>
      </c>
      <c r="P57" s="4566">
        <f t="shared" si="3"/>
        <v>0</v>
      </c>
      <c r="Q57" s="4566">
        <f t="shared" si="4"/>
        <v>25000</v>
      </c>
      <c r="R57" s="4567">
        <f t="shared" si="5"/>
        <v>25000</v>
      </c>
    </row>
    <row r="58" spans="2:25">
      <c r="C58" s="264" t="s">
        <v>155</v>
      </c>
      <c r="D58" s="266">
        <f>D53</f>
        <v>0</v>
      </c>
      <c r="E58" s="266">
        <f>E53</f>
        <v>5382843.7000000002</v>
      </c>
      <c r="F58" s="266">
        <f>F53</f>
        <v>5382843.7000000002</v>
      </c>
      <c r="G58" s="319">
        <f>F58/(F57+F58)</f>
        <v>0.78446283702221187</v>
      </c>
      <c r="H58" s="3582" t="s">
        <v>156</v>
      </c>
      <c r="I58" s="3568">
        <f>C108</f>
        <v>0</v>
      </c>
      <c r="J58" s="2125"/>
      <c r="K58" s="4560"/>
      <c r="L58" s="4568">
        <f>D108</f>
        <v>0</v>
      </c>
      <c r="M58" s="4561">
        <v>0</v>
      </c>
      <c r="N58" s="4835"/>
      <c r="O58" s="4562">
        <f>M58+N58</f>
        <v>0</v>
      </c>
      <c r="P58" s="4569">
        <f t="shared" si="3"/>
        <v>0</v>
      </c>
      <c r="Q58" s="4569">
        <f t="shared" si="4"/>
        <v>0</v>
      </c>
      <c r="R58" s="4570">
        <f t="shared" si="5"/>
        <v>0</v>
      </c>
    </row>
    <row r="59" spans="2:25" ht="13.5" thickBot="1">
      <c r="I59" s="3532"/>
      <c r="J59" s="3532"/>
      <c r="K59" s="3532"/>
      <c r="L59" s="3532"/>
      <c r="M59" s="3532"/>
      <c r="N59" s="3532"/>
      <c r="O59" s="3532"/>
      <c r="P59" s="265">
        <f>SUM(P13:P57)</f>
        <v>0</v>
      </c>
      <c r="Q59" s="265">
        <f>SUM(Q13:Q58)</f>
        <v>16746954.299999999</v>
      </c>
      <c r="R59" s="265">
        <f>SUM(R13:R58)</f>
        <v>16746954.299999999</v>
      </c>
    </row>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4777" t="s">
        <v>486</v>
      </c>
      <c r="D63" s="4780">
        <v>307</v>
      </c>
      <c r="E63" s="4831" t="s">
        <v>181</v>
      </c>
      <c r="F63" s="4777" t="s">
        <v>186</v>
      </c>
      <c r="G63" s="4830">
        <v>17.3</v>
      </c>
      <c r="H63" s="4830">
        <v>17.3</v>
      </c>
      <c r="I63" s="4842">
        <f>R13/R59</f>
        <v>0.15856913158233196</v>
      </c>
      <c r="J63" s="4831">
        <v>10</v>
      </c>
      <c r="K63" s="4831" t="s">
        <v>233</v>
      </c>
      <c r="L63" s="4829">
        <v>195.79496470379999</v>
      </c>
      <c r="M63" s="4828">
        <f>Q63/O63</f>
        <v>5.2475512179748725</v>
      </c>
      <c r="N63" s="4828">
        <f>((L63/S63)+R63)/P63</f>
        <v>5.7728160032678115</v>
      </c>
      <c r="O63" s="4827">
        <f t="shared" ref="O63:O108" si="10">(($I63*$F$57)+$V63)/$S63</f>
        <v>355379.43812365335</v>
      </c>
      <c r="P63" s="4827">
        <f t="shared" ref="P63:P108" si="11">(($I63*$F$57)+($G63*$O13))/$S63</f>
        <v>355379.43812365335</v>
      </c>
      <c r="Q63" s="4827">
        <f>IF(K63=0, 0, (HLOOKUP(K63,'[5]E-CESTDWO'!$A$5:$O$35,J63+1,FALSE)*R13))</f>
        <v>1864871.8033690031</v>
      </c>
      <c r="R63" s="4827">
        <f>IF(K63=0, 0, (HLOOKUP(K63,'[5]E-CESTD'!$A$5:$O$35,J63+1,FALSE)*R13))</f>
        <v>2051358.9837059034</v>
      </c>
      <c r="S63" s="4826">
        <v>1.081</v>
      </c>
      <c r="T63" s="4840">
        <f t="shared" ref="T63:T108" si="12">M13*$H63</f>
        <v>0</v>
      </c>
      <c r="U63" s="4150">
        <f t="shared" ref="U63:U108" si="13">N13*$H63</f>
        <v>149645</v>
      </c>
      <c r="V63" s="3188">
        <f>T63+U63</f>
        <v>149645</v>
      </c>
      <c r="W63" s="322">
        <f t="shared" ref="W63:W81" si="14">V63/(V63+(I63*F$57))</f>
        <v>0.389532968287231</v>
      </c>
      <c r="X63" s="322">
        <f t="shared" ref="X63:X81" si="15">(I63*((F$18*1.63)+F$28))/(V63+(I63*F$57))</f>
        <v>7.6579612316434925E-2</v>
      </c>
      <c r="Y63" s="322">
        <f t="shared" ref="Y63:Y81" si="16">(I63*F$38)/(V63+(I63*F$57))</f>
        <v>0.34151684702957125</v>
      </c>
    </row>
    <row r="64" spans="2:25">
      <c r="B64" s="282"/>
      <c r="C64" s="4777" t="s">
        <v>487</v>
      </c>
      <c r="D64" s="4777">
        <v>27000</v>
      </c>
      <c r="E64" s="4777" t="s">
        <v>181</v>
      </c>
      <c r="F64" s="4777" t="s">
        <v>488</v>
      </c>
      <c r="G64" s="4825">
        <v>12665</v>
      </c>
      <c r="H64" s="4825">
        <v>8000</v>
      </c>
      <c r="I64" s="4842">
        <f>R14/R59</f>
        <v>3.2244669109773591E-3</v>
      </c>
      <c r="J64" s="4831">
        <v>12</v>
      </c>
      <c r="K64" s="4831" t="s">
        <v>233</v>
      </c>
      <c r="L64" s="4831"/>
      <c r="M64" s="4828">
        <f t="shared" ref="M64:M104" si="17">Q64/O64</f>
        <v>2.2638499433860981</v>
      </c>
      <c r="N64" s="4828">
        <f t="shared" ref="N64:N104" si="18">((L64/S64)+R64)/P64</f>
        <v>1.7183169860628247</v>
      </c>
      <c r="O64" s="4827">
        <f t="shared" si="10"/>
        <v>19212.686313810107</v>
      </c>
      <c r="P64" s="4827">
        <f t="shared" si="11"/>
        <v>27843.583631108904</v>
      </c>
      <c r="Q64" s="4827">
        <f>IF(K64=0, 0, (HLOOKUP(K64,'[5]E-CESTDWO'!$A$5:$O$35,J64+1,FALSE)*R14))</f>
        <v>43494.638823813875</v>
      </c>
      <c r="R64" s="4827">
        <f>IF(K64=0, 0, (HLOOKUP(K64,'[5]E-CESTD'!$A$5:$O$35,J64+1,FALSE)*R14))</f>
        <v>47844.102706195255</v>
      </c>
      <c r="S64" s="4826">
        <v>1.081</v>
      </c>
      <c r="T64" s="4840">
        <f t="shared" si="12"/>
        <v>0</v>
      </c>
      <c r="U64" s="4150">
        <f t="shared" si="13"/>
        <v>16000</v>
      </c>
      <c r="V64" s="3188">
        <f>T64+U64</f>
        <v>16000</v>
      </c>
      <c r="W64" s="322">
        <f t="shared" si="14"/>
        <v>0.77038212363969039</v>
      </c>
      <c r="X64" s="322">
        <f t="shared" si="15"/>
        <v>2.8804254839545664E-2</v>
      </c>
      <c r="Y64" s="322">
        <f t="shared" si="16"/>
        <v>0.128456360593598</v>
      </c>
    </row>
    <row r="65" spans="2:25">
      <c r="B65" s="282"/>
      <c r="C65" s="4777" t="s">
        <v>489</v>
      </c>
      <c r="D65" s="4777">
        <v>20</v>
      </c>
      <c r="E65" s="4777" t="s">
        <v>181</v>
      </c>
      <c r="F65" s="4777" t="s">
        <v>186</v>
      </c>
      <c r="G65" s="4825">
        <v>4.2</v>
      </c>
      <c r="H65" s="4825">
        <v>4.2</v>
      </c>
      <c r="I65" s="4842">
        <f>R15/R59</f>
        <v>4.896412716669323E-3</v>
      </c>
      <c r="J65" s="4831">
        <v>15</v>
      </c>
      <c r="K65" s="4831" t="s">
        <v>233</v>
      </c>
      <c r="L65" s="4831"/>
      <c r="M65" s="4828">
        <f t="shared" si="17"/>
        <v>3.3768067138225639</v>
      </c>
      <c r="N65" s="4828">
        <f t="shared" si="18"/>
        <v>3.7144873852048197</v>
      </c>
      <c r="O65" s="4827">
        <f t="shared" si="10"/>
        <v>22628.754929056693</v>
      </c>
      <c r="P65" s="4827">
        <f t="shared" si="11"/>
        <v>22628.754929056693</v>
      </c>
      <c r="Q65" s="4827">
        <f>IF(K65=0, 0, (HLOOKUP(K65,'[5]E-CESTDWO'!$A$5:$O$35,J65+1,FALSE)*R15))</f>
        <v>76412.93156988408</v>
      </c>
      <c r="R65" s="4827">
        <f>IF(K65=0, 0, (HLOOKUP(K65,'[5]E-CESTD'!$A$5:$O$35,J65+1,FALSE)*R15))</f>
        <v>84054.224726872475</v>
      </c>
      <c r="S65" s="4826">
        <v>1.081</v>
      </c>
      <c r="T65" s="4840">
        <f t="shared" si="12"/>
        <v>0</v>
      </c>
      <c r="U65" s="4150">
        <f t="shared" si="13"/>
        <v>17220</v>
      </c>
      <c r="V65" s="4150">
        <f t="shared" ref="V65:V108" si="19">T65+U65</f>
        <v>17220</v>
      </c>
      <c r="W65" s="322">
        <f t="shared" si="14"/>
        <v>0.70395807356815021</v>
      </c>
      <c r="X65" s="322">
        <f t="shared" si="15"/>
        <v>3.7136773614055617E-2</v>
      </c>
      <c r="Y65" s="322">
        <f t="shared" si="16"/>
        <v>0.16561632332527956</v>
      </c>
    </row>
    <row r="66" spans="2:25">
      <c r="B66" s="282"/>
      <c r="C66" s="4777" t="s">
        <v>490</v>
      </c>
      <c r="D66" s="4777">
        <v>2.1800000000000002</v>
      </c>
      <c r="E66" s="4777" t="s">
        <v>181</v>
      </c>
      <c r="F66" s="4777" t="s">
        <v>257</v>
      </c>
      <c r="G66" s="4825">
        <v>1.06</v>
      </c>
      <c r="H66" s="4825">
        <v>0.75</v>
      </c>
      <c r="I66" s="4842">
        <f>R16/R59</f>
        <v>1.5750923736622369E-3</v>
      </c>
      <c r="J66" s="4831">
        <v>30</v>
      </c>
      <c r="K66" s="4831" t="s">
        <v>258</v>
      </c>
      <c r="L66" s="4831"/>
      <c r="M66" s="4828">
        <f t="shared" si="17"/>
        <v>4.87109615529008</v>
      </c>
      <c r="N66" s="4828">
        <f t="shared" si="18"/>
        <v>4.0320472676680668</v>
      </c>
      <c r="O66" s="4827">
        <f t="shared" si="10"/>
        <v>10549.977918116343</v>
      </c>
      <c r="P66" s="4827">
        <f t="shared" si="11"/>
        <v>14019.913163259727</v>
      </c>
      <c r="Q66" s="4827">
        <f>IF(K66=0, 0, (HLOOKUP(K66,'[5]E-CESTDWO'!$A$5:$O$35,J66+1,FALSE)*R16))</f>
        <v>51389.956875331765</v>
      </c>
      <c r="R66" s="4827">
        <f>IF(K66=0, 0, (HLOOKUP(K66,'[5]E-CESTD'!$A$5:$O$35,J66+1,FALSE)*R16))</f>
        <v>56528.952562864943</v>
      </c>
      <c r="S66" s="4826">
        <v>1.081</v>
      </c>
      <c r="T66" s="4840">
        <f t="shared" si="12"/>
        <v>0</v>
      </c>
      <c r="U66" s="4150">
        <f t="shared" si="13"/>
        <v>9075</v>
      </c>
      <c r="V66" s="4150">
        <f t="shared" si="19"/>
        <v>9075</v>
      </c>
      <c r="W66" s="322">
        <f t="shared" si="14"/>
        <v>0.79573670111015715</v>
      </c>
      <c r="X66" s="322">
        <f t="shared" si="15"/>
        <v>2.5623667498591723E-2</v>
      </c>
      <c r="Y66" s="322">
        <f t="shared" si="16"/>
        <v>0.11427211327857678</v>
      </c>
    </row>
    <row r="67" spans="2:25">
      <c r="B67" s="282"/>
      <c r="C67" s="4777" t="s">
        <v>491</v>
      </c>
      <c r="D67" s="4777">
        <v>1.39</v>
      </c>
      <c r="E67" s="4777" t="s">
        <v>181</v>
      </c>
      <c r="F67" s="4777" t="s">
        <v>257</v>
      </c>
      <c r="G67" s="4825">
        <v>0.95</v>
      </c>
      <c r="H67" s="4825">
        <v>0.75</v>
      </c>
      <c r="I67" s="4842">
        <f>R17/R59</f>
        <v>8.300016678256536E-2</v>
      </c>
      <c r="J67" s="4831">
        <v>30</v>
      </c>
      <c r="K67" s="4831" t="s">
        <v>258</v>
      </c>
      <c r="L67" s="4831"/>
      <c r="M67" s="4828">
        <f t="shared" si="17"/>
        <v>3.3541644422513266</v>
      </c>
      <c r="N67" s="4828">
        <f t="shared" si="18"/>
        <v>3.0017109456725839</v>
      </c>
      <c r="O67" s="4827">
        <f t="shared" si="10"/>
        <v>807359.27516133769</v>
      </c>
      <c r="P67" s="4827">
        <f t="shared" si="11"/>
        <v>992373.15120204084</v>
      </c>
      <c r="Q67" s="4827">
        <f>IF(K67=0, 0, (HLOOKUP(K67,'[5]E-CESTDWO'!$A$5:$O$35,J67+1,FALSE)*R17))</f>
        <v>2708015.7728679636</v>
      </c>
      <c r="R67" s="4827">
        <f>IF(K67=0, 0, (HLOOKUP(K67,'[5]E-CESTD'!$A$5:$O$35,J67+1,FALSE)*R17))</f>
        <v>2978817.3501547603</v>
      </c>
      <c r="S67" s="4826">
        <v>1.081</v>
      </c>
      <c r="T67" s="4840">
        <f t="shared" si="12"/>
        <v>0</v>
      </c>
      <c r="U67" s="4150">
        <f t="shared" si="13"/>
        <v>750000</v>
      </c>
      <c r="V67" s="4150">
        <f t="shared" si="19"/>
        <v>750000</v>
      </c>
      <c r="W67" s="322">
        <f t="shared" si="14"/>
        <v>0.85934732714130435</v>
      </c>
      <c r="X67" s="322">
        <f t="shared" si="15"/>
        <v>1.7644076746567355E-2</v>
      </c>
      <c r="Y67" s="322">
        <f t="shared" si="16"/>
        <v>7.8686079453320207E-2</v>
      </c>
    </row>
    <row r="68" spans="2:25">
      <c r="B68" s="282"/>
      <c r="C68" s="4777" t="s">
        <v>492</v>
      </c>
      <c r="D68" s="4777">
        <v>0.57999999999999996</v>
      </c>
      <c r="E68" s="4777" t="s">
        <v>181</v>
      </c>
      <c r="F68" s="4777" t="s">
        <v>257</v>
      </c>
      <c r="G68" s="4825">
        <v>0.53</v>
      </c>
      <c r="H68" s="4825">
        <v>0.75</v>
      </c>
      <c r="I68" s="4842">
        <f>R18/R59</f>
        <v>0</v>
      </c>
      <c r="J68" s="4831">
        <v>30</v>
      </c>
      <c r="K68" s="4831" t="s">
        <v>258</v>
      </c>
      <c r="L68" s="4831"/>
      <c r="M68" s="4828" t="e">
        <f t="shared" si="17"/>
        <v>#DIV/0!</v>
      </c>
      <c r="N68" s="4828" t="e">
        <f t="shared" si="18"/>
        <v>#DIV/0!</v>
      </c>
      <c r="O68" s="4827">
        <f t="shared" si="10"/>
        <v>0</v>
      </c>
      <c r="P68" s="4827">
        <f t="shared" si="11"/>
        <v>0</v>
      </c>
      <c r="Q68" s="4827">
        <f>IF(K68=0, 0, (HLOOKUP(K68,'[5]E-CESTDWO'!$A$5:$O$35,J68+1,FALSE)*R18))</f>
        <v>0</v>
      </c>
      <c r="R68" s="4827">
        <f>IF(K68=0, 0, (HLOOKUP(K68,'[5]E-CESTD'!$A$5:$O$35,J68+1,FALSE)*R18))</f>
        <v>0</v>
      </c>
      <c r="S68" s="4826">
        <v>1.081</v>
      </c>
      <c r="T68" s="4840">
        <f t="shared" si="12"/>
        <v>0</v>
      </c>
      <c r="U68" s="4150">
        <f t="shared" si="13"/>
        <v>0</v>
      </c>
      <c r="V68" s="4150">
        <f t="shared" si="19"/>
        <v>0</v>
      </c>
      <c r="W68" s="322" t="e">
        <f t="shared" si="14"/>
        <v>#DIV/0!</v>
      </c>
      <c r="X68" s="322" t="e">
        <f t="shared" si="15"/>
        <v>#DIV/0!</v>
      </c>
      <c r="Y68" s="322" t="e">
        <f t="shared" si="16"/>
        <v>#DIV/0!</v>
      </c>
    </row>
    <row r="69" spans="2:25">
      <c r="B69" s="282"/>
      <c r="C69" s="4777" t="s">
        <v>493</v>
      </c>
      <c r="D69" s="4777">
        <v>1.3</v>
      </c>
      <c r="E69" s="4777" t="s">
        <v>181</v>
      </c>
      <c r="F69" s="4777" t="s">
        <v>257</v>
      </c>
      <c r="G69" s="4825">
        <v>1.59</v>
      </c>
      <c r="H69" s="4825">
        <v>0.75</v>
      </c>
      <c r="I69" s="4842">
        <f>R19/R59</f>
        <v>8.0731097474840557E-3</v>
      </c>
      <c r="J69" s="4831">
        <v>30</v>
      </c>
      <c r="K69" s="4831" t="s">
        <v>258</v>
      </c>
      <c r="L69" s="4831"/>
      <c r="M69" s="4828">
        <f t="shared" si="17"/>
        <v>3.1658194692366801</v>
      </c>
      <c r="N69" s="4828">
        <f t="shared" si="18"/>
        <v>1.7665374682871555</v>
      </c>
      <c r="O69" s="4827">
        <f t="shared" si="10"/>
        <v>83200.691403483128</v>
      </c>
      <c r="P69" s="4827">
        <f t="shared" si="11"/>
        <v>164014.75245806223</v>
      </c>
      <c r="Q69" s="4827">
        <f>IF(K69=0, 0, (HLOOKUP(K69,'[5]E-CESTDWO'!$A$5:$O$35,J69+1,FALSE)*R19))</f>
        <v>263398.36869909975</v>
      </c>
      <c r="R69" s="4827">
        <f>IF(K69=0, 0, (HLOOKUP(K69,'[5]E-CESTD'!$A$5:$O$35,J69+1,FALSE)*R19))</f>
        <v>289738.20556900976</v>
      </c>
      <c r="S69" s="4826">
        <v>1.081</v>
      </c>
      <c r="T69" s="4840">
        <f t="shared" si="12"/>
        <v>0</v>
      </c>
      <c r="U69" s="4150">
        <f t="shared" si="13"/>
        <v>78000</v>
      </c>
      <c r="V69" s="4150">
        <f t="shared" si="19"/>
        <v>78000</v>
      </c>
      <c r="W69" s="322">
        <f t="shared" si="14"/>
        <v>0.86724533701234929</v>
      </c>
      <c r="X69" s="322">
        <f t="shared" si="15"/>
        <v>1.66533163900268E-2</v>
      </c>
      <c r="Y69" s="322">
        <f t="shared" si="16"/>
        <v>7.4267653414161389E-2</v>
      </c>
    </row>
    <row r="70" spans="2:25" s="350" customFormat="1">
      <c r="B70" s="348"/>
      <c r="C70" s="4824" t="s">
        <v>1264</v>
      </c>
      <c r="D70" s="4782">
        <v>307</v>
      </c>
      <c r="E70" s="4829" t="s">
        <v>181</v>
      </c>
      <c r="F70" s="4823" t="s">
        <v>186</v>
      </c>
      <c r="G70" s="4822">
        <v>16.510000000000002</v>
      </c>
      <c r="H70" s="4822">
        <v>16.510000000000002</v>
      </c>
      <c r="I70" s="4848">
        <f>R20/R59</f>
        <v>7.9742858078976186E-2</v>
      </c>
      <c r="J70" s="4829">
        <v>10</v>
      </c>
      <c r="K70" s="4829" t="s">
        <v>233</v>
      </c>
      <c r="L70" s="4829">
        <v>195.79496470379999</v>
      </c>
      <c r="M70" s="4828">
        <f t="shared" si="17"/>
        <v>5.3425846960813761</v>
      </c>
      <c r="N70" s="4828">
        <f t="shared" si="18"/>
        <v>5.8778749884619765</v>
      </c>
      <c r="O70" s="4821">
        <f t="shared" si="10"/>
        <v>175537.8263394268</v>
      </c>
      <c r="P70" s="4821">
        <f t="shared" si="11"/>
        <v>175537.8263394268</v>
      </c>
      <c r="Q70" s="4821">
        <f>IF(K70=0, 0, (HLOOKUP(K70,'[5]E-CESTDWO'!$A$5:$O$35,J70+1,FALSE)*R20))</f>
        <v>937825.70458441193</v>
      </c>
      <c r="R70" s="4821">
        <f>IF(K70=0, 0, (HLOOKUP(K70,'[5]E-CESTD'!$A$5:$O$35,J70+1,FALSE)*R20))</f>
        <v>1031608.2750428532</v>
      </c>
      <c r="S70" s="4820">
        <v>1.081</v>
      </c>
      <c r="T70" s="4840">
        <f t="shared" si="12"/>
        <v>0</v>
      </c>
      <c r="U70" s="4150">
        <f t="shared" si="13"/>
        <v>71818.5</v>
      </c>
      <c r="V70" s="4150">
        <f t="shared" si="19"/>
        <v>71818.5</v>
      </c>
      <c r="W70" s="349">
        <f t="shared" si="14"/>
        <v>0.37847737247059671</v>
      </c>
      <c r="X70" s="349">
        <f t="shared" si="15"/>
        <v>7.7966473846351927E-2</v>
      </c>
      <c r="Y70" s="349">
        <f t="shared" si="16"/>
        <v>0.34770173831638979</v>
      </c>
    </row>
    <row r="71" spans="2:25">
      <c r="B71" s="282"/>
      <c r="C71" s="4777" t="s">
        <v>495</v>
      </c>
      <c r="D71" s="4777">
        <v>0.76</v>
      </c>
      <c r="E71" s="4777" t="s">
        <v>181</v>
      </c>
      <c r="F71" s="4777" t="s">
        <v>257</v>
      </c>
      <c r="G71" s="4825">
        <v>1.27</v>
      </c>
      <c r="H71" s="4825">
        <v>0.75</v>
      </c>
      <c r="I71" s="4842">
        <f>R21/R59</f>
        <v>0</v>
      </c>
      <c r="J71" s="4831">
        <v>30</v>
      </c>
      <c r="K71" s="4831" t="s">
        <v>258</v>
      </c>
      <c r="L71" s="4831"/>
      <c r="M71" s="4828" t="e">
        <f t="shared" si="17"/>
        <v>#DIV/0!</v>
      </c>
      <c r="N71" s="4828" t="e">
        <f t="shared" si="18"/>
        <v>#DIV/0!</v>
      </c>
      <c r="O71" s="4827">
        <f t="shared" si="10"/>
        <v>0</v>
      </c>
      <c r="P71" s="4827">
        <f t="shared" si="11"/>
        <v>0</v>
      </c>
      <c r="Q71" s="4827">
        <f>IF(K71=0, 0, (HLOOKUP(K71,'[5]E-CESTDWO'!$A$5:$O$35,J71+1,FALSE)*R21))</f>
        <v>0</v>
      </c>
      <c r="R71" s="4827">
        <f>IF(K71=0, 0, (HLOOKUP(K71,'[5]E-CESTD'!$A$5:$O$35,J71+1,FALSE)*R21))</f>
        <v>0</v>
      </c>
      <c r="S71" s="4826">
        <v>1.081</v>
      </c>
      <c r="T71" s="4840">
        <f t="shared" si="12"/>
        <v>0</v>
      </c>
      <c r="U71" s="4150">
        <f t="shared" si="13"/>
        <v>0</v>
      </c>
      <c r="V71" s="4150">
        <f t="shared" si="19"/>
        <v>0</v>
      </c>
      <c r="W71" s="322" t="e">
        <f t="shared" si="14"/>
        <v>#DIV/0!</v>
      </c>
      <c r="X71" s="322" t="e">
        <f t="shared" si="15"/>
        <v>#DIV/0!</v>
      </c>
      <c r="Y71" s="322" t="e">
        <f t="shared" si="16"/>
        <v>#DIV/0!</v>
      </c>
    </row>
    <row r="72" spans="2:25">
      <c r="B72" s="282"/>
      <c r="C72" s="4777" t="s">
        <v>496</v>
      </c>
      <c r="D72" s="4777">
        <v>1.3</v>
      </c>
      <c r="E72" s="4777" t="s">
        <v>181</v>
      </c>
      <c r="F72" s="4777" t="s">
        <v>257</v>
      </c>
      <c r="G72" s="4825">
        <v>0.76</v>
      </c>
      <c r="H72" s="4825">
        <v>0.75</v>
      </c>
      <c r="I72" s="4842">
        <f>R22/R59</f>
        <v>4.2694330395348369E-4</v>
      </c>
      <c r="J72" s="4831">
        <v>30</v>
      </c>
      <c r="K72" s="4831" t="s">
        <v>258</v>
      </c>
      <c r="L72" s="4831"/>
      <c r="M72" s="4828">
        <f t="shared" si="17"/>
        <v>3.1658194692366806</v>
      </c>
      <c r="N72" s="4828">
        <f t="shared" si="18"/>
        <v>3.4425937708932159</v>
      </c>
      <c r="O72" s="4827">
        <f t="shared" si="10"/>
        <v>4400.0365646072805</v>
      </c>
      <c r="P72" s="4827">
        <f t="shared" si="11"/>
        <v>4450.9153805184742</v>
      </c>
      <c r="Q72" s="4827">
        <f>IF(K72=0, 0, (HLOOKUP(K72,'[5]E-CESTDWO'!$A$5:$O$35,J72+1,FALSE)*R22))</f>
        <v>13929.721421587008</v>
      </c>
      <c r="R72" s="4827">
        <f>IF(K72=0, 0, (HLOOKUP(K72,'[5]E-CESTD'!$A$5:$O$35,J72+1,FALSE)*R22))</f>
        <v>15322.693563745708</v>
      </c>
      <c r="S72" s="4826">
        <v>1.081</v>
      </c>
      <c r="T72" s="4840">
        <f t="shared" si="12"/>
        <v>0</v>
      </c>
      <c r="U72" s="4150">
        <f t="shared" si="13"/>
        <v>4125</v>
      </c>
      <c r="V72" s="4150">
        <f t="shared" si="19"/>
        <v>4125</v>
      </c>
      <c r="W72" s="322">
        <f t="shared" si="14"/>
        <v>0.86724533701234918</v>
      </c>
      <c r="X72" s="322">
        <f t="shared" si="15"/>
        <v>1.66533163900268E-2</v>
      </c>
      <c r="Y72" s="322">
        <f t="shared" si="16"/>
        <v>7.4267653414161375E-2</v>
      </c>
    </row>
    <row r="73" spans="2:25">
      <c r="B73" s="282"/>
      <c r="C73" s="4777" t="s">
        <v>497</v>
      </c>
      <c r="D73" s="4777">
        <v>21.65</v>
      </c>
      <c r="E73" s="4777" t="s">
        <v>181</v>
      </c>
      <c r="F73" s="4777" t="s">
        <v>257</v>
      </c>
      <c r="G73" s="4825">
        <v>20.61</v>
      </c>
      <c r="H73" s="4825">
        <v>6</v>
      </c>
      <c r="I73" s="4842">
        <f>R23/R59</f>
        <v>5.5521988257888781E-2</v>
      </c>
      <c r="J73" s="4831">
        <v>30</v>
      </c>
      <c r="K73" s="4831" t="s">
        <v>258</v>
      </c>
      <c r="L73" s="4831"/>
      <c r="M73" s="4828">
        <f t="shared" si="17"/>
        <v>5.7628157712741093</v>
      </c>
      <c r="N73" s="4828">
        <f t="shared" si="18"/>
        <v>2.226927493420289</v>
      </c>
      <c r="O73" s="4827">
        <f t="shared" si="10"/>
        <v>314342.06250724936</v>
      </c>
      <c r="P73" s="4827">
        <f t="shared" si="11"/>
        <v>894795.60552297556</v>
      </c>
      <c r="Q73" s="4827">
        <f>IF(K73=0, 0, (HLOOKUP(K73,'[5]E-CESTDWO'!$A$5:$O$35,J73+1,FALSE)*R23))</f>
        <v>1811495.3953916086</v>
      </c>
      <c r="R73" s="4827">
        <f>IF(K73=0, 0, (HLOOKUP(K73,'[5]E-CESTD'!$A$5:$O$35,J73+1,FALSE)*R23))</f>
        <v>1992644.9349307695</v>
      </c>
      <c r="S73" s="4826">
        <v>1.081</v>
      </c>
      <c r="T73" s="4840">
        <f t="shared" si="12"/>
        <v>0</v>
      </c>
      <c r="U73" s="4150">
        <f t="shared" si="13"/>
        <v>257688</v>
      </c>
      <c r="V73" s="4150">
        <f t="shared" si="19"/>
        <v>257688</v>
      </c>
      <c r="W73" s="322">
        <f t="shared" si="14"/>
        <v>0.75834355906596473</v>
      </c>
      <c r="X73" s="322">
        <f t="shared" si="15"/>
        <v>3.0314424201707133E-2</v>
      </c>
      <c r="Y73" s="322">
        <f t="shared" si="16"/>
        <v>0.13519115936634338</v>
      </c>
    </row>
    <row r="74" spans="2:25">
      <c r="B74" s="282"/>
      <c r="C74" s="4777" t="s">
        <v>498</v>
      </c>
      <c r="D74" s="4777">
        <v>23.58</v>
      </c>
      <c r="E74" s="4777" t="s">
        <v>181</v>
      </c>
      <c r="F74" s="4777" t="s">
        <v>257</v>
      </c>
      <c r="G74" s="4825">
        <v>21.97</v>
      </c>
      <c r="H74" s="4825">
        <v>8</v>
      </c>
      <c r="I74" s="4842">
        <f>R24/R59</f>
        <v>4.2240516533803407E-3</v>
      </c>
      <c r="J74" s="4831">
        <v>30</v>
      </c>
      <c r="K74" s="4831" t="s">
        <v>258</v>
      </c>
      <c r="L74" s="4831"/>
      <c r="M74" s="4828">
        <f t="shared" si="17"/>
        <v>4.9253925835225223</v>
      </c>
      <c r="N74" s="4828">
        <f t="shared" si="18"/>
        <v>2.2711179340587524</v>
      </c>
      <c r="O74" s="4827">
        <f t="shared" si="10"/>
        <v>27980.829986909928</v>
      </c>
      <c r="P74" s="4827">
        <f t="shared" si="11"/>
        <v>66750.487711239257</v>
      </c>
      <c r="Q74" s="4827">
        <f>IF(K74=0, 0, (HLOOKUP(K74,'[5]E-CESTDWO'!$A$5:$O$35,J74+1,FALSE)*R24))</f>
        <v>137816.57249833076</v>
      </c>
      <c r="R74" s="4827">
        <f>IF(K74=0, 0, (HLOOKUP(K74,'[5]E-CESTD'!$A$5:$O$35,J74+1,FALSE)*R24))</f>
        <v>151598.22974816384</v>
      </c>
      <c r="S74" s="4826">
        <v>1.081</v>
      </c>
      <c r="T74" s="4840">
        <f t="shared" si="12"/>
        <v>0</v>
      </c>
      <c r="U74" s="4150">
        <f t="shared" si="13"/>
        <v>24000</v>
      </c>
      <c r="V74" s="4150">
        <f t="shared" si="19"/>
        <v>24000</v>
      </c>
      <c r="W74" s="322">
        <f t="shared" si="14"/>
        <v>0.79345984859172569</v>
      </c>
      <c r="X74" s="322">
        <f t="shared" si="15"/>
        <v>2.5909285679599769E-2</v>
      </c>
      <c r="Y74" s="322">
        <f t="shared" si="16"/>
        <v>0.11554586509948089</v>
      </c>
    </row>
    <row r="75" spans="2:25">
      <c r="B75" s="282"/>
      <c r="C75" s="4777" t="s">
        <v>499</v>
      </c>
      <c r="D75" s="4777">
        <v>11.94</v>
      </c>
      <c r="E75" s="4777" t="s">
        <v>181</v>
      </c>
      <c r="F75" s="4777" t="s">
        <v>257</v>
      </c>
      <c r="G75" s="4825">
        <v>20.61</v>
      </c>
      <c r="H75" s="4825">
        <v>6</v>
      </c>
      <c r="I75" s="4842">
        <f>R25/R59</f>
        <v>8.4129924448411497E-2</v>
      </c>
      <c r="J75" s="4831">
        <v>30</v>
      </c>
      <c r="K75" s="4831" t="s">
        <v>258</v>
      </c>
      <c r="L75" s="4831"/>
      <c r="M75" s="4828">
        <f t="shared" si="17"/>
        <v>3.5645330341287154</v>
      </c>
      <c r="N75" s="4828">
        <f t="shared" si="18"/>
        <v>1.2767657669930117</v>
      </c>
      <c r="O75" s="4827">
        <f t="shared" si="10"/>
        <v>770052.04679060646</v>
      </c>
      <c r="P75" s="4827">
        <f t="shared" si="11"/>
        <v>2364853.1568738627</v>
      </c>
      <c r="Q75" s="4827">
        <f>IF(K75=0, 0, (HLOOKUP(K75,'[5]E-CESTDWO'!$A$5:$O$35,J75+1,FALSE)*R25))</f>
        <v>2744875.9587835479</v>
      </c>
      <c r="R75" s="4827">
        <f>IF(K75=0, 0, (HLOOKUP(K75,'[5]E-CESTD'!$A$5:$O$35,J75+1,FALSE)*R25))</f>
        <v>3019363.5546619026</v>
      </c>
      <c r="S75" s="4826">
        <v>1.081</v>
      </c>
      <c r="T75" s="4840">
        <f t="shared" si="12"/>
        <v>0</v>
      </c>
      <c r="U75" s="4150">
        <f t="shared" si="13"/>
        <v>708000</v>
      </c>
      <c r="V75" s="4150">
        <f t="shared" si="19"/>
        <v>708000</v>
      </c>
      <c r="W75" s="322">
        <f t="shared" si="14"/>
        <v>0.8505257844762063</v>
      </c>
      <c r="X75" s="322">
        <f t="shared" si="15"/>
        <v>1.8750689032296732E-2</v>
      </c>
      <c r="Y75" s="322">
        <f t="shared" si="16"/>
        <v>8.362116239869806E-2</v>
      </c>
    </row>
    <row r="76" spans="2:25">
      <c r="B76" s="282"/>
      <c r="C76" s="4777" t="s">
        <v>500</v>
      </c>
      <c r="D76" s="4777">
        <v>13.87</v>
      </c>
      <c r="E76" s="4777" t="s">
        <v>181</v>
      </c>
      <c r="F76" s="4777" t="s">
        <v>257</v>
      </c>
      <c r="G76" s="4825">
        <v>21.97</v>
      </c>
      <c r="H76" s="4825">
        <v>8</v>
      </c>
      <c r="I76" s="4842">
        <f>R26/R59</f>
        <v>1.2423154459793326E-3</v>
      </c>
      <c r="J76" s="4831">
        <v>30</v>
      </c>
      <c r="K76" s="4831" t="s">
        <v>258</v>
      </c>
      <c r="L76" s="4831"/>
      <c r="M76" s="4828">
        <f t="shared" si="17"/>
        <v>3.1664794342749216</v>
      </c>
      <c r="N76" s="4828">
        <f t="shared" si="18"/>
        <v>1.3852834420367262</v>
      </c>
      <c r="O76" s="4827">
        <f t="shared" si="10"/>
        <v>12800.51484904724</v>
      </c>
      <c r="P76" s="4827">
        <f t="shared" si="11"/>
        <v>32185.343711211906</v>
      </c>
      <c r="Q76" s="4827">
        <f>IF(K76=0, 0, (HLOOKUP(K76,'[5]E-CESTDWO'!$A$5:$O$35,J76+1,FALSE)*R26))</f>
        <v>40532.567017638838</v>
      </c>
      <c r="R76" s="4827">
        <f>IF(K76=0, 0, (HLOOKUP(K76,'[5]E-CESTD'!$A$5:$O$35,J76+1,FALSE)*R26))</f>
        <v>44585.823719402724</v>
      </c>
      <c r="S76" s="4826">
        <v>1.081</v>
      </c>
      <c r="T76" s="4840">
        <f t="shared" si="12"/>
        <v>0</v>
      </c>
      <c r="U76" s="4150">
        <f t="shared" si="13"/>
        <v>12000</v>
      </c>
      <c r="V76" s="4150">
        <f t="shared" si="19"/>
        <v>12000</v>
      </c>
      <c r="W76" s="322">
        <f t="shared" si="14"/>
        <v>0.86721766220742547</v>
      </c>
      <c r="X76" s="322">
        <f t="shared" si="15"/>
        <v>1.6656788036687319E-2</v>
      </c>
      <c r="Y76" s="322">
        <f t="shared" si="16"/>
        <v>7.4283135678769915E-2</v>
      </c>
    </row>
    <row r="77" spans="2:25">
      <c r="B77" s="282"/>
      <c r="C77" s="4777" t="s">
        <v>501</v>
      </c>
      <c r="D77" s="4777">
        <v>54135</v>
      </c>
      <c r="E77" s="4777" t="s">
        <v>181</v>
      </c>
      <c r="F77" s="4777" t="s">
        <v>303</v>
      </c>
      <c r="G77" s="4825">
        <v>16055</v>
      </c>
      <c r="H77" s="4825">
        <v>8000</v>
      </c>
      <c r="I77" s="4842">
        <f>R27/R59</f>
        <v>0.16162640391274014</v>
      </c>
      <c r="J77" s="4831">
        <v>15</v>
      </c>
      <c r="K77" s="4831" t="s">
        <v>183</v>
      </c>
      <c r="L77" s="4831"/>
      <c r="M77" s="4828">
        <f t="shared" si="17"/>
        <v>4.3701173666492696</v>
      </c>
      <c r="N77" s="4828">
        <f t="shared" si="18"/>
        <v>2.948723970248543</v>
      </c>
      <c r="O77" s="4827">
        <f t="shared" si="10"/>
        <v>591158.01063791849</v>
      </c>
      <c r="P77" s="4827">
        <f t="shared" si="11"/>
        <v>963729.70351488423</v>
      </c>
      <c r="Q77" s="4827">
        <f>IF(K77=0, 0, (HLOOKUP(K77,'[5]E-CESTDWO'!$A$5:$O$35,J77+1,FALSE)*R27))</f>
        <v>2583429.8887226013</v>
      </c>
      <c r="R77" s="4827">
        <f>IF(K77=0, 0, (HLOOKUP(K77,'[5]E-CESTD'!$A$5:$O$35,J77+1,FALSE)*R27))</f>
        <v>2841772.8775948607</v>
      </c>
      <c r="S77" s="4826">
        <v>1.081</v>
      </c>
      <c r="T77" s="4840">
        <f t="shared" si="12"/>
        <v>0</v>
      </c>
      <c r="U77" s="4150">
        <f t="shared" si="13"/>
        <v>400000</v>
      </c>
      <c r="V77" s="4150">
        <f t="shared" si="19"/>
        <v>400000</v>
      </c>
      <c r="W77" s="322">
        <f t="shared" si="14"/>
        <v>0.62593713596489919</v>
      </c>
      <c r="X77" s="322">
        <f t="shared" si="15"/>
        <v>4.6924055881303307E-2</v>
      </c>
      <c r="Y77" s="322">
        <f t="shared" si="16"/>
        <v>0.20926399507226121</v>
      </c>
    </row>
    <row r="78" spans="2:25">
      <c r="B78" s="282"/>
      <c r="C78" s="4819" t="s">
        <v>502</v>
      </c>
      <c r="D78" s="4777">
        <v>112</v>
      </c>
      <c r="E78" s="4777" t="s">
        <v>181</v>
      </c>
      <c r="F78" s="4777" t="s">
        <v>186</v>
      </c>
      <c r="G78" s="4825">
        <v>107</v>
      </c>
      <c r="H78" s="4825">
        <v>50</v>
      </c>
      <c r="I78" s="4842">
        <f>R28/R59</f>
        <v>0</v>
      </c>
      <c r="J78" s="4831">
        <v>14</v>
      </c>
      <c r="K78" s="4831" t="s">
        <v>233</v>
      </c>
      <c r="L78" s="4831"/>
      <c r="M78" s="4828" t="e">
        <f t="shared" si="17"/>
        <v>#DIV/0!</v>
      </c>
      <c r="N78" s="4828" t="e">
        <f t="shared" si="18"/>
        <v>#DIV/0!</v>
      </c>
      <c r="O78" s="4827">
        <f t="shared" si="10"/>
        <v>0</v>
      </c>
      <c r="P78" s="4827">
        <f t="shared" si="11"/>
        <v>0</v>
      </c>
      <c r="Q78" s="4827">
        <f>IF(K78=0, 0, (HLOOKUP(K78,'[5]E-CESTDWO'!$A$5:$O$35,J78+1,FALSE)*R28))</f>
        <v>0</v>
      </c>
      <c r="R78" s="4827">
        <f>IF(K78=0, 0, (HLOOKUP(K78,'[5]E-CESTD'!$A$5:$O$35,J78+1,FALSE)*R28))</f>
        <v>0</v>
      </c>
      <c r="S78" s="4826">
        <v>1.081</v>
      </c>
      <c r="T78" s="4840">
        <f t="shared" si="12"/>
        <v>0</v>
      </c>
      <c r="U78" s="4150">
        <f t="shared" si="13"/>
        <v>0</v>
      </c>
      <c r="V78" s="4150">
        <f t="shared" si="19"/>
        <v>0</v>
      </c>
      <c r="W78" s="322" t="e">
        <f t="shared" si="14"/>
        <v>#DIV/0!</v>
      </c>
      <c r="X78" s="322" t="e">
        <f t="shared" si="15"/>
        <v>#DIV/0!</v>
      </c>
      <c r="Y78" s="322" t="e">
        <f t="shared" si="16"/>
        <v>#DIV/0!</v>
      </c>
    </row>
    <row r="79" spans="2:25">
      <c r="B79" s="282"/>
      <c r="C79" s="4818" t="s">
        <v>1265</v>
      </c>
      <c r="D79" s="4777">
        <v>92</v>
      </c>
      <c r="E79" s="4777" t="s">
        <v>181</v>
      </c>
      <c r="F79" s="4777" t="s">
        <v>186</v>
      </c>
      <c r="G79" s="4825">
        <v>102</v>
      </c>
      <c r="H79" s="4825">
        <v>100</v>
      </c>
      <c r="I79" s="4842">
        <f>R29/R59</f>
        <v>5.4935362187021671E-4</v>
      </c>
      <c r="J79" s="4831">
        <v>14</v>
      </c>
      <c r="K79" s="4831" t="s">
        <v>233</v>
      </c>
      <c r="L79" s="4831"/>
      <c r="M79" s="4828">
        <f t="shared" si="17"/>
        <v>0.82016405847019025</v>
      </c>
      <c r="N79" s="4828">
        <f t="shared" si="18"/>
        <v>0.88579577474825832</v>
      </c>
      <c r="O79" s="4827">
        <f t="shared" si="10"/>
        <v>10002.295678351737</v>
      </c>
      <c r="P79" s="4827">
        <f t="shared" si="11"/>
        <v>10187.309554392439</v>
      </c>
      <c r="Q79" s="4827">
        <f>IF(K79=0, 0, (HLOOKUP(K79,'[5]E-CESTDWO'!$A$5:$O$35,J79+1,FALSE)*R29))</f>
        <v>8203.5234175758051</v>
      </c>
      <c r="R79" s="4827">
        <f>IF(K79=0, 0, (HLOOKUP(K79,'[5]E-CESTD'!$A$5:$O$35,J79+1,FALSE)*R29))</f>
        <v>9023.8757593333848</v>
      </c>
      <c r="S79" s="4826">
        <v>1.081</v>
      </c>
      <c r="T79" s="4840">
        <f t="shared" si="12"/>
        <v>0</v>
      </c>
      <c r="U79" s="4150">
        <f t="shared" si="13"/>
        <v>10000</v>
      </c>
      <c r="V79" s="4150">
        <f t="shared" si="19"/>
        <v>10000</v>
      </c>
      <c r="W79" s="322">
        <f t="shared" si="14"/>
        <v>0.9248570627697702</v>
      </c>
      <c r="X79" s="322">
        <f t="shared" si="15"/>
        <v>9.4262535116175113E-3</v>
      </c>
      <c r="Y79" s="322">
        <f t="shared" si="16"/>
        <v>4.2037616556308305E-2</v>
      </c>
    </row>
    <row r="80" spans="2:25">
      <c r="B80" s="282"/>
      <c r="C80" s="4777" t="s">
        <v>1266</v>
      </c>
      <c r="D80" s="4777">
        <v>49</v>
      </c>
      <c r="E80" s="4777" t="s">
        <v>181</v>
      </c>
      <c r="F80" s="4777" t="s">
        <v>186</v>
      </c>
      <c r="G80" s="4825">
        <v>25</v>
      </c>
      <c r="H80" s="4825">
        <v>20</v>
      </c>
      <c r="I80" s="4842">
        <f>R30/R59</f>
        <v>8.7777154798828107E-3</v>
      </c>
      <c r="J80" s="4831">
        <v>15</v>
      </c>
      <c r="K80" s="4831" t="s">
        <v>183</v>
      </c>
      <c r="L80" s="4831"/>
      <c r="M80" s="4828">
        <f t="shared" si="17"/>
        <v>2.0781435524525298</v>
      </c>
      <c r="N80" s="4828">
        <f t="shared" si="18"/>
        <v>1.8962264660649484</v>
      </c>
      <c r="O80" s="4827">
        <f t="shared" si="10"/>
        <v>67513.453662051979</v>
      </c>
      <c r="P80" s="4827">
        <f t="shared" si="11"/>
        <v>81389.494365104707</v>
      </c>
      <c r="Q80" s="4827">
        <f>IF(K80=0, 0, (HLOOKUP(K80,'[5]E-CESTDWO'!$A$5:$O$35,J80+1,FALSE)*R30))</f>
        <v>140302.64843159597</v>
      </c>
      <c r="R80" s="4827">
        <f>IF(K80=0, 0, (HLOOKUP(K80,'[5]E-CESTD'!$A$5:$O$35,J80+1,FALSE)*R30))</f>
        <v>154332.91327475553</v>
      </c>
      <c r="S80" s="4826">
        <v>1.081</v>
      </c>
      <c r="T80" s="4840">
        <f t="shared" si="12"/>
        <v>0</v>
      </c>
      <c r="U80" s="4150">
        <f t="shared" si="13"/>
        <v>60000</v>
      </c>
      <c r="V80" s="4150">
        <f t="shared" si="19"/>
        <v>60000</v>
      </c>
      <c r="W80" s="322">
        <f t="shared" si="14"/>
        <v>0.82212003388309463</v>
      </c>
      <c r="X80" s="322">
        <f t="shared" si="15"/>
        <v>2.2314028664045006E-2</v>
      </c>
      <c r="Y80" s="322">
        <f t="shared" si="16"/>
        <v>9.9512343864878075E-2</v>
      </c>
    </row>
    <row r="81" spans="2:25">
      <c r="B81" s="282"/>
      <c r="C81" s="4777" t="s">
        <v>503</v>
      </c>
      <c r="D81" s="4777">
        <v>23</v>
      </c>
      <c r="E81" s="4777" t="s">
        <v>181</v>
      </c>
      <c r="F81" s="4777" t="s">
        <v>186</v>
      </c>
      <c r="G81" s="4825">
        <v>8.93</v>
      </c>
      <c r="H81" s="4825">
        <v>8.93</v>
      </c>
      <c r="I81" s="4842">
        <f>R31/R59</f>
        <v>0.18884030751788702</v>
      </c>
      <c r="J81" s="4831">
        <v>5</v>
      </c>
      <c r="K81" s="4831" t="s">
        <v>183</v>
      </c>
      <c r="L81" s="4831"/>
      <c r="M81" s="4828">
        <f t="shared" si="17"/>
        <v>0.91916473384928399</v>
      </c>
      <c r="N81" s="4828">
        <f t="shared" si="18"/>
        <v>1.0110812072342124</v>
      </c>
      <c r="O81" s="4827">
        <f t="shared" si="10"/>
        <v>1394232.7102012171</v>
      </c>
      <c r="P81" s="4827">
        <f t="shared" si="11"/>
        <v>1394232.7102012171</v>
      </c>
      <c r="Q81" s="4827">
        <f>IF(K81=0, 0, (HLOOKUP(K81,'[5]E-CESTDWO'!$A$5:$O$35,J81+1,FALSE)*R31))</f>
        <v>1281529.5379960677</v>
      </c>
      <c r="R81" s="4827">
        <f>IF(K81=0, 0, (HLOOKUP(K81,'[5]E-CESTD'!$A$5:$O$35,J81+1,FALSE)*R31))</f>
        <v>1409682.4917956742</v>
      </c>
      <c r="S81" s="4826">
        <v>1.081</v>
      </c>
      <c r="T81" s="4840">
        <f t="shared" si="12"/>
        <v>0</v>
      </c>
      <c r="U81" s="4150">
        <f t="shared" si="13"/>
        <v>1227875</v>
      </c>
      <c r="V81" s="4150">
        <f t="shared" si="19"/>
        <v>1227875</v>
      </c>
      <c r="W81" s="322">
        <f t="shared" si="14"/>
        <v>0.81469151950499108</v>
      </c>
      <c r="X81" s="322">
        <f t="shared" si="15"/>
        <v>2.3245893484928396E-2</v>
      </c>
      <c r="Y81" s="322">
        <f t="shared" si="16"/>
        <v>0.1036681175213291</v>
      </c>
    </row>
    <row r="82" spans="2:25">
      <c r="B82" s="282"/>
      <c r="C82" s="4777" t="s">
        <v>504</v>
      </c>
      <c r="D82" s="4777">
        <v>131</v>
      </c>
      <c r="E82" s="4777" t="s">
        <v>181</v>
      </c>
      <c r="F82" s="4777" t="s">
        <v>186</v>
      </c>
      <c r="G82" s="4825">
        <v>67</v>
      </c>
      <c r="H82" s="4825">
        <v>50</v>
      </c>
      <c r="I82" s="4842">
        <f>R32/R59</f>
        <v>1.5644635753260522E-4</v>
      </c>
      <c r="J82" s="4831">
        <v>15</v>
      </c>
      <c r="K82" s="4831" t="s">
        <v>233</v>
      </c>
      <c r="L82" s="4831"/>
      <c r="M82" s="4828">
        <f t="shared" si="17"/>
        <v>2.1433232453736273</v>
      </c>
      <c r="N82" s="4828">
        <f t="shared" si="18"/>
        <v>1.8475290769552364</v>
      </c>
      <c r="O82" s="4827">
        <f t="shared" si="10"/>
        <v>1139.112523241499</v>
      </c>
      <c r="P82" s="4827">
        <f t="shared" si="11"/>
        <v>1453.6361125106944</v>
      </c>
      <c r="Q82" s="4827">
        <f>IF(K82=0, 0, (HLOOKUP(K82,'[5]E-CESTDWO'!$A$5:$O$35,J82+1,FALSE)*R32))</f>
        <v>2441.486350159711</v>
      </c>
      <c r="R82" s="4827">
        <f>IF(K82=0, 0, (HLOOKUP(K82,'[5]E-CESTD'!$A$5:$O$35,J82+1,FALSE)*R32))</f>
        <v>2685.6349851756813</v>
      </c>
      <c r="S82" s="4826">
        <v>1.081</v>
      </c>
      <c r="T82" s="4840">
        <f t="shared" si="12"/>
        <v>0</v>
      </c>
      <c r="U82" s="4150">
        <f t="shared" si="13"/>
        <v>1000</v>
      </c>
      <c r="V82" s="4150">
        <f t="shared" si="19"/>
        <v>1000</v>
      </c>
    </row>
    <row r="83" spans="2:25">
      <c r="B83" s="282"/>
      <c r="C83" s="4777" t="s">
        <v>505</v>
      </c>
      <c r="D83" s="4781">
        <v>44</v>
      </c>
      <c r="E83" s="4777" t="s">
        <v>181</v>
      </c>
      <c r="F83" s="4777" t="s">
        <v>186</v>
      </c>
      <c r="G83" s="4825">
        <v>19</v>
      </c>
      <c r="H83" s="4817">
        <v>20</v>
      </c>
      <c r="I83" s="4842">
        <f>R33/R59</f>
        <v>1.3136717044722574E-4</v>
      </c>
      <c r="J83" s="4831">
        <v>20</v>
      </c>
      <c r="K83" s="4831" t="s">
        <v>253</v>
      </c>
      <c r="L83" s="4831"/>
      <c r="M83" s="4828">
        <f t="shared" si="17"/>
        <v>1.9295144454905286</v>
      </c>
      <c r="N83" s="4828">
        <f t="shared" si="18"/>
        <v>2.2152075720939877</v>
      </c>
      <c r="O83" s="4827">
        <f t="shared" si="10"/>
        <v>1104.8002636705246</v>
      </c>
      <c r="P83" s="4827">
        <f t="shared" si="11"/>
        <v>1058.5467946603487</v>
      </c>
      <c r="Q83" s="4827">
        <f>IF(K83=0, 0, (HLOOKUP(K83,'[5]E-CESTDWO'!$A$5:$O$35,J83+1,FALSE)*R33))</f>
        <v>2131.7280681340221</v>
      </c>
      <c r="R83" s="4827">
        <f>IF(K83=0, 0, (HLOOKUP(K83,'[5]E-CESTD'!$A$5:$O$35,J83+1,FALSE)*R33))</f>
        <v>2344.9008749474242</v>
      </c>
      <c r="S83" s="4826">
        <v>1.081</v>
      </c>
      <c r="T83" s="4840">
        <f t="shared" si="12"/>
        <v>0</v>
      </c>
      <c r="U83" s="4150">
        <f t="shared" si="13"/>
        <v>1000</v>
      </c>
      <c r="V83" s="4150">
        <f t="shared" si="19"/>
        <v>1000</v>
      </c>
    </row>
    <row r="84" spans="2:25" s="351" customFormat="1">
      <c r="B84" s="312"/>
      <c r="C84" s="4818" t="s">
        <v>405</v>
      </c>
      <c r="D84" s="4816">
        <v>755</v>
      </c>
      <c r="E84" s="4818" t="s">
        <v>181</v>
      </c>
      <c r="F84" s="4818" t="s">
        <v>186</v>
      </c>
      <c r="G84" s="4817">
        <v>471.7</v>
      </c>
      <c r="H84" s="4817">
        <v>471.7</v>
      </c>
      <c r="I84" s="4846">
        <f>R34/R59</f>
        <v>9.0165648806959486E-2</v>
      </c>
      <c r="J84" s="4815">
        <v>20</v>
      </c>
      <c r="K84" s="4815" t="s">
        <v>258</v>
      </c>
      <c r="L84" s="4815"/>
      <c r="M84" s="4828">
        <f t="shared" si="17"/>
        <v>2.4561602980838226</v>
      </c>
      <c r="N84" s="4828">
        <f t="shared" si="18"/>
        <v>2.7017763278922051</v>
      </c>
      <c r="O84" s="4814">
        <f t="shared" si="10"/>
        <v>996071.19602726167</v>
      </c>
      <c r="P84" s="4814">
        <f t="shared" si="11"/>
        <v>996071.19602726167</v>
      </c>
      <c r="Q84" s="4814">
        <f>IF(K84=0, 0, (HLOOKUP(K84,'[5]E-CESTDWO'!$A$5:$O$35,J84+1,FALSE)*R34))</f>
        <v>2446510.5257470286</v>
      </c>
      <c r="R84" s="4814">
        <f>IF(K84=0, 0, (HLOOKUP(K84,'[5]E-CESTD'!$A$5:$O$35,J84+1,FALSE)*R34))</f>
        <v>2691161.5783217316</v>
      </c>
      <c r="S84" s="4813">
        <v>1.081</v>
      </c>
      <c r="T84" s="4845">
        <f t="shared" si="12"/>
        <v>0</v>
      </c>
      <c r="U84" s="3189">
        <f t="shared" si="13"/>
        <v>943400</v>
      </c>
      <c r="V84" s="4150">
        <f t="shared" si="19"/>
        <v>943400</v>
      </c>
    </row>
    <row r="85" spans="2:25">
      <c r="B85" s="282"/>
      <c r="C85" s="4824" t="s">
        <v>1267</v>
      </c>
      <c r="D85" s="4812">
        <v>34</v>
      </c>
      <c r="E85" s="4824" t="s">
        <v>181</v>
      </c>
      <c r="F85" s="4824" t="s">
        <v>186</v>
      </c>
      <c r="G85" s="4811">
        <v>14</v>
      </c>
      <c r="H85" s="4811">
        <v>14</v>
      </c>
      <c r="I85" s="4847">
        <f>R35/R59</f>
        <v>2.5377748836395882E-2</v>
      </c>
      <c r="J85" s="4810">
        <v>30</v>
      </c>
      <c r="K85" s="4810" t="s">
        <v>183</v>
      </c>
      <c r="L85" s="4809"/>
      <c r="M85" s="4828">
        <f t="shared" si="17"/>
        <v>2.9764658029205884</v>
      </c>
      <c r="N85" s="4828">
        <f t="shared" si="18"/>
        <v>3.2741123832126475</v>
      </c>
      <c r="O85" s="4827">
        <f t="shared" si="10"/>
        <v>196607.88038719649</v>
      </c>
      <c r="P85" s="4827">
        <f t="shared" si="11"/>
        <v>196607.88038719649</v>
      </c>
      <c r="Q85" s="4827">
        <f>IF(K85=0, 0, (HLOOKUP(K85,'[5]E-CESTDWO'!$A$5:$O$35,J85+1,FALSE)*R35))</f>
        <v>585196.63255719177</v>
      </c>
      <c r="R85" s="4827">
        <f>IF(K85=0, 0, (HLOOKUP(K85,'[5]E-CESTD'!$A$5:$O$35,J85+1,FALSE)*R35))</f>
        <v>643716.295812911</v>
      </c>
      <c r="S85" s="4826">
        <v>1.081</v>
      </c>
      <c r="T85" s="4840">
        <f t="shared" si="12"/>
        <v>0</v>
      </c>
      <c r="U85" s="4150">
        <f t="shared" si="13"/>
        <v>175000</v>
      </c>
      <c r="V85" s="4150">
        <f t="shared" si="19"/>
        <v>175000</v>
      </c>
    </row>
    <row r="86" spans="2:25" s="351" customFormat="1">
      <c r="B86" s="312"/>
      <c r="C86" s="4818" t="s">
        <v>1268</v>
      </c>
      <c r="D86" s="4816">
        <v>61</v>
      </c>
      <c r="E86" s="4818" t="s">
        <v>181</v>
      </c>
      <c r="F86" s="4818" t="s">
        <v>186</v>
      </c>
      <c r="G86" s="4817">
        <v>50</v>
      </c>
      <c r="H86" s="4817">
        <v>30</v>
      </c>
      <c r="I86" s="4846">
        <f>R36/R59</f>
        <v>7.2849067248007004E-4</v>
      </c>
      <c r="J86" s="4829">
        <v>18</v>
      </c>
      <c r="K86" s="4815" t="s">
        <v>183</v>
      </c>
      <c r="L86" s="4815"/>
      <c r="M86" s="4828">
        <f t="shared" si="17"/>
        <v>1.9866939736967435</v>
      </c>
      <c r="N86" s="4828">
        <f t="shared" si="18"/>
        <v>1.3962398687948392</v>
      </c>
      <c r="O86" s="4814">
        <f t="shared" si="10"/>
        <v>6547.1057259017798</v>
      </c>
      <c r="P86" s="4814">
        <f t="shared" si="11"/>
        <v>10247.383246715841</v>
      </c>
      <c r="Q86" s="4814">
        <f>IF(K86=0, 0, (HLOOKUP(K86,'[5]E-CESTDWO'!$A$5:$O$35,J86+1,FALSE)*R36))</f>
        <v>13007.09549080451</v>
      </c>
      <c r="R86" s="4814">
        <f>IF(K86=0, 0, (HLOOKUP(K86,'[5]E-CESTD'!$A$5:$O$35,J86+1,FALSE)*R36))</f>
        <v>14307.805039884959</v>
      </c>
      <c r="S86" s="4813">
        <v>1.081</v>
      </c>
      <c r="T86" s="4845">
        <f t="shared" si="12"/>
        <v>0</v>
      </c>
      <c r="U86" s="3189">
        <f t="shared" si="13"/>
        <v>6000</v>
      </c>
      <c r="V86" s="4150">
        <f t="shared" si="19"/>
        <v>6000</v>
      </c>
    </row>
    <row r="87" spans="2:25">
      <c r="B87" s="282"/>
      <c r="C87" s="4777" t="s">
        <v>506</v>
      </c>
      <c r="D87" s="4781">
        <v>100</v>
      </c>
      <c r="E87" s="4777" t="s">
        <v>181</v>
      </c>
      <c r="F87" s="4777" t="s">
        <v>186</v>
      </c>
      <c r="G87" s="4817">
        <v>21</v>
      </c>
      <c r="H87" s="4817">
        <v>21</v>
      </c>
      <c r="I87" s="4842">
        <f>R37/R59</f>
        <v>0</v>
      </c>
      <c r="J87" s="4831">
        <v>4</v>
      </c>
      <c r="K87" s="4831" t="s">
        <v>310</v>
      </c>
      <c r="L87" s="4831"/>
      <c r="M87" s="4828" t="e">
        <f t="shared" si="17"/>
        <v>#DIV/0!</v>
      </c>
      <c r="N87" s="4828" t="e">
        <f t="shared" si="18"/>
        <v>#DIV/0!</v>
      </c>
      <c r="O87" s="4827">
        <f t="shared" si="10"/>
        <v>0</v>
      </c>
      <c r="P87" s="4827">
        <f t="shared" si="11"/>
        <v>0</v>
      </c>
      <c r="Q87" s="4827">
        <f>IF(K87=0, 0, (HLOOKUP(K87,'[5]E-CESTDWO'!$A$5:$O$35,J87+1,FALSE)*R37))</f>
        <v>0</v>
      </c>
      <c r="R87" s="4827">
        <f>IF(K87=0, 0, (HLOOKUP(K87,'[5]E-CESTD'!$A$5:$O$35,J87+1,FALSE)*R37))</f>
        <v>0</v>
      </c>
      <c r="S87" s="4826">
        <v>1.081</v>
      </c>
      <c r="T87" s="4840">
        <f t="shared" si="12"/>
        <v>0</v>
      </c>
      <c r="U87" s="4150">
        <f t="shared" si="13"/>
        <v>0</v>
      </c>
      <c r="V87" s="4150">
        <f t="shared" si="19"/>
        <v>0</v>
      </c>
    </row>
    <row r="88" spans="2:25">
      <c r="B88" s="282"/>
      <c r="C88" s="4819" t="s">
        <v>507</v>
      </c>
      <c r="D88" s="4781">
        <v>34.1</v>
      </c>
      <c r="E88" s="4777" t="s">
        <v>181</v>
      </c>
      <c r="F88" s="4777" t="s">
        <v>186</v>
      </c>
      <c r="G88" s="4817">
        <v>40</v>
      </c>
      <c r="H88" s="4817">
        <v>20</v>
      </c>
      <c r="I88" s="4842">
        <f>R38/R59</f>
        <v>0</v>
      </c>
      <c r="J88" s="4815">
        <v>22.8</v>
      </c>
      <c r="K88" s="4831" t="s">
        <v>183</v>
      </c>
      <c r="L88" s="4831"/>
      <c r="M88" s="4828" t="e">
        <f t="shared" si="17"/>
        <v>#DIV/0!</v>
      </c>
      <c r="N88" s="4828" t="e">
        <f t="shared" si="18"/>
        <v>#DIV/0!</v>
      </c>
      <c r="O88" s="4827">
        <f t="shared" si="10"/>
        <v>0</v>
      </c>
      <c r="P88" s="4827">
        <f t="shared" si="11"/>
        <v>0</v>
      </c>
      <c r="Q88" s="4827">
        <f>IF(K88=0, 0, (HLOOKUP(K88,'[5]E-CESTDWO'!$A$5:$O$35,J88+1,FALSE)*R38))</f>
        <v>0</v>
      </c>
      <c r="R88" s="4827">
        <f>IF(K88=0, 0, (HLOOKUP(K88,'[5]E-CESTD'!$A$5:$O$35,J88+1,FALSE)*R38))</f>
        <v>0</v>
      </c>
      <c r="S88" s="4826">
        <v>1.081</v>
      </c>
      <c r="T88" s="4840">
        <f t="shared" si="12"/>
        <v>0</v>
      </c>
      <c r="U88" s="4150">
        <f t="shared" si="13"/>
        <v>0</v>
      </c>
      <c r="V88" s="4150">
        <f t="shared" si="19"/>
        <v>0</v>
      </c>
    </row>
    <row r="89" spans="2:25">
      <c r="B89" s="282"/>
      <c r="C89" s="4818" t="s">
        <v>508</v>
      </c>
      <c r="D89" s="4816">
        <v>128</v>
      </c>
      <c r="E89" s="4777" t="s">
        <v>181</v>
      </c>
      <c r="F89" s="4777" t="s">
        <v>186</v>
      </c>
      <c r="G89" s="4817">
        <v>40</v>
      </c>
      <c r="H89" s="4817">
        <v>40</v>
      </c>
      <c r="I89" s="4842">
        <f>R39/R59</f>
        <v>3.8215904130102037E-5</v>
      </c>
      <c r="J89" s="4815">
        <v>10</v>
      </c>
      <c r="K89" s="4831" t="s">
        <v>310</v>
      </c>
      <c r="L89" s="4831"/>
      <c r="M89" s="4828">
        <f t="shared" si="17"/>
        <v>1.9345432001490961</v>
      </c>
      <c r="N89" s="4828">
        <f t="shared" si="18"/>
        <v>2.1279975201640049</v>
      </c>
      <c r="O89" s="4827">
        <f t="shared" si="10"/>
        <v>237.29922395837846</v>
      </c>
      <c r="P89" s="4827">
        <f t="shared" si="11"/>
        <v>237.29922395837846</v>
      </c>
      <c r="Q89" s="4827">
        <f>IF(K89=0, 0, (HLOOKUP(K89,'[5]E-CESTDWO'!$A$5:$O$35,J89+1,FALSE)*R39))</f>
        <v>459.0656001093385</v>
      </c>
      <c r="R89" s="4827">
        <f>IF(K89=0, 0, (HLOOKUP(K89,'[5]E-CESTD'!$A$5:$O$35,J89+1,FALSE)*R39))</f>
        <v>504.97216012027224</v>
      </c>
      <c r="S89" s="4826">
        <v>1.081</v>
      </c>
      <c r="T89" s="4840">
        <f t="shared" si="12"/>
        <v>0</v>
      </c>
      <c r="U89" s="4150">
        <f t="shared" si="13"/>
        <v>200</v>
      </c>
      <c r="V89" s="4150">
        <f t="shared" si="19"/>
        <v>200</v>
      </c>
    </row>
    <row r="90" spans="2:25">
      <c r="B90" s="282"/>
      <c r="C90" s="4777" t="s">
        <v>509</v>
      </c>
      <c r="D90" s="4816">
        <v>10095</v>
      </c>
      <c r="E90" s="4777" t="s">
        <v>181</v>
      </c>
      <c r="F90" s="4777" t="s">
        <v>303</v>
      </c>
      <c r="G90" s="4817">
        <v>9376</v>
      </c>
      <c r="H90" s="4817">
        <v>3028</v>
      </c>
      <c r="I90" s="4842">
        <f>R40/R59</f>
        <v>0</v>
      </c>
      <c r="J90" s="4815">
        <v>15</v>
      </c>
      <c r="K90" s="4831" t="s">
        <v>310</v>
      </c>
      <c r="L90" s="4831"/>
      <c r="M90" s="4828" t="e">
        <f t="shared" si="17"/>
        <v>#DIV/0!</v>
      </c>
      <c r="N90" s="4828" t="e">
        <f t="shared" si="18"/>
        <v>#DIV/0!</v>
      </c>
      <c r="O90" s="4827">
        <f t="shared" si="10"/>
        <v>0</v>
      </c>
      <c r="P90" s="4827">
        <f t="shared" si="11"/>
        <v>0</v>
      </c>
      <c r="Q90" s="4827">
        <f>IF(K90=0, 0, (HLOOKUP(K90,'[5]E-CESTDWO'!$A$5:$O$35,J90+1,FALSE)*R40))</f>
        <v>0</v>
      </c>
      <c r="R90" s="4827">
        <f>IF(K90=0, 0, (HLOOKUP(K90,'[5]E-CESTD'!$A$5:$O$35,J90+1,FALSE)*R40))</f>
        <v>0</v>
      </c>
      <c r="S90" s="4826">
        <v>1.081</v>
      </c>
      <c r="T90" s="4840">
        <f t="shared" si="12"/>
        <v>0</v>
      </c>
      <c r="U90" s="4150">
        <f t="shared" si="13"/>
        <v>0</v>
      </c>
      <c r="V90" s="4150">
        <f t="shared" si="19"/>
        <v>0</v>
      </c>
    </row>
    <row r="91" spans="2:25">
      <c r="B91" s="282"/>
      <c r="C91" s="4779" t="s">
        <v>949</v>
      </c>
      <c r="D91" s="4816">
        <v>1.1000000000000001</v>
      </c>
      <c r="E91" s="4808" t="s">
        <v>181</v>
      </c>
      <c r="F91" s="4779" t="s">
        <v>257</v>
      </c>
      <c r="G91" s="4817">
        <v>1.1299999999999999</v>
      </c>
      <c r="H91" s="4817">
        <v>1.1299999999999999</v>
      </c>
      <c r="I91" s="4842">
        <f>R41/R59</f>
        <v>0</v>
      </c>
      <c r="J91" s="4815">
        <v>30</v>
      </c>
      <c r="K91" s="4815" t="s">
        <v>258</v>
      </c>
      <c r="L91" s="4810"/>
      <c r="M91" s="4828" t="e">
        <f t="shared" si="17"/>
        <v>#DIV/0!</v>
      </c>
      <c r="N91" s="4828" t="e">
        <f t="shared" si="18"/>
        <v>#DIV/0!</v>
      </c>
      <c r="O91" s="4827">
        <f t="shared" si="10"/>
        <v>0</v>
      </c>
      <c r="P91" s="4827">
        <f t="shared" si="11"/>
        <v>0</v>
      </c>
      <c r="Q91" s="4827">
        <f>IF(K91=0, 0, (HLOOKUP(K91,'[5]E-CESTDWO'!$A$5:$O$35,J91+1,FALSE)*R41))</f>
        <v>0</v>
      </c>
      <c r="R91" s="4827">
        <f>IF(K91=0, 0, (HLOOKUP(K91,'[5]E-CESTD'!$A$5:$O$35,J91+1,FALSE)*R41))</f>
        <v>0</v>
      </c>
      <c r="S91" s="4826">
        <v>1.081</v>
      </c>
      <c r="T91" s="4840">
        <f t="shared" si="12"/>
        <v>0</v>
      </c>
      <c r="U91" s="4150">
        <f t="shared" si="13"/>
        <v>0</v>
      </c>
      <c r="V91" s="4150">
        <f t="shared" si="19"/>
        <v>0</v>
      </c>
    </row>
    <row r="92" spans="2:25">
      <c r="B92" s="282"/>
      <c r="C92" s="4779" t="s">
        <v>975</v>
      </c>
      <c r="D92" s="4816">
        <v>2</v>
      </c>
      <c r="E92" s="4808" t="s">
        <v>181</v>
      </c>
      <c r="F92" s="4779" t="s">
        <v>257</v>
      </c>
      <c r="G92" s="4817">
        <v>1.68</v>
      </c>
      <c r="H92" s="4817">
        <v>1.68</v>
      </c>
      <c r="I92" s="4842">
        <f>R42/R59</f>
        <v>0</v>
      </c>
      <c r="J92" s="4815">
        <v>30</v>
      </c>
      <c r="K92" s="4815" t="s">
        <v>258</v>
      </c>
      <c r="L92" s="4810"/>
      <c r="M92" s="4828" t="e">
        <f t="shared" si="17"/>
        <v>#DIV/0!</v>
      </c>
      <c r="N92" s="4828" t="e">
        <f t="shared" si="18"/>
        <v>#DIV/0!</v>
      </c>
      <c r="O92" s="4827">
        <f t="shared" si="10"/>
        <v>0</v>
      </c>
      <c r="P92" s="4827">
        <f t="shared" si="11"/>
        <v>0</v>
      </c>
      <c r="Q92" s="4827">
        <f>IF(K92=0, 0, (HLOOKUP(K92,'[5]E-CESTDWO'!$A$5:$O$35,J92+1,FALSE)*R42))</f>
        <v>0</v>
      </c>
      <c r="R92" s="4827">
        <f>IF(K92=0, 0, (HLOOKUP(K92,'[5]E-CESTD'!$A$5:$O$35,J92+1,FALSE)*R42))</f>
        <v>0</v>
      </c>
      <c r="S92" s="4826">
        <v>1.081</v>
      </c>
      <c r="T92" s="4840">
        <f t="shared" si="12"/>
        <v>0</v>
      </c>
      <c r="U92" s="4150">
        <f t="shared" si="13"/>
        <v>0</v>
      </c>
      <c r="V92" s="4150">
        <f t="shared" si="19"/>
        <v>0</v>
      </c>
    </row>
    <row r="93" spans="2:25">
      <c r="B93" s="282"/>
      <c r="C93" s="4779" t="s">
        <v>950</v>
      </c>
      <c r="D93" s="4816">
        <v>2.1</v>
      </c>
      <c r="E93" s="4779" t="s">
        <v>181</v>
      </c>
      <c r="F93" s="4779" t="s">
        <v>257</v>
      </c>
      <c r="G93" s="4817">
        <v>3.75</v>
      </c>
      <c r="H93" s="4817">
        <v>3.75</v>
      </c>
      <c r="I93" s="4842">
        <f t="shared" ref="I93:I107" si="20">R43/$R$59</f>
        <v>0</v>
      </c>
      <c r="J93" s="4815">
        <v>30</v>
      </c>
      <c r="K93" s="4815" t="s">
        <v>258</v>
      </c>
      <c r="L93" s="4815"/>
      <c r="M93" s="4828" t="e">
        <f t="shared" si="17"/>
        <v>#DIV/0!</v>
      </c>
      <c r="N93" s="4828" t="e">
        <f t="shared" si="18"/>
        <v>#DIV/0!</v>
      </c>
      <c r="O93" s="4827">
        <f t="shared" si="10"/>
        <v>0</v>
      </c>
      <c r="P93" s="4827">
        <f t="shared" si="11"/>
        <v>0</v>
      </c>
      <c r="Q93" s="4827">
        <f>IF(K93=0, 0, (HLOOKUP(K93,'[5]E-CESTDWO'!$A$5:$O$35,J93+1,FALSE)*R43))</f>
        <v>0</v>
      </c>
      <c r="R93" s="4827">
        <f>IF(K93=0, 0, (HLOOKUP(K93,'[5]E-CESTD'!$A$5:$O$35,J93+1,FALSE)*R43))</f>
        <v>0</v>
      </c>
      <c r="S93" s="4826">
        <v>1.081</v>
      </c>
      <c r="T93" s="4840">
        <f t="shared" si="12"/>
        <v>0</v>
      </c>
      <c r="U93" s="4150">
        <f t="shared" si="13"/>
        <v>0</v>
      </c>
      <c r="V93" s="4150">
        <f t="shared" si="19"/>
        <v>0</v>
      </c>
    </row>
    <row r="94" spans="2:25">
      <c r="B94" s="282"/>
      <c r="C94" s="4823" t="s">
        <v>1269</v>
      </c>
      <c r="D94" s="4807">
        <v>0.86</v>
      </c>
      <c r="E94" s="4818" t="s">
        <v>181</v>
      </c>
      <c r="F94" s="4779" t="s">
        <v>257</v>
      </c>
      <c r="G94" s="4817">
        <v>0.9</v>
      </c>
      <c r="H94" s="4817">
        <v>0.9</v>
      </c>
      <c r="I94" s="4842">
        <f t="shared" si="20"/>
        <v>0</v>
      </c>
      <c r="J94" s="4815">
        <v>30</v>
      </c>
      <c r="K94" s="4815" t="s">
        <v>258</v>
      </c>
      <c r="L94" s="4810"/>
      <c r="M94" s="4828" t="e">
        <f t="shared" si="17"/>
        <v>#DIV/0!</v>
      </c>
      <c r="N94" s="4828" t="e">
        <f t="shared" si="18"/>
        <v>#DIV/0!</v>
      </c>
      <c r="O94" s="4827">
        <f t="shared" si="10"/>
        <v>0</v>
      </c>
      <c r="P94" s="4827">
        <f t="shared" si="11"/>
        <v>0</v>
      </c>
      <c r="Q94" s="4827">
        <f>IF(K94=0, 0, (HLOOKUP(K94,'[5]E-CESTDWO'!$A$5:$O$35,J94+1,FALSE)*R44))</f>
        <v>0</v>
      </c>
      <c r="R94" s="4827">
        <f>IF(K94=0, 0, (HLOOKUP(K94,'[5]E-CESTD'!$A$5:$O$35,J94+1,FALSE)*R44))</f>
        <v>0</v>
      </c>
      <c r="S94" s="4826">
        <v>1.081</v>
      </c>
      <c r="T94" s="4840">
        <f t="shared" si="12"/>
        <v>0</v>
      </c>
      <c r="U94" s="4150">
        <f t="shared" si="13"/>
        <v>0</v>
      </c>
      <c r="V94" s="4150">
        <f t="shared" si="19"/>
        <v>0</v>
      </c>
    </row>
    <row r="95" spans="2:25">
      <c r="B95" s="282"/>
      <c r="C95" s="4823" t="s">
        <v>1270</v>
      </c>
      <c r="D95" s="4807">
        <v>0.56999999999999995</v>
      </c>
      <c r="E95" s="4818" t="s">
        <v>181</v>
      </c>
      <c r="F95" s="4779" t="s">
        <v>257</v>
      </c>
      <c r="G95" s="4817">
        <v>0.9</v>
      </c>
      <c r="H95" s="4817">
        <v>0.9</v>
      </c>
      <c r="I95" s="4842">
        <f t="shared" si="20"/>
        <v>0</v>
      </c>
      <c r="J95" s="4815">
        <v>30</v>
      </c>
      <c r="K95" s="4815" t="s">
        <v>258</v>
      </c>
      <c r="L95" s="4815"/>
      <c r="M95" s="4828" t="e">
        <f t="shared" si="17"/>
        <v>#DIV/0!</v>
      </c>
      <c r="N95" s="4828" t="e">
        <f t="shared" si="18"/>
        <v>#DIV/0!</v>
      </c>
      <c r="O95" s="4827">
        <f t="shared" si="10"/>
        <v>0</v>
      </c>
      <c r="P95" s="4827">
        <f t="shared" si="11"/>
        <v>0</v>
      </c>
      <c r="Q95" s="4827">
        <f>IF(K95=0, 0, (HLOOKUP(K95,'[5]E-CESTDWO'!$A$5:$O$35,J95+1,FALSE)*R45))</f>
        <v>0</v>
      </c>
      <c r="R95" s="4827">
        <f>IF(K95=0, 0, (HLOOKUP(K95,'[5]E-CESTD'!$A$5:$O$35,J95+1,FALSE)*R45))</f>
        <v>0</v>
      </c>
      <c r="S95" s="4826">
        <v>1.081</v>
      </c>
      <c r="T95" s="4840">
        <f t="shared" si="12"/>
        <v>0</v>
      </c>
      <c r="U95" s="4150">
        <f t="shared" si="13"/>
        <v>0</v>
      </c>
      <c r="V95" s="4150">
        <f t="shared" si="19"/>
        <v>0</v>
      </c>
    </row>
    <row r="96" spans="2:25">
      <c r="B96" s="282"/>
      <c r="C96" s="4823" t="s">
        <v>1271</v>
      </c>
      <c r="D96" s="4807">
        <v>0.68</v>
      </c>
      <c r="E96" s="4818" t="s">
        <v>181</v>
      </c>
      <c r="F96" s="4779" t="s">
        <v>257</v>
      </c>
      <c r="G96" s="4817">
        <v>0.9</v>
      </c>
      <c r="H96" s="4817">
        <v>0.9</v>
      </c>
      <c r="I96" s="4842">
        <f t="shared" si="20"/>
        <v>0</v>
      </c>
      <c r="J96" s="4815">
        <v>30</v>
      </c>
      <c r="K96" s="4815" t="s">
        <v>258</v>
      </c>
      <c r="L96" s="4815"/>
      <c r="M96" s="4828" t="e">
        <f t="shared" si="17"/>
        <v>#DIV/0!</v>
      </c>
      <c r="N96" s="4828" t="e">
        <f t="shared" si="18"/>
        <v>#DIV/0!</v>
      </c>
      <c r="O96" s="4827">
        <f t="shared" si="10"/>
        <v>0</v>
      </c>
      <c r="P96" s="4827">
        <f t="shared" si="11"/>
        <v>0</v>
      </c>
      <c r="Q96" s="4827">
        <f>IF(K96=0, 0, (HLOOKUP(K96,'[5]E-CESTDWO'!$A$5:$O$35,J96+1,FALSE)*R46))</f>
        <v>0</v>
      </c>
      <c r="R96" s="4827">
        <f>IF(K96=0, 0, (HLOOKUP(K96,'[5]E-CESTD'!$A$5:$O$35,J96+1,FALSE)*R46))</f>
        <v>0</v>
      </c>
      <c r="S96" s="4826">
        <v>1.081</v>
      </c>
      <c r="T96" s="4840">
        <f t="shared" si="12"/>
        <v>0</v>
      </c>
      <c r="U96" s="4150">
        <f t="shared" si="13"/>
        <v>0</v>
      </c>
      <c r="V96" s="4150">
        <f t="shared" si="19"/>
        <v>0</v>
      </c>
    </row>
    <row r="97" spans="2:22">
      <c r="B97" s="282"/>
      <c r="C97" s="4823" t="s">
        <v>1272</v>
      </c>
      <c r="D97" s="4807">
        <v>2.21</v>
      </c>
      <c r="E97" s="4818" t="s">
        <v>181</v>
      </c>
      <c r="F97" s="4779" t="s">
        <v>257</v>
      </c>
      <c r="G97" s="4817">
        <v>1.43</v>
      </c>
      <c r="H97" s="4817">
        <v>1.43</v>
      </c>
      <c r="I97" s="4842">
        <f t="shared" si="20"/>
        <v>0</v>
      </c>
      <c r="J97" s="4815">
        <v>30</v>
      </c>
      <c r="K97" s="4815" t="s">
        <v>258</v>
      </c>
      <c r="L97" s="4815"/>
      <c r="M97" s="4828" t="e">
        <f t="shared" si="17"/>
        <v>#DIV/0!</v>
      </c>
      <c r="N97" s="4828" t="e">
        <f t="shared" si="18"/>
        <v>#DIV/0!</v>
      </c>
      <c r="O97" s="4827">
        <f t="shared" si="10"/>
        <v>0</v>
      </c>
      <c r="P97" s="4827">
        <f t="shared" si="11"/>
        <v>0</v>
      </c>
      <c r="Q97" s="4827">
        <f>IF(K97=0, 0, (HLOOKUP(K97,'[5]E-CESTDWO'!$A$5:$O$35,J97+1,FALSE)*R47))</f>
        <v>0</v>
      </c>
      <c r="R97" s="4827">
        <f>IF(K97=0, 0, (HLOOKUP(K97,'[5]E-CESTD'!$A$5:$O$35,J97+1,FALSE)*R47))</f>
        <v>0</v>
      </c>
      <c r="S97" s="4826">
        <v>1.081</v>
      </c>
      <c r="T97" s="4840">
        <f t="shared" si="12"/>
        <v>0</v>
      </c>
      <c r="U97" s="4150">
        <f t="shared" si="13"/>
        <v>0</v>
      </c>
      <c r="V97" s="4150">
        <f t="shared" si="19"/>
        <v>0</v>
      </c>
    </row>
    <row r="98" spans="2:22">
      <c r="B98" s="282"/>
      <c r="C98" s="4823" t="s">
        <v>1273</v>
      </c>
      <c r="D98" s="4807">
        <v>2.08</v>
      </c>
      <c r="E98" s="4818" t="s">
        <v>181</v>
      </c>
      <c r="F98" s="4779" t="s">
        <v>257</v>
      </c>
      <c r="G98" s="4817">
        <v>1.43</v>
      </c>
      <c r="H98" s="4817">
        <v>1.43</v>
      </c>
      <c r="I98" s="4842">
        <f t="shared" si="20"/>
        <v>0</v>
      </c>
      <c r="J98" s="4815">
        <v>30</v>
      </c>
      <c r="K98" s="4815" t="s">
        <v>258</v>
      </c>
      <c r="L98" s="4815"/>
      <c r="M98" s="4828" t="e">
        <f t="shared" si="17"/>
        <v>#DIV/0!</v>
      </c>
      <c r="N98" s="4828" t="e">
        <f t="shared" si="18"/>
        <v>#DIV/0!</v>
      </c>
      <c r="O98" s="4827">
        <f t="shared" si="10"/>
        <v>0</v>
      </c>
      <c r="P98" s="4827">
        <f t="shared" si="11"/>
        <v>0</v>
      </c>
      <c r="Q98" s="4827">
        <f>IF(K98=0, 0, (HLOOKUP(K98,'[5]E-CESTDWO'!$A$5:$O$35,J98+1,FALSE)*R48))</f>
        <v>0</v>
      </c>
      <c r="R98" s="4827">
        <f>IF(K98=0, 0, (HLOOKUP(K98,'[5]E-CESTD'!$A$5:$O$35,J98+1,FALSE)*R48))</f>
        <v>0</v>
      </c>
      <c r="S98" s="4826">
        <v>1.081</v>
      </c>
      <c r="T98" s="4840">
        <f t="shared" si="12"/>
        <v>0</v>
      </c>
      <c r="U98" s="4150">
        <f t="shared" si="13"/>
        <v>0</v>
      </c>
      <c r="V98" s="4150">
        <f t="shared" si="19"/>
        <v>0</v>
      </c>
    </row>
    <row r="99" spans="2:22">
      <c r="B99" s="282"/>
      <c r="C99" s="4823" t="s">
        <v>1274</v>
      </c>
      <c r="D99" s="4806">
        <v>1.63</v>
      </c>
      <c r="E99" s="4777" t="s">
        <v>181</v>
      </c>
      <c r="F99" s="4779" t="s">
        <v>257</v>
      </c>
      <c r="G99" s="4825">
        <v>1.1599999999999999</v>
      </c>
      <c r="H99" s="4825">
        <v>1.1599999999999999</v>
      </c>
      <c r="I99" s="4842">
        <f t="shared" si="20"/>
        <v>3.7489031662312475E-2</v>
      </c>
      <c r="J99" s="4815">
        <v>30</v>
      </c>
      <c r="K99" s="4815" t="s">
        <v>258</v>
      </c>
      <c r="L99" s="4831"/>
      <c r="M99" s="4828">
        <f t="shared" si="17"/>
        <v>2.6326223624140983</v>
      </c>
      <c r="N99" s="4828">
        <f t="shared" si="18"/>
        <v>2.895884598655508</v>
      </c>
      <c r="O99" s="4827">
        <f t="shared" si="10"/>
        <v>464609.28131136164</v>
      </c>
      <c r="P99" s="4827">
        <f t="shared" si="11"/>
        <v>464609.28131136164</v>
      </c>
      <c r="Q99" s="4827">
        <f>IF(K99=0, 0, (HLOOKUP(K99,'[5]E-CESTDWO'!$A$5:$O$35,J99+1,FALSE)*R49))</f>
        <v>1223140.7837654334</v>
      </c>
      <c r="R99" s="4827">
        <f>IF(K99=0, 0, (HLOOKUP(K99,'[5]E-CESTD'!$A$5:$O$35,J99+1,FALSE)*R49))</f>
        <v>1345454.8621419766</v>
      </c>
      <c r="S99" s="4826">
        <v>1.081</v>
      </c>
      <c r="T99" s="4840">
        <f t="shared" si="12"/>
        <v>0</v>
      </c>
      <c r="U99" s="4150">
        <f t="shared" si="13"/>
        <v>446797.19999999995</v>
      </c>
      <c r="V99" s="4150">
        <f t="shared" si="19"/>
        <v>446797.19999999995</v>
      </c>
    </row>
    <row r="100" spans="2:22">
      <c r="B100" s="282"/>
      <c r="C100" s="4823" t="s">
        <v>1275</v>
      </c>
      <c r="D100" s="4806">
        <v>3.43</v>
      </c>
      <c r="E100" s="4777" t="s">
        <v>181</v>
      </c>
      <c r="F100" s="4779" t="s">
        <v>257</v>
      </c>
      <c r="G100" s="4825">
        <v>1.68</v>
      </c>
      <c r="H100" s="4825">
        <v>1.68</v>
      </c>
      <c r="I100" s="4842">
        <f t="shared" si="20"/>
        <v>0</v>
      </c>
      <c r="J100" s="4815">
        <v>30</v>
      </c>
      <c r="K100" s="4815" t="s">
        <v>258</v>
      </c>
      <c r="L100" s="4831"/>
      <c r="M100" s="4828" t="e">
        <f t="shared" si="17"/>
        <v>#DIV/0!</v>
      </c>
      <c r="N100" s="4828" t="e">
        <f t="shared" si="18"/>
        <v>#DIV/0!</v>
      </c>
      <c r="O100" s="4827">
        <f t="shared" si="10"/>
        <v>0</v>
      </c>
      <c r="P100" s="4827">
        <f t="shared" si="11"/>
        <v>0</v>
      </c>
      <c r="Q100" s="4827">
        <f>IF(K100=0, 0, (HLOOKUP(K100,'[5]E-CESTDWO'!$A$5:$O$35,J100+1,FALSE)*R50))</f>
        <v>0</v>
      </c>
      <c r="R100" s="4827">
        <f>IF(K100=0, 0, (HLOOKUP(K100,'[5]E-CESTD'!$A$5:$O$35,J100+1,FALSE)*R50))</f>
        <v>0</v>
      </c>
      <c r="S100" s="4826">
        <v>1.081</v>
      </c>
      <c r="T100" s="4840">
        <f t="shared" si="12"/>
        <v>0</v>
      </c>
      <c r="U100" s="4150">
        <f t="shared" si="13"/>
        <v>0</v>
      </c>
      <c r="V100" s="4150">
        <f t="shared" si="19"/>
        <v>0</v>
      </c>
    </row>
    <row r="101" spans="2:22">
      <c r="B101" s="282"/>
      <c r="C101" s="4823" t="s">
        <v>1276</v>
      </c>
      <c r="D101" s="4806">
        <v>2.98</v>
      </c>
      <c r="E101" s="4777" t="s">
        <v>181</v>
      </c>
      <c r="F101" s="4779" t="s">
        <v>257</v>
      </c>
      <c r="G101" s="4825">
        <v>4.42</v>
      </c>
      <c r="H101" s="4825">
        <v>4.42</v>
      </c>
      <c r="I101" s="4842">
        <f t="shared" si="20"/>
        <v>0</v>
      </c>
      <c r="J101" s="4815">
        <v>30</v>
      </c>
      <c r="K101" s="4815" t="s">
        <v>258</v>
      </c>
      <c r="L101" s="4831"/>
      <c r="M101" s="4828" t="e">
        <f t="shared" si="17"/>
        <v>#DIV/0!</v>
      </c>
      <c r="N101" s="4828" t="e">
        <f t="shared" si="18"/>
        <v>#DIV/0!</v>
      </c>
      <c r="O101" s="4827">
        <f t="shared" si="10"/>
        <v>0</v>
      </c>
      <c r="P101" s="4827">
        <f t="shared" si="11"/>
        <v>0</v>
      </c>
      <c r="Q101" s="4827">
        <f>IF(K101=0, 0, (HLOOKUP(K101,'[5]E-CESTDWO'!$A$5:$O$35,J101+1,FALSE)*R51))</f>
        <v>0</v>
      </c>
      <c r="R101" s="4827">
        <f>IF(K101=0, 0, (HLOOKUP(K101,'[5]E-CESTD'!$A$5:$O$35,J101+1,FALSE)*R51))</f>
        <v>0</v>
      </c>
      <c r="S101" s="4826">
        <v>1.081</v>
      </c>
      <c r="T101" s="4840">
        <f t="shared" si="12"/>
        <v>0</v>
      </c>
      <c r="U101" s="4150">
        <f t="shared" si="13"/>
        <v>0</v>
      </c>
      <c r="V101" s="4150">
        <f t="shared" si="19"/>
        <v>0</v>
      </c>
    </row>
    <row r="102" spans="2:22">
      <c r="B102" s="282"/>
      <c r="C102" s="4823" t="s">
        <v>1277</v>
      </c>
      <c r="D102" s="4806">
        <v>2.13</v>
      </c>
      <c r="E102" s="4777" t="s">
        <v>181</v>
      </c>
      <c r="F102" s="4779" t="s">
        <v>257</v>
      </c>
      <c r="G102" s="4825">
        <v>4.42</v>
      </c>
      <c r="H102" s="4825">
        <v>4.42</v>
      </c>
      <c r="I102" s="4842">
        <f t="shared" si="20"/>
        <v>0</v>
      </c>
      <c r="J102" s="4815">
        <v>30</v>
      </c>
      <c r="K102" s="4815" t="s">
        <v>258</v>
      </c>
      <c r="L102" s="4831"/>
      <c r="M102" s="4828" t="e">
        <f t="shared" si="17"/>
        <v>#DIV/0!</v>
      </c>
      <c r="N102" s="4828" t="e">
        <f t="shared" si="18"/>
        <v>#DIV/0!</v>
      </c>
      <c r="O102" s="4827">
        <f t="shared" si="10"/>
        <v>0</v>
      </c>
      <c r="P102" s="4827">
        <f t="shared" si="11"/>
        <v>0</v>
      </c>
      <c r="Q102" s="4827">
        <f>IF(K102=0, 0, (HLOOKUP(K102,'[5]E-CESTDWO'!$A$5:$O$35,J102+1,FALSE)*R52))</f>
        <v>0</v>
      </c>
      <c r="R102" s="4827">
        <f>IF(K102=0, 0, (HLOOKUP(K102,'[5]E-CESTD'!$A$5:$O$35,J102+1,FALSE)*R52))</f>
        <v>0</v>
      </c>
      <c r="S102" s="4826">
        <v>1.081</v>
      </c>
      <c r="T102" s="4840">
        <f t="shared" si="12"/>
        <v>0</v>
      </c>
      <c r="U102" s="4150">
        <f t="shared" si="13"/>
        <v>0</v>
      </c>
      <c r="V102" s="4150">
        <f t="shared" si="19"/>
        <v>0</v>
      </c>
    </row>
    <row r="103" spans="2:22">
      <c r="B103" s="282"/>
      <c r="C103" s="4823" t="s">
        <v>1278</v>
      </c>
      <c r="D103" s="4806">
        <v>3.06</v>
      </c>
      <c r="E103" s="4777" t="s">
        <v>181</v>
      </c>
      <c r="F103" s="4779" t="s">
        <v>257</v>
      </c>
      <c r="G103" s="4825">
        <v>3.06</v>
      </c>
      <c r="H103" s="4825">
        <v>3.06</v>
      </c>
      <c r="I103" s="4842">
        <f t="shared" si="20"/>
        <v>0</v>
      </c>
      <c r="J103" s="4815">
        <v>30</v>
      </c>
      <c r="K103" s="4815" t="s">
        <v>258</v>
      </c>
      <c r="L103" s="4831"/>
      <c r="M103" s="4828" t="e">
        <f t="shared" si="17"/>
        <v>#DIV/0!</v>
      </c>
      <c r="N103" s="4828" t="e">
        <f t="shared" si="18"/>
        <v>#DIV/0!</v>
      </c>
      <c r="O103" s="4827">
        <f t="shared" si="10"/>
        <v>0</v>
      </c>
      <c r="P103" s="4827">
        <f t="shared" si="11"/>
        <v>0</v>
      </c>
      <c r="Q103" s="4827">
        <f>IF(K103=0, 0, (HLOOKUP(K103,'[5]E-CESTDWO'!$A$5:$O$35,J103+1,FALSE)*R53))</f>
        <v>0</v>
      </c>
      <c r="R103" s="4827">
        <f>IF(K103=0, 0, (HLOOKUP(K103,'[5]E-CESTD'!$A$5:$O$35,J103+1,FALSE)*R53))</f>
        <v>0</v>
      </c>
      <c r="S103" s="4826">
        <v>1.081</v>
      </c>
      <c r="T103" s="4840">
        <f t="shared" si="12"/>
        <v>0</v>
      </c>
      <c r="U103" s="4150">
        <f t="shared" si="13"/>
        <v>0</v>
      </c>
      <c r="V103" s="4150">
        <f t="shared" si="19"/>
        <v>0</v>
      </c>
    </row>
    <row r="104" spans="2:22">
      <c r="B104" s="282"/>
      <c r="C104" s="4823" t="s">
        <v>1279</v>
      </c>
      <c r="D104" s="4806">
        <v>2.4300000000000002</v>
      </c>
      <c r="E104" s="4777" t="s">
        <v>181</v>
      </c>
      <c r="F104" s="4779" t="s">
        <v>257</v>
      </c>
      <c r="G104" s="4825">
        <v>4.42</v>
      </c>
      <c r="H104" s="4825">
        <v>4.42</v>
      </c>
      <c r="I104" s="4842">
        <f t="shared" si="20"/>
        <v>0</v>
      </c>
      <c r="J104" s="4815">
        <v>30</v>
      </c>
      <c r="K104" s="4815" t="s">
        <v>258</v>
      </c>
      <c r="L104" s="4831"/>
      <c r="M104" s="4828" t="e">
        <f t="shared" si="17"/>
        <v>#DIV/0!</v>
      </c>
      <c r="N104" s="4828" t="e">
        <f t="shared" si="18"/>
        <v>#DIV/0!</v>
      </c>
      <c r="O104" s="4827">
        <f t="shared" si="10"/>
        <v>0</v>
      </c>
      <c r="P104" s="4827">
        <f t="shared" si="11"/>
        <v>0</v>
      </c>
      <c r="Q104" s="4827">
        <f>IF(K104=0, 0, (HLOOKUP(K104,'[5]E-CESTDWO'!$A$5:$O$35,J104+1,FALSE)*R54))</f>
        <v>0</v>
      </c>
      <c r="R104" s="4827">
        <f>IF(K104=0, 0, (HLOOKUP(K104,'[5]E-CESTD'!$A$5:$O$35,J104+1,FALSE)*R54))</f>
        <v>0</v>
      </c>
      <c r="S104" s="4826">
        <v>1.081</v>
      </c>
      <c r="T104" s="4840">
        <f t="shared" si="12"/>
        <v>0</v>
      </c>
      <c r="U104" s="4150">
        <f t="shared" si="13"/>
        <v>0</v>
      </c>
      <c r="V104" s="4150">
        <f t="shared" si="19"/>
        <v>0</v>
      </c>
    </row>
    <row r="105" spans="2:22">
      <c r="C105" s="4823" t="s">
        <v>1280</v>
      </c>
      <c r="D105" s="4806">
        <v>2.76</v>
      </c>
      <c r="E105" s="4777" t="s">
        <v>181</v>
      </c>
      <c r="F105" s="4779" t="s">
        <v>257</v>
      </c>
      <c r="G105" s="4825">
        <v>3.06</v>
      </c>
      <c r="H105" s="4825">
        <v>3.06</v>
      </c>
      <c r="I105" s="4842">
        <f t="shared" si="20"/>
        <v>0</v>
      </c>
      <c r="J105" s="4815">
        <v>30</v>
      </c>
      <c r="K105" s="4815" t="s">
        <v>258</v>
      </c>
      <c r="L105" s="4831"/>
      <c r="M105" s="4828" t="e">
        <f t="shared" ref="M105:M110" si="21">Q105/O105</f>
        <v>#DIV/0!</v>
      </c>
      <c r="N105" s="4828" t="e">
        <f t="shared" ref="N105:N110" si="22">((L105/S105)+R105)/P105</f>
        <v>#DIV/0!</v>
      </c>
      <c r="O105" s="4827">
        <f t="shared" si="10"/>
        <v>0</v>
      </c>
      <c r="P105" s="4827">
        <f t="shared" si="11"/>
        <v>0</v>
      </c>
      <c r="Q105" s="4827">
        <f>IF(K105=0, 0, (HLOOKUP(K105,'[5]E-CESTDWO'!$A$5:$O$35,J105+1,FALSE)*R55))</f>
        <v>0</v>
      </c>
      <c r="R105" s="4827">
        <f>IF(K105=0, 0, (HLOOKUP(K105,'[5]E-CESTD'!$A$5:$O$35,J105+1,FALSE)*R55))</f>
        <v>0</v>
      </c>
      <c r="S105" s="4826">
        <v>1.081</v>
      </c>
      <c r="T105" s="4840">
        <f t="shared" si="12"/>
        <v>0</v>
      </c>
      <c r="U105" s="4150">
        <f t="shared" si="13"/>
        <v>0</v>
      </c>
      <c r="V105" s="4150">
        <f t="shared" si="19"/>
        <v>0</v>
      </c>
    </row>
    <row r="106" spans="2:22">
      <c r="C106" s="4823" t="s">
        <v>1281</v>
      </c>
      <c r="D106" s="4806">
        <v>2.4900000000000002</v>
      </c>
      <c r="E106" s="4777" t="s">
        <v>181</v>
      </c>
      <c r="F106" s="4779" t="s">
        <v>257</v>
      </c>
      <c r="G106" s="4825">
        <v>3.52</v>
      </c>
      <c r="H106" s="4825">
        <v>3.52</v>
      </c>
      <c r="I106" s="4842">
        <f t="shared" si="20"/>
        <v>0</v>
      </c>
      <c r="J106" s="4815">
        <v>30</v>
      </c>
      <c r="K106" s="4815" t="s">
        <v>258</v>
      </c>
      <c r="L106" s="4831"/>
      <c r="M106" s="4828" t="e">
        <f t="shared" si="21"/>
        <v>#DIV/0!</v>
      </c>
      <c r="N106" s="4828" t="e">
        <f t="shared" si="22"/>
        <v>#DIV/0!</v>
      </c>
      <c r="O106" s="4827">
        <f t="shared" si="10"/>
        <v>0</v>
      </c>
      <c r="P106" s="4827">
        <f t="shared" si="11"/>
        <v>0</v>
      </c>
      <c r="Q106" s="4827">
        <f>IF(K106=0, 0, (HLOOKUP(K106,'[5]E-CESTDWO'!$A$5:$O$35,J106+1,FALSE)*R56))</f>
        <v>0</v>
      </c>
      <c r="R106" s="4827">
        <f>IF(K106=0, 0, (HLOOKUP(K106,'[5]E-CESTD'!$A$5:$O$35,J106+1,FALSE)*R56))</f>
        <v>0</v>
      </c>
      <c r="S106" s="4826">
        <v>1.081</v>
      </c>
      <c r="T106" s="4840">
        <f t="shared" si="12"/>
        <v>0</v>
      </c>
      <c r="U106" s="4150">
        <f t="shared" si="13"/>
        <v>0</v>
      </c>
      <c r="V106" s="4150">
        <f t="shared" si="19"/>
        <v>0</v>
      </c>
    </row>
    <row r="107" spans="2:22">
      <c r="C107" s="4782" t="s">
        <v>1282</v>
      </c>
      <c r="D107" s="4805">
        <v>25</v>
      </c>
      <c r="E107" s="4804" t="s">
        <v>181</v>
      </c>
      <c r="F107" s="4803" t="s">
        <v>186</v>
      </c>
      <c r="G107" s="4802">
        <v>14</v>
      </c>
      <c r="H107" s="4802">
        <v>14</v>
      </c>
      <c r="I107" s="4851">
        <f t="shared" si="20"/>
        <v>1.4928087550821108E-3</v>
      </c>
      <c r="J107" s="4803">
        <v>30</v>
      </c>
      <c r="K107" s="4803" t="s">
        <v>233</v>
      </c>
      <c r="L107" s="4801"/>
      <c r="M107" s="4800">
        <f t="shared" si="21"/>
        <v>2.2450778279389074</v>
      </c>
      <c r="N107" s="4800">
        <f t="shared" si="22"/>
        <v>2.4695856107327971</v>
      </c>
      <c r="O107" s="4799">
        <f t="shared" si="10"/>
        <v>14993.36772588341</v>
      </c>
      <c r="P107" s="4799">
        <f t="shared" si="11"/>
        <v>14993.36772588341</v>
      </c>
      <c r="Q107" s="4799">
        <f>IF(K107=0, 0, (HLOOKUP(K107,'[5]E-CESTDWO'!$A$5:$O$35,J107+1,FALSE)*R57))</f>
        <v>33661.27744751564</v>
      </c>
      <c r="R107" s="4799">
        <f>IF(K107=0, 0, (HLOOKUP(K107,'[5]E-CESTD'!$A$5:$O$35,J107+1,FALSE)*R57))</f>
        <v>37027.405192267193</v>
      </c>
      <c r="S107" s="4826">
        <v>1.081</v>
      </c>
      <c r="T107" s="4852">
        <f t="shared" si="12"/>
        <v>0</v>
      </c>
      <c r="U107" s="4571">
        <f t="shared" si="13"/>
        <v>14000</v>
      </c>
      <c r="V107" s="4150">
        <f t="shared" si="19"/>
        <v>14000</v>
      </c>
    </row>
    <row r="108" spans="2:22" ht="13.5" thickBot="1">
      <c r="C108" s="4739"/>
      <c r="D108" s="4781"/>
      <c r="E108" s="4780"/>
      <c r="F108" s="4779"/>
      <c r="G108" s="4778"/>
      <c r="H108" s="4778"/>
      <c r="I108" s="4849"/>
      <c r="J108" s="4779"/>
      <c r="K108" s="4777"/>
      <c r="L108" s="4777"/>
      <c r="M108" s="4776" t="e">
        <f t="shared" si="21"/>
        <v>#DIV/0!</v>
      </c>
      <c r="N108" s="4776" t="e">
        <f t="shared" si="22"/>
        <v>#DIV/0!</v>
      </c>
      <c r="O108" s="4798">
        <f t="shared" si="10"/>
        <v>0</v>
      </c>
      <c r="P108" s="4798">
        <f t="shared" si="11"/>
        <v>0</v>
      </c>
      <c r="Q108" s="4798">
        <f>IF(K108=0, 0, (HLOOKUP(K108,'[5]E-CESTDWO'!$A$5:$O$35,J108+1,FALSE)*R58))</f>
        <v>0</v>
      </c>
      <c r="R108" s="4798">
        <f>IF(K108=0, 0, (HLOOKUP(K108,'[5]E-CESTD'!$A$5:$O$35,J108+1,FALSE)*R58))</f>
        <v>0</v>
      </c>
      <c r="S108" s="4826">
        <v>1.081</v>
      </c>
      <c r="T108" s="4850">
        <f t="shared" si="12"/>
        <v>0</v>
      </c>
      <c r="U108" s="4572">
        <f t="shared" si="13"/>
        <v>0</v>
      </c>
      <c r="V108" s="4150">
        <f t="shared" si="19"/>
        <v>0</v>
      </c>
    </row>
    <row r="109" spans="2:22" s="4739" customFormat="1" ht="13.5" hidden="1" thickBot="1">
      <c r="C109" s="4797"/>
      <c r="D109" s="4796"/>
      <c r="E109" s="4797"/>
      <c r="F109" s="4797"/>
      <c r="G109" s="4795">
        <f>SUMPRODUCT(G63:G108,O13:O58)</f>
        <v>8519894.9800000004</v>
      </c>
      <c r="H109" s="4794">
        <f>V109</f>
        <v>0</v>
      </c>
      <c r="I109" s="4793">
        <f>SUM(I63:I108)</f>
        <v>1.0000000000000002</v>
      </c>
      <c r="J109" s="4792">
        <f>ROUND(SUMPRODUCT(J63:J108,R13:R58)/R59,0)</f>
        <v>17</v>
      </c>
      <c r="K109" s="4797"/>
      <c r="L109" s="4797"/>
      <c r="M109" s="4776">
        <f t="shared" si="21"/>
        <v>2.9954458218792559</v>
      </c>
      <c r="N109" s="4776">
        <f t="shared" si="22"/>
        <v>2.2612184543600389</v>
      </c>
      <c r="O109" s="4795">
        <f>SUM(O63:O108)</f>
        <v>6347660.6542553194</v>
      </c>
      <c r="P109" s="4795">
        <f>SUM(P63:P108)</f>
        <v>9249650.7375115622</v>
      </c>
      <c r="Q109" s="4795">
        <f>SUM(Q63:Q108)</f>
        <v>19014073.585496441</v>
      </c>
      <c r="R109" s="4795">
        <f>SUM(R63:R108)</f>
        <v>20915480.944046088</v>
      </c>
      <c r="S109" s="4791">
        <v>1.081</v>
      </c>
      <c r="T109" s="4790">
        <f>SUM(T63:T108)</f>
        <v>0</v>
      </c>
      <c r="U109" s="4775"/>
      <c r="V109" s="4775"/>
    </row>
    <row r="110" spans="2:22" ht="13.5" thickBot="1">
      <c r="C110" s="4543"/>
      <c r="D110" s="4544"/>
      <c r="E110" s="4543"/>
      <c r="F110" s="4543"/>
      <c r="G110" s="4545">
        <f>SUMPRODUCT(G63:G108,O13:O58)</f>
        <v>8519894.9800000004</v>
      </c>
      <c r="H110" s="4546">
        <f>V114</f>
        <v>0</v>
      </c>
      <c r="I110" s="4547">
        <f>SUM(I63:I108)</f>
        <v>1.0000000000000002</v>
      </c>
      <c r="J110" s="4548">
        <f>ROUND(SUMPRODUCT(J63:J108,R13:R58)/R59,0)</f>
        <v>17</v>
      </c>
      <c r="K110" s="4543"/>
      <c r="L110" s="4543"/>
      <c r="M110" s="4551">
        <f t="shared" si="21"/>
        <v>2.9954458218792559</v>
      </c>
      <c r="N110" s="4573">
        <f t="shared" si="22"/>
        <v>2.2612184543600389</v>
      </c>
      <c r="O110" s="4545">
        <f>SUM(O63:O108)</f>
        <v>6347660.6542553194</v>
      </c>
      <c r="P110" s="4545">
        <f>SUM(P63:P108)</f>
        <v>9249650.7375115622</v>
      </c>
      <c r="Q110" s="4545">
        <f>SUM(Q63:Q108)</f>
        <v>19014073.585496441</v>
      </c>
      <c r="R110" s="4545">
        <f>SUM(R63:R108)</f>
        <v>20915480.944046088</v>
      </c>
      <c r="S110" s="293">
        <v>1.081</v>
      </c>
      <c r="T110" s="294">
        <f>SUM(T63:T108)</f>
        <v>0</v>
      </c>
      <c r="U110" s="294">
        <f>SUM(U63:U108)</f>
        <v>5382843.7000000002</v>
      </c>
      <c r="V110" s="294">
        <f>SUM(V63:V108)</f>
        <v>5382843.7000000002</v>
      </c>
    </row>
  </sheetData>
  <sheetProtection password="9E1F" sheet="1" objects="1" scenarios="1"/>
  <customSheetViews>
    <customSheetView guid="{074EB09C-6289-46D7-9513-012B68BCA7BF}" fitToPage="1" hiddenRows="1">
      <pane xSplit="1" ySplit="1" topLeftCell="B2" activePane="bottomRight" state="frozen"/>
      <selection pane="bottomRight" activeCell="C26" sqref="C26"/>
      <pageMargins left="0.23" right="0.17" top="0.4" bottom="0.33" header="0.3" footer="0.3"/>
      <pageSetup paperSize="17" scale="50"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2"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3" right="0.17" top="0.4" bottom="0.33" header="0.3" footer="0.3"/>
  <pageSetup paperSize="17" scale="50" orientation="landscape" r:id="rId2"/>
  <drawing r:id="rId3"/>
</worksheet>
</file>

<file path=xl/worksheets/sheet23.xml><?xml version="1.0" encoding="utf-8"?>
<worksheet xmlns="http://schemas.openxmlformats.org/spreadsheetml/2006/main" xmlns:r="http://schemas.openxmlformats.org/officeDocument/2006/relationships">
  <sheetPr enableFormatConditionsCalculation="0">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6" style="3064" customWidth="1"/>
    <col min="2" max="2" width="19.140625" customWidth="1"/>
    <col min="3" max="3" width="37.42578125" customWidth="1"/>
    <col min="4" max="4" width="15.42578125" style="19" customWidth="1"/>
    <col min="5" max="5" width="15.42578125" customWidth="1"/>
    <col min="6" max="6" width="16.140625" customWidth="1"/>
    <col min="7" max="7" width="13.42578125" customWidth="1"/>
    <col min="8" max="8" width="15.42578125" bestFit="1" customWidth="1"/>
    <col min="9" max="9" width="14.28515625" bestFit="1" customWidth="1"/>
    <col min="10" max="10" width="15.28515625" customWidth="1"/>
    <col min="11" max="11" width="15.85546875" customWidth="1"/>
    <col min="12" max="12" width="17.140625" bestFit="1" customWidth="1"/>
    <col min="13" max="13" width="12.7109375" customWidth="1"/>
    <col min="14" max="14" width="13.7109375" customWidth="1"/>
    <col min="15" max="15" width="17" bestFit="1" customWidth="1"/>
    <col min="16" max="16" width="16.28515625" bestFit="1" customWidth="1"/>
    <col min="17" max="17" width="16.140625" customWidth="1"/>
    <col min="18" max="18" width="17.7109375" bestFit="1" customWidth="1"/>
    <col min="19" max="19" width="16.28515625" bestFit="1" customWidth="1"/>
    <col min="20" max="20" width="15.42578125" bestFit="1" customWidth="1"/>
    <col min="21" max="21" width="22.5703125"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85546875" bestFit="1" customWidth="1"/>
    <col min="261" max="261" width="16.28515625" bestFit="1" customWidth="1"/>
    <col min="262" max="262" width="20" bestFit="1" customWidth="1"/>
    <col min="263" max="263" width="13.42578125" customWidth="1"/>
    <col min="264" max="264" width="15.42578125" bestFit="1" customWidth="1"/>
    <col min="265" max="265" width="14.28515625" bestFit="1" customWidth="1"/>
    <col min="266" max="266" width="15.28515625" customWidth="1"/>
    <col min="267" max="267" width="15.85546875" customWidth="1"/>
    <col min="268" max="268" width="17.140625" bestFit="1" customWidth="1"/>
    <col min="269" max="269" width="12.7109375" customWidth="1"/>
    <col min="270" max="270" width="13.7109375" customWidth="1"/>
    <col min="271" max="271" width="17" bestFit="1" customWidth="1"/>
    <col min="272" max="272" width="16.28515625" bestFit="1" customWidth="1"/>
    <col min="273" max="273" width="16.140625" customWidth="1"/>
    <col min="274" max="274" width="17.7109375" bestFit="1" customWidth="1"/>
    <col min="275" max="275" width="16.28515625" bestFit="1" customWidth="1"/>
    <col min="276"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85546875" bestFit="1" customWidth="1"/>
    <col min="517" max="517" width="16.28515625" bestFit="1" customWidth="1"/>
    <col min="518" max="518" width="20" bestFit="1" customWidth="1"/>
    <col min="519" max="519" width="13.42578125" customWidth="1"/>
    <col min="520" max="520" width="15.42578125" bestFit="1" customWidth="1"/>
    <col min="521" max="521" width="14.28515625" bestFit="1" customWidth="1"/>
    <col min="522" max="522" width="15.28515625" customWidth="1"/>
    <col min="523" max="523" width="15.85546875" customWidth="1"/>
    <col min="524" max="524" width="17.140625" bestFit="1" customWidth="1"/>
    <col min="525" max="525" width="12.7109375" customWidth="1"/>
    <col min="526" max="526" width="13.7109375" customWidth="1"/>
    <col min="527" max="527" width="17" bestFit="1" customWidth="1"/>
    <col min="528" max="528" width="16.28515625" bestFit="1" customWidth="1"/>
    <col min="529" max="529" width="16.140625" customWidth="1"/>
    <col min="530" max="530" width="17.7109375" bestFit="1" customWidth="1"/>
    <col min="531" max="531" width="16.28515625" bestFit="1" customWidth="1"/>
    <col min="532"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85546875" bestFit="1" customWidth="1"/>
    <col min="773" max="773" width="16.28515625" bestFit="1" customWidth="1"/>
    <col min="774" max="774" width="20" bestFit="1" customWidth="1"/>
    <col min="775" max="775" width="13.42578125" customWidth="1"/>
    <col min="776" max="776" width="15.42578125" bestFit="1" customWidth="1"/>
    <col min="777" max="777" width="14.28515625" bestFit="1" customWidth="1"/>
    <col min="778" max="778" width="15.28515625" customWidth="1"/>
    <col min="779" max="779" width="15.85546875" customWidth="1"/>
    <col min="780" max="780" width="17.140625" bestFit="1" customWidth="1"/>
    <col min="781" max="781" width="12.7109375" customWidth="1"/>
    <col min="782" max="782" width="13.7109375" customWidth="1"/>
    <col min="783" max="783" width="17" bestFit="1" customWidth="1"/>
    <col min="784" max="784" width="16.28515625" bestFit="1" customWidth="1"/>
    <col min="785" max="785" width="16.140625" customWidth="1"/>
    <col min="786" max="786" width="17.7109375" bestFit="1" customWidth="1"/>
    <col min="787" max="787" width="16.28515625" bestFit="1" customWidth="1"/>
    <col min="788"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85546875" bestFit="1" customWidth="1"/>
    <col min="1029" max="1029" width="16.28515625" bestFit="1" customWidth="1"/>
    <col min="1030" max="1030" width="20" bestFit="1" customWidth="1"/>
    <col min="1031" max="1031" width="13.42578125" customWidth="1"/>
    <col min="1032" max="1032" width="15.42578125" bestFit="1" customWidth="1"/>
    <col min="1033" max="1033" width="14.28515625" bestFit="1" customWidth="1"/>
    <col min="1034" max="1034" width="15.28515625" customWidth="1"/>
    <col min="1035" max="1035" width="15.85546875" customWidth="1"/>
    <col min="1036" max="1036" width="17.140625" bestFit="1" customWidth="1"/>
    <col min="1037" max="1037" width="12.7109375" customWidth="1"/>
    <col min="1038" max="1038" width="13.7109375" customWidth="1"/>
    <col min="1039" max="1039" width="17" bestFit="1" customWidth="1"/>
    <col min="1040" max="1040" width="16.28515625" bestFit="1" customWidth="1"/>
    <col min="1041" max="1041" width="16.140625" customWidth="1"/>
    <col min="1042" max="1042" width="17.7109375" bestFit="1" customWidth="1"/>
    <col min="1043" max="1043" width="16.28515625" bestFit="1" customWidth="1"/>
    <col min="1044"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85546875" bestFit="1" customWidth="1"/>
    <col min="1285" max="1285" width="16.28515625" bestFit="1" customWidth="1"/>
    <col min="1286" max="1286" width="20" bestFit="1" customWidth="1"/>
    <col min="1287" max="1287" width="13.42578125" customWidth="1"/>
    <col min="1288" max="1288" width="15.42578125" bestFit="1" customWidth="1"/>
    <col min="1289" max="1289" width="14.28515625" bestFit="1" customWidth="1"/>
    <col min="1290" max="1290" width="15.28515625" customWidth="1"/>
    <col min="1291" max="1291" width="15.85546875" customWidth="1"/>
    <col min="1292" max="1292" width="17.140625" bestFit="1" customWidth="1"/>
    <col min="1293" max="1293" width="12.7109375" customWidth="1"/>
    <col min="1294" max="1294" width="13.7109375" customWidth="1"/>
    <col min="1295" max="1295" width="17" bestFit="1" customWidth="1"/>
    <col min="1296" max="1296" width="16.28515625" bestFit="1" customWidth="1"/>
    <col min="1297" max="1297" width="16.140625" customWidth="1"/>
    <col min="1298" max="1298" width="17.7109375" bestFit="1" customWidth="1"/>
    <col min="1299" max="1299" width="16.28515625" bestFit="1" customWidth="1"/>
    <col min="1300"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85546875" bestFit="1" customWidth="1"/>
    <col min="1541" max="1541" width="16.28515625" bestFit="1" customWidth="1"/>
    <col min="1542" max="1542" width="20" bestFit="1" customWidth="1"/>
    <col min="1543" max="1543" width="13.42578125" customWidth="1"/>
    <col min="1544" max="1544" width="15.42578125" bestFit="1" customWidth="1"/>
    <col min="1545" max="1545" width="14.28515625" bestFit="1" customWidth="1"/>
    <col min="1546" max="1546" width="15.28515625" customWidth="1"/>
    <col min="1547" max="1547" width="15.85546875" customWidth="1"/>
    <col min="1548" max="1548" width="17.140625" bestFit="1" customWidth="1"/>
    <col min="1549" max="1549" width="12.7109375" customWidth="1"/>
    <col min="1550" max="1550" width="13.7109375" customWidth="1"/>
    <col min="1551" max="1551" width="17" bestFit="1" customWidth="1"/>
    <col min="1552" max="1552" width="16.28515625" bestFit="1" customWidth="1"/>
    <col min="1553" max="1553" width="16.140625" customWidth="1"/>
    <col min="1554" max="1554" width="17.7109375" bestFit="1" customWidth="1"/>
    <col min="1555" max="1555" width="16.28515625" bestFit="1" customWidth="1"/>
    <col min="1556"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85546875" bestFit="1" customWidth="1"/>
    <col min="1797" max="1797" width="16.28515625" bestFit="1" customWidth="1"/>
    <col min="1798" max="1798" width="20" bestFit="1" customWidth="1"/>
    <col min="1799" max="1799" width="13.42578125" customWidth="1"/>
    <col min="1800" max="1800" width="15.42578125" bestFit="1" customWidth="1"/>
    <col min="1801" max="1801" width="14.28515625" bestFit="1" customWidth="1"/>
    <col min="1802" max="1802" width="15.28515625" customWidth="1"/>
    <col min="1803" max="1803" width="15.85546875" customWidth="1"/>
    <col min="1804" max="1804" width="17.140625" bestFit="1" customWidth="1"/>
    <col min="1805" max="1805" width="12.7109375" customWidth="1"/>
    <col min="1806" max="1806" width="13.7109375" customWidth="1"/>
    <col min="1807" max="1807" width="17" bestFit="1" customWidth="1"/>
    <col min="1808" max="1808" width="16.28515625" bestFit="1" customWidth="1"/>
    <col min="1809" max="1809" width="16.140625" customWidth="1"/>
    <col min="1810" max="1810" width="17.7109375" bestFit="1" customWidth="1"/>
    <col min="1811" max="1811" width="16.28515625" bestFit="1" customWidth="1"/>
    <col min="1812"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85546875" bestFit="1" customWidth="1"/>
    <col min="2053" max="2053" width="16.28515625" bestFit="1" customWidth="1"/>
    <col min="2054" max="2054" width="20" bestFit="1" customWidth="1"/>
    <col min="2055" max="2055" width="13.42578125" customWidth="1"/>
    <col min="2056" max="2056" width="15.42578125" bestFit="1" customWidth="1"/>
    <col min="2057" max="2057" width="14.28515625" bestFit="1" customWidth="1"/>
    <col min="2058" max="2058" width="15.28515625" customWidth="1"/>
    <col min="2059" max="2059" width="15.85546875" customWidth="1"/>
    <col min="2060" max="2060" width="17.140625" bestFit="1" customWidth="1"/>
    <col min="2061" max="2061" width="12.7109375" customWidth="1"/>
    <col min="2062" max="2062" width="13.7109375" customWidth="1"/>
    <col min="2063" max="2063" width="17" bestFit="1" customWidth="1"/>
    <col min="2064" max="2064" width="16.28515625" bestFit="1" customWidth="1"/>
    <col min="2065" max="2065" width="16.140625" customWidth="1"/>
    <col min="2066" max="2066" width="17.7109375" bestFit="1" customWidth="1"/>
    <col min="2067" max="2067" width="16.28515625" bestFit="1" customWidth="1"/>
    <col min="2068"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85546875" bestFit="1" customWidth="1"/>
    <col min="2309" max="2309" width="16.28515625" bestFit="1" customWidth="1"/>
    <col min="2310" max="2310" width="20" bestFit="1" customWidth="1"/>
    <col min="2311" max="2311" width="13.42578125" customWidth="1"/>
    <col min="2312" max="2312" width="15.42578125" bestFit="1" customWidth="1"/>
    <col min="2313" max="2313" width="14.28515625" bestFit="1" customWidth="1"/>
    <col min="2314" max="2314" width="15.28515625" customWidth="1"/>
    <col min="2315" max="2315" width="15.85546875" customWidth="1"/>
    <col min="2316" max="2316" width="17.140625" bestFit="1" customWidth="1"/>
    <col min="2317" max="2317" width="12.7109375" customWidth="1"/>
    <col min="2318" max="2318" width="13.7109375" customWidth="1"/>
    <col min="2319" max="2319" width="17" bestFit="1" customWidth="1"/>
    <col min="2320" max="2320" width="16.28515625" bestFit="1" customWidth="1"/>
    <col min="2321" max="2321" width="16.140625" customWidth="1"/>
    <col min="2322" max="2322" width="17.7109375" bestFit="1" customWidth="1"/>
    <col min="2323" max="2323" width="16.28515625" bestFit="1" customWidth="1"/>
    <col min="2324"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85546875" bestFit="1" customWidth="1"/>
    <col min="2565" max="2565" width="16.28515625" bestFit="1" customWidth="1"/>
    <col min="2566" max="2566" width="20" bestFit="1" customWidth="1"/>
    <col min="2567" max="2567" width="13.42578125" customWidth="1"/>
    <col min="2568" max="2568" width="15.42578125" bestFit="1" customWidth="1"/>
    <col min="2569" max="2569" width="14.28515625" bestFit="1" customWidth="1"/>
    <col min="2570" max="2570" width="15.28515625" customWidth="1"/>
    <col min="2571" max="2571" width="15.85546875" customWidth="1"/>
    <col min="2572" max="2572" width="17.140625" bestFit="1" customWidth="1"/>
    <col min="2573" max="2573" width="12.7109375" customWidth="1"/>
    <col min="2574" max="2574" width="13.7109375" customWidth="1"/>
    <col min="2575" max="2575" width="17" bestFit="1" customWidth="1"/>
    <col min="2576" max="2576" width="16.28515625" bestFit="1" customWidth="1"/>
    <col min="2577" max="2577" width="16.140625" customWidth="1"/>
    <col min="2578" max="2578" width="17.7109375" bestFit="1" customWidth="1"/>
    <col min="2579" max="2579" width="16.28515625" bestFit="1" customWidth="1"/>
    <col min="2580"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85546875" bestFit="1" customWidth="1"/>
    <col min="2821" max="2821" width="16.28515625" bestFit="1" customWidth="1"/>
    <col min="2822" max="2822" width="20" bestFit="1" customWidth="1"/>
    <col min="2823" max="2823" width="13.42578125" customWidth="1"/>
    <col min="2824" max="2824" width="15.42578125" bestFit="1" customWidth="1"/>
    <col min="2825" max="2825" width="14.28515625" bestFit="1" customWidth="1"/>
    <col min="2826" max="2826" width="15.28515625" customWidth="1"/>
    <col min="2827" max="2827" width="15.85546875" customWidth="1"/>
    <col min="2828" max="2828" width="17.140625" bestFit="1" customWidth="1"/>
    <col min="2829" max="2829" width="12.7109375" customWidth="1"/>
    <col min="2830" max="2830" width="13.7109375" customWidth="1"/>
    <col min="2831" max="2831" width="17" bestFit="1" customWidth="1"/>
    <col min="2832" max="2832" width="16.28515625" bestFit="1" customWidth="1"/>
    <col min="2833" max="2833" width="16.140625" customWidth="1"/>
    <col min="2834" max="2834" width="17.7109375" bestFit="1" customWidth="1"/>
    <col min="2835" max="2835" width="16.28515625" bestFit="1" customWidth="1"/>
    <col min="2836"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85546875" bestFit="1" customWidth="1"/>
    <col min="3077" max="3077" width="16.28515625" bestFit="1" customWidth="1"/>
    <col min="3078" max="3078" width="20" bestFit="1" customWidth="1"/>
    <col min="3079" max="3079" width="13.42578125" customWidth="1"/>
    <col min="3080" max="3080" width="15.42578125" bestFit="1" customWidth="1"/>
    <col min="3081" max="3081" width="14.28515625" bestFit="1" customWidth="1"/>
    <col min="3082" max="3082" width="15.28515625" customWidth="1"/>
    <col min="3083" max="3083" width="15.85546875" customWidth="1"/>
    <col min="3084" max="3084" width="17.140625" bestFit="1" customWidth="1"/>
    <col min="3085" max="3085" width="12.7109375" customWidth="1"/>
    <col min="3086" max="3086" width="13.7109375" customWidth="1"/>
    <col min="3087" max="3087" width="17" bestFit="1" customWidth="1"/>
    <col min="3088" max="3088" width="16.28515625" bestFit="1" customWidth="1"/>
    <col min="3089" max="3089" width="16.140625" customWidth="1"/>
    <col min="3090" max="3090" width="17.7109375" bestFit="1" customWidth="1"/>
    <col min="3091" max="3091" width="16.28515625" bestFit="1" customWidth="1"/>
    <col min="3092"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85546875" bestFit="1" customWidth="1"/>
    <col min="3333" max="3333" width="16.28515625" bestFit="1" customWidth="1"/>
    <col min="3334" max="3334" width="20" bestFit="1" customWidth="1"/>
    <col min="3335" max="3335" width="13.42578125" customWidth="1"/>
    <col min="3336" max="3336" width="15.42578125" bestFit="1" customWidth="1"/>
    <col min="3337" max="3337" width="14.28515625" bestFit="1" customWidth="1"/>
    <col min="3338" max="3338" width="15.28515625" customWidth="1"/>
    <col min="3339" max="3339" width="15.85546875" customWidth="1"/>
    <col min="3340" max="3340" width="17.140625" bestFit="1" customWidth="1"/>
    <col min="3341" max="3341" width="12.7109375" customWidth="1"/>
    <col min="3342" max="3342" width="13.7109375" customWidth="1"/>
    <col min="3343" max="3343" width="17" bestFit="1" customWidth="1"/>
    <col min="3344" max="3344" width="16.28515625" bestFit="1" customWidth="1"/>
    <col min="3345" max="3345" width="16.140625" customWidth="1"/>
    <col min="3346" max="3346" width="17.7109375" bestFit="1" customWidth="1"/>
    <col min="3347" max="3347" width="16.28515625" bestFit="1" customWidth="1"/>
    <col min="3348"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85546875" bestFit="1" customWidth="1"/>
    <col min="3589" max="3589" width="16.28515625" bestFit="1" customWidth="1"/>
    <col min="3590" max="3590" width="20" bestFit="1" customWidth="1"/>
    <col min="3591" max="3591" width="13.42578125" customWidth="1"/>
    <col min="3592" max="3592" width="15.42578125" bestFit="1" customWidth="1"/>
    <col min="3593" max="3593" width="14.28515625" bestFit="1" customWidth="1"/>
    <col min="3594" max="3594" width="15.28515625" customWidth="1"/>
    <col min="3595" max="3595" width="15.85546875" customWidth="1"/>
    <col min="3596" max="3596" width="17.140625" bestFit="1" customWidth="1"/>
    <col min="3597" max="3597" width="12.7109375" customWidth="1"/>
    <col min="3598" max="3598" width="13.7109375" customWidth="1"/>
    <col min="3599" max="3599" width="17" bestFit="1" customWidth="1"/>
    <col min="3600" max="3600" width="16.28515625" bestFit="1" customWidth="1"/>
    <col min="3601" max="3601" width="16.140625" customWidth="1"/>
    <col min="3602" max="3602" width="17.7109375" bestFit="1" customWidth="1"/>
    <col min="3603" max="3603" width="16.28515625" bestFit="1" customWidth="1"/>
    <col min="3604"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85546875" bestFit="1" customWidth="1"/>
    <col min="3845" max="3845" width="16.28515625" bestFit="1" customWidth="1"/>
    <col min="3846" max="3846" width="20" bestFit="1" customWidth="1"/>
    <col min="3847" max="3847" width="13.42578125" customWidth="1"/>
    <col min="3848" max="3848" width="15.42578125" bestFit="1" customWidth="1"/>
    <col min="3849" max="3849" width="14.28515625" bestFit="1" customWidth="1"/>
    <col min="3850" max="3850" width="15.28515625" customWidth="1"/>
    <col min="3851" max="3851" width="15.85546875" customWidth="1"/>
    <col min="3852" max="3852" width="17.140625" bestFit="1" customWidth="1"/>
    <col min="3853" max="3853" width="12.7109375" customWidth="1"/>
    <col min="3854" max="3854" width="13.7109375" customWidth="1"/>
    <col min="3855" max="3855" width="17" bestFit="1" customWidth="1"/>
    <col min="3856" max="3856" width="16.28515625" bestFit="1" customWidth="1"/>
    <col min="3857" max="3857" width="16.140625" customWidth="1"/>
    <col min="3858" max="3858" width="17.7109375" bestFit="1" customWidth="1"/>
    <col min="3859" max="3859" width="16.28515625" bestFit="1" customWidth="1"/>
    <col min="3860"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85546875" bestFit="1" customWidth="1"/>
    <col min="4101" max="4101" width="16.28515625" bestFit="1" customWidth="1"/>
    <col min="4102" max="4102" width="20" bestFit="1" customWidth="1"/>
    <col min="4103" max="4103" width="13.42578125" customWidth="1"/>
    <col min="4104" max="4104" width="15.42578125" bestFit="1" customWidth="1"/>
    <col min="4105" max="4105" width="14.28515625" bestFit="1" customWidth="1"/>
    <col min="4106" max="4106" width="15.28515625" customWidth="1"/>
    <col min="4107" max="4107" width="15.85546875" customWidth="1"/>
    <col min="4108" max="4108" width="17.140625" bestFit="1" customWidth="1"/>
    <col min="4109" max="4109" width="12.7109375" customWidth="1"/>
    <col min="4110" max="4110" width="13.7109375" customWidth="1"/>
    <col min="4111" max="4111" width="17" bestFit="1" customWidth="1"/>
    <col min="4112" max="4112" width="16.28515625" bestFit="1" customWidth="1"/>
    <col min="4113" max="4113" width="16.140625" customWidth="1"/>
    <col min="4114" max="4114" width="17.7109375" bestFit="1" customWidth="1"/>
    <col min="4115" max="4115" width="16.28515625" bestFit="1" customWidth="1"/>
    <col min="4116"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85546875" bestFit="1" customWidth="1"/>
    <col min="4357" max="4357" width="16.28515625" bestFit="1" customWidth="1"/>
    <col min="4358" max="4358" width="20" bestFit="1" customWidth="1"/>
    <col min="4359" max="4359" width="13.42578125" customWidth="1"/>
    <col min="4360" max="4360" width="15.42578125" bestFit="1" customWidth="1"/>
    <col min="4361" max="4361" width="14.28515625" bestFit="1" customWidth="1"/>
    <col min="4362" max="4362" width="15.28515625" customWidth="1"/>
    <col min="4363" max="4363" width="15.85546875" customWidth="1"/>
    <col min="4364" max="4364" width="17.140625" bestFit="1" customWidth="1"/>
    <col min="4365" max="4365" width="12.7109375" customWidth="1"/>
    <col min="4366" max="4366" width="13.7109375" customWidth="1"/>
    <col min="4367" max="4367" width="17" bestFit="1" customWidth="1"/>
    <col min="4368" max="4368" width="16.28515625" bestFit="1" customWidth="1"/>
    <col min="4369" max="4369" width="16.140625" customWidth="1"/>
    <col min="4370" max="4370" width="17.7109375" bestFit="1" customWidth="1"/>
    <col min="4371" max="4371" width="16.28515625" bestFit="1" customWidth="1"/>
    <col min="4372"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85546875" bestFit="1" customWidth="1"/>
    <col min="4613" max="4613" width="16.28515625" bestFit="1" customWidth="1"/>
    <col min="4614" max="4614" width="20" bestFit="1" customWidth="1"/>
    <col min="4615" max="4615" width="13.42578125" customWidth="1"/>
    <col min="4616" max="4616" width="15.42578125" bestFit="1" customWidth="1"/>
    <col min="4617" max="4617" width="14.28515625" bestFit="1" customWidth="1"/>
    <col min="4618" max="4618" width="15.28515625" customWidth="1"/>
    <col min="4619" max="4619" width="15.85546875" customWidth="1"/>
    <col min="4620" max="4620" width="17.140625" bestFit="1" customWidth="1"/>
    <col min="4621" max="4621" width="12.7109375" customWidth="1"/>
    <col min="4622" max="4622" width="13.7109375" customWidth="1"/>
    <col min="4623" max="4623" width="17" bestFit="1" customWidth="1"/>
    <col min="4624" max="4624" width="16.28515625" bestFit="1" customWidth="1"/>
    <col min="4625" max="4625" width="16.140625" customWidth="1"/>
    <col min="4626" max="4626" width="17.7109375" bestFit="1" customWidth="1"/>
    <col min="4627" max="4627" width="16.28515625" bestFit="1" customWidth="1"/>
    <col min="4628"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85546875" bestFit="1" customWidth="1"/>
    <col min="4869" max="4869" width="16.28515625" bestFit="1" customWidth="1"/>
    <col min="4870" max="4870" width="20" bestFit="1" customWidth="1"/>
    <col min="4871" max="4871" width="13.42578125" customWidth="1"/>
    <col min="4872" max="4872" width="15.42578125" bestFit="1" customWidth="1"/>
    <col min="4873" max="4873" width="14.28515625" bestFit="1" customWidth="1"/>
    <col min="4874" max="4874" width="15.28515625" customWidth="1"/>
    <col min="4875" max="4875" width="15.85546875" customWidth="1"/>
    <col min="4876" max="4876" width="17.140625" bestFit="1" customWidth="1"/>
    <col min="4877" max="4877" width="12.7109375" customWidth="1"/>
    <col min="4878" max="4878" width="13.7109375" customWidth="1"/>
    <col min="4879" max="4879" width="17" bestFit="1" customWidth="1"/>
    <col min="4880" max="4880" width="16.28515625" bestFit="1" customWidth="1"/>
    <col min="4881" max="4881" width="16.140625" customWidth="1"/>
    <col min="4882" max="4882" width="17.7109375" bestFit="1" customWidth="1"/>
    <col min="4883" max="4883" width="16.28515625" bestFit="1" customWidth="1"/>
    <col min="4884"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85546875" bestFit="1" customWidth="1"/>
    <col min="5125" max="5125" width="16.28515625" bestFit="1" customWidth="1"/>
    <col min="5126" max="5126" width="20" bestFit="1" customWidth="1"/>
    <col min="5127" max="5127" width="13.42578125" customWidth="1"/>
    <col min="5128" max="5128" width="15.42578125" bestFit="1" customWidth="1"/>
    <col min="5129" max="5129" width="14.28515625" bestFit="1" customWidth="1"/>
    <col min="5130" max="5130" width="15.28515625" customWidth="1"/>
    <col min="5131" max="5131" width="15.85546875" customWidth="1"/>
    <col min="5132" max="5132" width="17.140625" bestFit="1" customWidth="1"/>
    <col min="5133" max="5133" width="12.7109375" customWidth="1"/>
    <col min="5134" max="5134" width="13.7109375" customWidth="1"/>
    <col min="5135" max="5135" width="17" bestFit="1" customWidth="1"/>
    <col min="5136" max="5136" width="16.28515625" bestFit="1" customWidth="1"/>
    <col min="5137" max="5137" width="16.140625" customWidth="1"/>
    <col min="5138" max="5138" width="17.7109375" bestFit="1" customWidth="1"/>
    <col min="5139" max="5139" width="16.28515625" bestFit="1" customWidth="1"/>
    <col min="5140"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85546875" bestFit="1" customWidth="1"/>
    <col min="5381" max="5381" width="16.28515625" bestFit="1" customWidth="1"/>
    <col min="5382" max="5382" width="20" bestFit="1" customWidth="1"/>
    <col min="5383" max="5383" width="13.42578125" customWidth="1"/>
    <col min="5384" max="5384" width="15.42578125" bestFit="1" customWidth="1"/>
    <col min="5385" max="5385" width="14.28515625" bestFit="1" customWidth="1"/>
    <col min="5386" max="5386" width="15.28515625" customWidth="1"/>
    <col min="5387" max="5387" width="15.85546875" customWidth="1"/>
    <col min="5388" max="5388" width="17.140625" bestFit="1" customWidth="1"/>
    <col min="5389" max="5389" width="12.7109375" customWidth="1"/>
    <col min="5390" max="5390" width="13.7109375" customWidth="1"/>
    <col min="5391" max="5391" width="17" bestFit="1" customWidth="1"/>
    <col min="5392" max="5392" width="16.28515625" bestFit="1" customWidth="1"/>
    <col min="5393" max="5393" width="16.140625" customWidth="1"/>
    <col min="5394" max="5394" width="17.7109375" bestFit="1" customWidth="1"/>
    <col min="5395" max="5395" width="16.28515625" bestFit="1" customWidth="1"/>
    <col min="5396"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85546875" bestFit="1" customWidth="1"/>
    <col min="5637" max="5637" width="16.28515625" bestFit="1" customWidth="1"/>
    <col min="5638" max="5638" width="20" bestFit="1" customWidth="1"/>
    <col min="5639" max="5639" width="13.42578125" customWidth="1"/>
    <col min="5640" max="5640" width="15.42578125" bestFit="1" customWidth="1"/>
    <col min="5641" max="5641" width="14.28515625" bestFit="1" customWidth="1"/>
    <col min="5642" max="5642" width="15.28515625" customWidth="1"/>
    <col min="5643" max="5643" width="15.85546875" customWidth="1"/>
    <col min="5644" max="5644" width="17.140625" bestFit="1" customWidth="1"/>
    <col min="5645" max="5645" width="12.7109375" customWidth="1"/>
    <col min="5646" max="5646" width="13.7109375" customWidth="1"/>
    <col min="5647" max="5647" width="17" bestFit="1" customWidth="1"/>
    <col min="5648" max="5648" width="16.28515625" bestFit="1" customWidth="1"/>
    <col min="5649" max="5649" width="16.140625" customWidth="1"/>
    <col min="5650" max="5650" width="17.7109375" bestFit="1" customWidth="1"/>
    <col min="5651" max="5651" width="16.28515625" bestFit="1" customWidth="1"/>
    <col min="5652"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85546875" bestFit="1" customWidth="1"/>
    <col min="5893" max="5893" width="16.28515625" bestFit="1" customWidth="1"/>
    <col min="5894" max="5894" width="20" bestFit="1" customWidth="1"/>
    <col min="5895" max="5895" width="13.42578125" customWidth="1"/>
    <col min="5896" max="5896" width="15.42578125" bestFit="1" customWidth="1"/>
    <col min="5897" max="5897" width="14.28515625" bestFit="1" customWidth="1"/>
    <col min="5898" max="5898" width="15.28515625" customWidth="1"/>
    <col min="5899" max="5899" width="15.85546875" customWidth="1"/>
    <col min="5900" max="5900" width="17.140625" bestFit="1" customWidth="1"/>
    <col min="5901" max="5901" width="12.7109375" customWidth="1"/>
    <col min="5902" max="5902" width="13.7109375" customWidth="1"/>
    <col min="5903" max="5903" width="17" bestFit="1" customWidth="1"/>
    <col min="5904" max="5904" width="16.28515625" bestFit="1" customWidth="1"/>
    <col min="5905" max="5905" width="16.140625" customWidth="1"/>
    <col min="5906" max="5906" width="17.7109375" bestFit="1" customWidth="1"/>
    <col min="5907" max="5907" width="16.28515625" bestFit="1" customWidth="1"/>
    <col min="5908"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85546875" bestFit="1" customWidth="1"/>
    <col min="6149" max="6149" width="16.28515625" bestFit="1" customWidth="1"/>
    <col min="6150" max="6150" width="20" bestFit="1" customWidth="1"/>
    <col min="6151" max="6151" width="13.42578125" customWidth="1"/>
    <col min="6152" max="6152" width="15.42578125" bestFit="1" customWidth="1"/>
    <col min="6153" max="6153" width="14.28515625" bestFit="1" customWidth="1"/>
    <col min="6154" max="6154" width="15.28515625" customWidth="1"/>
    <col min="6155" max="6155" width="15.85546875" customWidth="1"/>
    <col min="6156" max="6156" width="17.140625" bestFit="1" customWidth="1"/>
    <col min="6157" max="6157" width="12.7109375" customWidth="1"/>
    <col min="6158" max="6158" width="13.7109375" customWidth="1"/>
    <col min="6159" max="6159" width="17" bestFit="1" customWidth="1"/>
    <col min="6160" max="6160" width="16.28515625" bestFit="1" customWidth="1"/>
    <col min="6161" max="6161" width="16.140625" customWidth="1"/>
    <col min="6162" max="6162" width="17.7109375" bestFit="1" customWidth="1"/>
    <col min="6163" max="6163" width="16.28515625" bestFit="1" customWidth="1"/>
    <col min="6164"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85546875" bestFit="1" customWidth="1"/>
    <col min="6405" max="6405" width="16.28515625" bestFit="1" customWidth="1"/>
    <col min="6406" max="6406" width="20" bestFit="1" customWidth="1"/>
    <col min="6407" max="6407" width="13.42578125" customWidth="1"/>
    <col min="6408" max="6408" width="15.42578125" bestFit="1" customWidth="1"/>
    <col min="6409" max="6409" width="14.28515625" bestFit="1" customWidth="1"/>
    <col min="6410" max="6410" width="15.28515625" customWidth="1"/>
    <col min="6411" max="6411" width="15.85546875" customWidth="1"/>
    <col min="6412" max="6412" width="17.140625" bestFit="1" customWidth="1"/>
    <col min="6413" max="6413" width="12.7109375" customWidth="1"/>
    <col min="6414" max="6414" width="13.7109375" customWidth="1"/>
    <col min="6415" max="6415" width="17" bestFit="1" customWidth="1"/>
    <col min="6416" max="6416" width="16.28515625" bestFit="1" customWidth="1"/>
    <col min="6417" max="6417" width="16.140625" customWidth="1"/>
    <col min="6418" max="6418" width="17.7109375" bestFit="1" customWidth="1"/>
    <col min="6419" max="6419" width="16.28515625" bestFit="1" customWidth="1"/>
    <col min="6420"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85546875" bestFit="1" customWidth="1"/>
    <col min="6661" max="6661" width="16.28515625" bestFit="1" customWidth="1"/>
    <col min="6662" max="6662" width="20" bestFit="1" customWidth="1"/>
    <col min="6663" max="6663" width="13.42578125" customWidth="1"/>
    <col min="6664" max="6664" width="15.42578125" bestFit="1" customWidth="1"/>
    <col min="6665" max="6665" width="14.28515625" bestFit="1" customWidth="1"/>
    <col min="6666" max="6666" width="15.28515625" customWidth="1"/>
    <col min="6667" max="6667" width="15.85546875" customWidth="1"/>
    <col min="6668" max="6668" width="17.140625" bestFit="1" customWidth="1"/>
    <col min="6669" max="6669" width="12.7109375" customWidth="1"/>
    <col min="6670" max="6670" width="13.7109375" customWidth="1"/>
    <col min="6671" max="6671" width="17" bestFit="1" customWidth="1"/>
    <col min="6672" max="6672" width="16.28515625" bestFit="1" customWidth="1"/>
    <col min="6673" max="6673" width="16.140625" customWidth="1"/>
    <col min="6674" max="6674" width="17.7109375" bestFit="1" customWidth="1"/>
    <col min="6675" max="6675" width="16.28515625" bestFit="1" customWidth="1"/>
    <col min="6676"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85546875" bestFit="1" customWidth="1"/>
    <col min="6917" max="6917" width="16.28515625" bestFit="1" customWidth="1"/>
    <col min="6918" max="6918" width="20" bestFit="1" customWidth="1"/>
    <col min="6919" max="6919" width="13.42578125" customWidth="1"/>
    <col min="6920" max="6920" width="15.42578125" bestFit="1" customWidth="1"/>
    <col min="6921" max="6921" width="14.28515625" bestFit="1" customWidth="1"/>
    <col min="6922" max="6922" width="15.28515625" customWidth="1"/>
    <col min="6923" max="6923" width="15.85546875" customWidth="1"/>
    <col min="6924" max="6924" width="17.140625" bestFit="1" customWidth="1"/>
    <col min="6925" max="6925" width="12.7109375" customWidth="1"/>
    <col min="6926" max="6926" width="13.7109375" customWidth="1"/>
    <col min="6927" max="6927" width="17" bestFit="1" customWidth="1"/>
    <col min="6928" max="6928" width="16.28515625" bestFit="1" customWidth="1"/>
    <col min="6929" max="6929" width="16.140625" customWidth="1"/>
    <col min="6930" max="6930" width="17.7109375" bestFit="1" customWidth="1"/>
    <col min="6931" max="6931" width="16.28515625" bestFit="1" customWidth="1"/>
    <col min="6932"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85546875" bestFit="1" customWidth="1"/>
    <col min="7173" max="7173" width="16.28515625" bestFit="1" customWidth="1"/>
    <col min="7174" max="7174" width="20" bestFit="1" customWidth="1"/>
    <col min="7175" max="7175" width="13.42578125" customWidth="1"/>
    <col min="7176" max="7176" width="15.42578125" bestFit="1" customWidth="1"/>
    <col min="7177" max="7177" width="14.28515625" bestFit="1" customWidth="1"/>
    <col min="7178" max="7178" width="15.28515625" customWidth="1"/>
    <col min="7179" max="7179" width="15.85546875" customWidth="1"/>
    <col min="7180" max="7180" width="17.140625" bestFit="1" customWidth="1"/>
    <col min="7181" max="7181" width="12.7109375" customWidth="1"/>
    <col min="7182" max="7182" width="13.7109375" customWidth="1"/>
    <col min="7183" max="7183" width="17" bestFit="1" customWidth="1"/>
    <col min="7184" max="7184" width="16.28515625" bestFit="1" customWidth="1"/>
    <col min="7185" max="7185" width="16.140625" customWidth="1"/>
    <col min="7186" max="7186" width="17.7109375" bestFit="1" customWidth="1"/>
    <col min="7187" max="7187" width="16.28515625" bestFit="1" customWidth="1"/>
    <col min="7188"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85546875" bestFit="1" customWidth="1"/>
    <col min="7429" max="7429" width="16.28515625" bestFit="1" customWidth="1"/>
    <col min="7430" max="7430" width="20" bestFit="1" customWidth="1"/>
    <col min="7431" max="7431" width="13.42578125" customWidth="1"/>
    <col min="7432" max="7432" width="15.42578125" bestFit="1" customWidth="1"/>
    <col min="7433" max="7433" width="14.28515625" bestFit="1" customWidth="1"/>
    <col min="7434" max="7434" width="15.28515625" customWidth="1"/>
    <col min="7435" max="7435" width="15.85546875" customWidth="1"/>
    <col min="7436" max="7436" width="17.140625" bestFit="1" customWidth="1"/>
    <col min="7437" max="7437" width="12.7109375" customWidth="1"/>
    <col min="7438" max="7438" width="13.7109375" customWidth="1"/>
    <col min="7439" max="7439" width="17" bestFit="1" customWidth="1"/>
    <col min="7440" max="7440" width="16.28515625" bestFit="1" customWidth="1"/>
    <col min="7441" max="7441" width="16.140625" customWidth="1"/>
    <col min="7442" max="7442" width="17.7109375" bestFit="1" customWidth="1"/>
    <col min="7443" max="7443" width="16.28515625" bestFit="1" customWidth="1"/>
    <col min="7444"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85546875" bestFit="1" customWidth="1"/>
    <col min="7685" max="7685" width="16.28515625" bestFit="1" customWidth="1"/>
    <col min="7686" max="7686" width="20" bestFit="1" customWidth="1"/>
    <col min="7687" max="7687" width="13.42578125" customWidth="1"/>
    <col min="7688" max="7688" width="15.42578125" bestFit="1" customWidth="1"/>
    <col min="7689" max="7689" width="14.28515625" bestFit="1" customWidth="1"/>
    <col min="7690" max="7690" width="15.28515625" customWidth="1"/>
    <col min="7691" max="7691" width="15.85546875" customWidth="1"/>
    <col min="7692" max="7692" width="17.140625" bestFit="1" customWidth="1"/>
    <col min="7693" max="7693" width="12.7109375" customWidth="1"/>
    <col min="7694" max="7694" width="13.7109375" customWidth="1"/>
    <col min="7695" max="7695" width="17" bestFit="1" customWidth="1"/>
    <col min="7696" max="7696" width="16.28515625" bestFit="1" customWidth="1"/>
    <col min="7697" max="7697" width="16.140625" customWidth="1"/>
    <col min="7698" max="7698" width="17.7109375" bestFit="1" customWidth="1"/>
    <col min="7699" max="7699" width="16.28515625" bestFit="1" customWidth="1"/>
    <col min="7700"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85546875" bestFit="1" customWidth="1"/>
    <col min="7941" max="7941" width="16.28515625" bestFit="1" customWidth="1"/>
    <col min="7942" max="7942" width="20" bestFit="1" customWidth="1"/>
    <col min="7943" max="7943" width="13.42578125" customWidth="1"/>
    <col min="7944" max="7944" width="15.42578125" bestFit="1" customWidth="1"/>
    <col min="7945" max="7945" width="14.28515625" bestFit="1" customWidth="1"/>
    <col min="7946" max="7946" width="15.28515625" customWidth="1"/>
    <col min="7947" max="7947" width="15.85546875" customWidth="1"/>
    <col min="7948" max="7948" width="17.140625" bestFit="1" customWidth="1"/>
    <col min="7949" max="7949" width="12.7109375" customWidth="1"/>
    <col min="7950" max="7950" width="13.7109375" customWidth="1"/>
    <col min="7951" max="7951" width="17" bestFit="1" customWidth="1"/>
    <col min="7952" max="7952" width="16.28515625" bestFit="1" customWidth="1"/>
    <col min="7953" max="7953" width="16.140625" customWidth="1"/>
    <col min="7954" max="7954" width="17.7109375" bestFit="1" customWidth="1"/>
    <col min="7955" max="7955" width="16.28515625" bestFit="1" customWidth="1"/>
    <col min="7956"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85546875" bestFit="1" customWidth="1"/>
    <col min="8197" max="8197" width="16.28515625" bestFit="1" customWidth="1"/>
    <col min="8198" max="8198" width="20" bestFit="1" customWidth="1"/>
    <col min="8199" max="8199" width="13.42578125" customWidth="1"/>
    <col min="8200" max="8200" width="15.42578125" bestFit="1" customWidth="1"/>
    <col min="8201" max="8201" width="14.28515625" bestFit="1" customWidth="1"/>
    <col min="8202" max="8202" width="15.28515625" customWidth="1"/>
    <col min="8203" max="8203" width="15.85546875" customWidth="1"/>
    <col min="8204" max="8204" width="17.140625" bestFit="1" customWidth="1"/>
    <col min="8205" max="8205" width="12.7109375" customWidth="1"/>
    <col min="8206" max="8206" width="13.7109375" customWidth="1"/>
    <col min="8207" max="8207" width="17" bestFit="1" customWidth="1"/>
    <col min="8208" max="8208" width="16.28515625" bestFit="1" customWidth="1"/>
    <col min="8209" max="8209" width="16.140625" customWidth="1"/>
    <col min="8210" max="8210" width="17.7109375" bestFit="1" customWidth="1"/>
    <col min="8211" max="8211" width="16.28515625" bestFit="1" customWidth="1"/>
    <col min="8212"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85546875" bestFit="1" customWidth="1"/>
    <col min="8453" max="8453" width="16.28515625" bestFit="1" customWidth="1"/>
    <col min="8454" max="8454" width="20" bestFit="1" customWidth="1"/>
    <col min="8455" max="8455" width="13.42578125" customWidth="1"/>
    <col min="8456" max="8456" width="15.42578125" bestFit="1" customWidth="1"/>
    <col min="8457" max="8457" width="14.28515625" bestFit="1" customWidth="1"/>
    <col min="8458" max="8458" width="15.28515625" customWidth="1"/>
    <col min="8459" max="8459" width="15.85546875" customWidth="1"/>
    <col min="8460" max="8460" width="17.140625" bestFit="1" customWidth="1"/>
    <col min="8461" max="8461" width="12.7109375" customWidth="1"/>
    <col min="8462" max="8462" width="13.7109375" customWidth="1"/>
    <col min="8463" max="8463" width="17" bestFit="1" customWidth="1"/>
    <col min="8464" max="8464" width="16.28515625" bestFit="1" customWidth="1"/>
    <col min="8465" max="8465" width="16.140625" customWidth="1"/>
    <col min="8466" max="8466" width="17.7109375" bestFit="1" customWidth="1"/>
    <col min="8467" max="8467" width="16.28515625" bestFit="1" customWidth="1"/>
    <col min="8468"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85546875" bestFit="1" customWidth="1"/>
    <col min="8709" max="8709" width="16.28515625" bestFit="1" customWidth="1"/>
    <col min="8710" max="8710" width="20" bestFit="1" customWidth="1"/>
    <col min="8711" max="8711" width="13.42578125" customWidth="1"/>
    <col min="8712" max="8712" width="15.42578125" bestFit="1" customWidth="1"/>
    <col min="8713" max="8713" width="14.28515625" bestFit="1" customWidth="1"/>
    <col min="8714" max="8714" width="15.28515625" customWidth="1"/>
    <col min="8715" max="8715" width="15.85546875" customWidth="1"/>
    <col min="8716" max="8716" width="17.140625" bestFit="1" customWidth="1"/>
    <col min="8717" max="8717" width="12.7109375" customWidth="1"/>
    <col min="8718" max="8718" width="13.7109375" customWidth="1"/>
    <col min="8719" max="8719" width="17" bestFit="1" customWidth="1"/>
    <col min="8720" max="8720" width="16.28515625" bestFit="1" customWidth="1"/>
    <col min="8721" max="8721" width="16.140625" customWidth="1"/>
    <col min="8722" max="8722" width="17.7109375" bestFit="1" customWidth="1"/>
    <col min="8723" max="8723" width="16.28515625" bestFit="1" customWidth="1"/>
    <col min="8724"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85546875" bestFit="1" customWidth="1"/>
    <col min="8965" max="8965" width="16.28515625" bestFit="1" customWidth="1"/>
    <col min="8966" max="8966" width="20" bestFit="1" customWidth="1"/>
    <col min="8967" max="8967" width="13.42578125" customWidth="1"/>
    <col min="8968" max="8968" width="15.42578125" bestFit="1" customWidth="1"/>
    <col min="8969" max="8969" width="14.28515625" bestFit="1" customWidth="1"/>
    <col min="8970" max="8970" width="15.28515625" customWidth="1"/>
    <col min="8971" max="8971" width="15.85546875" customWidth="1"/>
    <col min="8972" max="8972" width="17.140625" bestFit="1" customWidth="1"/>
    <col min="8973" max="8973" width="12.7109375" customWidth="1"/>
    <col min="8974" max="8974" width="13.7109375" customWidth="1"/>
    <col min="8975" max="8975" width="17" bestFit="1" customWidth="1"/>
    <col min="8976" max="8976" width="16.28515625" bestFit="1" customWidth="1"/>
    <col min="8977" max="8977" width="16.140625" customWidth="1"/>
    <col min="8978" max="8978" width="17.7109375" bestFit="1" customWidth="1"/>
    <col min="8979" max="8979" width="16.28515625" bestFit="1" customWidth="1"/>
    <col min="8980"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85546875" bestFit="1" customWidth="1"/>
    <col min="9221" max="9221" width="16.28515625" bestFit="1" customWidth="1"/>
    <col min="9222" max="9222" width="20" bestFit="1" customWidth="1"/>
    <col min="9223" max="9223" width="13.42578125" customWidth="1"/>
    <col min="9224" max="9224" width="15.42578125" bestFit="1" customWidth="1"/>
    <col min="9225" max="9225" width="14.28515625" bestFit="1" customWidth="1"/>
    <col min="9226" max="9226" width="15.28515625" customWidth="1"/>
    <col min="9227" max="9227" width="15.85546875" customWidth="1"/>
    <col min="9228" max="9228" width="17.140625" bestFit="1" customWidth="1"/>
    <col min="9229" max="9229" width="12.7109375" customWidth="1"/>
    <col min="9230" max="9230" width="13.7109375" customWidth="1"/>
    <col min="9231" max="9231" width="17" bestFit="1" customWidth="1"/>
    <col min="9232" max="9232" width="16.28515625" bestFit="1" customWidth="1"/>
    <col min="9233" max="9233" width="16.140625" customWidth="1"/>
    <col min="9234" max="9234" width="17.7109375" bestFit="1" customWidth="1"/>
    <col min="9235" max="9235" width="16.28515625" bestFit="1" customWidth="1"/>
    <col min="9236"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85546875" bestFit="1" customWidth="1"/>
    <col min="9477" max="9477" width="16.28515625" bestFit="1" customWidth="1"/>
    <col min="9478" max="9478" width="20" bestFit="1" customWidth="1"/>
    <col min="9479" max="9479" width="13.42578125" customWidth="1"/>
    <col min="9480" max="9480" width="15.42578125" bestFit="1" customWidth="1"/>
    <col min="9481" max="9481" width="14.28515625" bestFit="1" customWidth="1"/>
    <col min="9482" max="9482" width="15.28515625" customWidth="1"/>
    <col min="9483" max="9483" width="15.85546875" customWidth="1"/>
    <col min="9484" max="9484" width="17.140625" bestFit="1" customWidth="1"/>
    <col min="9485" max="9485" width="12.7109375" customWidth="1"/>
    <col min="9486" max="9486" width="13.7109375" customWidth="1"/>
    <col min="9487" max="9487" width="17" bestFit="1" customWidth="1"/>
    <col min="9488" max="9488" width="16.28515625" bestFit="1" customWidth="1"/>
    <col min="9489" max="9489" width="16.140625" customWidth="1"/>
    <col min="9490" max="9490" width="17.7109375" bestFit="1" customWidth="1"/>
    <col min="9491" max="9491" width="16.28515625" bestFit="1" customWidth="1"/>
    <col min="9492"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85546875" bestFit="1" customWidth="1"/>
    <col min="9733" max="9733" width="16.28515625" bestFit="1" customWidth="1"/>
    <col min="9734" max="9734" width="20" bestFit="1" customWidth="1"/>
    <col min="9735" max="9735" width="13.42578125" customWidth="1"/>
    <col min="9736" max="9736" width="15.42578125" bestFit="1" customWidth="1"/>
    <col min="9737" max="9737" width="14.28515625" bestFit="1" customWidth="1"/>
    <col min="9738" max="9738" width="15.28515625" customWidth="1"/>
    <col min="9739" max="9739" width="15.85546875" customWidth="1"/>
    <col min="9740" max="9740" width="17.140625" bestFit="1" customWidth="1"/>
    <col min="9741" max="9741" width="12.7109375" customWidth="1"/>
    <col min="9742" max="9742" width="13.7109375" customWidth="1"/>
    <col min="9743" max="9743" width="17" bestFit="1" customWidth="1"/>
    <col min="9744" max="9744" width="16.28515625" bestFit="1" customWidth="1"/>
    <col min="9745" max="9745" width="16.140625" customWidth="1"/>
    <col min="9746" max="9746" width="17.7109375" bestFit="1" customWidth="1"/>
    <col min="9747" max="9747" width="16.28515625" bestFit="1" customWidth="1"/>
    <col min="9748"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85546875" bestFit="1" customWidth="1"/>
    <col min="9989" max="9989" width="16.28515625" bestFit="1" customWidth="1"/>
    <col min="9990" max="9990" width="20" bestFit="1" customWidth="1"/>
    <col min="9991" max="9991" width="13.42578125" customWidth="1"/>
    <col min="9992" max="9992" width="15.42578125" bestFit="1" customWidth="1"/>
    <col min="9993" max="9993" width="14.28515625" bestFit="1" customWidth="1"/>
    <col min="9994" max="9994" width="15.28515625" customWidth="1"/>
    <col min="9995" max="9995" width="15.85546875" customWidth="1"/>
    <col min="9996" max="9996" width="17.140625" bestFit="1" customWidth="1"/>
    <col min="9997" max="9997" width="12.7109375" customWidth="1"/>
    <col min="9998" max="9998" width="13.7109375" customWidth="1"/>
    <col min="9999" max="9999" width="17" bestFit="1" customWidth="1"/>
    <col min="10000" max="10000" width="16.28515625" bestFit="1" customWidth="1"/>
    <col min="10001" max="10001" width="16.140625" customWidth="1"/>
    <col min="10002" max="10002" width="17.7109375" bestFit="1" customWidth="1"/>
    <col min="10003" max="10003" width="16.28515625" bestFit="1" customWidth="1"/>
    <col min="10004"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85546875" bestFit="1" customWidth="1"/>
    <col min="10245" max="10245" width="16.28515625" bestFit="1" customWidth="1"/>
    <col min="10246" max="10246" width="20" bestFit="1" customWidth="1"/>
    <col min="10247" max="10247" width="13.42578125" customWidth="1"/>
    <col min="10248" max="10248" width="15.42578125" bestFit="1" customWidth="1"/>
    <col min="10249" max="10249" width="14.28515625" bestFit="1" customWidth="1"/>
    <col min="10250" max="10250" width="15.28515625" customWidth="1"/>
    <col min="10251" max="10251" width="15.85546875" customWidth="1"/>
    <col min="10252" max="10252" width="17.140625" bestFit="1" customWidth="1"/>
    <col min="10253" max="10253" width="12.7109375" customWidth="1"/>
    <col min="10254" max="10254" width="13.7109375" customWidth="1"/>
    <col min="10255" max="10255" width="17" bestFit="1" customWidth="1"/>
    <col min="10256" max="10256" width="16.28515625" bestFit="1" customWidth="1"/>
    <col min="10257" max="10257" width="16.140625" customWidth="1"/>
    <col min="10258" max="10258" width="17.7109375" bestFit="1" customWidth="1"/>
    <col min="10259" max="10259" width="16.28515625" bestFit="1" customWidth="1"/>
    <col min="10260"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85546875" bestFit="1" customWidth="1"/>
    <col min="10501" max="10501" width="16.28515625" bestFit="1" customWidth="1"/>
    <col min="10502" max="10502" width="20" bestFit="1" customWidth="1"/>
    <col min="10503" max="10503" width="13.42578125" customWidth="1"/>
    <col min="10504" max="10504" width="15.42578125" bestFit="1" customWidth="1"/>
    <col min="10505" max="10505" width="14.28515625" bestFit="1" customWidth="1"/>
    <col min="10506" max="10506" width="15.28515625" customWidth="1"/>
    <col min="10507" max="10507" width="15.85546875" customWidth="1"/>
    <col min="10508" max="10508" width="17.140625" bestFit="1" customWidth="1"/>
    <col min="10509" max="10509" width="12.7109375" customWidth="1"/>
    <col min="10510" max="10510" width="13.7109375" customWidth="1"/>
    <col min="10511" max="10511" width="17" bestFit="1" customWidth="1"/>
    <col min="10512" max="10512" width="16.28515625" bestFit="1" customWidth="1"/>
    <col min="10513" max="10513" width="16.140625" customWidth="1"/>
    <col min="10514" max="10514" width="17.7109375" bestFit="1" customWidth="1"/>
    <col min="10515" max="10515" width="16.28515625" bestFit="1" customWidth="1"/>
    <col min="10516"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85546875" bestFit="1" customWidth="1"/>
    <col min="10757" max="10757" width="16.28515625" bestFit="1" customWidth="1"/>
    <col min="10758" max="10758" width="20" bestFit="1" customWidth="1"/>
    <col min="10759" max="10759" width="13.42578125" customWidth="1"/>
    <col min="10760" max="10760" width="15.42578125" bestFit="1" customWidth="1"/>
    <col min="10761" max="10761" width="14.28515625" bestFit="1" customWidth="1"/>
    <col min="10762" max="10762" width="15.28515625" customWidth="1"/>
    <col min="10763" max="10763" width="15.85546875" customWidth="1"/>
    <col min="10764" max="10764" width="17.140625" bestFit="1" customWidth="1"/>
    <col min="10765" max="10765" width="12.7109375" customWidth="1"/>
    <col min="10766" max="10766" width="13.7109375" customWidth="1"/>
    <col min="10767" max="10767" width="17" bestFit="1" customWidth="1"/>
    <col min="10768" max="10768" width="16.28515625" bestFit="1" customWidth="1"/>
    <col min="10769" max="10769" width="16.140625" customWidth="1"/>
    <col min="10770" max="10770" width="17.7109375" bestFit="1" customWidth="1"/>
    <col min="10771" max="10771" width="16.28515625" bestFit="1" customWidth="1"/>
    <col min="10772"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85546875" bestFit="1" customWidth="1"/>
    <col min="11013" max="11013" width="16.28515625" bestFit="1" customWidth="1"/>
    <col min="11014" max="11014" width="20" bestFit="1" customWidth="1"/>
    <col min="11015" max="11015" width="13.42578125" customWidth="1"/>
    <col min="11016" max="11016" width="15.42578125" bestFit="1" customWidth="1"/>
    <col min="11017" max="11017" width="14.28515625" bestFit="1" customWidth="1"/>
    <col min="11018" max="11018" width="15.28515625" customWidth="1"/>
    <col min="11019" max="11019" width="15.85546875" customWidth="1"/>
    <col min="11020" max="11020" width="17.140625" bestFit="1" customWidth="1"/>
    <col min="11021" max="11021" width="12.7109375" customWidth="1"/>
    <col min="11022" max="11022" width="13.7109375" customWidth="1"/>
    <col min="11023" max="11023" width="17" bestFit="1" customWidth="1"/>
    <col min="11024" max="11024" width="16.28515625" bestFit="1" customWidth="1"/>
    <col min="11025" max="11025" width="16.140625" customWidth="1"/>
    <col min="11026" max="11026" width="17.7109375" bestFit="1" customWidth="1"/>
    <col min="11027" max="11027" width="16.28515625" bestFit="1" customWidth="1"/>
    <col min="11028"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85546875" bestFit="1" customWidth="1"/>
    <col min="11269" max="11269" width="16.28515625" bestFit="1" customWidth="1"/>
    <col min="11270" max="11270" width="20" bestFit="1" customWidth="1"/>
    <col min="11271" max="11271" width="13.42578125" customWidth="1"/>
    <col min="11272" max="11272" width="15.42578125" bestFit="1" customWidth="1"/>
    <col min="11273" max="11273" width="14.28515625" bestFit="1" customWidth="1"/>
    <col min="11274" max="11274" width="15.28515625" customWidth="1"/>
    <col min="11275" max="11275" width="15.85546875" customWidth="1"/>
    <col min="11276" max="11276" width="17.140625" bestFit="1" customWidth="1"/>
    <col min="11277" max="11277" width="12.7109375" customWidth="1"/>
    <col min="11278" max="11278" width="13.7109375" customWidth="1"/>
    <col min="11279" max="11279" width="17" bestFit="1" customWidth="1"/>
    <col min="11280" max="11280" width="16.28515625" bestFit="1" customWidth="1"/>
    <col min="11281" max="11281" width="16.140625" customWidth="1"/>
    <col min="11282" max="11282" width="17.7109375" bestFit="1" customWidth="1"/>
    <col min="11283" max="11283" width="16.28515625" bestFit="1" customWidth="1"/>
    <col min="11284"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85546875" bestFit="1" customWidth="1"/>
    <col min="11525" max="11525" width="16.28515625" bestFit="1" customWidth="1"/>
    <col min="11526" max="11526" width="20" bestFit="1" customWidth="1"/>
    <col min="11527" max="11527" width="13.42578125" customWidth="1"/>
    <col min="11528" max="11528" width="15.42578125" bestFit="1" customWidth="1"/>
    <col min="11529" max="11529" width="14.28515625" bestFit="1" customWidth="1"/>
    <col min="11530" max="11530" width="15.28515625" customWidth="1"/>
    <col min="11531" max="11531" width="15.85546875" customWidth="1"/>
    <col min="11532" max="11532" width="17.140625" bestFit="1" customWidth="1"/>
    <col min="11533" max="11533" width="12.7109375" customWidth="1"/>
    <col min="11534" max="11534" width="13.7109375" customWidth="1"/>
    <col min="11535" max="11535" width="17" bestFit="1" customWidth="1"/>
    <col min="11536" max="11536" width="16.28515625" bestFit="1" customWidth="1"/>
    <col min="11537" max="11537" width="16.140625" customWidth="1"/>
    <col min="11538" max="11538" width="17.7109375" bestFit="1" customWidth="1"/>
    <col min="11539" max="11539" width="16.28515625" bestFit="1" customWidth="1"/>
    <col min="11540"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85546875" bestFit="1" customWidth="1"/>
    <col min="11781" max="11781" width="16.28515625" bestFit="1" customWidth="1"/>
    <col min="11782" max="11782" width="20" bestFit="1" customWidth="1"/>
    <col min="11783" max="11783" width="13.42578125" customWidth="1"/>
    <col min="11784" max="11784" width="15.42578125" bestFit="1" customWidth="1"/>
    <col min="11785" max="11785" width="14.28515625" bestFit="1" customWidth="1"/>
    <col min="11786" max="11786" width="15.28515625" customWidth="1"/>
    <col min="11787" max="11787" width="15.85546875" customWidth="1"/>
    <col min="11788" max="11788" width="17.140625" bestFit="1" customWidth="1"/>
    <col min="11789" max="11789" width="12.7109375" customWidth="1"/>
    <col min="11790" max="11790" width="13.7109375" customWidth="1"/>
    <col min="11791" max="11791" width="17" bestFit="1" customWidth="1"/>
    <col min="11792" max="11792" width="16.28515625" bestFit="1" customWidth="1"/>
    <col min="11793" max="11793" width="16.140625" customWidth="1"/>
    <col min="11794" max="11794" width="17.7109375" bestFit="1" customWidth="1"/>
    <col min="11795" max="11795" width="16.28515625" bestFit="1" customWidth="1"/>
    <col min="11796"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85546875" bestFit="1" customWidth="1"/>
    <col min="12037" max="12037" width="16.28515625" bestFit="1" customWidth="1"/>
    <col min="12038" max="12038" width="20" bestFit="1" customWidth="1"/>
    <col min="12039" max="12039" width="13.42578125" customWidth="1"/>
    <col min="12040" max="12040" width="15.42578125" bestFit="1" customWidth="1"/>
    <col min="12041" max="12041" width="14.28515625" bestFit="1" customWidth="1"/>
    <col min="12042" max="12042" width="15.28515625" customWidth="1"/>
    <col min="12043" max="12043" width="15.85546875" customWidth="1"/>
    <col min="12044" max="12044" width="17.140625" bestFit="1" customWidth="1"/>
    <col min="12045" max="12045" width="12.7109375" customWidth="1"/>
    <col min="12046" max="12046" width="13.7109375" customWidth="1"/>
    <col min="12047" max="12047" width="17" bestFit="1" customWidth="1"/>
    <col min="12048" max="12048" width="16.28515625" bestFit="1" customWidth="1"/>
    <col min="12049" max="12049" width="16.140625" customWidth="1"/>
    <col min="12050" max="12050" width="17.7109375" bestFit="1" customWidth="1"/>
    <col min="12051" max="12051" width="16.28515625" bestFit="1" customWidth="1"/>
    <col min="12052"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85546875" bestFit="1" customWidth="1"/>
    <col min="12293" max="12293" width="16.28515625" bestFit="1" customWidth="1"/>
    <col min="12294" max="12294" width="20" bestFit="1" customWidth="1"/>
    <col min="12295" max="12295" width="13.42578125" customWidth="1"/>
    <col min="12296" max="12296" width="15.42578125" bestFit="1" customWidth="1"/>
    <col min="12297" max="12297" width="14.28515625" bestFit="1" customWidth="1"/>
    <col min="12298" max="12298" width="15.28515625" customWidth="1"/>
    <col min="12299" max="12299" width="15.85546875" customWidth="1"/>
    <col min="12300" max="12300" width="17.140625" bestFit="1" customWidth="1"/>
    <col min="12301" max="12301" width="12.7109375" customWidth="1"/>
    <col min="12302" max="12302" width="13.7109375" customWidth="1"/>
    <col min="12303" max="12303" width="17" bestFit="1" customWidth="1"/>
    <col min="12304" max="12304" width="16.28515625" bestFit="1" customWidth="1"/>
    <col min="12305" max="12305" width="16.140625" customWidth="1"/>
    <col min="12306" max="12306" width="17.7109375" bestFit="1" customWidth="1"/>
    <col min="12307" max="12307" width="16.28515625" bestFit="1" customWidth="1"/>
    <col min="12308"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85546875" bestFit="1" customWidth="1"/>
    <col min="12549" max="12549" width="16.28515625" bestFit="1" customWidth="1"/>
    <col min="12550" max="12550" width="20" bestFit="1" customWidth="1"/>
    <col min="12551" max="12551" width="13.42578125" customWidth="1"/>
    <col min="12552" max="12552" width="15.42578125" bestFit="1" customWidth="1"/>
    <col min="12553" max="12553" width="14.28515625" bestFit="1" customWidth="1"/>
    <col min="12554" max="12554" width="15.28515625" customWidth="1"/>
    <col min="12555" max="12555" width="15.85546875" customWidth="1"/>
    <col min="12556" max="12556" width="17.140625" bestFit="1" customWidth="1"/>
    <col min="12557" max="12557" width="12.7109375" customWidth="1"/>
    <col min="12558" max="12558" width="13.7109375" customWidth="1"/>
    <col min="12559" max="12559" width="17" bestFit="1" customWidth="1"/>
    <col min="12560" max="12560" width="16.28515625" bestFit="1" customWidth="1"/>
    <col min="12561" max="12561" width="16.140625" customWidth="1"/>
    <col min="12562" max="12562" width="17.7109375" bestFit="1" customWidth="1"/>
    <col min="12563" max="12563" width="16.28515625" bestFit="1" customWidth="1"/>
    <col min="12564"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85546875" bestFit="1" customWidth="1"/>
    <col min="12805" max="12805" width="16.28515625" bestFit="1" customWidth="1"/>
    <col min="12806" max="12806" width="20" bestFit="1" customWidth="1"/>
    <col min="12807" max="12807" width="13.42578125" customWidth="1"/>
    <col min="12808" max="12808" width="15.42578125" bestFit="1" customWidth="1"/>
    <col min="12809" max="12809" width="14.28515625" bestFit="1" customWidth="1"/>
    <col min="12810" max="12810" width="15.28515625" customWidth="1"/>
    <col min="12811" max="12811" width="15.85546875" customWidth="1"/>
    <col min="12812" max="12812" width="17.140625" bestFit="1" customWidth="1"/>
    <col min="12813" max="12813" width="12.7109375" customWidth="1"/>
    <col min="12814" max="12814" width="13.7109375" customWidth="1"/>
    <col min="12815" max="12815" width="17" bestFit="1" customWidth="1"/>
    <col min="12816" max="12816" width="16.28515625" bestFit="1" customWidth="1"/>
    <col min="12817" max="12817" width="16.140625" customWidth="1"/>
    <col min="12818" max="12818" width="17.7109375" bestFit="1" customWidth="1"/>
    <col min="12819" max="12819" width="16.28515625" bestFit="1" customWidth="1"/>
    <col min="12820"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85546875" bestFit="1" customWidth="1"/>
    <col min="13061" max="13061" width="16.28515625" bestFit="1" customWidth="1"/>
    <col min="13062" max="13062" width="20" bestFit="1" customWidth="1"/>
    <col min="13063" max="13063" width="13.42578125" customWidth="1"/>
    <col min="13064" max="13064" width="15.42578125" bestFit="1" customWidth="1"/>
    <col min="13065" max="13065" width="14.28515625" bestFit="1" customWidth="1"/>
    <col min="13066" max="13066" width="15.28515625" customWidth="1"/>
    <col min="13067" max="13067" width="15.85546875" customWidth="1"/>
    <col min="13068" max="13068" width="17.140625" bestFit="1" customWidth="1"/>
    <col min="13069" max="13069" width="12.7109375" customWidth="1"/>
    <col min="13070" max="13070" width="13.7109375" customWidth="1"/>
    <col min="13071" max="13071" width="17" bestFit="1" customWidth="1"/>
    <col min="13072" max="13072" width="16.28515625" bestFit="1" customWidth="1"/>
    <col min="13073" max="13073" width="16.140625" customWidth="1"/>
    <col min="13074" max="13074" width="17.7109375" bestFit="1" customWidth="1"/>
    <col min="13075" max="13075" width="16.28515625" bestFit="1" customWidth="1"/>
    <col min="13076"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85546875" bestFit="1" customWidth="1"/>
    <col min="13317" max="13317" width="16.28515625" bestFit="1" customWidth="1"/>
    <col min="13318" max="13318" width="20" bestFit="1" customWidth="1"/>
    <col min="13319" max="13319" width="13.42578125" customWidth="1"/>
    <col min="13320" max="13320" width="15.42578125" bestFit="1" customWidth="1"/>
    <col min="13321" max="13321" width="14.28515625" bestFit="1" customWidth="1"/>
    <col min="13322" max="13322" width="15.28515625" customWidth="1"/>
    <col min="13323" max="13323" width="15.85546875" customWidth="1"/>
    <col min="13324" max="13324" width="17.140625" bestFit="1" customWidth="1"/>
    <col min="13325" max="13325" width="12.7109375" customWidth="1"/>
    <col min="13326" max="13326" width="13.7109375" customWidth="1"/>
    <col min="13327" max="13327" width="17" bestFit="1" customWidth="1"/>
    <col min="13328" max="13328" width="16.28515625" bestFit="1" customWidth="1"/>
    <col min="13329" max="13329" width="16.140625" customWidth="1"/>
    <col min="13330" max="13330" width="17.7109375" bestFit="1" customWidth="1"/>
    <col min="13331" max="13331" width="16.28515625" bestFit="1" customWidth="1"/>
    <col min="13332"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85546875" bestFit="1" customWidth="1"/>
    <col min="13573" max="13573" width="16.28515625" bestFit="1" customWidth="1"/>
    <col min="13574" max="13574" width="20" bestFit="1" customWidth="1"/>
    <col min="13575" max="13575" width="13.42578125" customWidth="1"/>
    <col min="13576" max="13576" width="15.42578125" bestFit="1" customWidth="1"/>
    <col min="13577" max="13577" width="14.28515625" bestFit="1" customWidth="1"/>
    <col min="13578" max="13578" width="15.28515625" customWidth="1"/>
    <col min="13579" max="13579" width="15.85546875" customWidth="1"/>
    <col min="13580" max="13580" width="17.140625" bestFit="1" customWidth="1"/>
    <col min="13581" max="13581" width="12.7109375" customWidth="1"/>
    <col min="13582" max="13582" width="13.7109375" customWidth="1"/>
    <col min="13583" max="13583" width="17" bestFit="1" customWidth="1"/>
    <col min="13584" max="13584" width="16.28515625" bestFit="1" customWidth="1"/>
    <col min="13585" max="13585" width="16.140625" customWidth="1"/>
    <col min="13586" max="13586" width="17.7109375" bestFit="1" customWidth="1"/>
    <col min="13587" max="13587" width="16.28515625" bestFit="1" customWidth="1"/>
    <col min="13588"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85546875" bestFit="1" customWidth="1"/>
    <col min="13829" max="13829" width="16.28515625" bestFit="1" customWidth="1"/>
    <col min="13830" max="13830" width="20" bestFit="1" customWidth="1"/>
    <col min="13831" max="13831" width="13.42578125" customWidth="1"/>
    <col min="13832" max="13832" width="15.42578125" bestFit="1" customWidth="1"/>
    <col min="13833" max="13833" width="14.28515625" bestFit="1" customWidth="1"/>
    <col min="13834" max="13834" width="15.28515625" customWidth="1"/>
    <col min="13835" max="13835" width="15.85546875" customWidth="1"/>
    <col min="13836" max="13836" width="17.140625" bestFit="1" customWidth="1"/>
    <col min="13837" max="13837" width="12.7109375" customWidth="1"/>
    <col min="13838" max="13838" width="13.7109375" customWidth="1"/>
    <col min="13839" max="13839" width="17" bestFit="1" customWidth="1"/>
    <col min="13840" max="13840" width="16.28515625" bestFit="1" customWidth="1"/>
    <col min="13841" max="13841" width="16.140625" customWidth="1"/>
    <col min="13842" max="13842" width="17.7109375" bestFit="1" customWidth="1"/>
    <col min="13843" max="13843" width="16.28515625" bestFit="1" customWidth="1"/>
    <col min="13844"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85546875" bestFit="1" customWidth="1"/>
    <col min="14085" max="14085" width="16.28515625" bestFit="1" customWidth="1"/>
    <col min="14086" max="14086" width="20" bestFit="1" customWidth="1"/>
    <col min="14087" max="14087" width="13.42578125" customWidth="1"/>
    <col min="14088" max="14088" width="15.42578125" bestFit="1" customWidth="1"/>
    <col min="14089" max="14089" width="14.28515625" bestFit="1" customWidth="1"/>
    <col min="14090" max="14090" width="15.28515625" customWidth="1"/>
    <col min="14091" max="14091" width="15.85546875" customWidth="1"/>
    <col min="14092" max="14092" width="17.140625" bestFit="1" customWidth="1"/>
    <col min="14093" max="14093" width="12.7109375" customWidth="1"/>
    <col min="14094" max="14094" width="13.7109375" customWidth="1"/>
    <col min="14095" max="14095" width="17" bestFit="1" customWidth="1"/>
    <col min="14096" max="14096" width="16.28515625" bestFit="1" customWidth="1"/>
    <col min="14097" max="14097" width="16.140625" customWidth="1"/>
    <col min="14098" max="14098" width="17.7109375" bestFit="1" customWidth="1"/>
    <col min="14099" max="14099" width="16.28515625" bestFit="1" customWidth="1"/>
    <col min="14100"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85546875" bestFit="1" customWidth="1"/>
    <col min="14341" max="14341" width="16.28515625" bestFit="1" customWidth="1"/>
    <col min="14342" max="14342" width="20" bestFit="1" customWidth="1"/>
    <col min="14343" max="14343" width="13.42578125" customWidth="1"/>
    <col min="14344" max="14344" width="15.42578125" bestFit="1" customWidth="1"/>
    <col min="14345" max="14345" width="14.28515625" bestFit="1" customWidth="1"/>
    <col min="14346" max="14346" width="15.28515625" customWidth="1"/>
    <col min="14347" max="14347" width="15.85546875" customWidth="1"/>
    <col min="14348" max="14348" width="17.140625" bestFit="1" customWidth="1"/>
    <col min="14349" max="14349" width="12.7109375" customWidth="1"/>
    <col min="14350" max="14350" width="13.7109375" customWidth="1"/>
    <col min="14351" max="14351" width="17" bestFit="1" customWidth="1"/>
    <col min="14352" max="14352" width="16.28515625" bestFit="1" customWidth="1"/>
    <col min="14353" max="14353" width="16.140625" customWidth="1"/>
    <col min="14354" max="14354" width="17.7109375" bestFit="1" customWidth="1"/>
    <col min="14355" max="14355" width="16.28515625" bestFit="1" customWidth="1"/>
    <col min="14356"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85546875" bestFit="1" customWidth="1"/>
    <col min="14597" max="14597" width="16.28515625" bestFit="1" customWidth="1"/>
    <col min="14598" max="14598" width="20" bestFit="1" customWidth="1"/>
    <col min="14599" max="14599" width="13.42578125" customWidth="1"/>
    <col min="14600" max="14600" width="15.42578125" bestFit="1" customWidth="1"/>
    <col min="14601" max="14601" width="14.28515625" bestFit="1" customWidth="1"/>
    <col min="14602" max="14602" width="15.28515625" customWidth="1"/>
    <col min="14603" max="14603" width="15.85546875" customWidth="1"/>
    <col min="14604" max="14604" width="17.140625" bestFit="1" customWidth="1"/>
    <col min="14605" max="14605" width="12.7109375" customWidth="1"/>
    <col min="14606" max="14606" width="13.7109375" customWidth="1"/>
    <col min="14607" max="14607" width="17" bestFit="1" customWidth="1"/>
    <col min="14608" max="14608" width="16.28515625" bestFit="1" customWidth="1"/>
    <col min="14609" max="14609" width="16.140625" customWidth="1"/>
    <col min="14610" max="14610" width="17.7109375" bestFit="1" customWidth="1"/>
    <col min="14611" max="14611" width="16.28515625" bestFit="1" customWidth="1"/>
    <col min="14612"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85546875" bestFit="1" customWidth="1"/>
    <col min="14853" max="14853" width="16.28515625" bestFit="1" customWidth="1"/>
    <col min="14854" max="14854" width="20" bestFit="1" customWidth="1"/>
    <col min="14855" max="14855" width="13.42578125" customWidth="1"/>
    <col min="14856" max="14856" width="15.42578125" bestFit="1" customWidth="1"/>
    <col min="14857" max="14857" width="14.28515625" bestFit="1" customWidth="1"/>
    <col min="14858" max="14858" width="15.28515625" customWidth="1"/>
    <col min="14859" max="14859" width="15.85546875" customWidth="1"/>
    <col min="14860" max="14860" width="17.140625" bestFit="1" customWidth="1"/>
    <col min="14861" max="14861" width="12.7109375" customWidth="1"/>
    <col min="14862" max="14862" width="13.7109375" customWidth="1"/>
    <col min="14863" max="14863" width="17" bestFit="1" customWidth="1"/>
    <col min="14864" max="14864" width="16.28515625" bestFit="1" customWidth="1"/>
    <col min="14865" max="14865" width="16.140625" customWidth="1"/>
    <col min="14866" max="14866" width="17.7109375" bestFit="1" customWidth="1"/>
    <col min="14867" max="14867" width="16.28515625" bestFit="1" customWidth="1"/>
    <col min="14868"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85546875" bestFit="1" customWidth="1"/>
    <col min="15109" max="15109" width="16.28515625" bestFit="1" customWidth="1"/>
    <col min="15110" max="15110" width="20" bestFit="1" customWidth="1"/>
    <col min="15111" max="15111" width="13.42578125" customWidth="1"/>
    <col min="15112" max="15112" width="15.42578125" bestFit="1" customWidth="1"/>
    <col min="15113" max="15113" width="14.28515625" bestFit="1" customWidth="1"/>
    <col min="15114" max="15114" width="15.28515625" customWidth="1"/>
    <col min="15115" max="15115" width="15.85546875" customWidth="1"/>
    <col min="15116" max="15116" width="17.140625" bestFit="1" customWidth="1"/>
    <col min="15117" max="15117" width="12.7109375" customWidth="1"/>
    <col min="15118" max="15118" width="13.7109375" customWidth="1"/>
    <col min="15119" max="15119" width="17" bestFit="1" customWidth="1"/>
    <col min="15120" max="15120" width="16.28515625" bestFit="1" customWidth="1"/>
    <col min="15121" max="15121" width="16.140625" customWidth="1"/>
    <col min="15122" max="15122" width="17.7109375" bestFit="1" customWidth="1"/>
    <col min="15123" max="15123" width="16.28515625" bestFit="1" customWidth="1"/>
    <col min="15124"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85546875" bestFit="1" customWidth="1"/>
    <col min="15365" max="15365" width="16.28515625" bestFit="1" customWidth="1"/>
    <col min="15366" max="15366" width="20" bestFit="1" customWidth="1"/>
    <col min="15367" max="15367" width="13.42578125" customWidth="1"/>
    <col min="15368" max="15368" width="15.42578125" bestFit="1" customWidth="1"/>
    <col min="15369" max="15369" width="14.28515625" bestFit="1" customWidth="1"/>
    <col min="15370" max="15370" width="15.28515625" customWidth="1"/>
    <col min="15371" max="15371" width="15.85546875" customWidth="1"/>
    <col min="15372" max="15372" width="17.140625" bestFit="1" customWidth="1"/>
    <col min="15373" max="15373" width="12.7109375" customWidth="1"/>
    <col min="15374" max="15374" width="13.7109375" customWidth="1"/>
    <col min="15375" max="15375" width="17" bestFit="1" customWidth="1"/>
    <col min="15376" max="15376" width="16.28515625" bestFit="1" customWidth="1"/>
    <col min="15377" max="15377" width="16.140625" customWidth="1"/>
    <col min="15378" max="15378" width="17.7109375" bestFit="1" customWidth="1"/>
    <col min="15379" max="15379" width="16.28515625" bestFit="1" customWidth="1"/>
    <col min="15380"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85546875" bestFit="1" customWidth="1"/>
    <col min="15621" max="15621" width="16.28515625" bestFit="1" customWidth="1"/>
    <col min="15622" max="15622" width="20" bestFit="1" customWidth="1"/>
    <col min="15623" max="15623" width="13.42578125" customWidth="1"/>
    <col min="15624" max="15624" width="15.42578125" bestFit="1" customWidth="1"/>
    <col min="15625" max="15625" width="14.28515625" bestFit="1" customWidth="1"/>
    <col min="15626" max="15626" width="15.28515625" customWidth="1"/>
    <col min="15627" max="15627" width="15.85546875" customWidth="1"/>
    <col min="15628" max="15628" width="17.140625" bestFit="1" customWidth="1"/>
    <col min="15629" max="15629" width="12.7109375" customWidth="1"/>
    <col min="15630" max="15630" width="13.7109375" customWidth="1"/>
    <col min="15631" max="15631" width="17" bestFit="1" customWidth="1"/>
    <col min="15632" max="15632" width="16.28515625" bestFit="1" customWidth="1"/>
    <col min="15633" max="15633" width="16.140625" customWidth="1"/>
    <col min="15634" max="15634" width="17.7109375" bestFit="1" customWidth="1"/>
    <col min="15635" max="15635" width="16.28515625" bestFit="1" customWidth="1"/>
    <col min="15636"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85546875" bestFit="1" customWidth="1"/>
    <col min="15877" max="15877" width="16.28515625" bestFit="1" customWidth="1"/>
    <col min="15878" max="15878" width="20" bestFit="1" customWidth="1"/>
    <col min="15879" max="15879" width="13.42578125" customWidth="1"/>
    <col min="15880" max="15880" width="15.42578125" bestFit="1" customWidth="1"/>
    <col min="15881" max="15881" width="14.28515625" bestFit="1" customWidth="1"/>
    <col min="15882" max="15882" width="15.28515625" customWidth="1"/>
    <col min="15883" max="15883" width="15.85546875" customWidth="1"/>
    <col min="15884" max="15884" width="17.140625" bestFit="1" customWidth="1"/>
    <col min="15885" max="15885" width="12.7109375" customWidth="1"/>
    <col min="15886" max="15886" width="13.7109375" customWidth="1"/>
    <col min="15887" max="15887" width="17" bestFit="1" customWidth="1"/>
    <col min="15888" max="15888" width="16.28515625" bestFit="1" customWidth="1"/>
    <col min="15889" max="15889" width="16.140625" customWidth="1"/>
    <col min="15890" max="15890" width="17.7109375" bestFit="1" customWidth="1"/>
    <col min="15891" max="15891" width="16.28515625" bestFit="1" customWidth="1"/>
    <col min="15892"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85546875" bestFit="1" customWidth="1"/>
    <col min="16133" max="16133" width="16.28515625" bestFit="1" customWidth="1"/>
    <col min="16134" max="16134" width="20" bestFit="1" customWidth="1"/>
    <col min="16135" max="16135" width="13.42578125" customWidth="1"/>
    <col min="16136" max="16136" width="15.42578125" bestFit="1" customWidth="1"/>
    <col min="16137" max="16137" width="14.28515625" bestFit="1" customWidth="1"/>
    <col min="16138" max="16138" width="15.28515625" customWidth="1"/>
    <col min="16139" max="16139" width="15.85546875" customWidth="1"/>
    <col min="16140" max="16140" width="17.140625" bestFit="1" customWidth="1"/>
    <col min="16141" max="16141" width="12.7109375" customWidth="1"/>
    <col min="16142" max="16142" width="13.7109375" customWidth="1"/>
    <col min="16143" max="16143" width="17" bestFit="1" customWidth="1"/>
    <col min="16144" max="16144" width="16.28515625" bestFit="1" customWidth="1"/>
    <col min="16145" max="16145" width="16.140625" customWidth="1"/>
    <col min="16146" max="16146" width="17.7109375" bestFit="1" customWidth="1"/>
    <col min="16147" max="16147" width="16.28515625" bestFit="1" customWidth="1"/>
    <col min="16148"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461"/>
      <c r="F1" s="198"/>
      <c r="G1" s="198">
        <f>C3</f>
        <v>18230486</v>
      </c>
      <c r="H1" s="198" t="str">
        <f>C4</f>
        <v>Multi-Family New Construction Elect</v>
      </c>
      <c r="I1" s="198"/>
    </row>
    <row r="2" spans="2:22" ht="16.5" thickBot="1">
      <c r="B2" s="198" t="s">
        <v>109</v>
      </c>
      <c r="C2" s="199" t="s">
        <v>541</v>
      </c>
      <c r="G2" s="200" t="s">
        <v>8</v>
      </c>
      <c r="Q2" s="5133"/>
      <c r="R2" s="5133"/>
      <c r="S2" s="5124" t="s">
        <v>110</v>
      </c>
      <c r="T2" s="5125"/>
      <c r="U2" s="5126"/>
      <c r="V2" s="5118" t="s">
        <v>111</v>
      </c>
    </row>
    <row r="3" spans="2:22" ht="16.5" thickBot="1">
      <c r="B3" s="199" t="s">
        <v>6</v>
      </c>
      <c r="C3" s="199">
        <v>18230486</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542</v>
      </c>
      <c r="F4" s="198">
        <v>2011</v>
      </c>
      <c r="G4" s="206">
        <f>B13</f>
        <v>78600</v>
      </c>
      <c r="H4" s="207">
        <f>B18</f>
        <v>9600</v>
      </c>
      <c r="I4" s="207">
        <f>B23</f>
        <v>55556</v>
      </c>
      <c r="J4" s="207">
        <f>B28</f>
        <v>22950</v>
      </c>
      <c r="K4" s="207">
        <f>B33</f>
        <v>1200</v>
      </c>
      <c r="L4" s="207">
        <f>B38</f>
        <v>3000</v>
      </c>
      <c r="M4" s="207">
        <f>B43</f>
        <v>120</v>
      </c>
      <c r="N4" s="207">
        <f>B48</f>
        <v>3000</v>
      </c>
      <c r="O4" s="207">
        <f>B53</f>
        <v>534500</v>
      </c>
      <c r="P4" s="207">
        <f>B54</f>
        <v>0</v>
      </c>
      <c r="Q4" s="209">
        <f>B55</f>
        <v>708526</v>
      </c>
      <c r="R4" s="210">
        <f>T55</f>
        <v>0</v>
      </c>
      <c r="S4" s="316">
        <f>O4/Q4</f>
        <v>0.7543830431063927</v>
      </c>
      <c r="T4" s="316">
        <f>(J4+(H4*1.63))/Q4</f>
        <v>5.4476476516034697E-2</v>
      </c>
      <c r="U4" s="316">
        <f>L4/Q4</f>
        <v>4.2341424309058524E-3</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317" t="e">
        <f>O5/Q5</f>
        <v>#DIV/0!</v>
      </c>
      <c r="T5" s="317" t="e">
        <f>(J5+(H5*1.63))/Q5</f>
        <v>#DIV/0!</v>
      </c>
      <c r="U5" s="317" t="e">
        <f>L5/Q5</f>
        <v>#DIV/0!</v>
      </c>
      <c r="V5" s="218" t="e">
        <f>Q5/R5</f>
        <v>#DIV/0!</v>
      </c>
    </row>
    <row r="6" spans="2:22" s="3532" customFormat="1" ht="16.5" thickBot="1">
      <c r="B6" s="3536"/>
      <c r="D6" s="3533"/>
      <c r="F6" s="4249" t="s">
        <v>1168</v>
      </c>
      <c r="G6" s="4241">
        <v>166678</v>
      </c>
      <c r="H6" s="4242">
        <v>15760</v>
      </c>
      <c r="I6" s="4242">
        <v>114935.94</v>
      </c>
      <c r="J6" s="4242">
        <v>33750</v>
      </c>
      <c r="K6" s="4242">
        <v>2340</v>
      </c>
      <c r="L6" s="4242">
        <v>200</v>
      </c>
      <c r="M6" s="4242">
        <v>100</v>
      </c>
      <c r="N6" s="4242">
        <v>5240</v>
      </c>
      <c r="O6" s="4242">
        <v>321369.29399999999</v>
      </c>
      <c r="P6" s="4242">
        <v>0</v>
      </c>
      <c r="Q6" s="4243">
        <v>660373.23399999994</v>
      </c>
      <c r="R6" s="219">
        <v>954788.15511999989</v>
      </c>
      <c r="S6" s="3637">
        <v>0.48664797035065782</v>
      </c>
      <c r="T6" s="3637">
        <v>9.0007887872693537E-2</v>
      </c>
      <c r="U6" s="3637">
        <v>3.0285903441083442E-4</v>
      </c>
      <c r="V6" s="3498">
        <v>0.69164372270307728</v>
      </c>
    </row>
    <row r="7" spans="2:22" ht="16.5" thickBot="1">
      <c r="C7" s="198" t="s">
        <v>512</v>
      </c>
      <c r="F7" s="4191" t="s">
        <v>1169</v>
      </c>
      <c r="G7" s="4192">
        <f>E13</f>
        <v>166678</v>
      </c>
      <c r="H7" s="4193">
        <f>E18</f>
        <v>15760</v>
      </c>
      <c r="I7" s="4193">
        <f>E23</f>
        <v>128983.666</v>
      </c>
      <c r="J7" s="4193">
        <f>E28</f>
        <v>33750</v>
      </c>
      <c r="K7" s="4193">
        <f>E33</f>
        <v>2340</v>
      </c>
      <c r="L7" s="4193">
        <f>E38</f>
        <v>200</v>
      </c>
      <c r="M7" s="4193">
        <f>E43</f>
        <v>100</v>
      </c>
      <c r="N7" s="4193">
        <f>E48</f>
        <v>5240</v>
      </c>
      <c r="O7" s="4193">
        <f>E53</f>
        <v>321369.29399999999</v>
      </c>
      <c r="P7" s="4193">
        <f>E54</f>
        <v>0</v>
      </c>
      <c r="Q7" s="4244">
        <f>SUM(G7:P7)</f>
        <v>674420.96</v>
      </c>
      <c r="R7" s="4245">
        <f>Q55</f>
        <v>954788.15511999989</v>
      </c>
      <c r="S7" s="317">
        <f>O7/Q7</f>
        <v>0.47651142692836834</v>
      </c>
      <c r="T7" s="317">
        <f>(J7+(H7*1.63))/Q7</f>
        <v>8.8133085306245529E-2</v>
      </c>
      <c r="U7" s="317">
        <f>L7/Q7</f>
        <v>2.9655068846021632E-4</v>
      </c>
      <c r="V7" s="218">
        <f>Q7/R7</f>
        <v>0.70635664716141899</v>
      </c>
    </row>
    <row r="8" spans="2:22" ht="16.5" thickBot="1">
      <c r="C8" s="220" t="s">
        <v>513</v>
      </c>
      <c r="F8" s="221" t="s">
        <v>1170</v>
      </c>
      <c r="G8" s="222">
        <f>SUM(G5+G7)</f>
        <v>166678</v>
      </c>
      <c r="H8" s="222">
        <f t="shared" ref="H8:R8" si="0">SUM(H5+H7)</f>
        <v>15760</v>
      </c>
      <c r="I8" s="222">
        <f t="shared" si="0"/>
        <v>128983.666</v>
      </c>
      <c r="J8" s="222">
        <f t="shared" si="0"/>
        <v>33750</v>
      </c>
      <c r="K8" s="222">
        <f t="shared" si="0"/>
        <v>2340</v>
      </c>
      <c r="L8" s="222">
        <f t="shared" si="0"/>
        <v>200</v>
      </c>
      <c r="M8" s="222">
        <f t="shared" si="0"/>
        <v>100</v>
      </c>
      <c r="N8" s="222">
        <f t="shared" si="0"/>
        <v>5240</v>
      </c>
      <c r="O8" s="222">
        <f t="shared" si="0"/>
        <v>321369.29399999999</v>
      </c>
      <c r="P8" s="222">
        <f t="shared" si="0"/>
        <v>0</v>
      </c>
      <c r="Q8" s="4248">
        <f t="shared" si="0"/>
        <v>674420.96</v>
      </c>
      <c r="R8" s="223">
        <f t="shared" si="0"/>
        <v>954788.15511999989</v>
      </c>
      <c r="S8" s="317">
        <f>O8/Q8</f>
        <v>0.47651142692836834</v>
      </c>
      <c r="T8" s="317">
        <f>(J8+(H8*1.63))/Q8</f>
        <v>8.8133085306245529E-2</v>
      </c>
      <c r="U8" s="317">
        <f>L8/Q8</f>
        <v>2.9655068846021632E-4</v>
      </c>
      <c r="V8" s="218">
        <f>Q8/R8</f>
        <v>0.70635664716141899</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78600</v>
      </c>
      <c r="C13" s="236" t="s">
        <v>138</v>
      </c>
      <c r="D13" s="237">
        <f>SUM(D14:D17)</f>
        <v>0</v>
      </c>
      <c r="E13" s="237">
        <f>SUM(E14:E17)</f>
        <v>166678</v>
      </c>
      <c r="F13" s="238">
        <f>D13+E13</f>
        <v>166678</v>
      </c>
      <c r="H13" s="132"/>
      <c r="I13" s="239" t="str">
        <f t="shared" ref="I13:I54" si="1">C63</f>
        <v>Clothes Washer MEF 2.2 - 2.45 WF 4.5 - EWH/Edryer</v>
      </c>
      <c r="J13" s="240"/>
      <c r="K13" s="241"/>
      <c r="L13" s="242">
        <f t="shared" ref="L13:L54" si="2">D63</f>
        <v>149</v>
      </c>
      <c r="M13" s="3450">
        <v>0</v>
      </c>
      <c r="N13" s="4844">
        <v>300</v>
      </c>
      <c r="O13" s="352">
        <f>M13+N13</f>
        <v>300</v>
      </c>
      <c r="P13" s="245">
        <f t="shared" ref="P13:R28" si="3">M13*$D63</f>
        <v>0</v>
      </c>
      <c r="Q13" s="245">
        <f t="shared" si="3"/>
        <v>44700</v>
      </c>
      <c r="R13" s="246">
        <f t="shared" si="3"/>
        <v>44700</v>
      </c>
      <c r="T13" s="4891"/>
    </row>
    <row r="14" spans="2:22">
      <c r="B14" s="247"/>
      <c r="C14" s="248" t="s">
        <v>514</v>
      </c>
      <c r="D14" s="2329">
        <v>0</v>
      </c>
      <c r="E14" s="2329">
        <v>166678</v>
      </c>
      <c r="F14" s="249">
        <f>SUM(D14:E14)</f>
        <v>166678</v>
      </c>
      <c r="H14" s="132"/>
      <c r="I14" s="250" t="str">
        <f t="shared" si="1"/>
        <v>Clothes Washer MEF 2.46+ WF 4- EWH/Edryer</v>
      </c>
      <c r="J14" s="251"/>
      <c r="K14" s="252"/>
      <c r="L14" s="242">
        <f t="shared" si="2"/>
        <v>219</v>
      </c>
      <c r="M14" s="3450">
        <v>0</v>
      </c>
      <c r="N14" s="4844">
        <v>50</v>
      </c>
      <c r="O14" s="352">
        <f t="shared" ref="O14:O54" si="4">M14+N14</f>
        <v>50</v>
      </c>
      <c r="P14" s="245">
        <f t="shared" si="3"/>
        <v>0</v>
      </c>
      <c r="Q14" s="245">
        <f t="shared" si="3"/>
        <v>10950</v>
      </c>
      <c r="R14" s="246">
        <f t="shared" si="3"/>
        <v>10950</v>
      </c>
      <c r="T14" s="4891"/>
    </row>
    <row r="15" spans="2:22">
      <c r="B15" s="254"/>
      <c r="C15" s="255" t="s">
        <v>140</v>
      </c>
      <c r="D15" s="256">
        <v>0</v>
      </c>
      <c r="E15" s="256"/>
      <c r="F15" s="249">
        <f t="shared" ref="F15:F25" si="5">SUM(D15:E15)</f>
        <v>0</v>
      </c>
      <c r="H15" s="132"/>
      <c r="I15" s="250" t="str">
        <f t="shared" si="1"/>
        <v>Energy Star Refrigerator</v>
      </c>
      <c r="J15" s="251"/>
      <c r="K15" s="252"/>
      <c r="L15" s="242">
        <f t="shared" si="2"/>
        <v>44</v>
      </c>
      <c r="M15" s="3450">
        <v>0</v>
      </c>
      <c r="N15" s="4844">
        <v>614</v>
      </c>
      <c r="O15" s="352">
        <f t="shared" si="4"/>
        <v>614</v>
      </c>
      <c r="P15" s="245">
        <f t="shared" si="3"/>
        <v>0</v>
      </c>
      <c r="Q15" s="245">
        <f t="shared" si="3"/>
        <v>27016</v>
      </c>
      <c r="R15" s="246">
        <f t="shared" si="3"/>
        <v>27016</v>
      </c>
      <c r="T15" s="4891"/>
    </row>
    <row r="16" spans="2:22">
      <c r="B16" s="254"/>
      <c r="C16" s="255" t="s">
        <v>141</v>
      </c>
      <c r="D16" s="258">
        <v>0</v>
      </c>
      <c r="E16" s="258"/>
      <c r="F16" s="249">
        <f t="shared" si="5"/>
        <v>0</v>
      </c>
      <c r="H16" s="132"/>
      <c r="I16" s="250" t="str">
        <f t="shared" si="1"/>
        <v>Windows U-0.30 or better ESH High Rise Metal Frame</v>
      </c>
      <c r="J16" s="251"/>
      <c r="K16" s="252"/>
      <c r="L16" s="242">
        <f t="shared" si="2"/>
        <v>1.758</v>
      </c>
      <c r="M16" s="3450">
        <v>0</v>
      </c>
      <c r="N16" s="4841">
        <v>28687</v>
      </c>
      <c r="O16" s="352">
        <f t="shared" si="4"/>
        <v>28687</v>
      </c>
      <c r="P16" s="245">
        <f t="shared" si="3"/>
        <v>0</v>
      </c>
      <c r="Q16" s="245">
        <f t="shared" si="3"/>
        <v>50431.745999999999</v>
      </c>
      <c r="R16" s="246">
        <f t="shared" si="3"/>
        <v>50431.745999999999</v>
      </c>
      <c r="T16" s="4891"/>
    </row>
    <row r="17" spans="2:20" ht="13.5" thickBot="1">
      <c r="B17" s="254"/>
      <c r="C17" s="255" t="s">
        <v>142</v>
      </c>
      <c r="D17" s="258">
        <v>0</v>
      </c>
      <c r="E17" s="258"/>
      <c r="F17" s="249">
        <f t="shared" si="5"/>
        <v>0</v>
      </c>
      <c r="H17" s="132"/>
      <c r="I17" s="250" t="str">
        <f t="shared" si="1"/>
        <v>Heat Recovery - Elec Res no Cooling-HighRise</v>
      </c>
      <c r="J17" s="251"/>
      <c r="K17" s="252"/>
      <c r="L17" s="242">
        <f t="shared" si="2"/>
        <v>1.3180000000000001</v>
      </c>
      <c r="M17" s="3450">
        <v>0</v>
      </c>
      <c r="N17" s="4841">
        <v>1000</v>
      </c>
      <c r="O17" s="352">
        <f t="shared" si="4"/>
        <v>1000</v>
      </c>
      <c r="P17" s="245">
        <f t="shared" si="3"/>
        <v>0</v>
      </c>
      <c r="Q17" s="245">
        <f t="shared" si="3"/>
        <v>1318</v>
      </c>
      <c r="R17" s="246">
        <f t="shared" si="3"/>
        <v>1318</v>
      </c>
      <c r="T17" s="4891"/>
    </row>
    <row r="18" spans="2:20" ht="13.5" thickBot="1">
      <c r="B18" s="262">
        <v>9600</v>
      </c>
      <c r="C18" s="236" t="s">
        <v>143</v>
      </c>
      <c r="D18" s="237">
        <f>SUM(D19:D22)</f>
        <v>0</v>
      </c>
      <c r="E18" s="237">
        <f>SUM(E19:E22)</f>
        <v>15760</v>
      </c>
      <c r="F18" s="238">
        <f>D18+E18</f>
        <v>15760</v>
      </c>
      <c r="H18" s="132"/>
      <c r="I18" s="250" t="str">
        <f t="shared" si="1"/>
        <v>Heat Recovery - Elec Res no Cooling-LowRise</v>
      </c>
      <c r="J18" s="251"/>
      <c r="K18" s="252"/>
      <c r="L18" s="242">
        <f t="shared" si="2"/>
        <v>0.85799999999999998</v>
      </c>
      <c r="M18" s="3450">
        <v>0</v>
      </c>
      <c r="N18" s="4841">
        <v>1000</v>
      </c>
      <c r="O18" s="352">
        <f t="shared" si="4"/>
        <v>1000</v>
      </c>
      <c r="P18" s="245">
        <f t="shared" si="3"/>
        <v>0</v>
      </c>
      <c r="Q18" s="245">
        <f t="shared" si="3"/>
        <v>858</v>
      </c>
      <c r="R18" s="246">
        <f t="shared" si="3"/>
        <v>858</v>
      </c>
      <c r="T18" s="4891"/>
    </row>
    <row r="19" spans="2:20">
      <c r="B19" s="247"/>
      <c r="C19" s="248" t="s">
        <v>10</v>
      </c>
      <c r="D19" s="2330">
        <v>0</v>
      </c>
      <c r="E19" s="2330">
        <v>15760</v>
      </c>
      <c r="F19" s="249">
        <f t="shared" si="5"/>
        <v>15760</v>
      </c>
      <c r="H19" s="132"/>
      <c r="I19" s="250" t="str">
        <f t="shared" si="1"/>
        <v>Air-to-Air Heat Pump 2011</v>
      </c>
      <c r="J19" s="251"/>
      <c r="K19" s="252"/>
      <c r="L19" s="242">
        <f t="shared" si="2"/>
        <v>1.3720000000000001</v>
      </c>
      <c r="M19" s="3450">
        <v>0</v>
      </c>
      <c r="N19" s="4844">
        <v>40000</v>
      </c>
      <c r="O19" s="352">
        <f t="shared" si="4"/>
        <v>40000</v>
      </c>
      <c r="P19" s="245">
        <f t="shared" si="3"/>
        <v>0</v>
      </c>
      <c r="Q19" s="245">
        <f t="shared" si="3"/>
        <v>54880.000000000007</v>
      </c>
      <c r="R19" s="246">
        <f t="shared" si="3"/>
        <v>54880.000000000007</v>
      </c>
      <c r="T19" s="4891"/>
    </row>
    <row r="20" spans="2:20">
      <c r="B20" s="254"/>
      <c r="C20" s="255" t="s">
        <v>140</v>
      </c>
      <c r="D20" s="256">
        <v>0</v>
      </c>
      <c r="E20" s="256"/>
      <c r="F20" s="249">
        <f t="shared" si="5"/>
        <v>0</v>
      </c>
      <c r="H20" s="132"/>
      <c r="I20" s="250" t="str">
        <f t="shared" si="1"/>
        <v>Package Terminal Heat Pump Low Rise</v>
      </c>
      <c r="J20" s="251"/>
      <c r="K20" s="252"/>
      <c r="L20" s="242">
        <f t="shared" si="2"/>
        <v>592.04300000000001</v>
      </c>
      <c r="M20" s="3450">
        <v>0</v>
      </c>
      <c r="N20" s="4844">
        <v>100</v>
      </c>
      <c r="O20" s="352">
        <f t="shared" si="4"/>
        <v>100</v>
      </c>
      <c r="P20" s="245">
        <f t="shared" si="3"/>
        <v>0</v>
      </c>
      <c r="Q20" s="245">
        <f t="shared" si="3"/>
        <v>59204.3</v>
      </c>
      <c r="R20" s="246">
        <f t="shared" si="3"/>
        <v>59204.3</v>
      </c>
      <c r="T20" s="4891"/>
    </row>
    <row r="21" spans="2:20">
      <c r="B21" s="254"/>
      <c r="C21" s="255" t="s">
        <v>141</v>
      </c>
      <c r="D21" s="258">
        <v>0</v>
      </c>
      <c r="E21" s="258"/>
      <c r="F21" s="249">
        <f t="shared" si="5"/>
        <v>0</v>
      </c>
      <c r="H21" s="132"/>
      <c r="I21" s="250" t="str">
        <f t="shared" si="1"/>
        <v>Package Terminal Heat Pump Low Rise Townhome</v>
      </c>
      <c r="J21" s="251"/>
      <c r="K21" s="252"/>
      <c r="L21" s="242">
        <f t="shared" si="2"/>
        <v>1209</v>
      </c>
      <c r="M21" s="3450">
        <v>0</v>
      </c>
      <c r="N21" s="4844">
        <v>20</v>
      </c>
      <c r="O21" s="352">
        <f t="shared" si="4"/>
        <v>20</v>
      </c>
      <c r="P21" s="245">
        <f t="shared" si="3"/>
        <v>0</v>
      </c>
      <c r="Q21" s="245">
        <f t="shared" si="3"/>
        <v>24180</v>
      </c>
      <c r="R21" s="246">
        <f t="shared" si="3"/>
        <v>24180</v>
      </c>
      <c r="T21" s="4891"/>
    </row>
    <row r="22" spans="2:20" ht="13.5" thickBot="1">
      <c r="B22" s="254"/>
      <c r="C22" s="255" t="s">
        <v>142</v>
      </c>
      <c r="D22" s="258">
        <v>0</v>
      </c>
      <c r="E22" s="258"/>
      <c r="F22" s="249">
        <f t="shared" si="5"/>
        <v>0</v>
      </c>
      <c r="H22" s="132"/>
      <c r="I22" s="250" t="str">
        <f t="shared" si="1"/>
        <v>Energy Star hard-wired CFL fixture - TCt 69</v>
      </c>
      <c r="J22" s="251"/>
      <c r="K22" s="252"/>
      <c r="L22" s="242">
        <f t="shared" si="2"/>
        <v>49</v>
      </c>
      <c r="M22" s="3450">
        <v>0</v>
      </c>
      <c r="N22" s="4844">
        <v>4989</v>
      </c>
      <c r="O22" s="352">
        <f t="shared" si="4"/>
        <v>4989</v>
      </c>
      <c r="P22" s="245">
        <f t="shared" si="3"/>
        <v>0</v>
      </c>
      <c r="Q22" s="245">
        <f t="shared" si="3"/>
        <v>244461</v>
      </c>
      <c r="R22" s="246">
        <f t="shared" si="3"/>
        <v>244461</v>
      </c>
      <c r="T22" s="4891"/>
    </row>
    <row r="23" spans="2:20" ht="13.5" thickBot="1">
      <c r="B23" s="262">
        <v>55556</v>
      </c>
      <c r="C23" s="236" t="s">
        <v>144</v>
      </c>
      <c r="D23" s="237">
        <f>SUM(D24:D27)</f>
        <v>0</v>
      </c>
      <c r="E23" s="237">
        <f>SUM(E24:E27)</f>
        <v>128983.666</v>
      </c>
      <c r="F23" s="238">
        <f>D23+E23</f>
        <v>128983.666</v>
      </c>
      <c r="G23" s="53"/>
      <c r="H23" s="132"/>
      <c r="I23" s="250" t="str">
        <f t="shared" si="1"/>
        <v xml:space="preserve">Corridor Lighting Reduction </v>
      </c>
      <c r="J23" s="251"/>
      <c r="K23" s="252"/>
      <c r="L23" s="242">
        <f t="shared" si="2"/>
        <v>7.0080000000000003E-2</v>
      </c>
      <c r="M23" s="3450">
        <v>0</v>
      </c>
      <c r="N23" s="4841">
        <v>2037642</v>
      </c>
      <c r="O23" s="352">
        <f t="shared" si="4"/>
        <v>2037642</v>
      </c>
      <c r="P23" s="245">
        <f t="shared" si="3"/>
        <v>0</v>
      </c>
      <c r="Q23" s="245">
        <f t="shared" si="3"/>
        <v>142797.95136000001</v>
      </c>
      <c r="R23" s="246">
        <f t="shared" si="3"/>
        <v>142797.95136000001</v>
      </c>
      <c r="T23" s="4891"/>
    </row>
    <row r="24" spans="2:20">
      <c r="B24" s="247"/>
      <c r="C24" s="3566" t="s">
        <v>1434</v>
      </c>
      <c r="D24" s="249">
        <f>0.63*D13</f>
        <v>0</v>
      </c>
      <c r="E24" s="249">
        <f>0.707*E13</f>
        <v>117841.34599999999</v>
      </c>
      <c r="F24" s="249">
        <f t="shared" si="5"/>
        <v>117841.34599999999</v>
      </c>
      <c r="H24" s="132"/>
      <c r="I24" s="250" t="str">
        <f t="shared" si="1"/>
        <v>Stairwell bi-level &gt;= 10 floors</v>
      </c>
      <c r="J24" s="251"/>
      <c r="K24" s="252"/>
      <c r="L24" s="242">
        <f t="shared" si="2"/>
        <v>379</v>
      </c>
      <c r="M24" s="3450">
        <v>0</v>
      </c>
      <c r="N24" s="4841">
        <v>30</v>
      </c>
      <c r="O24" s="352">
        <f t="shared" si="4"/>
        <v>30</v>
      </c>
      <c r="P24" s="245">
        <f t="shared" si="3"/>
        <v>0</v>
      </c>
      <c r="Q24" s="245">
        <f t="shared" si="3"/>
        <v>11370</v>
      </c>
      <c r="R24" s="246">
        <f t="shared" si="3"/>
        <v>11370</v>
      </c>
      <c r="T24" s="4891"/>
    </row>
    <row r="25" spans="2:20">
      <c r="B25" s="247"/>
      <c r="C25" s="3566" t="s">
        <v>1435</v>
      </c>
      <c r="D25" s="256">
        <f>0.63*D18</f>
        <v>0</v>
      </c>
      <c r="E25" s="256">
        <f>0.707*E18</f>
        <v>11142.32</v>
      </c>
      <c r="F25" s="249">
        <f t="shared" si="5"/>
        <v>11142.32</v>
      </c>
      <c r="H25" s="132"/>
      <c r="I25" s="250" t="str">
        <f t="shared" si="1"/>
        <v>Stairwell bi-level &gt;3 &lt;10 floors</v>
      </c>
      <c r="J25" s="251"/>
      <c r="K25" s="252"/>
      <c r="L25" s="242">
        <f t="shared" si="2"/>
        <v>203</v>
      </c>
      <c r="M25" s="2328">
        <v>0</v>
      </c>
      <c r="N25" s="4841">
        <v>98</v>
      </c>
      <c r="O25" s="352">
        <f t="shared" si="4"/>
        <v>98</v>
      </c>
      <c r="P25" s="245">
        <f t="shared" si="3"/>
        <v>0</v>
      </c>
      <c r="Q25" s="245">
        <f t="shared" si="3"/>
        <v>19894</v>
      </c>
      <c r="R25" s="246">
        <f t="shared" si="3"/>
        <v>19894</v>
      </c>
      <c r="T25" s="4891"/>
    </row>
    <row r="26" spans="2:20">
      <c r="B26" s="254"/>
      <c r="C26" s="255"/>
      <c r="D26" s="258"/>
      <c r="E26" s="258"/>
      <c r="F26" s="258"/>
      <c r="H26" s="132"/>
      <c r="I26" s="250" t="str">
        <f t="shared" si="1"/>
        <v>Garage Lighting Reduction 2011</v>
      </c>
      <c r="J26" s="251"/>
      <c r="K26" s="252"/>
      <c r="L26" s="242">
        <f t="shared" si="2"/>
        <v>1.7520000000000001E-2</v>
      </c>
      <c r="M26" s="2328">
        <v>0</v>
      </c>
      <c r="N26" s="4841">
        <v>8630888</v>
      </c>
      <c r="O26" s="352">
        <f t="shared" si="4"/>
        <v>8630888</v>
      </c>
      <c r="P26" s="245">
        <f t="shared" si="3"/>
        <v>0</v>
      </c>
      <c r="Q26" s="245">
        <f t="shared" si="3"/>
        <v>151213.15776</v>
      </c>
      <c r="R26" s="246">
        <f t="shared" si="3"/>
        <v>151213.15776</v>
      </c>
      <c r="T26" s="4891"/>
    </row>
    <row r="27" spans="2:20" ht="13.5" thickBot="1">
      <c r="B27" s="254"/>
      <c r="C27" s="255"/>
      <c r="D27" s="258"/>
      <c r="E27" s="258"/>
      <c r="F27" s="258"/>
      <c r="H27" s="132"/>
      <c r="I27" s="250" t="str">
        <f t="shared" si="1"/>
        <v>Drain Water Heat Recovery</v>
      </c>
      <c r="J27" s="251"/>
      <c r="K27" s="252"/>
      <c r="L27" s="242">
        <f t="shared" si="2"/>
        <v>373</v>
      </c>
      <c r="M27" s="2328">
        <v>0</v>
      </c>
      <c r="N27" s="4841">
        <v>100</v>
      </c>
      <c r="O27" s="352">
        <f t="shared" si="4"/>
        <v>100</v>
      </c>
      <c r="P27" s="245">
        <f t="shared" si="3"/>
        <v>0</v>
      </c>
      <c r="Q27" s="245">
        <f t="shared" si="3"/>
        <v>37300</v>
      </c>
      <c r="R27" s="246">
        <f t="shared" si="3"/>
        <v>37300</v>
      </c>
      <c r="T27" s="4891"/>
    </row>
    <row r="28" spans="2:20" ht="13.5" thickBot="1">
      <c r="B28" s="262">
        <v>22950</v>
      </c>
      <c r="C28" s="236" t="s">
        <v>145</v>
      </c>
      <c r="D28" s="237">
        <f>SUM(D29:D32)</f>
        <v>0</v>
      </c>
      <c r="E28" s="237">
        <f>SUM(E29:E32)</f>
        <v>33750</v>
      </c>
      <c r="F28" s="238">
        <f>D28+E28</f>
        <v>33750</v>
      </c>
      <c r="H28" s="132"/>
      <c r="I28" s="250" t="str">
        <f t="shared" si="1"/>
        <v>Showerhead - Max 2.0 gpm EWH</v>
      </c>
      <c r="J28" s="251"/>
      <c r="K28" s="252"/>
      <c r="L28" s="242">
        <f t="shared" si="2"/>
        <v>114</v>
      </c>
      <c r="M28" s="2328">
        <v>0</v>
      </c>
      <c r="N28" s="4843">
        <v>651</v>
      </c>
      <c r="O28" s="352">
        <f t="shared" si="4"/>
        <v>651</v>
      </c>
      <c r="P28" s="245">
        <f t="shared" si="3"/>
        <v>0</v>
      </c>
      <c r="Q28" s="245">
        <f t="shared" si="3"/>
        <v>74214</v>
      </c>
      <c r="R28" s="246">
        <f t="shared" si="3"/>
        <v>74214</v>
      </c>
      <c r="T28" s="4891"/>
    </row>
    <row r="29" spans="2:20">
      <c r="B29" s="247"/>
      <c r="C29" s="248" t="s">
        <v>515</v>
      </c>
      <c r="D29" s="249">
        <v>0</v>
      </c>
      <c r="E29" s="249">
        <v>33750</v>
      </c>
      <c r="F29" s="249">
        <f t="shared" ref="F29:F37" si="6">SUM(D29:E29)</f>
        <v>33750</v>
      </c>
      <c r="H29" s="132"/>
      <c r="I29" s="4475" t="str">
        <f t="shared" si="1"/>
        <v>Showerhead - Max 1.75 gpm EWH</v>
      </c>
      <c r="J29" s="4476"/>
      <c r="K29" s="4477"/>
      <c r="L29" s="4474">
        <f t="shared" si="2"/>
        <v>222</v>
      </c>
      <c r="M29" s="257">
        <v>0</v>
      </c>
      <c r="N29" s="4785">
        <v>0</v>
      </c>
      <c r="O29" s="244">
        <f t="shared" si="4"/>
        <v>0</v>
      </c>
      <c r="P29" s="245">
        <f t="shared" ref="P29:R44" si="7">M29*$D79</f>
        <v>0</v>
      </c>
      <c r="Q29" s="245">
        <f t="shared" si="7"/>
        <v>0</v>
      </c>
      <c r="R29" s="246">
        <f t="shared" si="7"/>
        <v>0</v>
      </c>
      <c r="T29" s="4891"/>
    </row>
    <row r="30" spans="2:20">
      <c r="B30" s="254"/>
      <c r="C30" s="255" t="s">
        <v>140</v>
      </c>
      <c r="D30" s="256">
        <v>0</v>
      </c>
      <c r="E30" s="256"/>
      <c r="F30" s="249">
        <f t="shared" si="6"/>
        <v>0</v>
      </c>
      <c r="H30" s="132"/>
      <c r="I30" s="4475" t="str">
        <f t="shared" si="1"/>
        <v>Showerhead - Max 1.5 gpm EWH</v>
      </c>
      <c r="J30" s="4476"/>
      <c r="K30" s="4477"/>
      <c r="L30" s="4474">
        <f t="shared" si="2"/>
        <v>307</v>
      </c>
      <c r="M30" s="257">
        <v>0</v>
      </c>
      <c r="N30" s="4785">
        <v>0</v>
      </c>
      <c r="O30" s="244">
        <f t="shared" si="4"/>
        <v>0</v>
      </c>
      <c r="P30" s="245">
        <f t="shared" si="7"/>
        <v>0</v>
      </c>
      <c r="Q30" s="245">
        <f t="shared" si="7"/>
        <v>0</v>
      </c>
      <c r="R30" s="246">
        <f t="shared" si="7"/>
        <v>0</v>
      </c>
      <c r="T30" s="4891"/>
    </row>
    <row r="31" spans="2:20">
      <c r="B31" s="254"/>
      <c r="C31" s="255" t="s">
        <v>141</v>
      </c>
      <c r="D31" s="256">
        <v>0</v>
      </c>
      <c r="E31" s="256"/>
      <c r="F31" s="249">
        <f t="shared" si="6"/>
        <v>0</v>
      </c>
      <c r="H31" s="132"/>
      <c r="I31" s="250" t="str">
        <f t="shared" si="1"/>
        <v>LED lamp/bulb</v>
      </c>
      <c r="J31" s="251"/>
      <c r="K31" s="252"/>
      <c r="L31" s="242">
        <f t="shared" si="2"/>
        <v>35</v>
      </c>
      <c r="M31" s="257">
        <v>0</v>
      </c>
      <c r="N31" s="4785">
        <v>0</v>
      </c>
      <c r="O31" s="244">
        <f t="shared" si="4"/>
        <v>0</v>
      </c>
      <c r="P31" s="245">
        <f t="shared" si="7"/>
        <v>0</v>
      </c>
      <c r="Q31" s="245">
        <f t="shared" si="7"/>
        <v>0</v>
      </c>
      <c r="R31" s="246">
        <f t="shared" si="7"/>
        <v>0</v>
      </c>
      <c r="T31" s="4891"/>
    </row>
    <row r="32" spans="2:20" ht="13.5" thickBot="1">
      <c r="B32" s="254"/>
      <c r="C32" s="255" t="s">
        <v>142</v>
      </c>
      <c r="D32" s="256">
        <v>0</v>
      </c>
      <c r="E32" s="256"/>
      <c r="F32" s="249">
        <f t="shared" si="6"/>
        <v>0</v>
      </c>
      <c r="H32" s="132"/>
      <c r="I32" s="250" t="str">
        <f t="shared" si="1"/>
        <v>LED fixture</v>
      </c>
      <c r="J32" s="251"/>
      <c r="K32" s="252"/>
      <c r="L32" s="242">
        <f t="shared" si="2"/>
        <v>61</v>
      </c>
      <c r="M32" s="257">
        <v>0</v>
      </c>
      <c r="N32" s="4785">
        <v>0</v>
      </c>
      <c r="O32" s="244">
        <f t="shared" si="4"/>
        <v>0</v>
      </c>
      <c r="P32" s="245">
        <f t="shared" si="7"/>
        <v>0</v>
      </c>
      <c r="Q32" s="245">
        <f t="shared" si="7"/>
        <v>0</v>
      </c>
      <c r="R32" s="246">
        <f t="shared" si="7"/>
        <v>0</v>
      </c>
      <c r="T32" s="4891"/>
    </row>
    <row r="33" spans="2:20" ht="13.5" thickBot="1">
      <c r="B33" s="262">
        <v>1200</v>
      </c>
      <c r="C33" s="236" t="s">
        <v>146</v>
      </c>
      <c r="D33" s="237">
        <f>SUM(D34:D37)</f>
        <v>0</v>
      </c>
      <c r="E33" s="237">
        <f>SUM(E34:E37)</f>
        <v>2340</v>
      </c>
      <c r="F33" s="238">
        <f>D33+E33</f>
        <v>2340</v>
      </c>
      <c r="H33" s="132"/>
      <c r="I33" s="250" t="str">
        <f t="shared" si="1"/>
        <v>Custom - DHP</v>
      </c>
      <c r="J33" s="251"/>
      <c r="K33" s="252"/>
      <c r="L33" s="242">
        <f t="shared" si="2"/>
        <v>2246</v>
      </c>
      <c r="M33" s="257">
        <v>0</v>
      </c>
      <c r="N33" s="4785">
        <v>0</v>
      </c>
      <c r="O33" s="244">
        <f t="shared" si="4"/>
        <v>0</v>
      </c>
      <c r="P33" s="245">
        <f t="shared" si="7"/>
        <v>0</v>
      </c>
      <c r="Q33" s="245">
        <f t="shared" si="7"/>
        <v>0</v>
      </c>
      <c r="R33" s="246">
        <f t="shared" si="7"/>
        <v>0</v>
      </c>
      <c r="T33" s="4891"/>
    </row>
    <row r="34" spans="2:20">
      <c r="B34" s="254"/>
      <c r="C34" s="255" t="s">
        <v>481</v>
      </c>
      <c r="D34" s="256">
        <v>0</v>
      </c>
      <c r="E34" s="256">
        <v>2340</v>
      </c>
      <c r="F34" s="249">
        <f t="shared" si="6"/>
        <v>2340</v>
      </c>
      <c r="H34" s="132"/>
      <c r="I34" s="250" t="str">
        <f t="shared" si="1"/>
        <v>Measure 22</v>
      </c>
      <c r="J34" s="251"/>
      <c r="K34" s="252"/>
      <c r="L34" s="242">
        <f t="shared" si="2"/>
        <v>0</v>
      </c>
      <c r="M34" s="257">
        <v>0</v>
      </c>
      <c r="N34" s="257">
        <v>0</v>
      </c>
      <c r="O34" s="244">
        <f t="shared" si="4"/>
        <v>0</v>
      </c>
      <c r="P34" s="245">
        <f t="shared" si="7"/>
        <v>0</v>
      </c>
      <c r="Q34" s="245">
        <f t="shared" si="7"/>
        <v>0</v>
      </c>
      <c r="R34" s="246">
        <f t="shared" si="7"/>
        <v>0</v>
      </c>
      <c r="T34" s="4891"/>
    </row>
    <row r="35" spans="2:20">
      <c r="B35" s="254"/>
      <c r="C35" s="255" t="s">
        <v>140</v>
      </c>
      <c r="D35" s="256">
        <v>0</v>
      </c>
      <c r="E35" s="256"/>
      <c r="F35" s="249">
        <f t="shared" si="6"/>
        <v>0</v>
      </c>
      <c r="H35" s="132"/>
      <c r="I35" s="250" t="str">
        <f t="shared" si="1"/>
        <v>Measure 23</v>
      </c>
      <c r="J35" s="251"/>
      <c r="K35" s="252"/>
      <c r="L35" s="242">
        <f t="shared" si="2"/>
        <v>0</v>
      </c>
      <c r="M35" s="257">
        <v>0</v>
      </c>
      <c r="N35" s="257">
        <v>0</v>
      </c>
      <c r="O35" s="244">
        <f t="shared" si="4"/>
        <v>0</v>
      </c>
      <c r="P35" s="245">
        <f t="shared" si="7"/>
        <v>0</v>
      </c>
      <c r="Q35" s="245">
        <f t="shared" si="7"/>
        <v>0</v>
      </c>
      <c r="R35" s="246">
        <f t="shared" si="7"/>
        <v>0</v>
      </c>
      <c r="T35" s="4891"/>
    </row>
    <row r="36" spans="2:20">
      <c r="B36" s="254"/>
      <c r="C36" s="255" t="s">
        <v>141</v>
      </c>
      <c r="D36" s="256">
        <v>0</v>
      </c>
      <c r="E36" s="256"/>
      <c r="F36" s="249">
        <f t="shared" si="6"/>
        <v>0</v>
      </c>
      <c r="H36" s="132"/>
      <c r="I36" s="250" t="str">
        <f t="shared" si="1"/>
        <v>Measure 24</v>
      </c>
      <c r="J36" s="251"/>
      <c r="K36" s="252"/>
      <c r="L36" s="242">
        <f t="shared" si="2"/>
        <v>0</v>
      </c>
      <c r="M36" s="257">
        <v>0</v>
      </c>
      <c r="N36" s="257">
        <v>0</v>
      </c>
      <c r="O36" s="244">
        <f t="shared" si="4"/>
        <v>0</v>
      </c>
      <c r="P36" s="245">
        <f t="shared" si="7"/>
        <v>0</v>
      </c>
      <c r="Q36" s="245">
        <f t="shared" si="7"/>
        <v>0</v>
      </c>
      <c r="R36" s="246">
        <f t="shared" si="7"/>
        <v>0</v>
      </c>
      <c r="T36" s="4891"/>
    </row>
    <row r="37" spans="2:20" ht="13.5" thickBot="1">
      <c r="B37" s="254"/>
      <c r="C37" s="255" t="s">
        <v>142</v>
      </c>
      <c r="D37" s="256">
        <v>0</v>
      </c>
      <c r="E37" s="256"/>
      <c r="F37" s="249">
        <f t="shared" si="6"/>
        <v>0</v>
      </c>
      <c r="H37" s="132"/>
      <c r="I37" s="250" t="str">
        <f t="shared" si="1"/>
        <v>Measure 25</v>
      </c>
      <c r="J37" s="251"/>
      <c r="K37" s="252"/>
      <c r="L37" s="242">
        <f t="shared" si="2"/>
        <v>0</v>
      </c>
      <c r="M37" s="257">
        <v>0</v>
      </c>
      <c r="N37" s="257">
        <v>0</v>
      </c>
      <c r="O37" s="244">
        <f t="shared" si="4"/>
        <v>0</v>
      </c>
      <c r="P37" s="245">
        <f t="shared" si="7"/>
        <v>0</v>
      </c>
      <c r="Q37" s="245">
        <f t="shared" si="7"/>
        <v>0</v>
      </c>
      <c r="R37" s="246">
        <f t="shared" si="7"/>
        <v>0</v>
      </c>
      <c r="T37" s="4891"/>
    </row>
    <row r="38" spans="2:20" ht="13.5" thickBot="1">
      <c r="B38" s="262">
        <v>3000</v>
      </c>
      <c r="C38" s="236" t="s">
        <v>147</v>
      </c>
      <c r="D38" s="237">
        <f>SUM(D39:D42)</f>
        <v>0</v>
      </c>
      <c r="E38" s="237">
        <f>SUM(E39:E42)</f>
        <v>200</v>
      </c>
      <c r="F38" s="238">
        <f>D38+E38</f>
        <v>200</v>
      </c>
      <c r="H38" s="132"/>
      <c r="I38" s="250" t="str">
        <f t="shared" si="1"/>
        <v>Measure 26</v>
      </c>
      <c r="J38" s="251"/>
      <c r="K38" s="260"/>
      <c r="L38" s="242">
        <f t="shared" si="2"/>
        <v>0</v>
      </c>
      <c r="M38" s="257">
        <v>0</v>
      </c>
      <c r="N38" s="257">
        <v>0</v>
      </c>
      <c r="O38" s="244">
        <f t="shared" si="4"/>
        <v>0</v>
      </c>
      <c r="P38" s="245">
        <f t="shared" si="7"/>
        <v>0</v>
      </c>
      <c r="Q38" s="245">
        <f t="shared" si="7"/>
        <v>0</v>
      </c>
      <c r="R38" s="246">
        <f t="shared" si="7"/>
        <v>0</v>
      </c>
      <c r="T38" s="4891"/>
    </row>
    <row r="39" spans="2:20">
      <c r="B39" s="254"/>
      <c r="C39" s="255" t="s">
        <v>14</v>
      </c>
      <c r="D39" s="256">
        <v>0</v>
      </c>
      <c r="E39" s="256">
        <v>200</v>
      </c>
      <c r="F39" s="249">
        <f t="shared" ref="F39:F52" si="8">SUM(D39:E39)</f>
        <v>200</v>
      </c>
      <c r="H39" s="132"/>
      <c r="I39" s="250" t="str">
        <f t="shared" si="1"/>
        <v>Measure 27</v>
      </c>
      <c r="J39" s="251"/>
      <c r="K39" s="260"/>
      <c r="L39" s="242">
        <f t="shared" si="2"/>
        <v>0</v>
      </c>
      <c r="M39" s="257">
        <v>0</v>
      </c>
      <c r="N39" s="257">
        <v>0</v>
      </c>
      <c r="O39" s="244">
        <f t="shared" si="4"/>
        <v>0</v>
      </c>
      <c r="P39" s="245">
        <f t="shared" si="7"/>
        <v>0</v>
      </c>
      <c r="Q39" s="245">
        <f t="shared" si="7"/>
        <v>0</v>
      </c>
      <c r="R39" s="246">
        <f t="shared" si="7"/>
        <v>0</v>
      </c>
      <c r="T39" s="4891"/>
    </row>
    <row r="40" spans="2:20">
      <c r="B40" s="254"/>
      <c r="C40" s="255" t="s">
        <v>140</v>
      </c>
      <c r="D40" s="256">
        <v>0</v>
      </c>
      <c r="E40" s="256"/>
      <c r="F40" s="249">
        <f t="shared" si="8"/>
        <v>0</v>
      </c>
      <c r="H40" s="132"/>
      <c r="I40" s="250" t="str">
        <f t="shared" si="1"/>
        <v>Measure 28</v>
      </c>
      <c r="J40" s="251"/>
      <c r="K40" s="260"/>
      <c r="L40" s="242">
        <f t="shared" si="2"/>
        <v>0</v>
      </c>
      <c r="M40" s="257">
        <v>0</v>
      </c>
      <c r="N40" s="257">
        <v>0</v>
      </c>
      <c r="O40" s="244">
        <f t="shared" si="4"/>
        <v>0</v>
      </c>
      <c r="P40" s="245">
        <f t="shared" si="7"/>
        <v>0</v>
      </c>
      <c r="Q40" s="245">
        <f t="shared" si="7"/>
        <v>0</v>
      </c>
      <c r="R40" s="246">
        <f t="shared" si="7"/>
        <v>0</v>
      </c>
      <c r="T40" s="4891"/>
    </row>
    <row r="41" spans="2:20">
      <c r="B41" s="254"/>
      <c r="C41" s="255" t="s">
        <v>141</v>
      </c>
      <c r="D41" s="256">
        <v>0</v>
      </c>
      <c r="E41" s="256"/>
      <c r="F41" s="249">
        <f t="shared" si="8"/>
        <v>0</v>
      </c>
      <c r="H41" s="132"/>
      <c r="I41" s="250" t="str">
        <f t="shared" si="1"/>
        <v>Measure 29</v>
      </c>
      <c r="J41" s="251"/>
      <c r="K41" s="260"/>
      <c r="L41" s="242">
        <f t="shared" si="2"/>
        <v>0</v>
      </c>
      <c r="M41" s="257">
        <v>0</v>
      </c>
      <c r="N41" s="257">
        <v>0</v>
      </c>
      <c r="O41" s="244">
        <f t="shared" si="4"/>
        <v>0</v>
      </c>
      <c r="P41" s="245">
        <f t="shared" si="7"/>
        <v>0</v>
      </c>
      <c r="Q41" s="245">
        <f t="shared" si="7"/>
        <v>0</v>
      </c>
      <c r="R41" s="246">
        <f t="shared" si="7"/>
        <v>0</v>
      </c>
      <c r="T41" s="4891"/>
    </row>
    <row r="42" spans="2:20" ht="13.5" thickBot="1">
      <c r="B42" s="254"/>
      <c r="C42" s="255" t="s">
        <v>142</v>
      </c>
      <c r="D42" s="256">
        <v>0</v>
      </c>
      <c r="E42" s="256"/>
      <c r="F42" s="249">
        <f t="shared" si="8"/>
        <v>0</v>
      </c>
      <c r="H42" s="132"/>
      <c r="I42" s="250" t="str">
        <f t="shared" si="1"/>
        <v>Measure 30</v>
      </c>
      <c r="J42" s="251"/>
      <c r="K42" s="260"/>
      <c r="L42" s="242">
        <f t="shared" si="2"/>
        <v>0</v>
      </c>
      <c r="M42" s="257">
        <v>0</v>
      </c>
      <c r="N42" s="257">
        <v>0</v>
      </c>
      <c r="O42" s="244">
        <f t="shared" si="4"/>
        <v>0</v>
      </c>
      <c r="P42" s="245">
        <f t="shared" si="7"/>
        <v>0</v>
      </c>
      <c r="Q42" s="245">
        <f t="shared" si="7"/>
        <v>0</v>
      </c>
      <c r="R42" s="246">
        <f t="shared" si="7"/>
        <v>0</v>
      </c>
      <c r="T42" s="4891"/>
    </row>
    <row r="43" spans="2:20" ht="13.5" thickBot="1">
      <c r="B43" s="262">
        <v>120</v>
      </c>
      <c r="C43" s="236" t="s">
        <v>148</v>
      </c>
      <c r="D43" s="237">
        <f>SUM(D44:D47)</f>
        <v>0</v>
      </c>
      <c r="E43" s="237">
        <f>SUM(E44:E47)</f>
        <v>100</v>
      </c>
      <c r="F43" s="238">
        <f>D43+E43</f>
        <v>100</v>
      </c>
      <c r="H43" s="132"/>
      <c r="I43" s="250" t="str">
        <f t="shared" si="1"/>
        <v>Measure 31</v>
      </c>
      <c r="J43" s="251"/>
      <c r="K43" s="260"/>
      <c r="L43" s="242">
        <f t="shared" si="2"/>
        <v>0</v>
      </c>
      <c r="M43" s="257">
        <v>0</v>
      </c>
      <c r="N43" s="257">
        <v>0</v>
      </c>
      <c r="O43" s="244">
        <f t="shared" si="4"/>
        <v>0</v>
      </c>
      <c r="P43" s="245">
        <f t="shared" si="7"/>
        <v>0</v>
      </c>
      <c r="Q43" s="245">
        <f t="shared" si="7"/>
        <v>0</v>
      </c>
      <c r="R43" s="246">
        <f t="shared" si="7"/>
        <v>0</v>
      </c>
      <c r="T43" s="4891"/>
    </row>
    <row r="44" spans="2:20">
      <c r="B44" s="254"/>
      <c r="C44" s="255" t="s">
        <v>15</v>
      </c>
      <c r="D44" s="256">
        <v>0</v>
      </c>
      <c r="E44" s="256">
        <v>100</v>
      </c>
      <c r="F44" s="249">
        <f t="shared" si="8"/>
        <v>100</v>
      </c>
      <c r="H44" s="132"/>
      <c r="I44" s="250" t="str">
        <f t="shared" si="1"/>
        <v>Measure 32</v>
      </c>
      <c r="J44" s="251"/>
      <c r="K44" s="260"/>
      <c r="L44" s="242">
        <f t="shared" si="2"/>
        <v>0</v>
      </c>
      <c r="M44" s="257">
        <v>0</v>
      </c>
      <c r="N44" s="257">
        <v>0</v>
      </c>
      <c r="O44" s="244">
        <f t="shared" si="4"/>
        <v>0</v>
      </c>
      <c r="P44" s="245">
        <f t="shared" si="7"/>
        <v>0</v>
      </c>
      <c r="Q44" s="245">
        <f t="shared" si="7"/>
        <v>0</v>
      </c>
      <c r="R44" s="246">
        <f t="shared" si="7"/>
        <v>0</v>
      </c>
      <c r="T44" s="4891"/>
    </row>
    <row r="45" spans="2:20">
      <c r="B45" s="254"/>
      <c r="C45" s="255" t="s">
        <v>140</v>
      </c>
      <c r="D45" s="256">
        <v>0</v>
      </c>
      <c r="E45" s="256"/>
      <c r="F45" s="249">
        <f t="shared" si="8"/>
        <v>0</v>
      </c>
      <c r="H45" s="132"/>
      <c r="I45" s="250" t="str">
        <f t="shared" si="1"/>
        <v>Measure 33</v>
      </c>
      <c r="J45" s="251"/>
      <c r="K45" s="260"/>
      <c r="L45" s="242">
        <f t="shared" si="2"/>
        <v>0</v>
      </c>
      <c r="M45" s="257">
        <v>0</v>
      </c>
      <c r="N45" s="257">
        <v>0</v>
      </c>
      <c r="O45" s="244">
        <f t="shared" si="4"/>
        <v>0</v>
      </c>
      <c r="P45" s="245">
        <f t="shared" ref="P45:R54" si="9">M45*$D95</f>
        <v>0</v>
      </c>
      <c r="Q45" s="245">
        <f t="shared" si="9"/>
        <v>0</v>
      </c>
      <c r="R45" s="246">
        <f t="shared" si="9"/>
        <v>0</v>
      </c>
      <c r="T45" s="4891"/>
    </row>
    <row r="46" spans="2:20">
      <c r="B46" s="254"/>
      <c r="C46" s="255" t="s">
        <v>141</v>
      </c>
      <c r="D46" s="256">
        <v>0</v>
      </c>
      <c r="E46" s="256"/>
      <c r="F46" s="249">
        <f t="shared" si="8"/>
        <v>0</v>
      </c>
      <c r="H46" s="132"/>
      <c r="I46" s="250" t="str">
        <f t="shared" si="1"/>
        <v>Measure 34</v>
      </c>
      <c r="J46" s="251"/>
      <c r="K46" s="260"/>
      <c r="L46" s="242">
        <f t="shared" si="2"/>
        <v>0</v>
      </c>
      <c r="M46" s="257">
        <v>0</v>
      </c>
      <c r="N46" s="257">
        <v>0</v>
      </c>
      <c r="O46" s="244">
        <f t="shared" si="4"/>
        <v>0</v>
      </c>
      <c r="P46" s="245">
        <f t="shared" si="9"/>
        <v>0</v>
      </c>
      <c r="Q46" s="245">
        <f t="shared" si="9"/>
        <v>0</v>
      </c>
      <c r="R46" s="246">
        <f t="shared" si="9"/>
        <v>0</v>
      </c>
      <c r="T46" s="4891"/>
    </row>
    <row r="47" spans="2:20" ht="13.5" thickBot="1">
      <c r="B47" s="254"/>
      <c r="C47" s="255" t="s">
        <v>142</v>
      </c>
      <c r="D47" s="256">
        <v>0</v>
      </c>
      <c r="E47" s="256"/>
      <c r="F47" s="249">
        <f t="shared" si="8"/>
        <v>0</v>
      </c>
      <c r="H47" s="132"/>
      <c r="I47" s="250" t="str">
        <f t="shared" si="1"/>
        <v>Measure 35</v>
      </c>
      <c r="J47" s="251"/>
      <c r="K47" s="260"/>
      <c r="L47" s="242">
        <f t="shared" si="2"/>
        <v>0</v>
      </c>
      <c r="M47" s="257">
        <v>0</v>
      </c>
      <c r="N47" s="257">
        <v>0</v>
      </c>
      <c r="O47" s="244">
        <f t="shared" si="4"/>
        <v>0</v>
      </c>
      <c r="P47" s="245">
        <f t="shared" si="9"/>
        <v>0</v>
      </c>
      <c r="Q47" s="245">
        <f t="shared" si="9"/>
        <v>0</v>
      </c>
      <c r="R47" s="246">
        <f t="shared" si="9"/>
        <v>0</v>
      </c>
      <c r="T47" s="4891"/>
    </row>
    <row r="48" spans="2:20" ht="13.5" thickBot="1">
      <c r="B48" s="262">
        <v>3000</v>
      </c>
      <c r="C48" s="236" t="s">
        <v>149</v>
      </c>
      <c r="D48" s="237">
        <f>SUM(D49:D52)</f>
        <v>0</v>
      </c>
      <c r="E48" s="237">
        <f>SUM(E49:E52)</f>
        <v>5240</v>
      </c>
      <c r="F48" s="238">
        <f>D48+E48</f>
        <v>5240</v>
      </c>
      <c r="H48" s="132"/>
      <c r="I48" s="250" t="str">
        <f t="shared" si="1"/>
        <v>Measure 36</v>
      </c>
      <c r="J48" s="251"/>
      <c r="K48" s="260"/>
      <c r="L48" s="242">
        <f t="shared" si="2"/>
        <v>0</v>
      </c>
      <c r="M48" s="257">
        <v>0</v>
      </c>
      <c r="N48" s="257">
        <v>0</v>
      </c>
      <c r="O48" s="244">
        <f t="shared" si="4"/>
        <v>0</v>
      </c>
      <c r="P48" s="245">
        <f t="shared" si="9"/>
        <v>0</v>
      </c>
      <c r="Q48" s="245">
        <f t="shared" si="9"/>
        <v>0</v>
      </c>
      <c r="R48" s="246">
        <f t="shared" si="9"/>
        <v>0</v>
      </c>
      <c r="T48" s="4891"/>
    </row>
    <row r="49" spans="2:25">
      <c r="B49" s="254"/>
      <c r="C49" s="255" t="s">
        <v>16</v>
      </c>
      <c r="D49" s="256">
        <v>0</v>
      </c>
      <c r="E49" s="256">
        <v>100</v>
      </c>
      <c r="F49" s="249">
        <f t="shared" si="8"/>
        <v>100</v>
      </c>
      <c r="H49" s="132"/>
      <c r="I49" s="250" t="str">
        <f t="shared" si="1"/>
        <v>Measure 37</v>
      </c>
      <c r="J49" s="251"/>
      <c r="K49" s="260"/>
      <c r="L49" s="242">
        <f t="shared" si="2"/>
        <v>0</v>
      </c>
      <c r="M49" s="257">
        <v>0</v>
      </c>
      <c r="N49" s="257">
        <v>0</v>
      </c>
      <c r="O49" s="244">
        <f t="shared" si="4"/>
        <v>0</v>
      </c>
      <c r="P49" s="245">
        <f t="shared" si="9"/>
        <v>0</v>
      </c>
      <c r="Q49" s="245">
        <f t="shared" si="9"/>
        <v>0</v>
      </c>
      <c r="R49" s="246">
        <f t="shared" si="9"/>
        <v>0</v>
      </c>
      <c r="T49" s="4891"/>
    </row>
    <row r="50" spans="2:25">
      <c r="B50" s="254"/>
      <c r="C50" s="255" t="s">
        <v>516</v>
      </c>
      <c r="D50" s="256">
        <v>0</v>
      </c>
      <c r="E50" s="256">
        <v>5140</v>
      </c>
      <c r="F50" s="249">
        <f t="shared" si="8"/>
        <v>5140</v>
      </c>
      <c r="I50" s="250" t="str">
        <f t="shared" si="1"/>
        <v>Measure 38</v>
      </c>
      <c r="J50" s="251"/>
      <c r="K50" s="252"/>
      <c r="L50" s="242">
        <f t="shared" si="2"/>
        <v>0</v>
      </c>
      <c r="M50" s="257">
        <v>0</v>
      </c>
      <c r="N50" s="257">
        <v>0</v>
      </c>
      <c r="O50" s="244">
        <f t="shared" si="4"/>
        <v>0</v>
      </c>
      <c r="P50" s="245">
        <f t="shared" si="9"/>
        <v>0</v>
      </c>
      <c r="Q50" s="245">
        <f t="shared" si="9"/>
        <v>0</v>
      </c>
      <c r="R50" s="246">
        <f t="shared" si="9"/>
        <v>0</v>
      </c>
      <c r="T50" s="4891"/>
    </row>
    <row r="51" spans="2:25">
      <c r="B51" s="254"/>
      <c r="C51" s="255" t="s">
        <v>141</v>
      </c>
      <c r="D51" s="256">
        <v>0</v>
      </c>
      <c r="E51" s="256"/>
      <c r="F51" s="249">
        <f t="shared" si="8"/>
        <v>0</v>
      </c>
      <c r="I51" s="250" t="str">
        <f t="shared" si="1"/>
        <v>Measure 39</v>
      </c>
      <c r="J51" s="251"/>
      <c r="K51" s="252"/>
      <c r="L51" s="242">
        <f t="shared" si="2"/>
        <v>0</v>
      </c>
      <c r="M51" s="257">
        <v>0</v>
      </c>
      <c r="N51" s="257">
        <v>0</v>
      </c>
      <c r="O51" s="244">
        <f t="shared" si="4"/>
        <v>0</v>
      </c>
      <c r="P51" s="245">
        <f t="shared" si="9"/>
        <v>0</v>
      </c>
      <c r="Q51" s="245">
        <f t="shared" si="9"/>
        <v>0</v>
      </c>
      <c r="R51" s="246">
        <f t="shared" si="9"/>
        <v>0</v>
      </c>
      <c r="T51" s="4891"/>
    </row>
    <row r="52" spans="2:25" ht="13.5" thickBot="1">
      <c r="B52" s="254"/>
      <c r="C52" s="255" t="s">
        <v>142</v>
      </c>
      <c r="D52" s="256">
        <v>0</v>
      </c>
      <c r="E52" s="256"/>
      <c r="F52" s="249">
        <f t="shared" si="8"/>
        <v>0</v>
      </c>
      <c r="I52" s="250" t="str">
        <f t="shared" si="1"/>
        <v>Measure 40</v>
      </c>
      <c r="J52" s="251"/>
      <c r="K52" s="252"/>
      <c r="L52" s="242">
        <f t="shared" si="2"/>
        <v>0</v>
      </c>
      <c r="M52" s="257">
        <v>0</v>
      </c>
      <c r="N52" s="257">
        <v>0</v>
      </c>
      <c r="O52" s="244">
        <f t="shared" si="4"/>
        <v>0</v>
      </c>
      <c r="P52" s="245">
        <f t="shared" si="9"/>
        <v>0</v>
      </c>
      <c r="Q52" s="245">
        <f t="shared" si="9"/>
        <v>0</v>
      </c>
      <c r="R52" s="246">
        <f t="shared" si="9"/>
        <v>0</v>
      </c>
      <c r="T52" s="4891"/>
    </row>
    <row r="53" spans="2:25" ht="13.5" thickBot="1">
      <c r="B53" s="262">
        <v>534500</v>
      </c>
      <c r="C53" s="236" t="s">
        <v>150</v>
      </c>
      <c r="D53" s="237">
        <f>T105</f>
        <v>0</v>
      </c>
      <c r="E53" s="237">
        <f>U105</f>
        <v>321369.29399999999</v>
      </c>
      <c r="F53" s="238">
        <f>V105</f>
        <v>321369.29399999999</v>
      </c>
      <c r="G53" s="261" t="s">
        <v>151</v>
      </c>
      <c r="I53" s="250" t="str">
        <f t="shared" si="1"/>
        <v>Measure 41</v>
      </c>
      <c r="J53" s="251"/>
      <c r="K53" s="252"/>
      <c r="L53" s="242">
        <f t="shared" si="2"/>
        <v>0</v>
      </c>
      <c r="M53" s="257">
        <v>0</v>
      </c>
      <c r="N53" s="257">
        <v>0</v>
      </c>
      <c r="O53" s="244">
        <f t="shared" si="4"/>
        <v>0</v>
      </c>
      <c r="P53" s="245">
        <f t="shared" si="9"/>
        <v>0</v>
      </c>
      <c r="Q53" s="245">
        <f t="shared" si="9"/>
        <v>0</v>
      </c>
      <c r="R53" s="246">
        <f t="shared" si="9"/>
        <v>0</v>
      </c>
      <c r="T53" s="4891"/>
    </row>
    <row r="54" spans="2:25" ht="13.5" thickBot="1">
      <c r="B54" s="262">
        <v>0</v>
      </c>
      <c r="C54" s="236" t="s">
        <v>152</v>
      </c>
      <c r="D54" s="237">
        <v>0</v>
      </c>
      <c r="E54" s="237">
        <v>0</v>
      </c>
      <c r="F54" s="238">
        <v>0</v>
      </c>
      <c r="I54" s="250" t="str">
        <f t="shared" si="1"/>
        <v>Measure 42</v>
      </c>
      <c r="J54" s="251"/>
      <c r="K54" s="252"/>
      <c r="L54" s="242">
        <f t="shared" si="2"/>
        <v>0</v>
      </c>
      <c r="M54" s="257">
        <v>0</v>
      </c>
      <c r="N54" s="257">
        <v>0</v>
      </c>
      <c r="O54" s="244">
        <f t="shared" si="4"/>
        <v>0</v>
      </c>
      <c r="P54" s="245">
        <f t="shared" si="9"/>
        <v>0</v>
      </c>
      <c r="Q54" s="245">
        <f t="shared" si="9"/>
        <v>0</v>
      </c>
      <c r="R54" s="246">
        <f t="shared" si="9"/>
        <v>0</v>
      </c>
      <c r="T54" s="4891"/>
    </row>
    <row r="55" spans="2:25">
      <c r="B55" s="263">
        <f>B13+B18+B23+B28+B33+B38+B43+B48+B53+B54</f>
        <v>708526</v>
      </c>
      <c r="C55" s="264" t="s">
        <v>153</v>
      </c>
      <c r="D55" s="263">
        <f>D13+D18+D23+D28+D33+D38+D43+D48+D53+D54</f>
        <v>0</v>
      </c>
      <c r="E55" s="263">
        <f>E13+E18+E23+E28+E33+E38+E43+E48+E53+E54</f>
        <v>674420.96</v>
      </c>
      <c r="F55" s="263">
        <f>F13+F18+F23+F28+F33+F38+F43+F48+F53+F54</f>
        <v>674420.96</v>
      </c>
      <c r="L55" s="4575">
        <f>SUM(L13:L54)</f>
        <v>6207.4366</v>
      </c>
      <c r="P55" s="265">
        <f>SUM(P13:P54)</f>
        <v>0</v>
      </c>
      <c r="Q55" s="265">
        <f>SUM(Q13:Q54)</f>
        <v>954788.15511999989</v>
      </c>
      <c r="R55" s="265">
        <f>SUM(R13:R54)</f>
        <v>954788.15511999989</v>
      </c>
      <c r="T55" s="4892"/>
    </row>
    <row r="56" spans="2:25">
      <c r="C56" s="264"/>
      <c r="D56" s="263"/>
      <c r="E56" s="263"/>
      <c r="F56" s="263"/>
    </row>
    <row r="57" spans="2:25">
      <c r="C57" s="264" t="s">
        <v>154</v>
      </c>
      <c r="D57" s="263">
        <f>D55-D53</f>
        <v>0</v>
      </c>
      <c r="E57" s="263">
        <f>E55-E53</f>
        <v>353051.66599999997</v>
      </c>
      <c r="F57" s="263">
        <f>F55-F53</f>
        <v>353051.66599999997</v>
      </c>
    </row>
    <row r="58" spans="2:25">
      <c r="C58" s="264" t="s">
        <v>155</v>
      </c>
      <c r="D58" s="266">
        <f>D53</f>
        <v>0</v>
      </c>
      <c r="E58" s="266">
        <f>E53</f>
        <v>321369.29399999999</v>
      </c>
      <c r="F58" s="266">
        <f>F53</f>
        <v>321369.29399999999</v>
      </c>
      <c r="G58" s="319">
        <f>F58/(F57+F58)</f>
        <v>0.47651142692836834</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517</v>
      </c>
      <c r="P62" s="276" t="s">
        <v>518</v>
      </c>
      <c r="Q62" s="277" t="s">
        <v>519</v>
      </c>
      <c r="R62" s="277" t="s">
        <v>175</v>
      </c>
      <c r="S62" s="277" t="s">
        <v>176</v>
      </c>
      <c r="T62" s="204" t="s">
        <v>177</v>
      </c>
      <c r="U62" s="204" t="s">
        <v>178</v>
      </c>
      <c r="V62" s="205" t="s">
        <v>179</v>
      </c>
      <c r="W62" s="204" t="s">
        <v>115</v>
      </c>
      <c r="X62" s="204" t="s">
        <v>12</v>
      </c>
      <c r="Y62" s="205" t="s">
        <v>116</v>
      </c>
    </row>
    <row r="63" spans="2:25">
      <c r="B63" s="257"/>
      <c r="C63" s="3574" t="s">
        <v>520</v>
      </c>
      <c r="D63" s="3574">
        <v>149</v>
      </c>
      <c r="E63" s="3574" t="s">
        <v>454</v>
      </c>
      <c r="F63" s="3574"/>
      <c r="G63" s="3594">
        <v>107</v>
      </c>
      <c r="H63" s="3594">
        <v>50</v>
      </c>
      <c r="I63" s="3176">
        <f>6000/F57</f>
        <v>1.699467975318944E-2</v>
      </c>
      <c r="J63" s="3574">
        <v>14</v>
      </c>
      <c r="K63" s="3574" t="s">
        <v>233</v>
      </c>
      <c r="L63" s="4788">
        <f>165*N13</f>
        <v>49500</v>
      </c>
      <c r="M63" s="278">
        <f>Q63/O63</f>
        <v>2.0517598033315485</v>
      </c>
      <c r="N63" s="278">
        <f>((L63/S63)+R63)/P63</f>
        <v>2.5431929516262146</v>
      </c>
      <c r="O63" s="3548">
        <f t="shared" ref="O63:O83" si="10">(($I63*$F$57)+$V63)/$S63</f>
        <v>19426.45698427382</v>
      </c>
      <c r="P63" s="3548">
        <f t="shared" ref="P63:P83" si="11">(($I63*$F$57)+($G63*$O13))/$S63</f>
        <v>35245.14338575393</v>
      </c>
      <c r="Q63" s="3548">
        <f>IF(K63=0, 0, (HLOOKUP(K63,'[3]E-CESTDWO'!$A$5:$O$35,J63+1,FALSE)*R13))</f>
        <v>39858.423561482443</v>
      </c>
      <c r="R63" s="3548">
        <f>IF(K63=0, 0, (HLOOKUP(K63,'[3]E-CESTD'!$A$5:$O$35,J63+1,FALSE)*R13))</f>
        <v>43844.265917630684</v>
      </c>
      <c r="S63" s="2327">
        <v>1.081</v>
      </c>
      <c r="T63" s="280">
        <f t="shared" ref="T63:T104" si="12">M13*$H63</f>
        <v>0</v>
      </c>
      <c r="U63" s="280">
        <f t="shared" ref="U63:U104" si="13">N13*$H63</f>
        <v>15000</v>
      </c>
      <c r="V63" s="280">
        <f t="shared" ref="V63:V104" si="14">O13*$H63</f>
        <v>15000</v>
      </c>
      <c r="W63" s="322">
        <f t="shared" ref="W63:W81" si="15">V63/(V63+(I63*F$57))</f>
        <v>0.7142857142857143</v>
      </c>
      <c r="X63" s="322">
        <f t="shared" ref="X63:X81" si="16">(I63*((F$18*1.63)+F$28))/(V63+(I63*F$57))</f>
        <v>4.810206528161317E-2</v>
      </c>
      <c r="Y63" s="322">
        <f t="shared" ref="Y63:Y81" si="17">(I63*F$38)/(V63+(I63*F$57))</f>
        <v>1.6185409288751849E-4</v>
      </c>
    </row>
    <row r="64" spans="2:25">
      <c r="B64" s="282"/>
      <c r="C64" s="3593" t="s">
        <v>521</v>
      </c>
      <c r="D64" s="3593">
        <v>219</v>
      </c>
      <c r="E64" s="3593" t="s">
        <v>454</v>
      </c>
      <c r="F64" s="3593"/>
      <c r="G64" s="3594">
        <v>246</v>
      </c>
      <c r="H64" s="3594">
        <v>100</v>
      </c>
      <c r="I64" s="3176">
        <f>1000/F57</f>
        <v>2.8324466255315733E-3</v>
      </c>
      <c r="J64" s="3574">
        <v>14</v>
      </c>
      <c r="K64" s="3574" t="s">
        <v>233</v>
      </c>
      <c r="L64" s="4788">
        <v>8250</v>
      </c>
      <c r="M64" s="278">
        <f t="shared" ref="M64:M83" si="18">Q64/O64</f>
        <v>1.7591430528564114</v>
      </c>
      <c r="N64" s="278">
        <f t="shared" ref="N64:N83" si="19">((L64/S64)+R64)/P64</f>
        <v>1.4932589585603246</v>
      </c>
      <c r="O64" s="3548">
        <f t="shared" si="10"/>
        <v>5550.4162812210916</v>
      </c>
      <c r="P64" s="3548">
        <f t="shared" si="11"/>
        <v>12303.422756706754</v>
      </c>
      <c r="Q64" s="3548">
        <f>IF(K64=0, 0, (HLOOKUP(K64,'[3]E-CESTDWO'!$A$5:$O$35,J64+1,FALSE)*R14))</f>
        <v>9763.9762415712012</v>
      </c>
      <c r="R64" s="3548">
        <f>IF(K64=0, 0, (HLOOKUP(K64,'[3]E-CESTD'!$A$5:$O$35,J64+1,FALSE)*R14))</f>
        <v>10740.373865728321</v>
      </c>
      <c r="S64" s="2327">
        <v>1.081</v>
      </c>
      <c r="T64" s="280">
        <f t="shared" si="12"/>
        <v>0</v>
      </c>
      <c r="U64" s="280">
        <f t="shared" si="13"/>
        <v>5000</v>
      </c>
      <c r="V64" s="280">
        <f t="shared" si="14"/>
        <v>5000</v>
      </c>
      <c r="W64" s="322">
        <f t="shared" si="15"/>
        <v>0.83333333333333337</v>
      </c>
      <c r="X64" s="322">
        <f t="shared" si="16"/>
        <v>2.8059538080941016E-2</v>
      </c>
      <c r="Y64" s="322">
        <f t="shared" si="17"/>
        <v>9.4414887517719115E-5</v>
      </c>
    </row>
    <row r="65" spans="2:25">
      <c r="B65" s="282"/>
      <c r="C65" s="3593" t="s">
        <v>522</v>
      </c>
      <c r="D65" s="3593">
        <v>44</v>
      </c>
      <c r="E65" s="3593" t="s">
        <v>454</v>
      </c>
      <c r="F65" s="3593"/>
      <c r="G65" s="3594">
        <v>30</v>
      </c>
      <c r="H65" s="3594">
        <v>50</v>
      </c>
      <c r="I65" s="3176">
        <f>L15/L55</f>
        <v>7.088272154080478E-3</v>
      </c>
      <c r="J65" s="3574">
        <v>22</v>
      </c>
      <c r="K65" s="3574" t="s">
        <v>310</v>
      </c>
      <c r="L65" s="4831"/>
      <c r="M65" s="278">
        <f>Q65/O65</f>
        <v>1.0457952098210923</v>
      </c>
      <c r="N65" s="278">
        <f t="shared" si="19"/>
        <v>1.8255609629241962</v>
      </c>
      <c r="O65" s="3548">
        <f>(($I65*$F$57)+$V65)/$S65</f>
        <v>30714.640419111489</v>
      </c>
      <c r="P65" s="3548">
        <f t="shared" si="11"/>
        <v>19354.788430212324</v>
      </c>
      <c r="Q65" s="3548">
        <f>IF(K65=0, 0, (HLOOKUP(K65,'[3]E-CESTDWO'!$A$5:$O$35,J65+1,FALSE)*R15))</f>
        <v>32121.2238216841</v>
      </c>
      <c r="R65" s="3548">
        <f>IF(K65=0, 0, (HLOOKUP(K65,'[3]E-CESTD'!$A$5:$O$35,J65+1,FALSE)*R15))</f>
        <v>35333.346203852503</v>
      </c>
      <c r="S65" s="2327">
        <v>1.081</v>
      </c>
      <c r="T65" s="280">
        <f t="shared" si="12"/>
        <v>0</v>
      </c>
      <c r="U65" s="280">
        <f t="shared" si="13"/>
        <v>30700</v>
      </c>
      <c r="V65" s="280">
        <f t="shared" si="14"/>
        <v>30700</v>
      </c>
      <c r="W65" s="322">
        <f t="shared" si="15"/>
        <v>0.92462843727699617</v>
      </c>
      <c r="X65" s="322">
        <f t="shared" si="16"/>
        <v>1.268934740667697E-2</v>
      </c>
      <c r="Y65" s="322">
        <f t="shared" si="17"/>
        <v>4.2697185699162734E-5</v>
      </c>
    </row>
    <row r="66" spans="2:25">
      <c r="B66" s="282"/>
      <c r="C66" s="3593" t="s">
        <v>523</v>
      </c>
      <c r="D66" s="3593">
        <v>1.758</v>
      </c>
      <c r="E66" s="3593" t="s">
        <v>524</v>
      </c>
      <c r="F66" s="3593"/>
      <c r="G66" s="3594">
        <v>1.55</v>
      </c>
      <c r="H66" s="3594">
        <v>1</v>
      </c>
      <c r="I66" s="3176">
        <f>L16/L55</f>
        <v>2.8320869197439729E-4</v>
      </c>
      <c r="J66" s="3574">
        <v>30</v>
      </c>
      <c r="K66" s="3574" t="s">
        <v>258</v>
      </c>
      <c r="L66" s="4831"/>
      <c r="M66" s="278">
        <f t="shared" si="18"/>
        <v>3.6895200197277984</v>
      </c>
      <c r="N66" s="278">
        <f t="shared" si="19"/>
        <v>2.6216001140176375</v>
      </c>
      <c r="O66" s="3548">
        <f t="shared" si="10"/>
        <v>26629.960500025201</v>
      </c>
      <c r="P66" s="3548">
        <f t="shared" si="11"/>
        <v>41225.566420469229</v>
      </c>
      <c r="Q66" s="3548">
        <f>IF(K66=0, 0, (HLOOKUP(K66,'[3]E-CESTDWO'!$A$5:$O$35,J66+1,FALSE)*R16))</f>
        <v>98251.772389403472</v>
      </c>
      <c r="R66" s="3548">
        <f>IF(K66=0, 0, (HLOOKUP(K66,'[3]E-CESTD'!$A$5:$O$35,J66+1,FALSE)*R16))</f>
        <v>108076.94962834382</v>
      </c>
      <c r="S66" s="2327">
        <v>1.081</v>
      </c>
      <c r="T66" s="280">
        <f t="shared" si="12"/>
        <v>0</v>
      </c>
      <c r="U66" s="280">
        <f t="shared" si="13"/>
        <v>28687</v>
      </c>
      <c r="V66" s="280">
        <f t="shared" si="14"/>
        <v>28687</v>
      </c>
      <c r="W66" s="322">
        <f t="shared" si="15"/>
        <v>0.99652664936822299</v>
      </c>
      <c r="X66" s="322">
        <f t="shared" si="16"/>
        <v>5.8476368592483773E-4</v>
      </c>
      <c r="Y66" s="322">
        <f t="shared" si="17"/>
        <v>1.9676160552529248E-6</v>
      </c>
    </row>
    <row r="67" spans="2:25">
      <c r="B67" s="282"/>
      <c r="C67" s="3593" t="s">
        <v>525</v>
      </c>
      <c r="D67" s="3593">
        <v>1.3180000000000001</v>
      </c>
      <c r="E67" s="3593" t="s">
        <v>524</v>
      </c>
      <c r="F67" s="3593"/>
      <c r="G67" s="3594">
        <v>0.33</v>
      </c>
      <c r="H67" s="3594">
        <v>0.33</v>
      </c>
      <c r="I67" s="3176">
        <f>L17/L55</f>
        <v>2.123259704335925E-4</v>
      </c>
      <c r="J67" s="3574">
        <v>15</v>
      </c>
      <c r="K67" s="3574" t="s">
        <v>526</v>
      </c>
      <c r="L67" s="4831"/>
      <c r="M67" s="278">
        <f t="shared" si="18"/>
        <v>7.1487634067732104</v>
      </c>
      <c r="N67" s="278">
        <f t="shared" si="19"/>
        <v>7.8636397474505291</v>
      </c>
      <c r="O67" s="3548">
        <f t="shared" si="10"/>
        <v>374.61798112548246</v>
      </c>
      <c r="P67" s="3548">
        <f t="shared" si="11"/>
        <v>374.61798112548246</v>
      </c>
      <c r="Q67" s="3548">
        <f>IF(K67=0, 0, (HLOOKUP(K67,'[3]E-CESTDWO'!$A$5:$O$35,J67+1,FALSE)*R17))</f>
        <v>2678.0553149891061</v>
      </c>
      <c r="R67" s="3548">
        <f>IF(K67=0, 0, (HLOOKUP(K67,'[3]E-CESTD'!$A$5:$O$35,J67+1,FALSE)*R17))</f>
        <v>2945.8608464880158</v>
      </c>
      <c r="S67" s="2327">
        <v>1.081</v>
      </c>
      <c r="T67" s="280">
        <f t="shared" si="12"/>
        <v>0</v>
      </c>
      <c r="U67" s="280">
        <f t="shared" si="13"/>
        <v>330</v>
      </c>
      <c r="V67" s="280">
        <f t="shared" si="14"/>
        <v>330</v>
      </c>
      <c r="W67" s="322">
        <f t="shared" si="15"/>
        <v>0.81489119809469446</v>
      </c>
      <c r="X67" s="322">
        <f t="shared" si="16"/>
        <v>3.1164404857075736E-2</v>
      </c>
      <c r="Y67" s="322">
        <f t="shared" si="17"/>
        <v>1.0486216026257506E-4</v>
      </c>
    </row>
    <row r="68" spans="2:25">
      <c r="B68" s="282"/>
      <c r="C68" s="3593" t="s">
        <v>527</v>
      </c>
      <c r="D68" s="3593">
        <v>0.85799999999999998</v>
      </c>
      <c r="E68" s="3593" t="s">
        <v>524</v>
      </c>
      <c r="F68" s="3593"/>
      <c r="G68" s="3594">
        <v>0.33</v>
      </c>
      <c r="H68" s="3594">
        <v>0.1</v>
      </c>
      <c r="I68" s="3176">
        <f>L18/L55</f>
        <v>1.3822130700456931E-4</v>
      </c>
      <c r="J68" s="3574">
        <v>15</v>
      </c>
      <c r="K68" s="3574" t="s">
        <v>526</v>
      </c>
      <c r="L68" s="4831"/>
      <c r="M68" s="278">
        <f t="shared" si="18"/>
        <v>12.665324905622819</v>
      </c>
      <c r="N68" s="278">
        <f t="shared" si="19"/>
        <v>5.4726878134388244</v>
      </c>
      <c r="O68" s="3548">
        <f t="shared" si="10"/>
        <v>137.64964173419119</v>
      </c>
      <c r="P68" s="3548">
        <f t="shared" si="11"/>
        <v>350.41559918099966</v>
      </c>
      <c r="Q68" s="3548">
        <f>IF(K68=0, 0, (HLOOKUP(K68,'[3]E-CESTDWO'!$A$5:$O$35,J68+1,FALSE)*R18))</f>
        <v>1743.37743570611</v>
      </c>
      <c r="R68" s="3548">
        <f>IF(K68=0, 0, (HLOOKUP(K68,'[3]E-CESTD'!$A$5:$O$35,J68+1,FALSE)*R18))</f>
        <v>1917.7151792767204</v>
      </c>
      <c r="S68" s="2327">
        <v>1.081</v>
      </c>
      <c r="T68" s="280">
        <f t="shared" si="12"/>
        <v>0</v>
      </c>
      <c r="U68" s="280">
        <f t="shared" si="13"/>
        <v>100</v>
      </c>
      <c r="V68" s="280">
        <f t="shared" si="14"/>
        <v>100</v>
      </c>
      <c r="W68" s="322">
        <f t="shared" si="15"/>
        <v>0.67204634065802638</v>
      </c>
      <c r="X68" s="322">
        <f t="shared" si="16"/>
        <v>5.5213369158540394E-2</v>
      </c>
      <c r="Y68" s="322">
        <f t="shared" si="17"/>
        <v>1.8578224714678086E-4</v>
      </c>
    </row>
    <row r="69" spans="2:25">
      <c r="B69" s="282"/>
      <c r="C69" s="3593" t="s">
        <v>528</v>
      </c>
      <c r="D69" s="3593">
        <v>1.3720000000000001</v>
      </c>
      <c r="E69" s="3593" t="s">
        <v>524</v>
      </c>
      <c r="F69" s="3593"/>
      <c r="G69" s="3594">
        <v>1.55</v>
      </c>
      <c r="H69" s="3594">
        <v>0.42</v>
      </c>
      <c r="I69" s="3176">
        <f>L19/L55</f>
        <v>2.210252135317822E-4</v>
      </c>
      <c r="J69" s="3574">
        <v>15</v>
      </c>
      <c r="K69" s="3574" t="s">
        <v>526</v>
      </c>
      <c r="L69" s="4831"/>
      <c r="M69" s="278">
        <f t="shared" si="18"/>
        <v>7.1420368979536262</v>
      </c>
      <c r="N69" s="278">
        <f t="shared" si="19"/>
        <v>2.1359872940187703</v>
      </c>
      <c r="O69" s="3548">
        <f t="shared" si="10"/>
        <v>15613.351822262166</v>
      </c>
      <c r="P69" s="3548">
        <f t="shared" si="11"/>
        <v>57426.487807461061</v>
      </c>
      <c r="Q69" s="3548">
        <f>IF(K69=0, 0, (HLOOKUP(K69,'[3]E-CESTDWO'!$A$5:$O$35,J69+1,FALSE)*R19))</f>
        <v>111511.13481532788</v>
      </c>
      <c r="R69" s="3548">
        <f>IF(K69=0, 0, (HLOOKUP(K69,'[3]E-CESTD'!$A$5:$O$35,J69+1,FALSE)*R19))</f>
        <v>122662.24829686065</v>
      </c>
      <c r="S69" s="2327">
        <v>1.081</v>
      </c>
      <c r="T69" s="280">
        <f t="shared" si="12"/>
        <v>0</v>
      </c>
      <c r="U69" s="280">
        <f t="shared" si="13"/>
        <v>16800</v>
      </c>
      <c r="V69" s="280">
        <f t="shared" si="14"/>
        <v>16800</v>
      </c>
      <c r="W69" s="322">
        <f t="shared" si="15"/>
        <v>0.99537663432779488</v>
      </c>
      <c r="X69" s="322">
        <f t="shared" si="16"/>
        <v>7.7837703084814545E-4</v>
      </c>
      <c r="Y69" s="322">
        <f t="shared" si="17"/>
        <v>2.6190872993672326E-6</v>
      </c>
    </row>
    <row r="70" spans="2:25">
      <c r="B70" s="282"/>
      <c r="C70" s="3593" t="s">
        <v>529</v>
      </c>
      <c r="D70" s="3593">
        <v>592.04300000000001</v>
      </c>
      <c r="E70" s="3593" t="s">
        <v>182</v>
      </c>
      <c r="F70" s="3593"/>
      <c r="G70" s="3594">
        <v>402</v>
      </c>
      <c r="H70" s="3594">
        <v>300</v>
      </c>
      <c r="I70" s="3176">
        <f>L20/L55</f>
        <v>9.537640706632429E-2</v>
      </c>
      <c r="J70" s="3574">
        <v>15</v>
      </c>
      <c r="K70" s="3574" t="s">
        <v>258</v>
      </c>
      <c r="L70" s="4831"/>
      <c r="M70" s="278">
        <f t="shared" si="18"/>
        <v>1.3809952749739332</v>
      </c>
      <c r="N70" s="278">
        <f t="shared" si="19"/>
        <v>1.3093455157437426</v>
      </c>
      <c r="O70" s="3548">
        <f t="shared" si="10"/>
        <v>58901.757087752048</v>
      </c>
      <c r="P70" s="3548">
        <f t="shared" si="11"/>
        <v>68337.464765827899</v>
      </c>
      <c r="Q70" s="3548">
        <f>IF(K70=0, 0, (HLOOKUP(K70,'[3]E-CESTDWO'!$A$5:$O$35,J70+1,FALSE)*R20))</f>
        <v>81343.048225847961</v>
      </c>
      <c r="R70" s="3548">
        <f>IF(K70=0, 0, (HLOOKUP(K70,'[3]E-CESTD'!$A$5:$O$35,J70+1,FALSE)*R20))</f>
        <v>89477.353048432764</v>
      </c>
      <c r="S70" s="2327">
        <v>1.081</v>
      </c>
      <c r="T70" s="280">
        <f t="shared" si="12"/>
        <v>0</v>
      </c>
      <c r="U70" s="280">
        <f t="shared" si="13"/>
        <v>30000</v>
      </c>
      <c r="V70" s="280">
        <f t="shared" si="14"/>
        <v>30000</v>
      </c>
      <c r="W70" s="322">
        <f t="shared" si="15"/>
        <v>0.47115880371378921</v>
      </c>
      <c r="X70" s="322">
        <f t="shared" si="16"/>
        <v>8.9034238115779998E-2</v>
      </c>
      <c r="Y70" s="322">
        <f t="shared" si="17"/>
        <v>2.9958289237259163E-4</v>
      </c>
    </row>
    <row r="71" spans="2:25">
      <c r="B71" s="282"/>
      <c r="C71" s="3593" t="s">
        <v>530</v>
      </c>
      <c r="D71" s="3593">
        <v>1209</v>
      </c>
      <c r="E71" s="3593" t="s">
        <v>182</v>
      </c>
      <c r="F71" s="3593"/>
      <c r="G71" s="3594">
        <v>402</v>
      </c>
      <c r="H71" s="3594">
        <v>400</v>
      </c>
      <c r="I71" s="3176">
        <f>L21/L55</f>
        <v>0.19476638714280223</v>
      </c>
      <c r="J71" s="3574">
        <v>15</v>
      </c>
      <c r="K71" s="3574" t="s">
        <v>258</v>
      </c>
      <c r="L71" s="4831"/>
      <c r="M71" s="278">
        <f t="shared" si="18"/>
        <v>0.46784233775719763</v>
      </c>
      <c r="N71" s="278">
        <f t="shared" si="19"/>
        <v>0.51435854592516883</v>
      </c>
      <c r="O71" s="3548">
        <f t="shared" si="10"/>
        <v>71010.728456584009</v>
      </c>
      <c r="P71" s="3548">
        <f t="shared" si="11"/>
        <v>71047.731231792146</v>
      </c>
      <c r="Q71" s="3548">
        <f>IF(K71=0, 0, (HLOOKUP(K71,'[3]E-CESTDWO'!$A$5:$O$35,J71+1,FALSE)*R21))</f>
        <v>33221.825206969821</v>
      </c>
      <c r="R71" s="3548">
        <f>IF(K71=0, 0, (HLOOKUP(K71,'[3]E-CESTD'!$A$5:$O$35,J71+1,FALSE)*R21))</f>
        <v>36544.007727666809</v>
      </c>
      <c r="S71" s="2327">
        <v>1.081</v>
      </c>
      <c r="T71" s="280">
        <f t="shared" si="12"/>
        <v>0</v>
      </c>
      <c r="U71" s="280">
        <f t="shared" si="13"/>
        <v>8000</v>
      </c>
      <c r="V71" s="280">
        <f t="shared" si="14"/>
        <v>8000</v>
      </c>
      <c r="W71" s="322">
        <f t="shared" si="15"/>
        <v>0.10421742182454621</v>
      </c>
      <c r="X71" s="322">
        <f t="shared" si="16"/>
        <v>0.15081147218734597</v>
      </c>
      <c r="Y71" s="322">
        <f t="shared" si="17"/>
        <v>5.0745126815260734E-4</v>
      </c>
    </row>
    <row r="72" spans="2:25">
      <c r="B72" s="282"/>
      <c r="C72" s="3593" t="s">
        <v>531</v>
      </c>
      <c r="D72" s="4523">
        <v>49</v>
      </c>
      <c r="E72" s="3593" t="s">
        <v>182</v>
      </c>
      <c r="F72" s="3593"/>
      <c r="G72" s="3594">
        <v>18.03</v>
      </c>
      <c r="H72" s="3594">
        <v>20</v>
      </c>
      <c r="I72" s="3176">
        <f>L22/L55</f>
        <v>7.8937576261350773E-3</v>
      </c>
      <c r="J72" s="3574">
        <v>15</v>
      </c>
      <c r="K72" s="3574" t="s">
        <v>183</v>
      </c>
      <c r="L72" s="4831"/>
      <c r="M72" s="278">
        <f t="shared" si="18"/>
        <v>2.459102122285429</v>
      </c>
      <c r="N72" s="278">
        <f t="shared" si="19"/>
        <v>2.9916865052548851</v>
      </c>
      <c r="O72" s="3548">
        <f t="shared" si="10"/>
        <v>94881.502572532103</v>
      </c>
      <c r="P72" s="3548">
        <f t="shared" si="11"/>
        <v>85789.615430996491</v>
      </c>
      <c r="Q72" s="3548">
        <f>IF(K72=0, 0, (HLOOKUP(K72,'[3]E-CESTDWO'!$A$5:$O$35,J72+1,FALSE)*R22))</f>
        <v>233323.30434174411</v>
      </c>
      <c r="R72" s="3548">
        <f>IF(K72=0, 0, (HLOOKUP(K72,'[3]E-CESTD'!$A$5:$O$35,J72+1,FALSE)*R22))</f>
        <v>256655.63477591844</v>
      </c>
      <c r="S72" s="2327">
        <v>1.081</v>
      </c>
      <c r="T72" s="280">
        <f t="shared" si="12"/>
        <v>0</v>
      </c>
      <c r="U72" s="280">
        <f t="shared" si="13"/>
        <v>99780</v>
      </c>
      <c r="V72" s="280">
        <f t="shared" si="14"/>
        <v>99780</v>
      </c>
      <c r="W72" s="322">
        <f t="shared" si="15"/>
        <v>0.9728284254999594</v>
      </c>
      <c r="X72" s="322">
        <f t="shared" si="16"/>
        <v>4.5745309764180751E-3</v>
      </c>
      <c r="Y72" s="322">
        <f t="shared" si="17"/>
        <v>1.5392406900603897E-5</v>
      </c>
    </row>
    <row r="73" spans="2:25">
      <c r="B73" s="282"/>
      <c r="C73" s="3593" t="s">
        <v>532</v>
      </c>
      <c r="D73" s="3593">
        <v>7.0080000000000003E-2</v>
      </c>
      <c r="E73" s="3593" t="s">
        <v>533</v>
      </c>
      <c r="F73" s="3593"/>
      <c r="G73" s="4574">
        <v>1.4999999999999999E-2</v>
      </c>
      <c r="H73" s="4574">
        <v>1.4999999999999999E-2</v>
      </c>
      <c r="I73" s="3176">
        <f>L23/L55</f>
        <v>1.1289684376317271E-5</v>
      </c>
      <c r="J73" s="3574">
        <v>12</v>
      </c>
      <c r="K73" s="3574" t="s">
        <v>534</v>
      </c>
      <c r="L73" s="4831"/>
      <c r="M73" s="278">
        <f t="shared" si="18"/>
        <v>4.123617790748261</v>
      </c>
      <c r="N73" s="278">
        <f t="shared" si="19"/>
        <v>4.5359795698230867</v>
      </c>
      <c r="O73" s="3548">
        <f t="shared" si="10"/>
        <v>28278.090510525133</v>
      </c>
      <c r="P73" s="3548">
        <f t="shared" si="11"/>
        <v>28278.090510525133</v>
      </c>
      <c r="Q73" s="3548">
        <f>IF(K73=0, 0, (HLOOKUP(K73,'[3]E-CESTDWO'!$A$5:$O$35,J73+1,FALSE)*R23))</f>
        <v>116608.03711759101</v>
      </c>
      <c r="R73" s="3548">
        <f>IF(K73=0, 0, (HLOOKUP(K73,'[3]E-CESTD'!$A$5:$O$35,J73+1,FALSE)*R23))</f>
        <v>128268.84082935011</v>
      </c>
      <c r="S73" s="2327">
        <v>1.081</v>
      </c>
      <c r="T73" s="280">
        <f t="shared" si="12"/>
        <v>0</v>
      </c>
      <c r="U73" s="280">
        <f t="shared" si="13"/>
        <v>30564.629999999997</v>
      </c>
      <c r="V73" s="280">
        <f t="shared" si="14"/>
        <v>30564.629999999997</v>
      </c>
      <c r="W73" s="322">
        <f t="shared" si="15"/>
        <v>0.99986960999810104</v>
      </c>
      <c r="X73" s="322">
        <f t="shared" si="16"/>
        <v>2.1952099341957914E-5</v>
      </c>
      <c r="Y73" s="322">
        <f t="shared" si="17"/>
        <v>7.3864544176389536E-8</v>
      </c>
    </row>
    <row r="74" spans="2:25">
      <c r="B74" s="282"/>
      <c r="C74" s="3593" t="s">
        <v>535</v>
      </c>
      <c r="D74" s="3593">
        <v>379</v>
      </c>
      <c r="E74" s="3593" t="s">
        <v>536</v>
      </c>
      <c r="F74" s="3593"/>
      <c r="G74" s="3594">
        <v>70</v>
      </c>
      <c r="H74" s="3594">
        <v>70</v>
      </c>
      <c r="I74" s="3176">
        <f>L24/L55</f>
        <v>6.1055798781738668E-2</v>
      </c>
      <c r="J74" s="3574">
        <v>12</v>
      </c>
      <c r="K74" s="3574" t="s">
        <v>534</v>
      </c>
      <c r="L74" s="4831"/>
      <c r="M74" s="278">
        <f t="shared" si="18"/>
        <v>0.42428148647994995</v>
      </c>
      <c r="N74" s="278">
        <f t="shared" si="19"/>
        <v>0.466709635127945</v>
      </c>
      <c r="O74" s="3548">
        <f t="shared" si="10"/>
        <v>21883.303865729515</v>
      </c>
      <c r="P74" s="3548">
        <f t="shared" si="11"/>
        <v>21883.303865729515</v>
      </c>
      <c r="Q74" s="3548">
        <f>IF(K74=0, 0, (HLOOKUP(K74,'[3]E-CESTDWO'!$A$5:$O$35,J74+1,FALSE)*R24))</f>
        <v>9284.6806932441541</v>
      </c>
      <c r="R74" s="3548">
        <f>IF(K74=0, 0, (HLOOKUP(K74,'[3]E-CESTD'!$A$5:$O$35,J74+1,FALSE)*R24))</f>
        <v>10213.14876256857</v>
      </c>
      <c r="S74" s="2327">
        <v>1.081</v>
      </c>
      <c r="T74" s="280">
        <f t="shared" si="12"/>
        <v>0</v>
      </c>
      <c r="U74" s="280">
        <f t="shared" si="13"/>
        <v>2100</v>
      </c>
      <c r="V74" s="280">
        <f t="shared" si="14"/>
        <v>2100</v>
      </c>
      <c r="W74" s="322">
        <f t="shared" si="15"/>
        <v>8.8772961813580381E-2</v>
      </c>
      <c r="X74" s="322">
        <f t="shared" si="16"/>
        <v>0.15341165867024958</v>
      </c>
      <c r="Y74" s="322">
        <f t="shared" si="17"/>
        <v>5.1620038988085088E-4</v>
      </c>
    </row>
    <row r="75" spans="2:25">
      <c r="B75" s="282"/>
      <c r="C75" s="3593" t="s">
        <v>537</v>
      </c>
      <c r="D75" s="3593">
        <v>203</v>
      </c>
      <c r="E75" s="3593" t="s">
        <v>536</v>
      </c>
      <c r="F75" s="3593"/>
      <c r="G75" s="3594">
        <v>70</v>
      </c>
      <c r="H75" s="3594">
        <v>70</v>
      </c>
      <c r="I75" s="3176">
        <f>L25/L55</f>
        <v>3.2702710165416753E-2</v>
      </c>
      <c r="J75" s="3574">
        <v>12</v>
      </c>
      <c r="K75" s="3574" t="s">
        <v>534</v>
      </c>
      <c r="L75" s="4831"/>
      <c r="M75" s="278">
        <f t="shared" si="18"/>
        <v>0.95411535197750708</v>
      </c>
      <c r="N75" s="278">
        <f t="shared" si="19"/>
        <v>1.0495268871752579</v>
      </c>
      <c r="O75" s="3548">
        <f t="shared" si="10"/>
        <v>17026.592328043957</v>
      </c>
      <c r="P75" s="3548">
        <f t="shared" si="11"/>
        <v>17026.592328043957</v>
      </c>
      <c r="Q75" s="3548">
        <f>IF(K75=0, 0, (HLOOKUP(K75,'[3]E-CESTDWO'!$A$5:$O$35,J75+1,FALSE)*R25))</f>
        <v>16245.333132049182</v>
      </c>
      <c r="R75" s="3548">
        <f>IF(K75=0, 0, (HLOOKUP(K75,'[3]E-CESTD'!$A$5:$O$35,J75+1,FALSE)*R25))</f>
        <v>17869.866445254102</v>
      </c>
      <c r="S75" s="2327">
        <v>1.081</v>
      </c>
      <c r="T75" s="280">
        <f t="shared" si="12"/>
        <v>0</v>
      </c>
      <c r="U75" s="280">
        <f t="shared" si="13"/>
        <v>6860</v>
      </c>
      <c r="V75" s="280">
        <f t="shared" si="14"/>
        <v>6860</v>
      </c>
      <c r="W75" s="322">
        <f t="shared" si="15"/>
        <v>0.37270968999145299</v>
      </c>
      <c r="X75" s="322">
        <f t="shared" si="16"/>
        <v>0.10560885804894074</v>
      </c>
      <c r="Y75" s="322">
        <f t="shared" si="17"/>
        <v>3.5535326436247276E-4</v>
      </c>
    </row>
    <row r="76" spans="2:25">
      <c r="B76" s="282"/>
      <c r="C76" s="3593" t="s">
        <v>538</v>
      </c>
      <c r="D76" s="3593">
        <v>1.7520000000000001E-2</v>
      </c>
      <c r="E76" s="3593" t="s">
        <v>533</v>
      </c>
      <c r="F76" s="3593"/>
      <c r="G76" s="4574">
        <v>1.4999999999999999E-2</v>
      </c>
      <c r="H76" s="4574">
        <v>3.0000000000000001E-3</v>
      </c>
      <c r="I76" s="3176">
        <f>L26/L55</f>
        <v>2.8224210940793178E-6</v>
      </c>
      <c r="J76" s="3574">
        <v>12</v>
      </c>
      <c r="K76" s="3574" t="s">
        <v>534</v>
      </c>
      <c r="L76" s="4831"/>
      <c r="M76" s="278">
        <f t="shared" si="18"/>
        <v>5.1549960379474937</v>
      </c>
      <c r="N76" s="278">
        <f t="shared" si="19"/>
        <v>1.1341340440682608</v>
      </c>
      <c r="O76" s="3548">
        <f t="shared" si="10"/>
        <v>23953.432433366714</v>
      </c>
      <c r="P76" s="3548">
        <f t="shared" si="11"/>
        <v>119763.47498655821</v>
      </c>
      <c r="Q76" s="3548">
        <f>IF(K76=0, 0, (HLOOKUP(K76,'[3]E-CESTDWO'!$A$5:$O$35,J76+1,FALSE)*R26))</f>
        <v>123479.84928924841</v>
      </c>
      <c r="R76" s="3548">
        <f>IF(K76=0, 0, (HLOOKUP(K76,'[3]E-CESTD'!$A$5:$O$35,J76+1,FALSE)*R26))</f>
        <v>135827.83421817326</v>
      </c>
      <c r="S76" s="2327">
        <v>1.081</v>
      </c>
      <c r="T76" s="280">
        <f t="shared" si="12"/>
        <v>0</v>
      </c>
      <c r="U76" s="280">
        <f t="shared" si="13"/>
        <v>25892.664000000001</v>
      </c>
      <c r="V76" s="280">
        <f t="shared" si="14"/>
        <v>25892.664000000001</v>
      </c>
      <c r="W76" s="322">
        <f t="shared" si="15"/>
        <v>0.99996151720337345</v>
      </c>
      <c r="X76" s="322">
        <f t="shared" si="16"/>
        <v>6.4788569844296352E-6</v>
      </c>
      <c r="Y76" s="322">
        <f t="shared" si="17"/>
        <v>2.1800093489201106E-8</v>
      </c>
    </row>
    <row r="77" spans="2:25">
      <c r="B77" s="282"/>
      <c r="C77" s="3593" t="s">
        <v>539</v>
      </c>
      <c r="D77" s="3593">
        <v>373</v>
      </c>
      <c r="E77" s="3593" t="s">
        <v>182</v>
      </c>
      <c r="F77" s="3593"/>
      <c r="G77" s="3594">
        <v>458</v>
      </c>
      <c r="H77" s="3594">
        <v>183</v>
      </c>
      <c r="I77" s="3176">
        <f>L27/L55</f>
        <v>6.0089216215273147E-2</v>
      </c>
      <c r="J77" s="3574">
        <v>30</v>
      </c>
      <c r="K77" s="3574" t="s">
        <v>233</v>
      </c>
      <c r="L77" s="4831"/>
      <c r="M77" s="278">
        <f t="shared" si="18"/>
        <v>1.3739392920103202</v>
      </c>
      <c r="N77" s="278">
        <f t="shared" si="19"/>
        <v>0.89114501013827097</v>
      </c>
      <c r="O77" s="3548">
        <f t="shared" si="10"/>
        <v>36553.744582272338</v>
      </c>
      <c r="P77" s="3548">
        <f t="shared" si="11"/>
        <v>61993.152537869006</v>
      </c>
      <c r="Q77" s="3548">
        <f>IF(K77=0, 0, (HLOOKUP(K77,'[3]E-CESTDWO'!$A$5:$O$35,J77+1,FALSE)*R27))</f>
        <v>50222.625951693335</v>
      </c>
      <c r="R77" s="3548">
        <f>IF(K77=0, 0, (HLOOKUP(K77,'[3]E-CESTD'!$A$5:$O$35,J77+1,FALSE)*R27))</f>
        <v>55244.888546862654</v>
      </c>
      <c r="S77" s="2327">
        <v>1.081</v>
      </c>
      <c r="T77" s="280">
        <f t="shared" si="12"/>
        <v>0</v>
      </c>
      <c r="U77" s="280">
        <f t="shared" si="13"/>
        <v>18300</v>
      </c>
      <c r="V77" s="280">
        <f t="shared" si="14"/>
        <v>18300</v>
      </c>
      <c r="W77" s="322">
        <f t="shared" si="15"/>
        <v>0.46311998541277671</v>
      </c>
      <c r="X77" s="322">
        <f t="shared" si="16"/>
        <v>9.0387631285238162E-2</v>
      </c>
      <c r="Y77" s="322">
        <f t="shared" si="17"/>
        <v>3.0413679712658456E-4</v>
      </c>
    </row>
    <row r="78" spans="2:25">
      <c r="B78" s="282"/>
      <c r="C78" s="3593" t="s">
        <v>540</v>
      </c>
      <c r="D78" s="3593">
        <v>114</v>
      </c>
      <c r="E78" s="3593" t="s">
        <v>454</v>
      </c>
      <c r="F78" s="3593"/>
      <c r="G78" s="3594">
        <v>31</v>
      </c>
      <c r="H78" s="3594">
        <v>5</v>
      </c>
      <c r="I78" s="3176">
        <f>L28/L55</f>
        <v>1.8365068762844876E-2</v>
      </c>
      <c r="J78" s="3574">
        <v>6</v>
      </c>
      <c r="K78" s="3574" t="s">
        <v>233</v>
      </c>
      <c r="L78" s="4787">
        <v>59983.14</v>
      </c>
      <c r="M78" s="278">
        <f t="shared" si="18"/>
        <v>3.8149646985182679</v>
      </c>
      <c r="N78" s="278">
        <f t="shared" si="19"/>
        <v>3.7822013866266557</v>
      </c>
      <c r="O78" s="3548">
        <f t="shared" si="10"/>
        <v>9009.0824448907897</v>
      </c>
      <c r="P78" s="3548">
        <f t="shared" si="11"/>
        <v>24666.806774215489</v>
      </c>
      <c r="Q78" s="3548">
        <f>IF(K78=0, 0, (HLOOKUP(K78,'[3]E-CESTDWO'!$A$5:$O$35,J78+1,FALSE)*R28))</f>
        <v>34369.331493299011</v>
      </c>
      <c r="R78" s="3548">
        <f>IF(K78=0, 0, (HLOOKUP(K78,'[3]E-CESTD'!$A$5:$O$35,J78+1,FALSE)*R28))</f>
        <v>37806.264642628914</v>
      </c>
      <c r="S78" s="2327">
        <v>1.081</v>
      </c>
      <c r="T78" s="280">
        <f t="shared" si="12"/>
        <v>0</v>
      </c>
      <c r="U78" s="280">
        <f t="shared" si="13"/>
        <v>3255</v>
      </c>
      <c r="V78" s="280">
        <f t="shared" si="14"/>
        <v>3255</v>
      </c>
      <c r="W78" s="322">
        <f t="shared" si="15"/>
        <v>0.3342294679820686</v>
      </c>
      <c r="X78" s="322">
        <f t="shared" si="16"/>
        <v>0.112087281577953</v>
      </c>
      <c r="Y78" s="322">
        <f t="shared" si="17"/>
        <v>3.7715189935850997E-4</v>
      </c>
    </row>
    <row r="79" spans="2:25">
      <c r="B79" s="282"/>
      <c r="C79" s="4445" t="s">
        <v>1284</v>
      </c>
      <c r="D79" s="4445">
        <v>222</v>
      </c>
      <c r="E79" s="3593" t="s">
        <v>181</v>
      </c>
      <c r="F79" s="3593" t="s">
        <v>186</v>
      </c>
      <c r="G79" s="3594">
        <v>31</v>
      </c>
      <c r="H79" s="3594">
        <v>15</v>
      </c>
      <c r="I79" s="3176">
        <f>L29/L55</f>
        <v>3.5763554959224231E-2</v>
      </c>
      <c r="J79" s="3574">
        <v>6</v>
      </c>
      <c r="K79" s="3574" t="s">
        <v>233</v>
      </c>
      <c r="L79" s="4786">
        <v>0</v>
      </c>
      <c r="M79" s="278">
        <f t="shared" si="18"/>
        <v>0</v>
      </c>
      <c r="N79" s="278">
        <f t="shared" si="19"/>
        <v>0</v>
      </c>
      <c r="O79" s="3548">
        <f t="shared" si="10"/>
        <v>11680.279981902568</v>
      </c>
      <c r="P79" s="3548">
        <f t="shared" si="11"/>
        <v>11680.279981902568</v>
      </c>
      <c r="Q79" s="3548">
        <f>IF(K79=0, 0, (HLOOKUP(K79,'[3]E-CESTDWO'!$A$5:$O$35,J79+1,FALSE)*R29))</f>
        <v>0</v>
      </c>
      <c r="R79" s="3548">
        <f>IF(K79=0, 0, (HLOOKUP(K79,'[3]E-CESTD'!$A$5:$O$35,J79+1,FALSE)*R29))</f>
        <v>0</v>
      </c>
      <c r="S79" s="279">
        <v>1.081</v>
      </c>
      <c r="T79" s="280">
        <f t="shared" si="12"/>
        <v>0</v>
      </c>
      <c r="U79" s="280">
        <f t="shared" si="13"/>
        <v>0</v>
      </c>
      <c r="V79" s="280">
        <f t="shared" si="14"/>
        <v>0</v>
      </c>
      <c r="W79" s="322">
        <f t="shared" si="15"/>
        <v>0</v>
      </c>
      <c r="X79" s="322">
        <f t="shared" si="16"/>
        <v>0.1683572284856461</v>
      </c>
      <c r="Y79" s="322">
        <f t="shared" si="17"/>
        <v>5.6648932510631469E-4</v>
      </c>
    </row>
    <row r="80" spans="2:25">
      <c r="B80" s="282"/>
      <c r="C80" s="4445" t="s">
        <v>486</v>
      </c>
      <c r="D80" s="4445">
        <v>307</v>
      </c>
      <c r="E80" s="3593" t="s">
        <v>181</v>
      </c>
      <c r="F80" s="3593" t="s">
        <v>186</v>
      </c>
      <c r="G80" s="3594">
        <v>31</v>
      </c>
      <c r="H80" s="3594">
        <v>25</v>
      </c>
      <c r="I80" s="3176">
        <f>L30/L55</f>
        <v>4.9456807984152425E-2</v>
      </c>
      <c r="J80" s="3574">
        <v>6</v>
      </c>
      <c r="K80" s="3574" t="s">
        <v>233</v>
      </c>
      <c r="L80" s="4786">
        <v>0</v>
      </c>
      <c r="M80" s="278">
        <f t="shared" si="18"/>
        <v>0</v>
      </c>
      <c r="N80" s="278">
        <f t="shared" si="19"/>
        <v>0</v>
      </c>
      <c r="O80" s="3548">
        <f t="shared" si="10"/>
        <v>16152.459254252648</v>
      </c>
      <c r="P80" s="3548">
        <f t="shared" si="11"/>
        <v>16152.459254252648</v>
      </c>
      <c r="Q80" s="3548">
        <f>IF(K80=0, 0, (HLOOKUP(K80,'[3]E-CESTDWO'!$A$5:$O$35,J80+1,FALSE)*R30))</f>
        <v>0</v>
      </c>
      <c r="R80" s="3548">
        <f>IF(K80=0, 0, (HLOOKUP(K80,'[3]E-CESTD'!$A$5:$O$35,J80+1,FALSE)*R30))</f>
        <v>0</v>
      </c>
      <c r="S80" s="279">
        <v>1.081</v>
      </c>
      <c r="T80" s="280">
        <f t="shared" si="12"/>
        <v>0</v>
      </c>
      <c r="U80" s="280">
        <f t="shared" si="13"/>
        <v>0</v>
      </c>
      <c r="V80" s="280">
        <f t="shared" si="14"/>
        <v>0</v>
      </c>
      <c r="W80" s="322">
        <f t="shared" si="15"/>
        <v>0</v>
      </c>
      <c r="X80" s="322">
        <f t="shared" si="16"/>
        <v>0.1683572284856461</v>
      </c>
      <c r="Y80" s="322">
        <f t="shared" si="17"/>
        <v>5.6648932510631469E-4</v>
      </c>
    </row>
    <row r="81" spans="2:25">
      <c r="B81" s="282"/>
      <c r="C81" s="3593" t="s">
        <v>1285</v>
      </c>
      <c r="D81" s="3593">
        <v>35</v>
      </c>
      <c r="E81" s="3593" t="s">
        <v>181</v>
      </c>
      <c r="F81" s="3593" t="s">
        <v>186</v>
      </c>
      <c r="G81" s="3594">
        <v>40</v>
      </c>
      <c r="H81" s="3594">
        <v>7</v>
      </c>
      <c r="I81" s="3176">
        <f>L31/L55</f>
        <v>5.6383983043821985E-3</v>
      </c>
      <c r="J81" s="3574">
        <v>30</v>
      </c>
      <c r="K81" s="3574" t="s">
        <v>183</v>
      </c>
      <c r="L81" s="4831"/>
      <c r="M81" s="278">
        <f t="shared" si="18"/>
        <v>0</v>
      </c>
      <c r="N81" s="278">
        <f t="shared" si="19"/>
        <v>0</v>
      </c>
      <c r="O81" s="3548">
        <f t="shared" si="10"/>
        <v>1841.485582732387</v>
      </c>
      <c r="P81" s="3548">
        <f t="shared" si="11"/>
        <v>1841.485582732387</v>
      </c>
      <c r="Q81" s="3548">
        <f>IF(K81=0, 0, (HLOOKUP(K81,'[3]E-CESTDWO'!$A$5:$O$35,J81+1,FALSE)*R31))</f>
        <v>0</v>
      </c>
      <c r="R81" s="3548">
        <f>IF(K81=0, 0, (HLOOKUP(K81,'[3]E-CESTD'!$A$5:$O$35,J81+1,FALSE)*R31))</f>
        <v>0</v>
      </c>
      <c r="S81" s="279">
        <v>1.081</v>
      </c>
      <c r="T81" s="280">
        <f t="shared" si="12"/>
        <v>0</v>
      </c>
      <c r="U81" s="280">
        <f t="shared" si="13"/>
        <v>0</v>
      </c>
      <c r="V81" s="280">
        <f t="shared" si="14"/>
        <v>0</v>
      </c>
      <c r="W81" s="322">
        <f t="shared" si="15"/>
        <v>0</v>
      </c>
      <c r="X81" s="322">
        <f t="shared" si="16"/>
        <v>0.16835722848564608</v>
      </c>
      <c r="Y81" s="322">
        <f t="shared" si="17"/>
        <v>5.6648932510631458E-4</v>
      </c>
    </row>
    <row r="82" spans="2:25">
      <c r="B82" s="282"/>
      <c r="C82" s="3593" t="s">
        <v>1286</v>
      </c>
      <c r="D82" s="3593">
        <v>61</v>
      </c>
      <c r="E82" s="3593" t="s">
        <v>181</v>
      </c>
      <c r="F82" s="3593" t="s">
        <v>186</v>
      </c>
      <c r="G82" s="3594">
        <v>50</v>
      </c>
      <c r="H82" s="3594">
        <v>12</v>
      </c>
      <c r="I82" s="3176">
        <f>L32/L55</f>
        <v>9.8269227590661173E-3</v>
      </c>
      <c r="J82" s="3574">
        <v>30</v>
      </c>
      <c r="K82" s="3574" t="s">
        <v>183</v>
      </c>
      <c r="L82" s="4831"/>
      <c r="M82" s="278">
        <f t="shared" si="18"/>
        <v>0</v>
      </c>
      <c r="N82" s="278">
        <f t="shared" si="19"/>
        <v>0</v>
      </c>
      <c r="O82" s="3548">
        <f t="shared" si="10"/>
        <v>3209.4463013335885</v>
      </c>
      <c r="P82" s="3548">
        <f t="shared" si="11"/>
        <v>3209.4463013335885</v>
      </c>
      <c r="Q82" s="3548">
        <f>IF(K82=0, 0, (HLOOKUP(K82,'[3]E-CESTDWO'!$A$5:$O$35,J82+1,FALSE)*R32))</f>
        <v>0</v>
      </c>
      <c r="R82" s="3548">
        <f>IF(K82=0, 0, (HLOOKUP(K82,'[3]E-CESTD'!$A$5:$O$35,J82+1,FALSE)*R32))</f>
        <v>0</v>
      </c>
      <c r="S82" s="279">
        <v>1.081</v>
      </c>
      <c r="T82" s="280">
        <f t="shared" si="12"/>
        <v>0</v>
      </c>
      <c r="U82" s="280">
        <f t="shared" si="13"/>
        <v>0</v>
      </c>
      <c r="V82" s="280">
        <f t="shared" si="14"/>
        <v>0</v>
      </c>
    </row>
    <row r="83" spans="2:25">
      <c r="B83" s="282"/>
      <c r="C83" s="3593" t="s">
        <v>1287</v>
      </c>
      <c r="D83" s="3595">
        <v>2246</v>
      </c>
      <c r="E83" s="3593" t="s">
        <v>181</v>
      </c>
      <c r="F83" s="3593" t="s">
        <v>186</v>
      </c>
      <c r="G83" s="3594">
        <v>1800</v>
      </c>
      <c r="H83" s="3594">
        <v>674</v>
      </c>
      <c r="I83" s="3176">
        <f>L33/L55</f>
        <v>0.36182407404692624</v>
      </c>
      <c r="J83" s="3574">
        <v>24</v>
      </c>
      <c r="K83" s="3574" t="s">
        <v>258</v>
      </c>
      <c r="L83" s="4831"/>
      <c r="M83" s="278">
        <f t="shared" si="18"/>
        <v>0</v>
      </c>
      <c r="N83" s="278">
        <f t="shared" si="19"/>
        <v>0</v>
      </c>
      <c r="O83" s="3548">
        <f t="shared" si="10"/>
        <v>118170.76053762688</v>
      </c>
      <c r="P83" s="3548">
        <f t="shared" si="11"/>
        <v>118170.76053762688</v>
      </c>
      <c r="Q83" s="3548">
        <f>IF(K83=0, 0, (HLOOKUP(K83,'[3]E-CESTDWO'!$A$5:$O$35,J83+1,FALSE)*R33))</f>
        <v>0</v>
      </c>
      <c r="R83" s="3548">
        <f>IF(K83=0, 0, (HLOOKUP(K83,'[3]E-CESTD'!$A$5:$O$35,J83+1,FALSE)*R33))</f>
        <v>0</v>
      </c>
      <c r="S83" s="279">
        <v>1.081</v>
      </c>
      <c r="T83" s="280">
        <f t="shared" si="12"/>
        <v>0</v>
      </c>
      <c r="U83" s="280">
        <f t="shared" si="13"/>
        <v>0</v>
      </c>
      <c r="V83" s="280">
        <f t="shared" si="14"/>
        <v>0</v>
      </c>
    </row>
    <row r="84" spans="2:25">
      <c r="B84" s="282"/>
      <c r="C84" s="3593" t="s">
        <v>206</v>
      </c>
      <c r="D84" s="3595">
        <v>0</v>
      </c>
      <c r="E84" s="3593" t="s">
        <v>181</v>
      </c>
      <c r="F84" s="3593" t="s">
        <v>186</v>
      </c>
      <c r="G84" s="3594"/>
      <c r="H84" s="3594"/>
      <c r="I84" s="4156">
        <v>0</v>
      </c>
      <c r="J84" s="3574"/>
      <c r="K84" s="3574"/>
      <c r="L84" s="3574"/>
      <c r="M84" s="3447" t="e">
        <f t="shared" ref="M84:N104" si="20">Q84/O84</f>
        <v>#DIV/0!</v>
      </c>
      <c r="N84" s="3447" t="e">
        <f t="shared" si="20"/>
        <v>#DIV/0!</v>
      </c>
      <c r="O84" s="214">
        <f t="shared" ref="O84:O104" si="21">(($I84*$F$57)+$V84)/$S84</f>
        <v>0</v>
      </c>
      <c r="P84" s="214">
        <f t="shared" ref="P84:P104" si="22">(($I84*$F$57)+($G84*$O34))/$S84</f>
        <v>0</v>
      </c>
      <c r="Q84" s="214">
        <f>IF(K84=0, 0, (HLOOKUP(K84,'[1]E-CESTDWO'!$A$5:$O$35,J84+1,FALSE)*R34))</f>
        <v>0</v>
      </c>
      <c r="R84" s="214">
        <f>IF(K84=0, 0, (HLOOKUP(K84,'[1]E-CESTD'!$A$5:$O$35,J84+1,FALSE)*R34))</f>
        <v>0</v>
      </c>
      <c r="S84" s="279">
        <v>1.081</v>
      </c>
      <c r="T84" s="280">
        <f t="shared" si="12"/>
        <v>0</v>
      </c>
      <c r="U84" s="280">
        <f t="shared" si="13"/>
        <v>0</v>
      </c>
      <c r="V84" s="280">
        <f t="shared" si="14"/>
        <v>0</v>
      </c>
    </row>
    <row r="85" spans="2:25">
      <c r="B85" s="282"/>
      <c r="C85" s="3593" t="s">
        <v>207</v>
      </c>
      <c r="D85" s="3595">
        <v>0</v>
      </c>
      <c r="E85" s="3593" t="s">
        <v>181</v>
      </c>
      <c r="F85" s="3593" t="s">
        <v>186</v>
      </c>
      <c r="G85" s="3594"/>
      <c r="H85" s="3594"/>
      <c r="I85" s="4156">
        <v>0</v>
      </c>
      <c r="J85" s="3574"/>
      <c r="K85" s="3574"/>
      <c r="L85" s="3574"/>
      <c r="M85" s="3447" t="e">
        <f t="shared" si="20"/>
        <v>#DIV/0!</v>
      </c>
      <c r="N85" s="3447" t="e">
        <f t="shared" si="20"/>
        <v>#DIV/0!</v>
      </c>
      <c r="O85" s="214">
        <f t="shared" si="21"/>
        <v>0</v>
      </c>
      <c r="P85" s="214">
        <f t="shared" si="22"/>
        <v>0</v>
      </c>
      <c r="Q85" s="214">
        <f>IF(K85=0, 0, (HLOOKUP(K85,'[1]E-CESTDWO'!$A$5:$O$35,J85+1,FALSE)*R35))</f>
        <v>0</v>
      </c>
      <c r="R85" s="214">
        <f>IF(K85=0, 0, (HLOOKUP(K85,'[1]E-CESTD'!$A$5:$O$35,J85+1,FALSE)*R35))</f>
        <v>0</v>
      </c>
      <c r="S85" s="279">
        <v>1.081</v>
      </c>
      <c r="T85" s="280">
        <f t="shared" si="12"/>
        <v>0</v>
      </c>
      <c r="U85" s="280">
        <f t="shared" si="13"/>
        <v>0</v>
      </c>
      <c r="V85" s="280">
        <f t="shared" si="14"/>
        <v>0</v>
      </c>
    </row>
    <row r="86" spans="2:25">
      <c r="B86" s="282"/>
      <c r="C86" s="3593" t="s">
        <v>208</v>
      </c>
      <c r="D86" s="3595">
        <v>0</v>
      </c>
      <c r="E86" s="3593" t="s">
        <v>181</v>
      </c>
      <c r="F86" s="3593" t="s">
        <v>186</v>
      </c>
      <c r="G86" s="3594"/>
      <c r="H86" s="3594"/>
      <c r="I86" s="4156">
        <v>0</v>
      </c>
      <c r="J86" s="3574"/>
      <c r="K86" s="3574"/>
      <c r="L86" s="3574"/>
      <c r="M86" s="3447" t="e">
        <f t="shared" si="20"/>
        <v>#DIV/0!</v>
      </c>
      <c r="N86" s="3447" t="e">
        <f t="shared" si="20"/>
        <v>#DIV/0!</v>
      </c>
      <c r="O86" s="214">
        <f t="shared" si="21"/>
        <v>0</v>
      </c>
      <c r="P86" s="214">
        <f t="shared" si="22"/>
        <v>0</v>
      </c>
      <c r="Q86" s="214">
        <f>IF(K86=0, 0, (HLOOKUP(K86,'[1]E-CESTDWO'!$A$5:$O$35,J86+1,FALSE)*R36))</f>
        <v>0</v>
      </c>
      <c r="R86" s="214">
        <f>IF(K86=0, 0, (HLOOKUP(K86,'[1]E-CESTD'!$A$5:$O$35,J86+1,FALSE)*R36))</f>
        <v>0</v>
      </c>
      <c r="S86" s="279">
        <v>1.081</v>
      </c>
      <c r="T86" s="280">
        <f t="shared" si="12"/>
        <v>0</v>
      </c>
      <c r="U86" s="280">
        <f t="shared" si="13"/>
        <v>0</v>
      </c>
      <c r="V86" s="280">
        <f t="shared" si="14"/>
        <v>0</v>
      </c>
    </row>
    <row r="87" spans="2:25">
      <c r="B87" s="282"/>
      <c r="C87" s="3593" t="s">
        <v>209</v>
      </c>
      <c r="D87" s="3595">
        <v>0</v>
      </c>
      <c r="E87" s="3593" t="s">
        <v>181</v>
      </c>
      <c r="F87" s="3593" t="s">
        <v>186</v>
      </c>
      <c r="G87" s="3594"/>
      <c r="H87" s="3594"/>
      <c r="I87" s="4156">
        <v>0</v>
      </c>
      <c r="J87" s="3574"/>
      <c r="K87" s="3574"/>
      <c r="L87" s="3574"/>
      <c r="M87" s="3447" t="e">
        <f t="shared" si="20"/>
        <v>#DIV/0!</v>
      </c>
      <c r="N87" s="3447" t="e">
        <f t="shared" si="20"/>
        <v>#DIV/0!</v>
      </c>
      <c r="O87" s="214">
        <f t="shared" si="21"/>
        <v>0</v>
      </c>
      <c r="P87" s="214">
        <f t="shared" si="22"/>
        <v>0</v>
      </c>
      <c r="Q87" s="214">
        <f>IF(K87=0, 0, (HLOOKUP(K87,'[1]E-CESTDWO'!$A$5:$O$35,J87+1,FALSE)*R37))</f>
        <v>0</v>
      </c>
      <c r="R87" s="214">
        <f>IF(K87=0, 0, (HLOOKUP(K87,'[1]E-CESTD'!$A$5:$O$35,J87+1,FALSE)*R37))</f>
        <v>0</v>
      </c>
      <c r="S87" s="279">
        <v>1.081</v>
      </c>
      <c r="T87" s="280">
        <f t="shared" si="12"/>
        <v>0</v>
      </c>
      <c r="U87" s="280">
        <f t="shared" si="13"/>
        <v>0</v>
      </c>
      <c r="V87" s="280">
        <f t="shared" si="14"/>
        <v>0</v>
      </c>
    </row>
    <row r="88" spans="2:25">
      <c r="B88" s="282"/>
      <c r="C88" s="3593" t="s">
        <v>210</v>
      </c>
      <c r="D88" s="3595">
        <v>0</v>
      </c>
      <c r="E88" s="3593" t="s">
        <v>181</v>
      </c>
      <c r="F88" s="3593" t="s">
        <v>186</v>
      </c>
      <c r="G88" s="3594"/>
      <c r="H88" s="3594"/>
      <c r="I88" s="4156">
        <v>0</v>
      </c>
      <c r="J88" s="3574"/>
      <c r="K88" s="3574"/>
      <c r="L88" s="3574"/>
      <c r="M88" s="3447" t="e">
        <f t="shared" si="20"/>
        <v>#DIV/0!</v>
      </c>
      <c r="N88" s="3447" t="e">
        <f t="shared" si="20"/>
        <v>#DIV/0!</v>
      </c>
      <c r="O88" s="214">
        <f t="shared" si="21"/>
        <v>0</v>
      </c>
      <c r="P88" s="214">
        <f t="shared" si="22"/>
        <v>0</v>
      </c>
      <c r="Q88" s="214">
        <f>IF(K88=0, 0, (HLOOKUP(K88,'[1]E-CESTDWO'!$A$5:$O$35,J88+1,FALSE)*R38))</f>
        <v>0</v>
      </c>
      <c r="R88" s="214">
        <f>IF(K88=0, 0, (HLOOKUP(K88,'[1]E-CESTD'!$A$5:$O$35,J88+1,FALSE)*R38))</f>
        <v>0</v>
      </c>
      <c r="S88" s="279">
        <v>1.081</v>
      </c>
      <c r="T88" s="280">
        <f t="shared" si="12"/>
        <v>0</v>
      </c>
      <c r="U88" s="280">
        <f t="shared" si="13"/>
        <v>0</v>
      </c>
      <c r="V88" s="280">
        <f t="shared" si="14"/>
        <v>0</v>
      </c>
    </row>
    <row r="89" spans="2:25">
      <c r="B89" s="282"/>
      <c r="C89" s="3593" t="s">
        <v>211</v>
      </c>
      <c r="D89" s="3595">
        <v>0</v>
      </c>
      <c r="E89" s="3593" t="s">
        <v>181</v>
      </c>
      <c r="F89" s="3593" t="s">
        <v>186</v>
      </c>
      <c r="G89" s="3594"/>
      <c r="H89" s="3594"/>
      <c r="I89" s="4156">
        <v>0</v>
      </c>
      <c r="J89" s="3574"/>
      <c r="K89" s="3574"/>
      <c r="L89" s="3574"/>
      <c r="M89" s="3447" t="e">
        <f t="shared" si="20"/>
        <v>#DIV/0!</v>
      </c>
      <c r="N89" s="3447" t="e">
        <f t="shared" si="20"/>
        <v>#DIV/0!</v>
      </c>
      <c r="O89" s="214">
        <f t="shared" si="21"/>
        <v>0</v>
      </c>
      <c r="P89" s="214">
        <f t="shared" si="22"/>
        <v>0</v>
      </c>
      <c r="Q89" s="214">
        <f>IF(K89=0, 0, (HLOOKUP(K89,'[1]E-CESTDWO'!$A$5:$O$35,J89+1,FALSE)*R39))</f>
        <v>0</v>
      </c>
      <c r="R89" s="214">
        <f>IF(K89=0, 0, (HLOOKUP(K89,'[1]E-CESTD'!$A$5:$O$35,J89+1,FALSE)*R39))</f>
        <v>0</v>
      </c>
      <c r="S89" s="279">
        <v>1.081</v>
      </c>
      <c r="T89" s="280">
        <f t="shared" si="12"/>
        <v>0</v>
      </c>
      <c r="U89" s="280">
        <f t="shared" si="13"/>
        <v>0</v>
      </c>
      <c r="V89" s="280">
        <f t="shared" si="14"/>
        <v>0</v>
      </c>
    </row>
    <row r="90" spans="2:25">
      <c r="B90" s="282"/>
      <c r="C90" s="3593" t="s">
        <v>212</v>
      </c>
      <c r="D90" s="3595">
        <v>0</v>
      </c>
      <c r="E90" s="3593" t="s">
        <v>181</v>
      </c>
      <c r="F90" s="3593" t="s">
        <v>186</v>
      </c>
      <c r="G90" s="3594"/>
      <c r="H90" s="3594"/>
      <c r="I90" s="4156">
        <v>0</v>
      </c>
      <c r="J90" s="3574"/>
      <c r="K90" s="3574"/>
      <c r="L90" s="3574"/>
      <c r="M90" s="3447" t="e">
        <f t="shared" si="20"/>
        <v>#DIV/0!</v>
      </c>
      <c r="N90" s="3447" t="e">
        <f t="shared" si="20"/>
        <v>#DIV/0!</v>
      </c>
      <c r="O90" s="214">
        <f t="shared" si="21"/>
        <v>0</v>
      </c>
      <c r="P90" s="214">
        <f t="shared" si="22"/>
        <v>0</v>
      </c>
      <c r="Q90" s="214">
        <f>IF(K90=0, 0, (HLOOKUP(K90,'[1]E-CESTDWO'!$A$5:$O$35,J90+1,FALSE)*R40))</f>
        <v>0</v>
      </c>
      <c r="R90" s="214">
        <f>IF(K90=0, 0, (HLOOKUP(K90,'[1]E-CESTD'!$A$5:$O$35,J90+1,FALSE)*R40))</f>
        <v>0</v>
      </c>
      <c r="S90" s="279">
        <v>1.081</v>
      </c>
      <c r="T90" s="280">
        <f t="shared" si="12"/>
        <v>0</v>
      </c>
      <c r="U90" s="280">
        <f t="shared" si="13"/>
        <v>0</v>
      </c>
      <c r="V90" s="280">
        <f t="shared" si="14"/>
        <v>0</v>
      </c>
    </row>
    <row r="91" spans="2:25">
      <c r="B91" s="282"/>
      <c r="C91" s="3593" t="s">
        <v>213</v>
      </c>
      <c r="D91" s="3595">
        <v>0</v>
      </c>
      <c r="E91" s="3593" t="s">
        <v>181</v>
      </c>
      <c r="F91" s="3593" t="s">
        <v>186</v>
      </c>
      <c r="G91" s="3594"/>
      <c r="H91" s="3594"/>
      <c r="I91" s="4156">
        <v>0</v>
      </c>
      <c r="J91" s="3574"/>
      <c r="K91" s="3574"/>
      <c r="L91" s="3574"/>
      <c r="M91" s="3447" t="e">
        <f t="shared" si="20"/>
        <v>#DIV/0!</v>
      </c>
      <c r="N91" s="3447" t="e">
        <f t="shared" si="20"/>
        <v>#DIV/0!</v>
      </c>
      <c r="O91" s="214">
        <f t="shared" si="21"/>
        <v>0</v>
      </c>
      <c r="P91" s="214">
        <f t="shared" si="22"/>
        <v>0</v>
      </c>
      <c r="Q91" s="214">
        <f>IF(K91=0, 0, (HLOOKUP(K91,'[1]E-CESTDWO'!$A$5:$O$35,J91+1,FALSE)*R41))</f>
        <v>0</v>
      </c>
      <c r="R91" s="214">
        <f>IF(K91=0, 0, (HLOOKUP(K91,'[1]E-CESTD'!$A$5:$O$35,J91+1,FALSE)*R41))</f>
        <v>0</v>
      </c>
      <c r="S91" s="279">
        <v>1.081</v>
      </c>
      <c r="T91" s="280">
        <f t="shared" si="12"/>
        <v>0</v>
      </c>
      <c r="U91" s="280">
        <f t="shared" si="13"/>
        <v>0</v>
      </c>
      <c r="V91" s="280">
        <f t="shared" si="14"/>
        <v>0</v>
      </c>
    </row>
    <row r="92" spans="2:25">
      <c r="B92" s="282"/>
      <c r="C92" s="3593" t="s">
        <v>214</v>
      </c>
      <c r="D92" s="3595">
        <v>0</v>
      </c>
      <c r="E92" s="3593" t="s">
        <v>181</v>
      </c>
      <c r="F92" s="3593" t="s">
        <v>186</v>
      </c>
      <c r="G92" s="3594"/>
      <c r="H92" s="3594"/>
      <c r="I92" s="4156">
        <v>0</v>
      </c>
      <c r="J92" s="3574"/>
      <c r="K92" s="3574"/>
      <c r="L92" s="3574"/>
      <c r="M92" s="3447" t="e">
        <f t="shared" si="20"/>
        <v>#DIV/0!</v>
      </c>
      <c r="N92" s="3447" t="e">
        <f t="shared" si="20"/>
        <v>#DIV/0!</v>
      </c>
      <c r="O92" s="214">
        <f t="shared" si="21"/>
        <v>0</v>
      </c>
      <c r="P92" s="214">
        <f t="shared" si="22"/>
        <v>0</v>
      </c>
      <c r="Q92" s="214">
        <f>IF(K92=0, 0, (HLOOKUP(K92,'[1]E-CESTDWO'!$A$5:$O$35,J92+1,FALSE)*R42))</f>
        <v>0</v>
      </c>
      <c r="R92" s="214">
        <f>IF(K92=0, 0, (HLOOKUP(K92,'[1]E-CESTD'!$A$5:$O$35,J92+1,FALSE)*R42))</f>
        <v>0</v>
      </c>
      <c r="S92" s="279">
        <v>1.081</v>
      </c>
      <c r="T92" s="280">
        <f t="shared" si="12"/>
        <v>0</v>
      </c>
      <c r="U92" s="280">
        <f t="shared" si="13"/>
        <v>0</v>
      </c>
      <c r="V92" s="280">
        <f t="shared" si="14"/>
        <v>0</v>
      </c>
    </row>
    <row r="93" spans="2:25">
      <c r="B93" s="282"/>
      <c r="C93" s="3593" t="s">
        <v>215</v>
      </c>
      <c r="D93" s="3595">
        <v>0</v>
      </c>
      <c r="E93" s="3593" t="s">
        <v>181</v>
      </c>
      <c r="F93" s="3593" t="s">
        <v>186</v>
      </c>
      <c r="G93" s="3594"/>
      <c r="H93" s="3594"/>
      <c r="I93" s="4156">
        <v>0</v>
      </c>
      <c r="J93" s="3574"/>
      <c r="K93" s="3574"/>
      <c r="L93" s="3574"/>
      <c r="M93" s="3447" t="e">
        <f t="shared" si="20"/>
        <v>#DIV/0!</v>
      </c>
      <c r="N93" s="3447" t="e">
        <f t="shared" si="20"/>
        <v>#DIV/0!</v>
      </c>
      <c r="O93" s="214">
        <f t="shared" si="21"/>
        <v>0</v>
      </c>
      <c r="P93" s="214">
        <f t="shared" si="22"/>
        <v>0</v>
      </c>
      <c r="Q93" s="214">
        <f>IF(K93=0, 0, (HLOOKUP(K93,'[1]E-CESTDWO'!$A$5:$O$35,J93+1,FALSE)*R43))</f>
        <v>0</v>
      </c>
      <c r="R93" s="214">
        <f>IF(K93=0, 0, (HLOOKUP(K93,'[1]E-CESTD'!$A$5:$O$35,J93+1,FALSE)*R43))</f>
        <v>0</v>
      </c>
      <c r="S93" s="279">
        <v>1.081</v>
      </c>
      <c r="T93" s="280">
        <f t="shared" si="12"/>
        <v>0</v>
      </c>
      <c r="U93" s="280">
        <f t="shared" si="13"/>
        <v>0</v>
      </c>
      <c r="V93" s="280">
        <f t="shared" si="14"/>
        <v>0</v>
      </c>
    </row>
    <row r="94" spans="2:25">
      <c r="B94" s="282"/>
      <c r="C94" s="3593" t="s">
        <v>216</v>
      </c>
      <c r="D94" s="3595">
        <v>0</v>
      </c>
      <c r="E94" s="3593" t="s">
        <v>181</v>
      </c>
      <c r="F94" s="3593" t="s">
        <v>186</v>
      </c>
      <c r="G94" s="3594"/>
      <c r="H94" s="3594"/>
      <c r="I94" s="4156">
        <v>0</v>
      </c>
      <c r="J94" s="3574"/>
      <c r="K94" s="3574"/>
      <c r="L94" s="3574"/>
      <c r="M94" s="3447" t="e">
        <f t="shared" si="20"/>
        <v>#DIV/0!</v>
      </c>
      <c r="N94" s="3447" t="e">
        <f t="shared" si="20"/>
        <v>#DIV/0!</v>
      </c>
      <c r="O94" s="214">
        <f t="shared" si="21"/>
        <v>0</v>
      </c>
      <c r="P94" s="214">
        <f t="shared" si="22"/>
        <v>0</v>
      </c>
      <c r="Q94" s="214">
        <f>IF(K94=0, 0, (HLOOKUP(K94,'[1]E-CESTDWO'!$A$5:$O$35,J94+1,FALSE)*R44))</f>
        <v>0</v>
      </c>
      <c r="R94" s="214">
        <f>IF(K94=0, 0, (HLOOKUP(K94,'[1]E-CESTD'!$A$5:$O$35,J94+1,FALSE)*R44))</f>
        <v>0</v>
      </c>
      <c r="S94" s="279">
        <v>1.081</v>
      </c>
      <c r="T94" s="280">
        <f t="shared" si="12"/>
        <v>0</v>
      </c>
      <c r="U94" s="280">
        <f t="shared" si="13"/>
        <v>0</v>
      </c>
      <c r="V94" s="280">
        <f t="shared" si="14"/>
        <v>0</v>
      </c>
    </row>
    <row r="95" spans="2:25">
      <c r="B95" s="282"/>
      <c r="C95" s="3593" t="s">
        <v>217</v>
      </c>
      <c r="D95" s="3595">
        <v>0</v>
      </c>
      <c r="E95" s="3593" t="s">
        <v>181</v>
      </c>
      <c r="F95" s="3593" t="s">
        <v>186</v>
      </c>
      <c r="G95" s="3594"/>
      <c r="H95" s="3594"/>
      <c r="I95" s="4156">
        <v>0</v>
      </c>
      <c r="J95" s="3574"/>
      <c r="K95" s="3574"/>
      <c r="L95" s="3574"/>
      <c r="M95" s="3447" t="e">
        <f t="shared" si="20"/>
        <v>#DIV/0!</v>
      </c>
      <c r="N95" s="3447" t="e">
        <f t="shared" si="20"/>
        <v>#DIV/0!</v>
      </c>
      <c r="O95" s="214">
        <f t="shared" si="21"/>
        <v>0</v>
      </c>
      <c r="P95" s="214">
        <f t="shared" si="22"/>
        <v>0</v>
      </c>
      <c r="Q95" s="214">
        <f>IF(K95=0, 0, (HLOOKUP(K95,'[1]E-CESTDWO'!$A$5:$O$35,J95+1,FALSE)*R45))</f>
        <v>0</v>
      </c>
      <c r="R95" s="214">
        <f>IF(K95=0, 0, (HLOOKUP(K95,'[1]E-CESTD'!$A$5:$O$35,J95+1,FALSE)*R45))</f>
        <v>0</v>
      </c>
      <c r="S95" s="279">
        <v>1.081</v>
      </c>
      <c r="T95" s="280">
        <f t="shared" si="12"/>
        <v>0</v>
      </c>
      <c r="U95" s="280">
        <f t="shared" si="13"/>
        <v>0</v>
      </c>
      <c r="V95" s="280">
        <f t="shared" si="14"/>
        <v>0</v>
      </c>
    </row>
    <row r="96" spans="2:25">
      <c r="B96" s="282"/>
      <c r="C96" s="3593" t="s">
        <v>218</v>
      </c>
      <c r="D96" s="3595">
        <v>0</v>
      </c>
      <c r="E96" s="3593" t="s">
        <v>181</v>
      </c>
      <c r="F96" s="3593" t="s">
        <v>186</v>
      </c>
      <c r="G96" s="3594"/>
      <c r="H96" s="3594"/>
      <c r="I96" s="4156">
        <v>0</v>
      </c>
      <c r="J96" s="3574"/>
      <c r="K96" s="3574"/>
      <c r="L96" s="3574"/>
      <c r="M96" s="3447" t="e">
        <f t="shared" si="20"/>
        <v>#DIV/0!</v>
      </c>
      <c r="N96" s="3447" t="e">
        <f t="shared" si="20"/>
        <v>#DIV/0!</v>
      </c>
      <c r="O96" s="214">
        <f t="shared" si="21"/>
        <v>0</v>
      </c>
      <c r="P96" s="214">
        <f t="shared" si="22"/>
        <v>0</v>
      </c>
      <c r="Q96" s="214">
        <f>IF(K96=0, 0, (HLOOKUP(K96,'[1]E-CESTDWO'!$A$5:$O$35,J96+1,FALSE)*R46))</f>
        <v>0</v>
      </c>
      <c r="R96" s="214">
        <f>IF(K96=0, 0, (HLOOKUP(K96,'[1]E-CESTD'!$A$5:$O$35,J96+1,FALSE)*R46))</f>
        <v>0</v>
      </c>
      <c r="S96" s="279">
        <v>1.081</v>
      </c>
      <c r="T96" s="280">
        <f t="shared" si="12"/>
        <v>0</v>
      </c>
      <c r="U96" s="280">
        <f t="shared" si="13"/>
        <v>0</v>
      </c>
      <c r="V96" s="280">
        <f t="shared" si="14"/>
        <v>0</v>
      </c>
    </row>
    <row r="97" spans="2:22">
      <c r="B97" s="282"/>
      <c r="C97" s="3593" t="s">
        <v>219</v>
      </c>
      <c r="D97" s="3595">
        <v>0</v>
      </c>
      <c r="E97" s="3593" t="s">
        <v>181</v>
      </c>
      <c r="F97" s="3593" t="s">
        <v>186</v>
      </c>
      <c r="G97" s="3594"/>
      <c r="H97" s="3594"/>
      <c r="I97" s="4156">
        <v>0</v>
      </c>
      <c r="J97" s="3574"/>
      <c r="K97" s="3574"/>
      <c r="L97" s="3574"/>
      <c r="M97" s="3447" t="e">
        <f t="shared" si="20"/>
        <v>#DIV/0!</v>
      </c>
      <c r="N97" s="3447" t="e">
        <f t="shared" si="20"/>
        <v>#DIV/0!</v>
      </c>
      <c r="O97" s="214">
        <f t="shared" si="21"/>
        <v>0</v>
      </c>
      <c r="P97" s="214">
        <f t="shared" si="22"/>
        <v>0</v>
      </c>
      <c r="Q97" s="214">
        <f>IF(K97=0, 0, (HLOOKUP(K97,'[1]E-CESTDWO'!$A$5:$O$35,J97+1,FALSE)*R47))</f>
        <v>0</v>
      </c>
      <c r="R97" s="214">
        <f>IF(K97=0, 0, (HLOOKUP(K97,'[1]E-CESTD'!$A$5:$O$35,J97+1,FALSE)*R47))</f>
        <v>0</v>
      </c>
      <c r="S97" s="279">
        <v>1.081</v>
      </c>
      <c r="T97" s="280">
        <f t="shared" si="12"/>
        <v>0</v>
      </c>
      <c r="U97" s="280">
        <f t="shared" si="13"/>
        <v>0</v>
      </c>
      <c r="V97" s="280">
        <f t="shared" si="14"/>
        <v>0</v>
      </c>
    </row>
    <row r="98" spans="2:22">
      <c r="B98" s="282"/>
      <c r="C98" s="3593" t="s">
        <v>220</v>
      </c>
      <c r="D98" s="3595">
        <v>0</v>
      </c>
      <c r="E98" s="3593" t="s">
        <v>181</v>
      </c>
      <c r="F98" s="3593" t="s">
        <v>186</v>
      </c>
      <c r="G98" s="3594"/>
      <c r="H98" s="3594"/>
      <c r="I98" s="4156">
        <v>0</v>
      </c>
      <c r="J98" s="3574"/>
      <c r="K98" s="3574"/>
      <c r="L98" s="3574"/>
      <c r="M98" s="3447" t="e">
        <f t="shared" si="20"/>
        <v>#DIV/0!</v>
      </c>
      <c r="N98" s="3447" t="e">
        <f t="shared" si="20"/>
        <v>#DIV/0!</v>
      </c>
      <c r="O98" s="214">
        <f t="shared" si="21"/>
        <v>0</v>
      </c>
      <c r="P98" s="214">
        <f t="shared" si="22"/>
        <v>0</v>
      </c>
      <c r="Q98" s="214">
        <f>IF(K98=0, 0, (HLOOKUP(K98,'[1]E-CESTDWO'!$A$5:$O$35,J98+1,FALSE)*R48))</f>
        <v>0</v>
      </c>
      <c r="R98" s="214">
        <f>IF(K98=0, 0, (HLOOKUP(K98,'[1]E-CESTD'!$A$5:$O$35,J98+1,FALSE)*R48))</f>
        <v>0</v>
      </c>
      <c r="S98" s="279">
        <v>1.081</v>
      </c>
      <c r="T98" s="280">
        <f t="shared" si="12"/>
        <v>0</v>
      </c>
      <c r="U98" s="280">
        <f t="shared" si="13"/>
        <v>0</v>
      </c>
      <c r="V98" s="280">
        <f t="shared" si="14"/>
        <v>0</v>
      </c>
    </row>
    <row r="99" spans="2:22">
      <c r="B99" s="282"/>
      <c r="C99" s="3593" t="s">
        <v>221</v>
      </c>
      <c r="D99" s="3595">
        <v>0</v>
      </c>
      <c r="E99" s="3593" t="s">
        <v>181</v>
      </c>
      <c r="F99" s="3593" t="s">
        <v>186</v>
      </c>
      <c r="G99" s="3594"/>
      <c r="H99" s="3594"/>
      <c r="I99" s="4156">
        <v>0</v>
      </c>
      <c r="J99" s="3574"/>
      <c r="K99" s="3574"/>
      <c r="L99" s="3574"/>
      <c r="M99" s="3447" t="e">
        <f t="shared" si="20"/>
        <v>#DIV/0!</v>
      </c>
      <c r="N99" s="3447" t="e">
        <f t="shared" si="20"/>
        <v>#DIV/0!</v>
      </c>
      <c r="O99" s="214">
        <f t="shared" si="21"/>
        <v>0</v>
      </c>
      <c r="P99" s="214">
        <f t="shared" si="22"/>
        <v>0</v>
      </c>
      <c r="Q99" s="214">
        <f>IF(K99=0, 0, (HLOOKUP(K99,'[1]E-CESTDWO'!$A$5:$O$35,J99+1,FALSE)*R49))</f>
        <v>0</v>
      </c>
      <c r="R99" s="214">
        <f>IF(K99=0, 0, (HLOOKUP(K99,'[1]E-CESTD'!$A$5:$O$35,J99+1,FALSE)*R49))</f>
        <v>0</v>
      </c>
      <c r="S99" s="279">
        <v>1.081</v>
      </c>
      <c r="T99" s="280">
        <f t="shared" si="12"/>
        <v>0</v>
      </c>
      <c r="U99" s="280">
        <f t="shared" si="13"/>
        <v>0</v>
      </c>
      <c r="V99" s="280">
        <f t="shared" si="14"/>
        <v>0</v>
      </c>
    </row>
    <row r="100" spans="2:22">
      <c r="B100" s="282"/>
      <c r="C100" s="3593" t="s">
        <v>222</v>
      </c>
      <c r="D100" s="3595">
        <v>0</v>
      </c>
      <c r="E100" s="3593" t="s">
        <v>181</v>
      </c>
      <c r="F100" s="3593" t="s">
        <v>186</v>
      </c>
      <c r="G100" s="3594"/>
      <c r="H100" s="3594"/>
      <c r="I100" s="4156">
        <v>0</v>
      </c>
      <c r="J100" s="3574"/>
      <c r="K100" s="3574"/>
      <c r="L100" s="3574"/>
      <c r="M100" s="3447" t="e">
        <f t="shared" si="20"/>
        <v>#DIV/0!</v>
      </c>
      <c r="N100" s="3447" t="e">
        <f t="shared" si="20"/>
        <v>#DIV/0!</v>
      </c>
      <c r="O100" s="214">
        <f t="shared" si="21"/>
        <v>0</v>
      </c>
      <c r="P100" s="214">
        <f t="shared" si="22"/>
        <v>0</v>
      </c>
      <c r="Q100" s="214">
        <f>IF(K100=0, 0, (HLOOKUP(K100,'[1]E-CESTDWO'!$A$5:$O$35,J100+1,FALSE)*R50))</f>
        <v>0</v>
      </c>
      <c r="R100" s="214">
        <f>IF(K100=0, 0, (HLOOKUP(K100,'[1]E-CESTD'!$A$5:$O$35,J100+1,FALSE)*R50))</f>
        <v>0</v>
      </c>
      <c r="S100" s="279">
        <v>1.081</v>
      </c>
      <c r="T100" s="280">
        <f t="shared" si="12"/>
        <v>0</v>
      </c>
      <c r="U100" s="280">
        <f t="shared" si="13"/>
        <v>0</v>
      </c>
      <c r="V100" s="280">
        <f t="shared" si="14"/>
        <v>0</v>
      </c>
    </row>
    <row r="101" spans="2:22">
      <c r="B101" s="282"/>
      <c r="C101" s="3593" t="s">
        <v>223</v>
      </c>
      <c r="D101" s="3595">
        <v>0</v>
      </c>
      <c r="E101" s="3593" t="s">
        <v>181</v>
      </c>
      <c r="F101" s="3593" t="s">
        <v>186</v>
      </c>
      <c r="G101" s="3594"/>
      <c r="H101" s="3594"/>
      <c r="I101" s="4156">
        <v>0</v>
      </c>
      <c r="J101" s="3574"/>
      <c r="K101" s="3574"/>
      <c r="L101" s="3574"/>
      <c r="M101" s="3447" t="e">
        <f t="shared" si="20"/>
        <v>#DIV/0!</v>
      </c>
      <c r="N101" s="3447" t="e">
        <f t="shared" si="20"/>
        <v>#DIV/0!</v>
      </c>
      <c r="O101" s="214">
        <f t="shared" si="21"/>
        <v>0</v>
      </c>
      <c r="P101" s="214">
        <f t="shared" si="22"/>
        <v>0</v>
      </c>
      <c r="Q101" s="214">
        <f>IF(K101=0, 0, (HLOOKUP(K101,'[1]E-CESTDWO'!$A$5:$O$35,J101+1,FALSE)*R51))</f>
        <v>0</v>
      </c>
      <c r="R101" s="214">
        <f>IF(K101=0, 0, (HLOOKUP(K101,'[1]E-CESTD'!$A$5:$O$35,J101+1,FALSE)*R51))</f>
        <v>0</v>
      </c>
      <c r="S101" s="279">
        <v>1.081</v>
      </c>
      <c r="T101" s="280">
        <f t="shared" si="12"/>
        <v>0</v>
      </c>
      <c r="U101" s="280">
        <f t="shared" si="13"/>
        <v>0</v>
      </c>
      <c r="V101" s="280">
        <f t="shared" si="14"/>
        <v>0</v>
      </c>
    </row>
    <row r="102" spans="2:22">
      <c r="B102" s="282"/>
      <c r="C102" s="3593" t="s">
        <v>224</v>
      </c>
      <c r="D102" s="3595">
        <v>0</v>
      </c>
      <c r="E102" s="3593" t="s">
        <v>181</v>
      </c>
      <c r="F102" s="3593" t="s">
        <v>186</v>
      </c>
      <c r="G102" s="3594"/>
      <c r="H102" s="3594"/>
      <c r="I102" s="4156">
        <v>0</v>
      </c>
      <c r="J102" s="3574"/>
      <c r="K102" s="3574"/>
      <c r="L102" s="3574"/>
      <c r="M102" s="3447" t="e">
        <f t="shared" si="20"/>
        <v>#DIV/0!</v>
      </c>
      <c r="N102" s="3447" t="e">
        <f t="shared" si="20"/>
        <v>#DIV/0!</v>
      </c>
      <c r="O102" s="214">
        <f t="shared" si="21"/>
        <v>0</v>
      </c>
      <c r="P102" s="214">
        <f t="shared" si="22"/>
        <v>0</v>
      </c>
      <c r="Q102" s="214">
        <f>IF(K102=0, 0, (HLOOKUP(K102,'[1]E-CESTDWO'!$A$5:$O$35,J102+1,FALSE)*R52))</f>
        <v>0</v>
      </c>
      <c r="R102" s="214">
        <f>IF(K102=0, 0, (HLOOKUP(K102,'[1]E-CESTD'!$A$5:$O$35,J102+1,FALSE)*R52))</f>
        <v>0</v>
      </c>
      <c r="S102" s="279">
        <v>1.081</v>
      </c>
      <c r="T102" s="280">
        <f t="shared" si="12"/>
        <v>0</v>
      </c>
      <c r="U102" s="280">
        <f t="shared" si="13"/>
        <v>0</v>
      </c>
      <c r="V102" s="280">
        <f t="shared" si="14"/>
        <v>0</v>
      </c>
    </row>
    <row r="103" spans="2:22">
      <c r="B103" s="282"/>
      <c r="C103" s="3593" t="s">
        <v>225</v>
      </c>
      <c r="D103" s="3595">
        <v>0</v>
      </c>
      <c r="E103" s="3593" t="s">
        <v>181</v>
      </c>
      <c r="F103" s="3593" t="s">
        <v>186</v>
      </c>
      <c r="G103" s="3594"/>
      <c r="H103" s="3594"/>
      <c r="I103" s="4156">
        <v>0</v>
      </c>
      <c r="J103" s="3574"/>
      <c r="K103" s="3574"/>
      <c r="L103" s="3574"/>
      <c r="M103" s="3447" t="e">
        <f t="shared" si="20"/>
        <v>#DIV/0!</v>
      </c>
      <c r="N103" s="3447" t="e">
        <f t="shared" si="20"/>
        <v>#DIV/0!</v>
      </c>
      <c r="O103" s="214">
        <f t="shared" si="21"/>
        <v>0</v>
      </c>
      <c r="P103" s="214">
        <f t="shared" si="22"/>
        <v>0</v>
      </c>
      <c r="Q103" s="214">
        <f>IF(K103=0, 0, (HLOOKUP(K103,'[1]E-CESTDWO'!$A$5:$O$35,J103+1,FALSE)*R53))</f>
        <v>0</v>
      </c>
      <c r="R103" s="214">
        <f>IF(K103=0, 0, (HLOOKUP(K103,'[1]E-CESTD'!$A$5:$O$35,J103+1,FALSE)*R53))</f>
        <v>0</v>
      </c>
      <c r="S103" s="279">
        <v>1.081</v>
      </c>
      <c r="T103" s="280">
        <f t="shared" si="12"/>
        <v>0</v>
      </c>
      <c r="U103" s="280">
        <f t="shared" si="13"/>
        <v>0</v>
      </c>
      <c r="V103" s="280">
        <f t="shared" si="14"/>
        <v>0</v>
      </c>
    </row>
    <row r="104" spans="2:22" ht="13.5" thickBot="1">
      <c r="B104" s="282"/>
      <c r="C104" s="3593" t="s">
        <v>226</v>
      </c>
      <c r="D104" s="3595">
        <v>0</v>
      </c>
      <c r="E104" s="3593" t="s">
        <v>181</v>
      </c>
      <c r="F104" s="3593" t="s">
        <v>186</v>
      </c>
      <c r="G104" s="3594"/>
      <c r="H104" s="3594"/>
      <c r="I104" s="4156">
        <v>0</v>
      </c>
      <c r="J104" s="3574"/>
      <c r="K104" s="3574"/>
      <c r="L104" s="3574"/>
      <c r="M104" s="3447" t="e">
        <f t="shared" si="20"/>
        <v>#DIV/0!</v>
      </c>
      <c r="N104" s="3447" t="e">
        <f t="shared" si="20"/>
        <v>#DIV/0!</v>
      </c>
      <c r="O104" s="214">
        <f t="shared" si="21"/>
        <v>0</v>
      </c>
      <c r="P104" s="214">
        <f t="shared" si="22"/>
        <v>0</v>
      </c>
      <c r="Q104" s="214">
        <f>IF(K104=0, 0, (HLOOKUP(K104,'[1]E-CESTDWO'!$A$5:$O$35,J104+1,FALSE)*R54))</f>
        <v>0</v>
      </c>
      <c r="R104" s="214">
        <f>IF(K104=0, 0, (HLOOKUP(K104,'[1]E-CESTD'!$A$5:$O$35,J104+1,FALSE)*R54))</f>
        <v>0</v>
      </c>
      <c r="S104" s="279">
        <v>1.081</v>
      </c>
      <c r="T104" s="280">
        <f t="shared" si="12"/>
        <v>0</v>
      </c>
      <c r="U104" s="280">
        <f t="shared" si="13"/>
        <v>0</v>
      </c>
      <c r="V104" s="280">
        <f t="shared" si="14"/>
        <v>0</v>
      </c>
    </row>
    <row r="105" spans="2:22" ht="13.5" thickBot="1">
      <c r="G105" s="286">
        <f>SUMPRODUCT(G63:G104,O13:O54)</f>
        <v>543105.47</v>
      </c>
      <c r="H105" s="287">
        <f>V105</f>
        <v>321369.29399999999</v>
      </c>
      <c r="I105" s="288">
        <f>SUM(I63:I104)</f>
        <v>0.96054339563550251</v>
      </c>
      <c r="J105" s="289">
        <f>ROUND(SUMPRODUCT(J63:J104,R13:R54)/R55,0)</f>
        <v>15</v>
      </c>
      <c r="K105" s="264"/>
      <c r="L105" s="304"/>
      <c r="M105" s="290">
        <f>Q105/O105</f>
        <v>1.6268844356543664</v>
      </c>
      <c r="N105" s="291">
        <f>R105/P105</f>
        <v>1.3397871838703717</v>
      </c>
      <c r="O105" s="292">
        <f>SUM(O63:O104)</f>
        <v>610999.75956929824</v>
      </c>
      <c r="P105" s="292">
        <f>SUM(P63:P104)</f>
        <v>816121.10647031583</v>
      </c>
      <c r="Q105" s="292">
        <f>SUM(Q63:Q104)</f>
        <v>994025.9990318513</v>
      </c>
      <c r="R105" s="292">
        <f>SUM(R63:R104)</f>
        <v>1093428.5989350362</v>
      </c>
      <c r="S105" s="293"/>
      <c r="T105" s="294">
        <f>SUM(T63:T104)</f>
        <v>0</v>
      </c>
      <c r="U105" s="294">
        <f>SUM(U63:U104)</f>
        <v>321369.29399999999</v>
      </c>
      <c r="V105" s="294">
        <f>SUM(V63:V104)</f>
        <v>321369.29399999999</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17" top="0.35" bottom="0.31" header="0.3" footer="0.3"/>
      <pageSetup paperSize="17" scale="52"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7" right="0.17" top="0.35" bottom="0.31" header="0.3" footer="0.3"/>
  <pageSetup paperSize="17" scale="53" orientation="landscape" r:id="rId2"/>
  <drawing r:id="rId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sheetPr enableFormatConditionsCalculation="0">
    <tabColor theme="2" tint="-0.749992370372631"/>
    <pageSetUpPr fitToPage="1"/>
  </sheetPr>
  <dimension ref="A1:X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28515625" style="3064" customWidth="1"/>
    <col min="2" max="2" width="19.28515625" customWidth="1"/>
    <col min="3" max="3" width="37.42578125" customWidth="1"/>
    <col min="4" max="4" width="13.28515625" style="19" customWidth="1"/>
    <col min="5" max="5" width="13.28515625" customWidth="1"/>
    <col min="6" max="6" width="16.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1.42578125" bestFit="1" customWidth="1"/>
    <col min="262" max="262" width="19.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1.42578125" bestFit="1" customWidth="1"/>
    <col min="518" max="518" width="19.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1.42578125" bestFit="1" customWidth="1"/>
    <col min="774" max="774" width="19.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1.42578125" bestFit="1" customWidth="1"/>
    <col min="1030" max="1030" width="19.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1.42578125" bestFit="1" customWidth="1"/>
    <col min="1286" max="1286" width="19.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1.42578125" bestFit="1" customWidth="1"/>
    <col min="1542" max="1542" width="19.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1.42578125" bestFit="1" customWidth="1"/>
    <col min="1798" max="1798" width="19.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1.42578125" bestFit="1" customWidth="1"/>
    <col min="2054" max="2054" width="19.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1.42578125" bestFit="1" customWidth="1"/>
    <col min="2310" max="2310" width="19.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1.42578125" bestFit="1" customWidth="1"/>
    <col min="2566" max="2566" width="19.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1.42578125" bestFit="1" customWidth="1"/>
    <col min="2822" max="2822" width="19.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1.42578125" bestFit="1" customWidth="1"/>
    <col min="3078" max="3078" width="19.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1.42578125" bestFit="1" customWidth="1"/>
    <col min="3334" max="3334" width="19.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1.42578125" bestFit="1" customWidth="1"/>
    <col min="3590" max="3590" width="19.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1.42578125" bestFit="1" customWidth="1"/>
    <col min="3846" max="3846" width="19.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1.42578125" bestFit="1" customWidth="1"/>
    <col min="4102" max="4102" width="19.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1.42578125" bestFit="1" customWidth="1"/>
    <col min="4358" max="4358" width="19.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1.42578125" bestFit="1" customWidth="1"/>
    <col min="4614" max="4614" width="19.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1.42578125" bestFit="1" customWidth="1"/>
    <col min="4870" max="4870" width="19.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1.42578125" bestFit="1" customWidth="1"/>
    <col min="5126" max="5126" width="19.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1.42578125" bestFit="1" customWidth="1"/>
    <col min="5382" max="5382" width="19.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1.42578125" bestFit="1" customWidth="1"/>
    <col min="5638" max="5638" width="19.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1.42578125" bestFit="1" customWidth="1"/>
    <col min="5894" max="5894" width="19.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1.42578125" bestFit="1" customWidth="1"/>
    <col min="6150" max="6150" width="19.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1.42578125" bestFit="1" customWidth="1"/>
    <col min="6406" max="6406" width="19.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1.42578125" bestFit="1" customWidth="1"/>
    <col min="6662" max="6662" width="19.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1.42578125" bestFit="1" customWidth="1"/>
    <col min="6918" max="6918" width="19.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1.42578125" bestFit="1" customWidth="1"/>
    <col min="7174" max="7174" width="19.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1.42578125" bestFit="1" customWidth="1"/>
    <col min="7430" max="7430" width="19.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1.42578125" bestFit="1" customWidth="1"/>
    <col min="7686" max="7686" width="19.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1.42578125" bestFit="1" customWidth="1"/>
    <col min="7942" max="7942" width="19.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1.42578125" bestFit="1" customWidth="1"/>
    <col min="8198" max="8198" width="19.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1.42578125" bestFit="1" customWidth="1"/>
    <col min="8454" max="8454" width="19.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1.42578125" bestFit="1" customWidth="1"/>
    <col min="8710" max="8710" width="19.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1.42578125" bestFit="1" customWidth="1"/>
    <col min="8966" max="8966" width="19.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1.42578125" bestFit="1" customWidth="1"/>
    <col min="9222" max="9222" width="19.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1.42578125" bestFit="1" customWidth="1"/>
    <col min="9478" max="9478" width="19.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1.42578125" bestFit="1" customWidth="1"/>
    <col min="9734" max="9734" width="19.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1.42578125" bestFit="1" customWidth="1"/>
    <col min="9990" max="9990" width="19.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1.42578125" bestFit="1" customWidth="1"/>
    <col min="10246" max="10246" width="19.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1.42578125" bestFit="1" customWidth="1"/>
    <col min="10502" max="10502" width="19.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1.42578125" bestFit="1" customWidth="1"/>
    <col min="10758" max="10758" width="19.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1.42578125" bestFit="1" customWidth="1"/>
    <col min="11014" max="11014" width="19.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1.42578125" bestFit="1" customWidth="1"/>
    <col min="11270" max="11270" width="19.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1.42578125" bestFit="1" customWidth="1"/>
    <col min="11526" max="11526" width="19.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1.42578125" bestFit="1" customWidth="1"/>
    <col min="11782" max="11782" width="19.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1.42578125" bestFit="1" customWidth="1"/>
    <col min="12038" max="12038" width="19.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1.42578125" bestFit="1" customWidth="1"/>
    <col min="12294" max="12294" width="19.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1.42578125" bestFit="1" customWidth="1"/>
    <col min="12550" max="12550" width="19.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1.42578125" bestFit="1" customWidth="1"/>
    <col min="12806" max="12806" width="19.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1.42578125" bestFit="1" customWidth="1"/>
    <col min="13062" max="13062" width="19.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1.42578125" bestFit="1" customWidth="1"/>
    <col min="13318" max="13318" width="19.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1.42578125" bestFit="1" customWidth="1"/>
    <col min="13574" max="13574" width="19.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1.42578125" bestFit="1" customWidth="1"/>
    <col min="13830" max="13830" width="19.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1.42578125" bestFit="1" customWidth="1"/>
    <col min="14086" max="14086" width="19.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1.42578125" bestFit="1" customWidth="1"/>
    <col min="14342" max="14342" width="19.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1.42578125" bestFit="1" customWidth="1"/>
    <col min="14598" max="14598" width="19.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1.42578125" bestFit="1" customWidth="1"/>
    <col min="14854" max="14854" width="19.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1.42578125" bestFit="1" customWidth="1"/>
    <col min="15110" max="15110" width="19.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1.42578125" bestFit="1" customWidth="1"/>
    <col min="15366" max="15366" width="19.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1.42578125" bestFit="1" customWidth="1"/>
    <col min="15622" max="15622" width="19.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1.42578125" bestFit="1" customWidth="1"/>
    <col min="15878" max="15878" width="19.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1.42578125" bestFit="1" customWidth="1"/>
    <col min="16134" max="16134" width="19.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 customHeight="1" thickBot="1">
      <c r="B1" s="3461"/>
      <c r="F1" s="198"/>
      <c r="G1" s="198">
        <f>C3</f>
        <v>18230629</v>
      </c>
      <c r="H1" s="198" t="str">
        <f>C4</f>
        <v>SF Existing Pilots - Electric</v>
      </c>
      <c r="I1" s="198"/>
    </row>
    <row r="2" spans="2:22" ht="16.5" thickBot="1">
      <c r="B2" s="198" t="s">
        <v>109</v>
      </c>
      <c r="C2" s="199" t="s">
        <v>546</v>
      </c>
      <c r="G2" s="200" t="s">
        <v>8</v>
      </c>
      <c r="Q2" s="5133"/>
      <c r="R2" s="5133"/>
      <c r="S2" s="5124" t="s">
        <v>110</v>
      </c>
      <c r="T2" s="5125"/>
      <c r="U2" s="5126"/>
      <c r="V2" s="5118" t="s">
        <v>111</v>
      </c>
    </row>
    <row r="3" spans="2:22" ht="16.5" thickBot="1">
      <c r="B3" s="199" t="s">
        <v>6</v>
      </c>
      <c r="C3" s="199">
        <v>18230629</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550</v>
      </c>
      <c r="F4" s="198">
        <v>2011</v>
      </c>
      <c r="G4" s="206">
        <f>B13</f>
        <v>19601</v>
      </c>
      <c r="H4" s="207">
        <f>B18</f>
        <v>2306</v>
      </c>
      <c r="I4" s="207">
        <f>B23</f>
        <v>13802</v>
      </c>
      <c r="J4" s="207">
        <f>B28</f>
        <v>22000</v>
      </c>
      <c r="K4" s="207">
        <f>B33</f>
        <v>1200</v>
      </c>
      <c r="L4" s="207">
        <f>B38</f>
        <v>18000</v>
      </c>
      <c r="M4" s="207">
        <f>B43</f>
        <v>1200</v>
      </c>
      <c r="N4" s="207">
        <f>B48</f>
        <v>4200</v>
      </c>
      <c r="O4" s="207">
        <f>B53</f>
        <v>144715</v>
      </c>
      <c r="P4" s="207">
        <f>B54</f>
        <v>0</v>
      </c>
      <c r="Q4" s="209">
        <f>B55</f>
        <v>227024</v>
      </c>
      <c r="R4" s="210">
        <f>T55</f>
        <v>0</v>
      </c>
      <c r="S4" s="316">
        <f>O4/Q4</f>
        <v>0.63744361829586305</v>
      </c>
      <c r="T4" s="316">
        <f>(J4+(H4*1.63))/Q4</f>
        <v>0.11346280569455211</v>
      </c>
      <c r="U4" s="316">
        <f>L4/Q4</f>
        <v>7.9286771442666854E-2</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317" t="e">
        <f>O5/Q5</f>
        <v>#DIV/0!</v>
      </c>
      <c r="T5" s="317" t="e">
        <f>(J5+(H5*1.63))/Q5</f>
        <v>#DIV/0!</v>
      </c>
      <c r="U5" s="317" t="e">
        <f>L5/Q5</f>
        <v>#DIV/0!</v>
      </c>
      <c r="V5" s="218" t="e">
        <f>Q5/R5</f>
        <v>#DIV/0!</v>
      </c>
    </row>
    <row r="6" spans="2:22" s="3532" customFormat="1" ht="16.5" thickBot="1">
      <c r="B6" s="3536"/>
      <c r="D6" s="3533"/>
      <c r="F6" s="4249" t="s">
        <v>1168</v>
      </c>
      <c r="G6" s="4241">
        <v>0</v>
      </c>
      <c r="H6" s="4242">
        <v>0</v>
      </c>
      <c r="I6" s="4242">
        <v>0</v>
      </c>
      <c r="J6" s="4242">
        <v>0</v>
      </c>
      <c r="K6" s="4242">
        <v>0</v>
      </c>
      <c r="L6" s="4242">
        <v>0</v>
      </c>
      <c r="M6" s="4242">
        <v>0</v>
      </c>
      <c r="N6" s="4242">
        <v>0</v>
      </c>
      <c r="O6" s="4242">
        <v>0</v>
      </c>
      <c r="P6" s="4242">
        <v>0</v>
      </c>
      <c r="Q6" s="4243">
        <v>0</v>
      </c>
      <c r="R6" s="219">
        <v>0</v>
      </c>
      <c r="S6" s="3637" t="e">
        <v>#DIV/0!</v>
      </c>
      <c r="T6" s="3637" t="e">
        <v>#DIV/0!</v>
      </c>
      <c r="U6" s="3637" t="e">
        <v>#DIV/0!</v>
      </c>
      <c r="V6" s="3498" t="e">
        <v>#DIV/0!</v>
      </c>
    </row>
    <row r="7" spans="2:22" ht="16.5" thickBot="1">
      <c r="C7" s="198" t="s">
        <v>551</v>
      </c>
      <c r="F7" s="4191" t="s">
        <v>1169</v>
      </c>
      <c r="G7" s="4192">
        <f>E13</f>
        <v>0</v>
      </c>
      <c r="H7" s="4193">
        <f>E18</f>
        <v>0</v>
      </c>
      <c r="I7" s="4193">
        <f>E23</f>
        <v>0</v>
      </c>
      <c r="J7" s="4193">
        <f>E28</f>
        <v>0</v>
      </c>
      <c r="K7" s="4193">
        <f>E33</f>
        <v>0</v>
      </c>
      <c r="L7" s="4193">
        <f>E38</f>
        <v>0</v>
      </c>
      <c r="M7" s="4193">
        <f>E43</f>
        <v>0</v>
      </c>
      <c r="N7" s="4193">
        <f>E48</f>
        <v>0</v>
      </c>
      <c r="O7" s="4193">
        <f>E53</f>
        <v>0</v>
      </c>
      <c r="P7" s="4193">
        <f>E54</f>
        <v>0</v>
      </c>
      <c r="Q7" s="4244">
        <f>SUM(G7:P7)</f>
        <v>0</v>
      </c>
      <c r="R7" s="4245">
        <f>Q55</f>
        <v>0</v>
      </c>
      <c r="S7" s="317" t="e">
        <f>O7/Q7</f>
        <v>#DIV/0!</v>
      </c>
      <c r="T7" s="317" t="e">
        <f>(J7+(H7*1.63))/Q7</f>
        <v>#DIV/0!</v>
      </c>
      <c r="U7" s="317" t="e">
        <f>L7/Q7</f>
        <v>#DIV/0!</v>
      </c>
      <c r="V7" s="218" t="e">
        <f>Q7/R7</f>
        <v>#DIV/0!</v>
      </c>
    </row>
    <row r="8" spans="2:22" ht="16.5" thickBot="1">
      <c r="C8" s="220" t="s">
        <v>548</v>
      </c>
      <c r="F8" s="221" t="s">
        <v>1170</v>
      </c>
      <c r="G8" s="222">
        <f>SUM(G5+G7)</f>
        <v>0</v>
      </c>
      <c r="H8" s="222">
        <f t="shared" ref="H8:R8" si="0">SUM(H5+H7)</f>
        <v>0</v>
      </c>
      <c r="I8" s="222">
        <f t="shared" si="0"/>
        <v>0</v>
      </c>
      <c r="J8" s="222">
        <f t="shared" si="0"/>
        <v>0</v>
      </c>
      <c r="K8" s="222">
        <f t="shared" si="0"/>
        <v>0</v>
      </c>
      <c r="L8" s="222">
        <f t="shared" si="0"/>
        <v>0</v>
      </c>
      <c r="M8" s="222">
        <f t="shared" si="0"/>
        <v>0</v>
      </c>
      <c r="N8" s="222">
        <f t="shared" si="0"/>
        <v>0</v>
      </c>
      <c r="O8" s="222">
        <f t="shared" si="0"/>
        <v>0</v>
      </c>
      <c r="P8" s="222">
        <f t="shared" si="0"/>
        <v>0</v>
      </c>
      <c r="Q8" s="4248">
        <f t="shared" si="0"/>
        <v>0</v>
      </c>
      <c r="R8" s="4246">
        <f t="shared" si="0"/>
        <v>0</v>
      </c>
      <c r="S8" s="317" t="e">
        <f>O8/Q8</f>
        <v>#DIV/0!</v>
      </c>
      <c r="T8" s="317" t="e">
        <f>(J8+(H8*1.63))/Q8</f>
        <v>#DIV/0!</v>
      </c>
      <c r="U8" s="317" t="e">
        <f>L8/Q8</f>
        <v>#DIV/0!</v>
      </c>
      <c r="V8" s="218" t="e">
        <f>Q8/R8</f>
        <v>#DIV/0!</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19601</v>
      </c>
      <c r="C13" s="236" t="s">
        <v>138</v>
      </c>
      <c r="D13" s="237">
        <f>SUM(D14:D17)</f>
        <v>0</v>
      </c>
      <c r="E13" s="237">
        <f>SUM(E14:E17)</f>
        <v>0</v>
      </c>
      <c r="F13" s="238">
        <f>D13+E13</f>
        <v>0</v>
      </c>
      <c r="H13" s="132"/>
      <c r="I13" s="239" t="str">
        <f t="shared" ref="I13:I54" si="1">C63</f>
        <v>Measure 1</v>
      </c>
      <c r="J13" s="240"/>
      <c r="K13" s="241"/>
      <c r="L13" s="242">
        <f t="shared" ref="L13:L54" si="2">D63</f>
        <v>0</v>
      </c>
      <c r="M13" s="257">
        <v>0</v>
      </c>
      <c r="N13" s="257">
        <v>0</v>
      </c>
      <c r="O13" s="244">
        <f>M13+N13</f>
        <v>0</v>
      </c>
      <c r="P13" s="245">
        <f t="shared" ref="P13:R28" si="3">M13*$D63</f>
        <v>0</v>
      </c>
      <c r="Q13" s="245">
        <f t="shared" si="3"/>
        <v>0</v>
      </c>
      <c r="R13" s="246">
        <f t="shared" si="3"/>
        <v>0</v>
      </c>
      <c r="T13" s="4891"/>
    </row>
    <row r="14" spans="2:22">
      <c r="B14" s="247"/>
      <c r="C14" s="248" t="s">
        <v>239</v>
      </c>
      <c r="D14" s="249"/>
      <c r="E14" s="249"/>
      <c r="F14" s="249">
        <f>SUM(D14:E14)</f>
        <v>0</v>
      </c>
      <c r="H14" s="132"/>
      <c r="I14" s="250" t="str">
        <f t="shared" si="1"/>
        <v>Measure 2</v>
      </c>
      <c r="J14" s="251"/>
      <c r="K14" s="252"/>
      <c r="L14" s="242">
        <f t="shared" si="2"/>
        <v>0</v>
      </c>
      <c r="M14" s="257">
        <v>0</v>
      </c>
      <c r="N14" s="257">
        <v>0</v>
      </c>
      <c r="O14" s="244">
        <f t="shared" ref="O14:O54" si="4">M14+N14</f>
        <v>0</v>
      </c>
      <c r="P14" s="245">
        <f t="shared" si="3"/>
        <v>0</v>
      </c>
      <c r="Q14" s="245">
        <f t="shared" si="3"/>
        <v>0</v>
      </c>
      <c r="R14" s="246">
        <f t="shared" si="3"/>
        <v>0</v>
      </c>
      <c r="T14" s="4891"/>
    </row>
    <row r="15" spans="2:22">
      <c r="B15" s="254"/>
      <c r="C15" s="255" t="s">
        <v>376</v>
      </c>
      <c r="D15" s="256"/>
      <c r="E15" s="256"/>
      <c r="F15" s="249">
        <f t="shared" ref="F15:F25" si="5">SUM(D15:E15)</f>
        <v>0</v>
      </c>
      <c r="H15" s="132"/>
      <c r="I15" s="250" t="str">
        <f t="shared" si="1"/>
        <v>Measure 3</v>
      </c>
      <c r="J15" s="251"/>
      <c r="K15" s="252"/>
      <c r="L15" s="242">
        <f t="shared" si="2"/>
        <v>0</v>
      </c>
      <c r="M15" s="257">
        <v>0</v>
      </c>
      <c r="N15" s="257">
        <v>0</v>
      </c>
      <c r="O15" s="244">
        <f t="shared" si="4"/>
        <v>0</v>
      </c>
      <c r="P15" s="245">
        <f t="shared" si="3"/>
        <v>0</v>
      </c>
      <c r="Q15" s="245">
        <f t="shared" si="3"/>
        <v>0</v>
      </c>
      <c r="R15" s="246">
        <f t="shared" si="3"/>
        <v>0</v>
      </c>
      <c r="T15" s="4891"/>
    </row>
    <row r="16" spans="2:22">
      <c r="B16" s="254"/>
      <c r="C16" s="255" t="s">
        <v>377</v>
      </c>
      <c r="D16" s="258"/>
      <c r="E16" s="258"/>
      <c r="F16" s="249">
        <f t="shared" si="5"/>
        <v>0</v>
      </c>
      <c r="H16" s="132"/>
      <c r="I16" s="250" t="str">
        <f t="shared" si="1"/>
        <v>Measure 4</v>
      </c>
      <c r="J16" s="251"/>
      <c r="K16" s="252"/>
      <c r="L16" s="242">
        <f t="shared" si="2"/>
        <v>0</v>
      </c>
      <c r="M16" s="257">
        <v>0</v>
      </c>
      <c r="N16" s="257">
        <v>0</v>
      </c>
      <c r="O16" s="244">
        <f t="shared" si="4"/>
        <v>0</v>
      </c>
      <c r="P16" s="245">
        <f t="shared" si="3"/>
        <v>0</v>
      </c>
      <c r="Q16" s="245">
        <f t="shared" si="3"/>
        <v>0</v>
      </c>
      <c r="R16" s="246">
        <f t="shared" si="3"/>
        <v>0</v>
      </c>
      <c r="T16" s="4891"/>
    </row>
    <row r="17" spans="2:20" ht="13.5" thickBot="1">
      <c r="B17" s="254"/>
      <c r="C17" s="255" t="s">
        <v>378</v>
      </c>
      <c r="D17" s="258"/>
      <c r="E17" s="258"/>
      <c r="F17" s="249">
        <f t="shared" si="5"/>
        <v>0</v>
      </c>
      <c r="H17" s="132"/>
      <c r="I17" s="250" t="str">
        <f t="shared" si="1"/>
        <v>Measure 5</v>
      </c>
      <c r="J17" s="251"/>
      <c r="K17" s="252"/>
      <c r="L17" s="242">
        <f t="shared" si="2"/>
        <v>0</v>
      </c>
      <c r="M17" s="257">
        <v>0</v>
      </c>
      <c r="N17" s="257">
        <v>0</v>
      </c>
      <c r="O17" s="244">
        <f t="shared" si="4"/>
        <v>0</v>
      </c>
      <c r="P17" s="245">
        <f t="shared" si="3"/>
        <v>0</v>
      </c>
      <c r="Q17" s="245">
        <f t="shared" si="3"/>
        <v>0</v>
      </c>
      <c r="R17" s="246">
        <f t="shared" si="3"/>
        <v>0</v>
      </c>
      <c r="T17" s="4891"/>
    </row>
    <row r="18" spans="2:20" ht="13.5" thickBot="1">
      <c r="B18" s="262">
        <v>2306</v>
      </c>
      <c r="C18" s="236" t="s">
        <v>143</v>
      </c>
      <c r="D18" s="237">
        <f>SUM(D19:D22)</f>
        <v>0</v>
      </c>
      <c r="E18" s="237">
        <f>SUM(E19:E22)</f>
        <v>0</v>
      </c>
      <c r="F18" s="238">
        <f>D18+E18</f>
        <v>0</v>
      </c>
      <c r="H18" s="132"/>
      <c r="I18" s="250" t="str">
        <f t="shared" si="1"/>
        <v>Measure 6</v>
      </c>
      <c r="J18" s="251"/>
      <c r="K18" s="252"/>
      <c r="L18" s="242">
        <f t="shared" si="2"/>
        <v>0</v>
      </c>
      <c r="M18" s="257">
        <v>0</v>
      </c>
      <c r="N18" s="257">
        <v>0</v>
      </c>
      <c r="O18" s="244">
        <f t="shared" si="4"/>
        <v>0</v>
      </c>
      <c r="P18" s="245">
        <f t="shared" si="3"/>
        <v>0</v>
      </c>
      <c r="Q18" s="245">
        <f t="shared" si="3"/>
        <v>0</v>
      </c>
      <c r="R18" s="246">
        <f t="shared" si="3"/>
        <v>0</v>
      </c>
      <c r="T18" s="4891"/>
    </row>
    <row r="19" spans="2:20">
      <c r="B19" s="247"/>
      <c r="C19" s="248" t="s">
        <v>379</v>
      </c>
      <c r="D19" s="249"/>
      <c r="E19" s="249"/>
      <c r="F19" s="249">
        <f t="shared" si="5"/>
        <v>0</v>
      </c>
      <c r="H19" s="132"/>
      <c r="I19" s="250" t="str">
        <f t="shared" si="1"/>
        <v>Measure 7</v>
      </c>
      <c r="J19" s="251"/>
      <c r="K19" s="252"/>
      <c r="L19" s="242">
        <f t="shared" si="2"/>
        <v>0</v>
      </c>
      <c r="M19" s="257">
        <v>0</v>
      </c>
      <c r="N19" s="257">
        <v>0</v>
      </c>
      <c r="O19" s="244">
        <f t="shared" si="4"/>
        <v>0</v>
      </c>
      <c r="P19" s="245">
        <f t="shared" si="3"/>
        <v>0</v>
      </c>
      <c r="Q19" s="245">
        <f t="shared" si="3"/>
        <v>0</v>
      </c>
      <c r="R19" s="246">
        <f t="shared" si="3"/>
        <v>0</v>
      </c>
      <c r="T19" s="4891"/>
    </row>
    <row r="20" spans="2:20">
      <c r="B20" s="254"/>
      <c r="C20" s="255" t="s">
        <v>380</v>
      </c>
      <c r="D20" s="256"/>
      <c r="E20" s="256"/>
      <c r="F20" s="249">
        <f t="shared" si="5"/>
        <v>0</v>
      </c>
      <c r="H20" s="132"/>
      <c r="I20" s="250" t="str">
        <f t="shared" si="1"/>
        <v>Measure 8</v>
      </c>
      <c r="J20" s="251"/>
      <c r="K20" s="252"/>
      <c r="L20" s="242">
        <f t="shared" si="2"/>
        <v>0</v>
      </c>
      <c r="M20" s="257">
        <v>0</v>
      </c>
      <c r="N20" s="257">
        <v>0</v>
      </c>
      <c r="O20" s="244">
        <f t="shared" si="4"/>
        <v>0</v>
      </c>
      <c r="P20" s="245">
        <f t="shared" si="3"/>
        <v>0</v>
      </c>
      <c r="Q20" s="245">
        <f t="shared" si="3"/>
        <v>0</v>
      </c>
      <c r="R20" s="246">
        <f t="shared" si="3"/>
        <v>0</v>
      </c>
      <c r="T20" s="4891"/>
    </row>
    <row r="21" spans="2:20">
      <c r="B21" s="254"/>
      <c r="C21" s="255" t="s">
        <v>141</v>
      </c>
      <c r="D21" s="258"/>
      <c r="E21" s="258"/>
      <c r="F21" s="249">
        <f t="shared" si="5"/>
        <v>0</v>
      </c>
      <c r="H21" s="132"/>
      <c r="I21" s="250" t="str">
        <f t="shared" si="1"/>
        <v>Measure 9</v>
      </c>
      <c r="J21" s="251"/>
      <c r="K21" s="252"/>
      <c r="L21" s="242">
        <f t="shared" si="2"/>
        <v>0</v>
      </c>
      <c r="M21" s="257">
        <v>0</v>
      </c>
      <c r="N21" s="257">
        <v>0</v>
      </c>
      <c r="O21" s="244">
        <f t="shared" si="4"/>
        <v>0</v>
      </c>
      <c r="P21" s="245">
        <f t="shared" si="3"/>
        <v>0</v>
      </c>
      <c r="Q21" s="245">
        <f t="shared" si="3"/>
        <v>0</v>
      </c>
      <c r="R21" s="246">
        <f t="shared" si="3"/>
        <v>0</v>
      </c>
      <c r="T21" s="4891"/>
    </row>
    <row r="22" spans="2:20" ht="13.5" thickBot="1">
      <c r="B22" s="254"/>
      <c r="C22" s="255" t="s">
        <v>142</v>
      </c>
      <c r="D22" s="258"/>
      <c r="E22" s="258"/>
      <c r="F22" s="249">
        <f t="shared" si="5"/>
        <v>0</v>
      </c>
      <c r="H22" s="132"/>
      <c r="I22" s="250" t="str">
        <f t="shared" si="1"/>
        <v>Measure 10</v>
      </c>
      <c r="J22" s="251"/>
      <c r="K22" s="252"/>
      <c r="L22" s="242">
        <f t="shared" si="2"/>
        <v>0</v>
      </c>
      <c r="M22" s="257">
        <v>0</v>
      </c>
      <c r="N22" s="257">
        <v>0</v>
      </c>
      <c r="O22" s="244">
        <f t="shared" si="4"/>
        <v>0</v>
      </c>
      <c r="P22" s="245">
        <f t="shared" si="3"/>
        <v>0</v>
      </c>
      <c r="Q22" s="245">
        <f t="shared" si="3"/>
        <v>0</v>
      </c>
      <c r="R22" s="246">
        <f t="shared" si="3"/>
        <v>0</v>
      </c>
      <c r="T22" s="4891"/>
    </row>
    <row r="23" spans="2:20" ht="13.5" thickBot="1">
      <c r="B23" s="262">
        <v>13802</v>
      </c>
      <c r="C23" s="236" t="s">
        <v>144</v>
      </c>
      <c r="D23" s="237">
        <f>SUM(D24:D27)</f>
        <v>0</v>
      </c>
      <c r="E23" s="237">
        <f>SUM(E24:E27)</f>
        <v>0</v>
      </c>
      <c r="F23" s="238">
        <f>D23+E23</f>
        <v>0</v>
      </c>
      <c r="G23" s="53"/>
      <c r="H23" s="132"/>
      <c r="I23" s="250" t="str">
        <f t="shared" si="1"/>
        <v>Measure 11</v>
      </c>
      <c r="J23" s="251"/>
      <c r="K23" s="252"/>
      <c r="L23" s="242">
        <f t="shared" si="2"/>
        <v>0</v>
      </c>
      <c r="M23" s="257">
        <v>0</v>
      </c>
      <c r="N23" s="257">
        <v>0</v>
      </c>
      <c r="O23" s="244">
        <f t="shared" si="4"/>
        <v>0</v>
      </c>
      <c r="P23" s="245">
        <f t="shared" si="3"/>
        <v>0</v>
      </c>
      <c r="Q23" s="245">
        <f t="shared" si="3"/>
        <v>0</v>
      </c>
      <c r="R23" s="246">
        <f t="shared" si="3"/>
        <v>0</v>
      </c>
      <c r="T23" s="4891"/>
    </row>
    <row r="24" spans="2:20">
      <c r="B24" s="247"/>
      <c r="C24" s="3566" t="s">
        <v>1434</v>
      </c>
      <c r="D24" s="249">
        <f>0.63*D13</f>
        <v>0</v>
      </c>
      <c r="E24" s="249">
        <f>0.63*E13</f>
        <v>0</v>
      </c>
      <c r="F24" s="249">
        <f t="shared" si="5"/>
        <v>0</v>
      </c>
      <c r="H24" s="132"/>
      <c r="I24" s="250" t="str">
        <f t="shared" si="1"/>
        <v>Measure 12</v>
      </c>
      <c r="J24" s="251"/>
      <c r="K24" s="252"/>
      <c r="L24" s="242">
        <f t="shared" si="2"/>
        <v>0</v>
      </c>
      <c r="M24" s="257">
        <v>0</v>
      </c>
      <c r="N24" s="257">
        <v>0</v>
      </c>
      <c r="O24" s="244">
        <f t="shared" si="4"/>
        <v>0</v>
      </c>
      <c r="P24" s="245">
        <f t="shared" si="3"/>
        <v>0</v>
      </c>
      <c r="Q24" s="245">
        <f t="shared" si="3"/>
        <v>0</v>
      </c>
      <c r="R24" s="246">
        <f t="shared" si="3"/>
        <v>0</v>
      </c>
      <c r="T24" s="4891"/>
    </row>
    <row r="25" spans="2:20">
      <c r="B25" s="247"/>
      <c r="C25" s="3566" t="s">
        <v>1435</v>
      </c>
      <c r="D25" s="256">
        <f>0.63*D18</f>
        <v>0</v>
      </c>
      <c r="E25" s="256">
        <f>0.63*E18</f>
        <v>0</v>
      </c>
      <c r="F25" s="249">
        <f t="shared" si="5"/>
        <v>0</v>
      </c>
      <c r="H25" s="132"/>
      <c r="I25" s="250" t="str">
        <f t="shared" si="1"/>
        <v>Measure 13</v>
      </c>
      <c r="J25" s="251"/>
      <c r="K25" s="252"/>
      <c r="L25" s="242">
        <f t="shared" si="2"/>
        <v>0</v>
      </c>
      <c r="M25" s="257">
        <v>0</v>
      </c>
      <c r="N25" s="257">
        <v>0</v>
      </c>
      <c r="O25" s="244">
        <f t="shared" si="4"/>
        <v>0</v>
      </c>
      <c r="P25" s="245">
        <f t="shared" si="3"/>
        <v>0</v>
      </c>
      <c r="Q25" s="245">
        <f t="shared" si="3"/>
        <v>0</v>
      </c>
      <c r="R25" s="246">
        <f t="shared" si="3"/>
        <v>0</v>
      </c>
      <c r="T25" s="4891"/>
    </row>
    <row r="26" spans="2:20">
      <c r="B26" s="254"/>
      <c r="C26" s="255"/>
      <c r="D26" s="258"/>
      <c r="E26" s="258"/>
      <c r="F26" s="258"/>
      <c r="H26" s="132"/>
      <c r="I26" s="250" t="str">
        <f t="shared" si="1"/>
        <v>Measure 14</v>
      </c>
      <c r="J26" s="251"/>
      <c r="K26" s="252"/>
      <c r="L26" s="242">
        <f t="shared" si="2"/>
        <v>0</v>
      </c>
      <c r="M26" s="257">
        <v>0</v>
      </c>
      <c r="N26" s="257">
        <v>0</v>
      </c>
      <c r="O26" s="244">
        <f t="shared" si="4"/>
        <v>0</v>
      </c>
      <c r="P26" s="245">
        <f t="shared" si="3"/>
        <v>0</v>
      </c>
      <c r="Q26" s="245">
        <f t="shared" si="3"/>
        <v>0</v>
      </c>
      <c r="R26" s="246">
        <f t="shared" si="3"/>
        <v>0</v>
      </c>
      <c r="T26" s="4891"/>
    </row>
    <row r="27" spans="2:20" ht="13.5" thickBot="1">
      <c r="B27" s="254"/>
      <c r="C27" s="255"/>
      <c r="D27" s="258"/>
      <c r="E27" s="258"/>
      <c r="F27" s="258"/>
      <c r="H27" s="132"/>
      <c r="I27" s="250" t="str">
        <f t="shared" si="1"/>
        <v>Measure 15</v>
      </c>
      <c r="J27" s="251"/>
      <c r="K27" s="252"/>
      <c r="L27" s="242">
        <f t="shared" si="2"/>
        <v>0</v>
      </c>
      <c r="M27" s="257">
        <v>0</v>
      </c>
      <c r="N27" s="257">
        <v>0</v>
      </c>
      <c r="O27" s="244">
        <f t="shared" si="4"/>
        <v>0</v>
      </c>
      <c r="P27" s="245">
        <f t="shared" si="3"/>
        <v>0</v>
      </c>
      <c r="Q27" s="245">
        <f t="shared" si="3"/>
        <v>0</v>
      </c>
      <c r="R27" s="246">
        <f t="shared" si="3"/>
        <v>0</v>
      </c>
      <c r="T27" s="4891"/>
    </row>
    <row r="28" spans="2:20" ht="13.5" thickBot="1">
      <c r="B28" s="262">
        <v>22000</v>
      </c>
      <c r="C28" s="236" t="s">
        <v>145</v>
      </c>
      <c r="D28" s="237">
        <f>SUM(D29:D32)</f>
        <v>0</v>
      </c>
      <c r="E28" s="237">
        <f>SUM(E29:E32)</f>
        <v>0</v>
      </c>
      <c r="F28" s="238">
        <f>D28+E28</f>
        <v>0</v>
      </c>
      <c r="H28" s="132"/>
      <c r="I28" s="250" t="str">
        <f t="shared" si="1"/>
        <v>Measure 16</v>
      </c>
      <c r="J28" s="251"/>
      <c r="K28" s="252"/>
      <c r="L28" s="242">
        <f t="shared" si="2"/>
        <v>0</v>
      </c>
      <c r="M28" s="257">
        <v>0</v>
      </c>
      <c r="N28" s="257">
        <v>0</v>
      </c>
      <c r="O28" s="244">
        <f t="shared" si="4"/>
        <v>0</v>
      </c>
      <c r="P28" s="245">
        <f t="shared" si="3"/>
        <v>0</v>
      </c>
      <c r="Q28" s="245">
        <f t="shared" si="3"/>
        <v>0</v>
      </c>
      <c r="R28" s="246">
        <f t="shared" si="3"/>
        <v>0</v>
      </c>
      <c r="T28" s="4891"/>
    </row>
    <row r="29" spans="2:20">
      <c r="B29" s="247"/>
      <c r="C29" s="248" t="s">
        <v>139</v>
      </c>
      <c r="D29" s="249"/>
      <c r="E29" s="249"/>
      <c r="F29" s="249">
        <f t="shared" ref="F29:F37" si="6">SUM(D29:E29)</f>
        <v>0</v>
      </c>
      <c r="H29" s="132"/>
      <c r="I29" s="250" t="str">
        <f t="shared" si="1"/>
        <v>Measure 17</v>
      </c>
      <c r="J29" s="251"/>
      <c r="K29" s="252"/>
      <c r="L29" s="242">
        <f t="shared" si="2"/>
        <v>0</v>
      </c>
      <c r="M29" s="257">
        <v>0</v>
      </c>
      <c r="N29" s="257">
        <v>0</v>
      </c>
      <c r="O29" s="244">
        <f t="shared" si="4"/>
        <v>0</v>
      </c>
      <c r="P29" s="245">
        <f t="shared" ref="P29:R44" si="7">M29*$D79</f>
        <v>0</v>
      </c>
      <c r="Q29" s="245">
        <f t="shared" si="7"/>
        <v>0</v>
      </c>
      <c r="R29" s="246">
        <f t="shared" si="7"/>
        <v>0</v>
      </c>
      <c r="T29" s="4891"/>
    </row>
    <row r="30" spans="2:20">
      <c r="B30" s="254"/>
      <c r="C30" s="255" t="s">
        <v>140</v>
      </c>
      <c r="D30" s="256">
        <v>0</v>
      </c>
      <c r="E30" s="256"/>
      <c r="F30" s="249">
        <f t="shared" si="6"/>
        <v>0</v>
      </c>
      <c r="H30" s="132"/>
      <c r="I30" s="250" t="str">
        <f t="shared" si="1"/>
        <v>Measure 18</v>
      </c>
      <c r="J30" s="251"/>
      <c r="K30" s="252"/>
      <c r="L30" s="242">
        <f t="shared" si="2"/>
        <v>0</v>
      </c>
      <c r="M30" s="257">
        <v>0</v>
      </c>
      <c r="N30" s="257">
        <v>0</v>
      </c>
      <c r="O30" s="244">
        <f t="shared" si="4"/>
        <v>0</v>
      </c>
      <c r="P30" s="245">
        <f t="shared" si="7"/>
        <v>0</v>
      </c>
      <c r="Q30" s="245">
        <f t="shared" si="7"/>
        <v>0</v>
      </c>
      <c r="R30" s="246">
        <f t="shared" si="7"/>
        <v>0</v>
      </c>
      <c r="T30" s="4891"/>
    </row>
    <row r="31" spans="2:20">
      <c r="B31" s="254"/>
      <c r="C31" s="255" t="s">
        <v>141</v>
      </c>
      <c r="D31" s="256">
        <v>0</v>
      </c>
      <c r="E31" s="256"/>
      <c r="F31" s="249">
        <f t="shared" si="6"/>
        <v>0</v>
      </c>
      <c r="H31" s="132"/>
      <c r="I31" s="250" t="str">
        <f t="shared" si="1"/>
        <v>Measure 19</v>
      </c>
      <c r="J31" s="251"/>
      <c r="K31" s="252"/>
      <c r="L31" s="242">
        <f t="shared" si="2"/>
        <v>0</v>
      </c>
      <c r="M31" s="257">
        <v>0</v>
      </c>
      <c r="N31" s="257">
        <v>0</v>
      </c>
      <c r="O31" s="244">
        <f t="shared" si="4"/>
        <v>0</v>
      </c>
      <c r="P31" s="245">
        <f t="shared" si="7"/>
        <v>0</v>
      </c>
      <c r="Q31" s="245">
        <f t="shared" si="7"/>
        <v>0</v>
      </c>
      <c r="R31" s="246">
        <f t="shared" si="7"/>
        <v>0</v>
      </c>
      <c r="T31" s="4891"/>
    </row>
    <row r="32" spans="2:20" ht="13.5" thickBot="1">
      <c r="B32" s="254"/>
      <c r="C32" s="255" t="s">
        <v>142</v>
      </c>
      <c r="D32" s="256">
        <v>0</v>
      </c>
      <c r="E32" s="256"/>
      <c r="F32" s="249">
        <f t="shared" si="6"/>
        <v>0</v>
      </c>
      <c r="H32" s="132"/>
      <c r="I32" s="250" t="str">
        <f t="shared" si="1"/>
        <v>Measure 20</v>
      </c>
      <c r="J32" s="251"/>
      <c r="K32" s="252"/>
      <c r="L32" s="242">
        <f t="shared" si="2"/>
        <v>0</v>
      </c>
      <c r="M32" s="257">
        <v>0</v>
      </c>
      <c r="N32" s="257">
        <v>0</v>
      </c>
      <c r="O32" s="244">
        <f t="shared" si="4"/>
        <v>0</v>
      </c>
      <c r="P32" s="245">
        <f t="shared" si="7"/>
        <v>0</v>
      </c>
      <c r="Q32" s="245">
        <f t="shared" si="7"/>
        <v>0</v>
      </c>
      <c r="R32" s="246">
        <f t="shared" si="7"/>
        <v>0</v>
      </c>
      <c r="T32" s="4891"/>
    </row>
    <row r="33" spans="2:20" ht="13.5" thickBot="1">
      <c r="B33" s="262">
        <v>1200</v>
      </c>
      <c r="C33" s="236" t="s">
        <v>146</v>
      </c>
      <c r="D33" s="237">
        <f>SUM(D34:D37)</f>
        <v>0</v>
      </c>
      <c r="E33" s="237">
        <f>SUM(E34:E37)</f>
        <v>0</v>
      </c>
      <c r="F33" s="238">
        <f>D33+E33</f>
        <v>0</v>
      </c>
      <c r="H33" s="132"/>
      <c r="I33" s="250" t="str">
        <f t="shared" si="1"/>
        <v>Measure 21</v>
      </c>
      <c r="J33" s="251"/>
      <c r="K33" s="252"/>
      <c r="L33" s="242">
        <f t="shared" si="2"/>
        <v>0</v>
      </c>
      <c r="M33" s="257">
        <v>0</v>
      </c>
      <c r="N33" s="257">
        <v>0</v>
      </c>
      <c r="O33" s="244">
        <f t="shared" si="4"/>
        <v>0</v>
      </c>
      <c r="P33" s="245">
        <f t="shared" si="7"/>
        <v>0</v>
      </c>
      <c r="Q33" s="245">
        <f t="shared" si="7"/>
        <v>0</v>
      </c>
      <c r="R33" s="246">
        <f t="shared" si="7"/>
        <v>0</v>
      </c>
      <c r="T33" s="4891"/>
    </row>
    <row r="34" spans="2:20">
      <c r="B34" s="254"/>
      <c r="C34" s="255" t="s">
        <v>139</v>
      </c>
      <c r="D34" s="249">
        <v>0</v>
      </c>
      <c r="E34" s="249">
        <v>0</v>
      </c>
      <c r="F34" s="249">
        <f t="shared" si="6"/>
        <v>0</v>
      </c>
      <c r="H34" s="132"/>
      <c r="I34" s="250" t="str">
        <f t="shared" si="1"/>
        <v>Measure 22</v>
      </c>
      <c r="J34" s="251"/>
      <c r="K34" s="252"/>
      <c r="L34" s="242">
        <f t="shared" si="2"/>
        <v>0</v>
      </c>
      <c r="M34" s="257">
        <v>0</v>
      </c>
      <c r="N34" s="257">
        <v>0</v>
      </c>
      <c r="O34" s="244">
        <f t="shared" si="4"/>
        <v>0</v>
      </c>
      <c r="P34" s="245">
        <f t="shared" si="7"/>
        <v>0</v>
      </c>
      <c r="Q34" s="245">
        <f t="shared" si="7"/>
        <v>0</v>
      </c>
      <c r="R34" s="246">
        <f t="shared" si="7"/>
        <v>0</v>
      </c>
      <c r="T34" s="4891"/>
    </row>
    <row r="35" spans="2:20">
      <c r="B35" s="254"/>
      <c r="C35" s="255" t="s">
        <v>140</v>
      </c>
      <c r="D35" s="256">
        <v>0</v>
      </c>
      <c r="E35" s="256"/>
      <c r="F35" s="249">
        <f t="shared" si="6"/>
        <v>0</v>
      </c>
      <c r="H35" s="132"/>
      <c r="I35" s="250" t="str">
        <f t="shared" si="1"/>
        <v>Measure 23</v>
      </c>
      <c r="J35" s="251"/>
      <c r="K35" s="252"/>
      <c r="L35" s="242">
        <f t="shared" si="2"/>
        <v>0</v>
      </c>
      <c r="M35" s="257">
        <v>0</v>
      </c>
      <c r="N35" s="257">
        <v>0</v>
      </c>
      <c r="O35" s="244">
        <f t="shared" si="4"/>
        <v>0</v>
      </c>
      <c r="P35" s="245">
        <f t="shared" si="7"/>
        <v>0</v>
      </c>
      <c r="Q35" s="245">
        <f t="shared" si="7"/>
        <v>0</v>
      </c>
      <c r="R35" s="246">
        <f t="shared" si="7"/>
        <v>0</v>
      </c>
      <c r="T35" s="4891"/>
    </row>
    <row r="36" spans="2:20">
      <c r="B36" s="254"/>
      <c r="C36" s="255" t="s">
        <v>141</v>
      </c>
      <c r="D36" s="256">
        <v>0</v>
      </c>
      <c r="E36" s="256"/>
      <c r="F36" s="249">
        <f t="shared" si="6"/>
        <v>0</v>
      </c>
      <c r="H36" s="132"/>
      <c r="I36" s="250" t="str">
        <f t="shared" si="1"/>
        <v>Measure 24</v>
      </c>
      <c r="J36" s="251"/>
      <c r="K36" s="252"/>
      <c r="L36" s="242">
        <f t="shared" si="2"/>
        <v>0</v>
      </c>
      <c r="M36" s="257">
        <v>0</v>
      </c>
      <c r="N36" s="257">
        <v>0</v>
      </c>
      <c r="O36" s="244">
        <f t="shared" si="4"/>
        <v>0</v>
      </c>
      <c r="P36" s="245">
        <f t="shared" si="7"/>
        <v>0</v>
      </c>
      <c r="Q36" s="245">
        <f t="shared" si="7"/>
        <v>0</v>
      </c>
      <c r="R36" s="246">
        <f t="shared" si="7"/>
        <v>0</v>
      </c>
      <c r="T36" s="4891"/>
    </row>
    <row r="37" spans="2:20" ht="13.5" thickBot="1">
      <c r="B37" s="254"/>
      <c r="C37" s="255" t="s">
        <v>142</v>
      </c>
      <c r="D37" s="256">
        <v>0</v>
      </c>
      <c r="E37" s="256"/>
      <c r="F37" s="249">
        <f t="shared" si="6"/>
        <v>0</v>
      </c>
      <c r="H37" s="132"/>
      <c r="I37" s="250" t="str">
        <f t="shared" si="1"/>
        <v>Measure 25</v>
      </c>
      <c r="J37" s="251"/>
      <c r="K37" s="252"/>
      <c r="L37" s="242">
        <f t="shared" si="2"/>
        <v>0</v>
      </c>
      <c r="M37" s="257">
        <v>0</v>
      </c>
      <c r="N37" s="257">
        <v>0</v>
      </c>
      <c r="O37" s="244">
        <f t="shared" si="4"/>
        <v>0</v>
      </c>
      <c r="P37" s="245">
        <f t="shared" si="7"/>
        <v>0</v>
      </c>
      <c r="Q37" s="245">
        <f t="shared" si="7"/>
        <v>0</v>
      </c>
      <c r="R37" s="246">
        <f t="shared" si="7"/>
        <v>0</v>
      </c>
      <c r="T37" s="4891"/>
    </row>
    <row r="38" spans="2:20" ht="13.5" thickBot="1">
      <c r="B38" s="262">
        <v>18000</v>
      </c>
      <c r="C38" s="236" t="s">
        <v>147</v>
      </c>
      <c r="D38" s="237">
        <f>SUM(D39:D42)</f>
        <v>0</v>
      </c>
      <c r="E38" s="237">
        <f>SUM(E39:E42)</f>
        <v>0</v>
      </c>
      <c r="F38" s="238">
        <f>D38+E38</f>
        <v>0</v>
      </c>
      <c r="H38" s="132"/>
      <c r="I38" s="250" t="str">
        <f t="shared" si="1"/>
        <v>Measure 26</v>
      </c>
      <c r="J38" s="251"/>
      <c r="K38" s="260"/>
      <c r="L38" s="242">
        <f t="shared" si="2"/>
        <v>0</v>
      </c>
      <c r="M38" s="257">
        <v>0</v>
      </c>
      <c r="N38" s="257">
        <v>0</v>
      </c>
      <c r="O38" s="244">
        <f t="shared" si="4"/>
        <v>0</v>
      </c>
      <c r="P38" s="245">
        <f t="shared" si="7"/>
        <v>0</v>
      </c>
      <c r="Q38" s="245">
        <f t="shared" si="7"/>
        <v>0</v>
      </c>
      <c r="R38" s="246">
        <f t="shared" si="7"/>
        <v>0</v>
      </c>
      <c r="T38" s="4891"/>
    </row>
    <row r="39" spans="2:20">
      <c r="B39" s="254"/>
      <c r="C39" s="255" t="s">
        <v>549</v>
      </c>
      <c r="D39" s="249"/>
      <c r="E39" s="249"/>
      <c r="F39" s="249">
        <f t="shared" ref="F39:F52" si="8">SUM(D39:E39)</f>
        <v>0</v>
      </c>
      <c r="H39" s="132"/>
      <c r="I39" s="250" t="str">
        <f t="shared" si="1"/>
        <v>Measure 27</v>
      </c>
      <c r="J39" s="251"/>
      <c r="K39" s="260"/>
      <c r="L39" s="242">
        <f t="shared" si="2"/>
        <v>0</v>
      </c>
      <c r="M39" s="257">
        <v>0</v>
      </c>
      <c r="N39" s="257">
        <v>0</v>
      </c>
      <c r="O39" s="244">
        <f t="shared" si="4"/>
        <v>0</v>
      </c>
      <c r="P39" s="245">
        <f t="shared" si="7"/>
        <v>0</v>
      </c>
      <c r="Q39" s="245">
        <f t="shared" si="7"/>
        <v>0</v>
      </c>
      <c r="R39" s="246">
        <f t="shared" si="7"/>
        <v>0</v>
      </c>
      <c r="T39" s="4891"/>
    </row>
    <row r="40" spans="2:20">
      <c r="B40" s="254"/>
      <c r="C40" s="255" t="s">
        <v>382</v>
      </c>
      <c r="D40" s="256"/>
      <c r="E40" s="256"/>
      <c r="F40" s="249">
        <f t="shared" si="8"/>
        <v>0</v>
      </c>
      <c r="H40" s="132"/>
      <c r="I40" s="250" t="str">
        <f t="shared" si="1"/>
        <v>Measure 28</v>
      </c>
      <c r="J40" s="251"/>
      <c r="K40" s="260"/>
      <c r="L40" s="242">
        <f t="shared" si="2"/>
        <v>0</v>
      </c>
      <c r="M40" s="257">
        <v>0</v>
      </c>
      <c r="N40" s="257">
        <v>0</v>
      </c>
      <c r="O40" s="244">
        <f t="shared" si="4"/>
        <v>0</v>
      </c>
      <c r="P40" s="245">
        <f t="shared" si="7"/>
        <v>0</v>
      </c>
      <c r="Q40" s="245">
        <f t="shared" si="7"/>
        <v>0</v>
      </c>
      <c r="R40" s="246">
        <f t="shared" si="7"/>
        <v>0</v>
      </c>
      <c r="T40" s="4891"/>
    </row>
    <row r="41" spans="2:20">
      <c r="B41" s="254"/>
      <c r="C41" s="255" t="s">
        <v>381</v>
      </c>
      <c r="D41" s="256"/>
      <c r="E41" s="256"/>
      <c r="F41" s="249">
        <f t="shared" si="8"/>
        <v>0</v>
      </c>
      <c r="H41" s="132"/>
      <c r="I41" s="250" t="str">
        <f t="shared" si="1"/>
        <v>Measure 29</v>
      </c>
      <c r="J41" s="251"/>
      <c r="K41" s="260"/>
      <c r="L41" s="242">
        <f t="shared" si="2"/>
        <v>0</v>
      </c>
      <c r="M41" s="257">
        <v>0</v>
      </c>
      <c r="N41" s="257">
        <v>0</v>
      </c>
      <c r="O41" s="244">
        <f t="shared" si="4"/>
        <v>0</v>
      </c>
      <c r="P41" s="245">
        <f t="shared" si="7"/>
        <v>0</v>
      </c>
      <c r="Q41" s="245">
        <f t="shared" si="7"/>
        <v>0</v>
      </c>
      <c r="R41" s="246">
        <f t="shared" si="7"/>
        <v>0</v>
      </c>
      <c r="T41" s="4891"/>
    </row>
    <row r="42" spans="2:20" ht="13.5" thickBot="1">
      <c r="B42" s="254"/>
      <c r="C42" s="255" t="s">
        <v>142</v>
      </c>
      <c r="D42" s="256">
        <v>0</v>
      </c>
      <c r="E42" s="256"/>
      <c r="F42" s="249">
        <f t="shared" si="8"/>
        <v>0</v>
      </c>
      <c r="H42" s="132"/>
      <c r="I42" s="250" t="str">
        <f t="shared" si="1"/>
        <v>Measure 30</v>
      </c>
      <c r="J42" s="251"/>
      <c r="K42" s="260"/>
      <c r="L42" s="242">
        <f t="shared" si="2"/>
        <v>0</v>
      </c>
      <c r="M42" s="257">
        <v>0</v>
      </c>
      <c r="N42" s="257">
        <v>0</v>
      </c>
      <c r="O42" s="244">
        <f t="shared" si="4"/>
        <v>0</v>
      </c>
      <c r="P42" s="245">
        <f t="shared" si="7"/>
        <v>0</v>
      </c>
      <c r="Q42" s="245">
        <f t="shared" si="7"/>
        <v>0</v>
      </c>
      <c r="R42" s="246">
        <f t="shared" si="7"/>
        <v>0</v>
      </c>
      <c r="T42" s="4891"/>
    </row>
    <row r="43" spans="2:20" ht="13.5" thickBot="1">
      <c r="B43" s="262">
        <v>1200</v>
      </c>
      <c r="C43" s="236" t="s">
        <v>148</v>
      </c>
      <c r="D43" s="237">
        <f>SUM(D44:D47)</f>
        <v>0</v>
      </c>
      <c r="E43" s="237">
        <f>SUM(E44:E47)</f>
        <v>0</v>
      </c>
      <c r="F43" s="238">
        <f>D43+E43</f>
        <v>0</v>
      </c>
      <c r="H43" s="132"/>
      <c r="I43" s="250" t="str">
        <f t="shared" si="1"/>
        <v>Measure 31</v>
      </c>
      <c r="J43" s="251"/>
      <c r="K43" s="260"/>
      <c r="L43" s="242">
        <f t="shared" si="2"/>
        <v>0</v>
      </c>
      <c r="M43" s="257">
        <v>0</v>
      </c>
      <c r="N43" s="257">
        <v>0</v>
      </c>
      <c r="O43" s="244">
        <f t="shared" si="4"/>
        <v>0</v>
      </c>
      <c r="P43" s="245">
        <f t="shared" si="7"/>
        <v>0</v>
      </c>
      <c r="Q43" s="245">
        <f t="shared" si="7"/>
        <v>0</v>
      </c>
      <c r="R43" s="246">
        <f t="shared" si="7"/>
        <v>0</v>
      </c>
      <c r="T43" s="4891"/>
    </row>
    <row r="44" spans="2:20">
      <c r="B44" s="254"/>
      <c r="C44" s="255" t="s">
        <v>139</v>
      </c>
      <c r="D44" s="249">
        <v>0</v>
      </c>
      <c r="E44" s="249">
        <v>0</v>
      </c>
      <c r="F44" s="249">
        <f t="shared" si="8"/>
        <v>0</v>
      </c>
      <c r="H44" s="132"/>
      <c r="I44" s="250" t="str">
        <f t="shared" si="1"/>
        <v>Measure 32</v>
      </c>
      <c r="J44" s="251"/>
      <c r="K44" s="260"/>
      <c r="L44" s="242">
        <f t="shared" si="2"/>
        <v>0</v>
      </c>
      <c r="M44" s="257">
        <v>0</v>
      </c>
      <c r="N44" s="257">
        <v>0</v>
      </c>
      <c r="O44" s="244">
        <f t="shared" si="4"/>
        <v>0</v>
      </c>
      <c r="P44" s="245">
        <f t="shared" si="7"/>
        <v>0</v>
      </c>
      <c r="Q44" s="245">
        <f t="shared" si="7"/>
        <v>0</v>
      </c>
      <c r="R44" s="246">
        <f t="shared" si="7"/>
        <v>0</v>
      </c>
      <c r="T44" s="4891"/>
    </row>
    <row r="45" spans="2:20">
      <c r="B45" s="254"/>
      <c r="C45" s="255" t="s">
        <v>140</v>
      </c>
      <c r="D45" s="256">
        <v>0</v>
      </c>
      <c r="E45" s="256"/>
      <c r="F45" s="249">
        <f t="shared" si="8"/>
        <v>0</v>
      </c>
      <c r="H45" s="132"/>
      <c r="I45" s="250" t="str">
        <f t="shared" si="1"/>
        <v>Measure 33</v>
      </c>
      <c r="J45" s="251"/>
      <c r="K45" s="260"/>
      <c r="L45" s="242">
        <f t="shared" si="2"/>
        <v>0</v>
      </c>
      <c r="M45" s="257">
        <v>0</v>
      </c>
      <c r="N45" s="257">
        <v>0</v>
      </c>
      <c r="O45" s="244">
        <f t="shared" si="4"/>
        <v>0</v>
      </c>
      <c r="P45" s="245">
        <f t="shared" ref="P45:R54" si="9">M45*$D95</f>
        <v>0</v>
      </c>
      <c r="Q45" s="245">
        <f t="shared" si="9"/>
        <v>0</v>
      </c>
      <c r="R45" s="246">
        <f t="shared" si="9"/>
        <v>0</v>
      </c>
      <c r="T45" s="4891"/>
    </row>
    <row r="46" spans="2:20">
      <c r="B46" s="254"/>
      <c r="C46" s="255" t="s">
        <v>141</v>
      </c>
      <c r="D46" s="256">
        <v>0</v>
      </c>
      <c r="E46" s="256"/>
      <c r="F46" s="249">
        <f t="shared" si="8"/>
        <v>0</v>
      </c>
      <c r="H46" s="132"/>
      <c r="I46" s="250" t="str">
        <f t="shared" si="1"/>
        <v>Measure 34</v>
      </c>
      <c r="J46" s="251"/>
      <c r="K46" s="260"/>
      <c r="L46" s="242">
        <f t="shared" si="2"/>
        <v>0</v>
      </c>
      <c r="M46" s="257">
        <v>0</v>
      </c>
      <c r="N46" s="257">
        <v>0</v>
      </c>
      <c r="O46" s="244">
        <f t="shared" si="4"/>
        <v>0</v>
      </c>
      <c r="P46" s="245">
        <f t="shared" si="9"/>
        <v>0</v>
      </c>
      <c r="Q46" s="245">
        <f t="shared" si="9"/>
        <v>0</v>
      </c>
      <c r="R46" s="246">
        <f t="shared" si="9"/>
        <v>0</v>
      </c>
      <c r="T46" s="4891"/>
    </row>
    <row r="47" spans="2:20" ht="13.5" thickBot="1">
      <c r="B47" s="254"/>
      <c r="C47" s="255" t="s">
        <v>142</v>
      </c>
      <c r="D47" s="256">
        <v>0</v>
      </c>
      <c r="E47" s="256"/>
      <c r="F47" s="249">
        <f t="shared" si="8"/>
        <v>0</v>
      </c>
      <c r="H47" s="132"/>
      <c r="I47" s="250" t="str">
        <f t="shared" si="1"/>
        <v>Measure 35</v>
      </c>
      <c r="J47" s="251"/>
      <c r="K47" s="260"/>
      <c r="L47" s="242">
        <f t="shared" si="2"/>
        <v>0</v>
      </c>
      <c r="M47" s="257">
        <v>0</v>
      </c>
      <c r="N47" s="257">
        <v>0</v>
      </c>
      <c r="O47" s="244">
        <f t="shared" si="4"/>
        <v>0</v>
      </c>
      <c r="P47" s="245">
        <f t="shared" si="9"/>
        <v>0</v>
      </c>
      <c r="Q47" s="245">
        <f t="shared" si="9"/>
        <v>0</v>
      </c>
      <c r="R47" s="246">
        <f t="shared" si="9"/>
        <v>0</v>
      </c>
      <c r="T47" s="4891"/>
    </row>
    <row r="48" spans="2:20" ht="13.5" thickBot="1">
      <c r="B48" s="262">
        <v>4200</v>
      </c>
      <c r="C48" s="236" t="s">
        <v>149</v>
      </c>
      <c r="D48" s="237">
        <f>SUM(D49:D52)</f>
        <v>0</v>
      </c>
      <c r="E48" s="237">
        <f>SUM(E49:E52)</f>
        <v>0</v>
      </c>
      <c r="F48" s="238">
        <f>D48+E48</f>
        <v>0</v>
      </c>
      <c r="H48" s="132"/>
      <c r="I48" s="250" t="str">
        <f t="shared" si="1"/>
        <v>Measure 36</v>
      </c>
      <c r="J48" s="251"/>
      <c r="K48" s="260"/>
      <c r="L48" s="242">
        <f t="shared" si="2"/>
        <v>0</v>
      </c>
      <c r="M48" s="257">
        <v>0</v>
      </c>
      <c r="N48" s="257">
        <v>0</v>
      </c>
      <c r="O48" s="244">
        <f t="shared" si="4"/>
        <v>0</v>
      </c>
      <c r="P48" s="245">
        <f t="shared" si="9"/>
        <v>0</v>
      </c>
      <c r="Q48" s="245">
        <f t="shared" si="9"/>
        <v>0</v>
      </c>
      <c r="R48" s="246">
        <f t="shared" si="9"/>
        <v>0</v>
      </c>
      <c r="T48" s="4891"/>
    </row>
    <row r="49" spans="2:24">
      <c r="B49" s="254"/>
      <c r="C49" s="255" t="s">
        <v>139</v>
      </c>
      <c r="D49" s="249">
        <v>0</v>
      </c>
      <c r="E49" s="249">
        <v>0</v>
      </c>
      <c r="F49" s="249">
        <f t="shared" si="8"/>
        <v>0</v>
      </c>
      <c r="H49" s="132"/>
      <c r="I49" s="250" t="str">
        <f t="shared" si="1"/>
        <v>Measure 37</v>
      </c>
      <c r="J49" s="251"/>
      <c r="K49" s="260"/>
      <c r="L49" s="242">
        <f t="shared" si="2"/>
        <v>0</v>
      </c>
      <c r="M49" s="257">
        <v>0</v>
      </c>
      <c r="N49" s="257">
        <v>0</v>
      </c>
      <c r="O49" s="244">
        <f t="shared" si="4"/>
        <v>0</v>
      </c>
      <c r="P49" s="245">
        <f t="shared" si="9"/>
        <v>0</v>
      </c>
      <c r="Q49" s="245">
        <f t="shared" si="9"/>
        <v>0</v>
      </c>
      <c r="R49" s="246">
        <f t="shared" si="9"/>
        <v>0</v>
      </c>
      <c r="T49" s="4891"/>
    </row>
    <row r="50" spans="2:24">
      <c r="B50" s="254"/>
      <c r="C50" s="255" t="s">
        <v>140</v>
      </c>
      <c r="D50" s="256">
        <v>0</v>
      </c>
      <c r="E50" s="256"/>
      <c r="F50" s="249">
        <f t="shared" si="8"/>
        <v>0</v>
      </c>
      <c r="I50" s="250" t="str">
        <f t="shared" si="1"/>
        <v>Measure 38</v>
      </c>
      <c r="J50" s="251"/>
      <c r="K50" s="252"/>
      <c r="L50" s="242">
        <f t="shared" si="2"/>
        <v>0</v>
      </c>
      <c r="M50" s="257">
        <v>0</v>
      </c>
      <c r="N50" s="257">
        <v>0</v>
      </c>
      <c r="O50" s="244">
        <f t="shared" si="4"/>
        <v>0</v>
      </c>
      <c r="P50" s="245">
        <f t="shared" si="9"/>
        <v>0</v>
      </c>
      <c r="Q50" s="245">
        <f t="shared" si="9"/>
        <v>0</v>
      </c>
      <c r="R50" s="246">
        <f t="shared" si="9"/>
        <v>0</v>
      </c>
      <c r="T50" s="4891"/>
    </row>
    <row r="51" spans="2:24">
      <c r="B51" s="254"/>
      <c r="C51" s="255" t="s">
        <v>141</v>
      </c>
      <c r="D51" s="256">
        <v>0</v>
      </c>
      <c r="E51" s="256"/>
      <c r="F51" s="249">
        <f t="shared" si="8"/>
        <v>0</v>
      </c>
      <c r="I51" s="250" t="str">
        <f t="shared" si="1"/>
        <v>Measure 39</v>
      </c>
      <c r="J51" s="251"/>
      <c r="K51" s="252"/>
      <c r="L51" s="242">
        <f t="shared" si="2"/>
        <v>0</v>
      </c>
      <c r="M51" s="257">
        <v>0</v>
      </c>
      <c r="N51" s="257">
        <v>0</v>
      </c>
      <c r="O51" s="244">
        <f t="shared" si="4"/>
        <v>0</v>
      </c>
      <c r="P51" s="245">
        <f t="shared" si="9"/>
        <v>0</v>
      </c>
      <c r="Q51" s="245">
        <f t="shared" si="9"/>
        <v>0</v>
      </c>
      <c r="R51" s="246">
        <f t="shared" si="9"/>
        <v>0</v>
      </c>
      <c r="T51" s="4891"/>
    </row>
    <row r="52" spans="2:24" ht="13.5" thickBot="1">
      <c r="B52" s="254"/>
      <c r="C52" s="255" t="s">
        <v>142</v>
      </c>
      <c r="D52" s="256">
        <v>0</v>
      </c>
      <c r="E52" s="256"/>
      <c r="F52" s="249">
        <f t="shared" si="8"/>
        <v>0</v>
      </c>
      <c r="I52" s="250" t="str">
        <f t="shared" si="1"/>
        <v>Measure 40</v>
      </c>
      <c r="J52" s="251"/>
      <c r="K52" s="252"/>
      <c r="L52" s="242">
        <f t="shared" si="2"/>
        <v>0</v>
      </c>
      <c r="M52" s="257">
        <v>0</v>
      </c>
      <c r="N52" s="257">
        <v>0</v>
      </c>
      <c r="O52" s="244">
        <f t="shared" si="4"/>
        <v>0</v>
      </c>
      <c r="P52" s="245">
        <f t="shared" si="9"/>
        <v>0</v>
      </c>
      <c r="Q52" s="245">
        <f t="shared" si="9"/>
        <v>0</v>
      </c>
      <c r="R52" s="246">
        <f t="shared" si="9"/>
        <v>0</v>
      </c>
      <c r="T52" s="4891"/>
    </row>
    <row r="53" spans="2:24" ht="13.5" thickBot="1">
      <c r="B53" s="262">
        <v>144715</v>
      </c>
      <c r="C53" s="236" t="s">
        <v>150</v>
      </c>
      <c r="D53" s="237">
        <f>S105</f>
        <v>0</v>
      </c>
      <c r="E53" s="237">
        <f>T105</f>
        <v>0</v>
      </c>
      <c r="F53" s="238">
        <f>U105</f>
        <v>0</v>
      </c>
      <c r="G53" s="261" t="s">
        <v>151</v>
      </c>
      <c r="I53" s="250" t="str">
        <f t="shared" si="1"/>
        <v>Measure 41</v>
      </c>
      <c r="J53" s="251"/>
      <c r="K53" s="252"/>
      <c r="L53" s="242">
        <f t="shared" si="2"/>
        <v>0</v>
      </c>
      <c r="M53" s="257">
        <v>0</v>
      </c>
      <c r="N53" s="257">
        <v>0</v>
      </c>
      <c r="O53" s="244">
        <f t="shared" si="4"/>
        <v>0</v>
      </c>
      <c r="P53" s="245">
        <f t="shared" si="9"/>
        <v>0</v>
      </c>
      <c r="Q53" s="245">
        <f t="shared" si="9"/>
        <v>0</v>
      </c>
      <c r="R53" s="246">
        <f t="shared" si="9"/>
        <v>0</v>
      </c>
      <c r="T53" s="4891"/>
    </row>
    <row r="54" spans="2:24" ht="13.5" thickBot="1">
      <c r="B54" s="262">
        <v>0</v>
      </c>
      <c r="C54" s="236" t="s">
        <v>152</v>
      </c>
      <c r="D54" s="237">
        <v>0</v>
      </c>
      <c r="E54" s="237">
        <v>0</v>
      </c>
      <c r="F54" s="238">
        <v>0</v>
      </c>
      <c r="I54" s="250" t="str">
        <f t="shared" si="1"/>
        <v>Measure 42</v>
      </c>
      <c r="J54" s="251"/>
      <c r="K54" s="252"/>
      <c r="L54" s="242">
        <f t="shared" si="2"/>
        <v>0</v>
      </c>
      <c r="M54" s="257">
        <v>0</v>
      </c>
      <c r="N54" s="257">
        <v>0</v>
      </c>
      <c r="O54" s="244">
        <f t="shared" si="4"/>
        <v>0</v>
      </c>
      <c r="P54" s="245">
        <f t="shared" si="9"/>
        <v>0</v>
      </c>
      <c r="Q54" s="245">
        <f t="shared" si="9"/>
        <v>0</v>
      </c>
      <c r="R54" s="246">
        <f t="shared" si="9"/>
        <v>0</v>
      </c>
      <c r="T54" s="4891"/>
    </row>
    <row r="55" spans="2:24">
      <c r="B55" s="263">
        <f>B13+B18+B23+B28+B33+B38+B43+B48+B53+B54</f>
        <v>227024</v>
      </c>
      <c r="C55" s="264" t="s">
        <v>153</v>
      </c>
      <c r="D55" s="263">
        <f>D13+D18+D23+D28+D33+D38+D43+D48+D53+D54</f>
        <v>0</v>
      </c>
      <c r="E55" s="263">
        <f>E13+E18+E23+E28+E33+E38+E43+E48+E53+E54</f>
        <v>0</v>
      </c>
      <c r="F55" s="263">
        <f>F13+F18+F23+F28+F33+F38+F43+F48+F53+F54</f>
        <v>0</v>
      </c>
      <c r="P55" s="265">
        <f>SUM(P13:P54)</f>
        <v>0</v>
      </c>
      <c r="Q55" s="265">
        <f>SUM(Q13:Q54)</f>
        <v>0</v>
      </c>
      <c r="R55" s="265">
        <f>SUM(R13:R54)</f>
        <v>0</v>
      </c>
      <c r="T55" s="4892"/>
    </row>
    <row r="56" spans="2:24">
      <c r="C56" s="264"/>
      <c r="D56" s="263"/>
      <c r="E56" s="263"/>
      <c r="F56" s="263"/>
    </row>
    <row r="57" spans="2:24">
      <c r="C57" s="264" t="s">
        <v>154</v>
      </c>
      <c r="D57" s="263">
        <f>D55-D53</f>
        <v>0</v>
      </c>
      <c r="E57" s="263">
        <f>E55-E53</f>
        <v>0</v>
      </c>
      <c r="F57" s="263">
        <f>F55-F53</f>
        <v>0</v>
      </c>
    </row>
    <row r="58" spans="2:24">
      <c r="C58" s="264" t="s">
        <v>155</v>
      </c>
      <c r="D58" s="266">
        <f>D53</f>
        <v>0</v>
      </c>
      <c r="E58" s="266">
        <f>E53</f>
        <v>0</v>
      </c>
      <c r="F58" s="266">
        <f>F53</f>
        <v>0</v>
      </c>
      <c r="G58" s="319" t="e">
        <f>F58/(F57+F58)</f>
        <v>#DIV/0!</v>
      </c>
      <c r="H58" s="268" t="s">
        <v>156</v>
      </c>
    </row>
    <row r="59" spans="2:24" ht="13.5" thickBot="1"/>
    <row r="60" spans="2:24" ht="16.5" thickBot="1">
      <c r="B60" s="269" t="s">
        <v>157</v>
      </c>
      <c r="C60" s="270"/>
      <c r="D60" s="5130" t="s">
        <v>158</v>
      </c>
      <c r="E60" s="5131"/>
      <c r="F60" s="5131"/>
      <c r="G60" s="5131"/>
      <c r="H60" s="5131"/>
      <c r="K60" s="271"/>
    </row>
    <row r="61" spans="2:24"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4" ht="13.5" thickBot="1">
      <c r="B62" s="272" t="s">
        <v>162</v>
      </c>
      <c r="C62" s="273" t="s">
        <v>129</v>
      </c>
      <c r="D62" s="273" t="s">
        <v>130</v>
      </c>
      <c r="E62" s="273" t="s">
        <v>163</v>
      </c>
      <c r="F62" s="273" t="s">
        <v>164</v>
      </c>
      <c r="G62" s="273" t="s">
        <v>165</v>
      </c>
      <c r="H62" s="273" t="s">
        <v>166</v>
      </c>
      <c r="I62" s="273" t="s">
        <v>167</v>
      </c>
      <c r="J62" s="273" t="s">
        <v>168</v>
      </c>
      <c r="K62" s="274" t="s">
        <v>169</v>
      </c>
      <c r="L62" s="275" t="s">
        <v>170</v>
      </c>
      <c r="M62" s="276" t="s">
        <v>171</v>
      </c>
      <c r="N62" s="276" t="s">
        <v>172</v>
      </c>
      <c r="O62" s="276" t="s">
        <v>173</v>
      </c>
      <c r="P62" s="277" t="s">
        <v>174</v>
      </c>
      <c r="Q62" s="277" t="s">
        <v>175</v>
      </c>
      <c r="R62" s="277" t="s">
        <v>176</v>
      </c>
      <c r="S62" s="204" t="s">
        <v>177</v>
      </c>
      <c r="T62" s="204" t="s">
        <v>178</v>
      </c>
      <c r="U62" s="205" t="s">
        <v>179</v>
      </c>
      <c r="V62" s="204" t="s">
        <v>115</v>
      </c>
      <c r="W62" s="204" t="s">
        <v>12</v>
      </c>
      <c r="X62" s="205" t="s">
        <v>116</v>
      </c>
    </row>
    <row r="63" spans="2:24">
      <c r="B63" s="257"/>
      <c r="C63" s="2136" t="s">
        <v>368</v>
      </c>
      <c r="D63" s="257">
        <v>0</v>
      </c>
      <c r="E63" s="282" t="s">
        <v>181</v>
      </c>
      <c r="F63" s="282" t="s">
        <v>186</v>
      </c>
      <c r="G63" s="283">
        <v>0</v>
      </c>
      <c r="H63" s="283">
        <v>0</v>
      </c>
      <c r="I63" s="311"/>
      <c r="J63" s="257">
        <v>0</v>
      </c>
      <c r="K63" s="257"/>
      <c r="L63" s="3447" t="e">
        <f>P63/N63</f>
        <v>#DIV/0!</v>
      </c>
      <c r="M63" s="3447" t="e">
        <f>Q63/O63</f>
        <v>#DIV/0!</v>
      </c>
      <c r="N63" s="214">
        <f>(($I63*$F$57)+$U63)/$R63</f>
        <v>0</v>
      </c>
      <c r="O63" s="214">
        <f>(($I63*$F$57)+($G63*$O13))/$R63</f>
        <v>0</v>
      </c>
      <c r="P63" s="214">
        <f>IF(K63=0, 0, (HLOOKUP(K63,'[1]E-CESTDWO'!$A$5:$G$35,J63+1,FALSE)*R13))</f>
        <v>0</v>
      </c>
      <c r="Q63" s="214">
        <f>IF(K63=0, 0, (HLOOKUP(K63,'[1]E-CESTD'!$A$5:$G$35,J63+1,FALSE)*R13))</f>
        <v>0</v>
      </c>
      <c r="R63" s="279">
        <v>1.081</v>
      </c>
      <c r="S63" s="280">
        <f t="shared" ref="S63:U78" si="10">M13*$H63</f>
        <v>0</v>
      </c>
      <c r="T63" s="280">
        <f t="shared" si="10"/>
        <v>0</v>
      </c>
      <c r="U63" s="280">
        <f t="shared" si="10"/>
        <v>0</v>
      </c>
      <c r="V63" s="322" t="e">
        <f>U63/(U63+(I63*F$57))</f>
        <v>#DIV/0!</v>
      </c>
      <c r="W63" s="322" t="e">
        <f t="shared" ref="W63:W81" si="11">(I63*((F$18*1.63)+F$28))/(U63+(I63*F$57))</f>
        <v>#DIV/0!</v>
      </c>
      <c r="X63" s="322" t="e">
        <f>(I63*F$38)/(U63+(I63*F$57))</f>
        <v>#DIV/0!</v>
      </c>
    </row>
    <row r="64" spans="2:24">
      <c r="B64" s="282"/>
      <c r="C64" s="2136" t="s">
        <v>369</v>
      </c>
      <c r="D64" s="282">
        <v>0</v>
      </c>
      <c r="E64" s="282" t="s">
        <v>181</v>
      </c>
      <c r="F64" s="282" t="s">
        <v>186</v>
      </c>
      <c r="G64" s="283">
        <v>0</v>
      </c>
      <c r="H64" s="283">
        <v>0</v>
      </c>
      <c r="I64" s="311">
        <v>0</v>
      </c>
      <c r="J64" s="257">
        <v>0</v>
      </c>
      <c r="K64" s="257"/>
      <c r="L64" s="3447" t="e">
        <f t="shared" ref="L64:M104" si="12">P64/N64</f>
        <v>#DIV/0!</v>
      </c>
      <c r="M64" s="3447" t="e">
        <f t="shared" si="12"/>
        <v>#DIV/0!</v>
      </c>
      <c r="N64" s="214">
        <f t="shared" ref="N64:N104" si="13">(($I64*$F$57)+$U64)/$R64</f>
        <v>0</v>
      </c>
      <c r="O64" s="214">
        <f t="shared" ref="O64:O104" si="14">(($I64*$F$57)+($G64*$O14))/$R64</f>
        <v>0</v>
      </c>
      <c r="P64" s="214">
        <f>IF(K64=0, 0, (HLOOKUP(K64,'[1]E-CESTDWO'!$A$5:$G$35,J64+1,FALSE)*R14))</f>
        <v>0</v>
      </c>
      <c r="Q64" s="214">
        <f>IF(K64=0, 0, (HLOOKUP(K64,'[1]E-CESTD'!$A$5:$G$35,J64+1,FALSE)*R14))</f>
        <v>0</v>
      </c>
      <c r="R64" s="279">
        <v>1.081</v>
      </c>
      <c r="S64" s="280">
        <f t="shared" si="10"/>
        <v>0</v>
      </c>
      <c r="T64" s="280">
        <f t="shared" si="10"/>
        <v>0</v>
      </c>
      <c r="U64" s="280">
        <f t="shared" si="10"/>
        <v>0</v>
      </c>
      <c r="V64" s="322" t="e">
        <f t="shared" ref="V64:V81" si="15">U64/(U64+(I64*F$57))</f>
        <v>#DIV/0!</v>
      </c>
      <c r="W64" s="322" t="e">
        <f t="shared" si="11"/>
        <v>#DIV/0!</v>
      </c>
      <c r="X64" s="322" t="e">
        <f t="shared" ref="X64:X81" si="16">(I64*F$38)/(U64+(I64*F$57))</f>
        <v>#DIV/0!</v>
      </c>
    </row>
    <row r="65" spans="2:24">
      <c r="B65" s="282"/>
      <c r="C65" s="2136" t="s">
        <v>370</v>
      </c>
      <c r="D65" s="282">
        <v>0</v>
      </c>
      <c r="E65" s="282" t="s">
        <v>181</v>
      </c>
      <c r="F65" s="282" t="s">
        <v>186</v>
      </c>
      <c r="G65" s="283">
        <v>0</v>
      </c>
      <c r="H65" s="283">
        <v>0</v>
      </c>
      <c r="I65" s="311">
        <v>0</v>
      </c>
      <c r="J65" s="257">
        <v>0</v>
      </c>
      <c r="K65" s="257"/>
      <c r="L65" s="3447" t="e">
        <f t="shared" si="12"/>
        <v>#DIV/0!</v>
      </c>
      <c r="M65" s="3447" t="e">
        <f t="shared" si="12"/>
        <v>#DIV/0!</v>
      </c>
      <c r="N65" s="214">
        <f t="shared" si="13"/>
        <v>0</v>
      </c>
      <c r="O65" s="214">
        <f t="shared" si="14"/>
        <v>0</v>
      </c>
      <c r="P65" s="214">
        <f>IF(K65=0, 0, (HLOOKUP(K65,'[1]E-CESTDWO'!$A$5:$G$35,J65+1,FALSE)*R15))</f>
        <v>0</v>
      </c>
      <c r="Q65" s="214">
        <f>IF(K65=0, 0, (HLOOKUP(K65,'[1]E-CESTD'!$A$5:$G$35,J65+1,FALSE)*R15))</f>
        <v>0</v>
      </c>
      <c r="R65" s="279">
        <v>1.081</v>
      </c>
      <c r="S65" s="280">
        <f t="shared" si="10"/>
        <v>0</v>
      </c>
      <c r="T65" s="280">
        <f t="shared" si="10"/>
        <v>0</v>
      </c>
      <c r="U65" s="280">
        <f t="shared" si="10"/>
        <v>0</v>
      </c>
      <c r="V65" s="322" t="e">
        <f t="shared" si="15"/>
        <v>#DIV/0!</v>
      </c>
      <c r="W65" s="322" t="e">
        <f t="shared" si="11"/>
        <v>#DIV/0!</v>
      </c>
      <c r="X65" s="322" t="e">
        <f t="shared" si="16"/>
        <v>#DIV/0!</v>
      </c>
    </row>
    <row r="66" spans="2:24">
      <c r="B66" s="282"/>
      <c r="C66" s="2136" t="s">
        <v>188</v>
      </c>
      <c r="D66" s="282">
        <v>0</v>
      </c>
      <c r="E66" s="282" t="s">
        <v>181</v>
      </c>
      <c r="F66" s="282" t="s">
        <v>186</v>
      </c>
      <c r="G66" s="313">
        <v>0</v>
      </c>
      <c r="H66" s="283">
        <v>0</v>
      </c>
      <c r="I66" s="311">
        <v>0</v>
      </c>
      <c r="J66" s="257">
        <v>20</v>
      </c>
      <c r="K66" s="257" t="s">
        <v>310</v>
      </c>
      <c r="L66" s="3447" t="e">
        <f t="shared" si="12"/>
        <v>#DIV/0!</v>
      </c>
      <c r="M66" s="3447" t="e">
        <f t="shared" si="12"/>
        <v>#DIV/0!</v>
      </c>
      <c r="N66" s="214">
        <f t="shared" si="13"/>
        <v>0</v>
      </c>
      <c r="O66" s="214">
        <f t="shared" si="14"/>
        <v>0</v>
      </c>
      <c r="P66" s="214">
        <f>IF(K66=0, 0, (HLOOKUP(K66,'[1]E-CESTDWO'!$A$5:$G$35,J66+1,FALSE)*R16))</f>
        <v>0</v>
      </c>
      <c r="Q66" s="214">
        <f>IF(K66=0, 0, (HLOOKUP(K66,'[1]E-CESTD'!$A$5:$G$35,J66+1,FALSE)*R16))</f>
        <v>0</v>
      </c>
      <c r="R66" s="279">
        <v>1.081</v>
      </c>
      <c r="S66" s="280">
        <f t="shared" si="10"/>
        <v>0</v>
      </c>
      <c r="T66" s="280">
        <f t="shared" si="10"/>
        <v>0</v>
      </c>
      <c r="U66" s="280">
        <f t="shared" si="10"/>
        <v>0</v>
      </c>
      <c r="V66" s="322" t="e">
        <f t="shared" si="15"/>
        <v>#DIV/0!</v>
      </c>
      <c r="W66" s="322" t="e">
        <f t="shared" si="11"/>
        <v>#DIV/0!</v>
      </c>
      <c r="X66" s="322" t="e">
        <f t="shared" si="16"/>
        <v>#DIV/0!</v>
      </c>
    </row>
    <row r="67" spans="2:24">
      <c r="B67" s="282"/>
      <c r="C67" s="2136" t="s">
        <v>189</v>
      </c>
      <c r="D67" s="257">
        <v>0</v>
      </c>
      <c r="E67" s="282" t="s">
        <v>181</v>
      </c>
      <c r="F67" s="282" t="s">
        <v>186</v>
      </c>
      <c r="G67" s="313">
        <v>0</v>
      </c>
      <c r="H67" s="283">
        <v>0</v>
      </c>
      <c r="I67" s="311">
        <v>0</v>
      </c>
      <c r="J67" s="257">
        <v>4</v>
      </c>
      <c r="K67" s="257" t="s">
        <v>310</v>
      </c>
      <c r="L67" s="3447" t="e">
        <f t="shared" si="12"/>
        <v>#DIV/0!</v>
      </c>
      <c r="M67" s="3447" t="e">
        <f t="shared" si="12"/>
        <v>#DIV/0!</v>
      </c>
      <c r="N67" s="214">
        <f t="shared" si="13"/>
        <v>0</v>
      </c>
      <c r="O67" s="214">
        <f t="shared" si="14"/>
        <v>0</v>
      </c>
      <c r="P67" s="214">
        <f>IF(K67=0, 0, (HLOOKUP(K67,'[1]E-CESTDWO'!$A$5:$G$35,J67+1,FALSE)*R17))</f>
        <v>0</v>
      </c>
      <c r="Q67" s="214">
        <f>IF(K67=0, 0, (HLOOKUP(K67,'[1]E-CESTD'!$A$5:$G$35,J67+1,FALSE)*R17))</f>
        <v>0</v>
      </c>
      <c r="R67" s="279">
        <v>1.081</v>
      </c>
      <c r="S67" s="280">
        <f t="shared" si="10"/>
        <v>0</v>
      </c>
      <c r="T67" s="280">
        <f t="shared" si="10"/>
        <v>0</v>
      </c>
      <c r="U67" s="280">
        <f t="shared" si="10"/>
        <v>0</v>
      </c>
      <c r="V67" s="322" t="e">
        <f t="shared" si="15"/>
        <v>#DIV/0!</v>
      </c>
      <c r="W67" s="322" t="e">
        <f t="shared" si="11"/>
        <v>#DIV/0!</v>
      </c>
      <c r="X67" s="322" t="e">
        <f t="shared" si="16"/>
        <v>#DIV/0!</v>
      </c>
    </row>
    <row r="68" spans="2:24">
      <c r="B68" s="282"/>
      <c r="C68" s="2136" t="s">
        <v>190</v>
      </c>
      <c r="D68" s="282">
        <v>0</v>
      </c>
      <c r="E68" s="282" t="s">
        <v>181</v>
      </c>
      <c r="F68" s="282" t="s">
        <v>186</v>
      </c>
      <c r="G68" s="313">
        <v>0</v>
      </c>
      <c r="H68" s="283">
        <v>0</v>
      </c>
      <c r="I68" s="311">
        <v>0</v>
      </c>
      <c r="J68" s="257">
        <v>25</v>
      </c>
      <c r="K68" s="353" t="s">
        <v>310</v>
      </c>
      <c r="L68" s="3447" t="e">
        <f t="shared" si="12"/>
        <v>#DIV/0!</v>
      </c>
      <c r="M68" s="3447" t="e">
        <f t="shared" si="12"/>
        <v>#DIV/0!</v>
      </c>
      <c r="N68" s="214">
        <f t="shared" si="13"/>
        <v>0</v>
      </c>
      <c r="O68" s="214">
        <f t="shared" si="14"/>
        <v>0</v>
      </c>
      <c r="P68" s="214">
        <f>IF(K68=0, 0, (HLOOKUP(K68,'[1]E-CESTDWO'!$A$5:$G$35,J68+1,FALSE)*R18))</f>
        <v>0</v>
      </c>
      <c r="Q68" s="214">
        <f>IF(K68=0, 0, (HLOOKUP(K68,'[1]E-CESTD'!$A$5:$G$35,J68+1,FALSE)*R18))</f>
        <v>0</v>
      </c>
      <c r="R68" s="279">
        <v>1.081</v>
      </c>
      <c r="S68" s="280">
        <f t="shared" si="10"/>
        <v>0</v>
      </c>
      <c r="T68" s="280">
        <f t="shared" si="10"/>
        <v>0</v>
      </c>
      <c r="U68" s="280">
        <f t="shared" si="10"/>
        <v>0</v>
      </c>
      <c r="V68" s="322" t="e">
        <f t="shared" si="15"/>
        <v>#DIV/0!</v>
      </c>
      <c r="W68" s="322" t="e">
        <f t="shared" si="11"/>
        <v>#DIV/0!</v>
      </c>
      <c r="X68" s="322" t="e">
        <f t="shared" si="16"/>
        <v>#DIV/0!</v>
      </c>
    </row>
    <row r="69" spans="2:24">
      <c r="B69" s="282"/>
      <c r="C69" s="2136" t="s">
        <v>191</v>
      </c>
      <c r="D69" s="282">
        <v>0</v>
      </c>
      <c r="E69" s="282" t="s">
        <v>181</v>
      </c>
      <c r="F69" s="282" t="s">
        <v>186</v>
      </c>
      <c r="G69" s="313">
        <v>0</v>
      </c>
      <c r="H69" s="283">
        <v>0</v>
      </c>
      <c r="I69" s="311">
        <v>0</v>
      </c>
      <c r="J69" s="257">
        <v>20</v>
      </c>
      <c r="K69" s="257" t="s">
        <v>310</v>
      </c>
      <c r="L69" s="3447" t="e">
        <f t="shared" si="12"/>
        <v>#DIV/0!</v>
      </c>
      <c r="M69" s="3447" t="e">
        <f t="shared" si="12"/>
        <v>#DIV/0!</v>
      </c>
      <c r="N69" s="214">
        <f t="shared" si="13"/>
        <v>0</v>
      </c>
      <c r="O69" s="214">
        <f t="shared" si="14"/>
        <v>0</v>
      </c>
      <c r="P69" s="214">
        <f>IF(K69=0, 0, (HLOOKUP(K69,'[1]E-CESTDWO'!$A$5:$G$35,J69+1,FALSE)*R19))</f>
        <v>0</v>
      </c>
      <c r="Q69" s="214">
        <f>IF(K69=0, 0, (HLOOKUP(K69,'[1]E-CESTD'!$A$5:$G$35,J69+1,FALSE)*R19))</f>
        <v>0</v>
      </c>
      <c r="R69" s="279">
        <v>1.081</v>
      </c>
      <c r="S69" s="280">
        <f t="shared" si="10"/>
        <v>0</v>
      </c>
      <c r="T69" s="280">
        <f t="shared" si="10"/>
        <v>0</v>
      </c>
      <c r="U69" s="280">
        <f t="shared" si="10"/>
        <v>0</v>
      </c>
      <c r="V69" s="322" t="e">
        <f t="shared" si="15"/>
        <v>#DIV/0!</v>
      </c>
      <c r="W69" s="322" t="e">
        <f t="shared" si="11"/>
        <v>#DIV/0!</v>
      </c>
      <c r="X69" s="322" t="e">
        <f t="shared" si="16"/>
        <v>#DIV/0!</v>
      </c>
    </row>
    <row r="70" spans="2:24">
      <c r="B70" s="282"/>
      <c r="C70" s="2136" t="s">
        <v>192</v>
      </c>
      <c r="D70" s="257">
        <v>0</v>
      </c>
      <c r="E70" s="282" t="s">
        <v>181</v>
      </c>
      <c r="F70" s="282" t="s">
        <v>186</v>
      </c>
      <c r="G70" s="313">
        <v>0</v>
      </c>
      <c r="H70" s="283">
        <v>0</v>
      </c>
      <c r="I70" s="311">
        <v>0</v>
      </c>
      <c r="J70" s="257">
        <v>4</v>
      </c>
      <c r="K70" s="257" t="s">
        <v>310</v>
      </c>
      <c r="L70" s="3447" t="e">
        <f t="shared" si="12"/>
        <v>#DIV/0!</v>
      </c>
      <c r="M70" s="3447" t="e">
        <f t="shared" si="12"/>
        <v>#DIV/0!</v>
      </c>
      <c r="N70" s="214">
        <f t="shared" si="13"/>
        <v>0</v>
      </c>
      <c r="O70" s="214">
        <f t="shared" si="14"/>
        <v>0</v>
      </c>
      <c r="P70" s="214">
        <f>IF(K70=0, 0, (HLOOKUP(K70,'[1]E-CESTDWO'!$A$5:$G$35,J70+1,FALSE)*R20))</f>
        <v>0</v>
      </c>
      <c r="Q70" s="214">
        <f>IF(K70=0, 0, (HLOOKUP(K70,'[1]E-CESTD'!$A$5:$G$35,J70+1,FALSE)*R20))</f>
        <v>0</v>
      </c>
      <c r="R70" s="279">
        <v>1.081</v>
      </c>
      <c r="S70" s="280">
        <f t="shared" si="10"/>
        <v>0</v>
      </c>
      <c r="T70" s="280">
        <f t="shared" si="10"/>
        <v>0</v>
      </c>
      <c r="U70" s="280">
        <f t="shared" si="10"/>
        <v>0</v>
      </c>
      <c r="V70" s="322" t="e">
        <f t="shared" si="15"/>
        <v>#DIV/0!</v>
      </c>
      <c r="W70" s="322" t="e">
        <f t="shared" si="11"/>
        <v>#DIV/0!</v>
      </c>
      <c r="X70" s="322" t="e">
        <f t="shared" si="16"/>
        <v>#DIV/0!</v>
      </c>
    </row>
    <row r="71" spans="2:24">
      <c r="B71" s="282"/>
      <c r="C71" s="2136" t="s">
        <v>193</v>
      </c>
      <c r="D71" s="282">
        <v>0</v>
      </c>
      <c r="E71" s="282" t="s">
        <v>181</v>
      </c>
      <c r="F71" s="282" t="s">
        <v>186</v>
      </c>
      <c r="G71" s="283">
        <v>0</v>
      </c>
      <c r="H71" s="283">
        <v>0</v>
      </c>
      <c r="I71" s="311">
        <v>0</v>
      </c>
      <c r="J71" s="257">
        <v>25</v>
      </c>
      <c r="K71" s="257" t="s">
        <v>310</v>
      </c>
      <c r="L71" s="3447" t="e">
        <f t="shared" si="12"/>
        <v>#DIV/0!</v>
      </c>
      <c r="M71" s="3447" t="e">
        <f t="shared" si="12"/>
        <v>#DIV/0!</v>
      </c>
      <c r="N71" s="214">
        <f t="shared" si="13"/>
        <v>0</v>
      </c>
      <c r="O71" s="214">
        <f t="shared" si="14"/>
        <v>0</v>
      </c>
      <c r="P71" s="214">
        <f>IF(K71=0, 0, (HLOOKUP(K71,'[1]E-CESTDWO'!$A$5:$G$35,J71+1,FALSE)*R21))</f>
        <v>0</v>
      </c>
      <c r="Q71" s="214">
        <f>IF(K71=0, 0, (HLOOKUP(K71,'[1]E-CESTD'!$A$5:$G$35,J71+1,FALSE)*R21))</f>
        <v>0</v>
      </c>
      <c r="R71" s="279">
        <v>1.081</v>
      </c>
      <c r="S71" s="280">
        <f t="shared" si="10"/>
        <v>0</v>
      </c>
      <c r="T71" s="280">
        <f t="shared" si="10"/>
        <v>0</v>
      </c>
      <c r="U71" s="280">
        <f t="shared" si="10"/>
        <v>0</v>
      </c>
      <c r="V71" s="322" t="e">
        <f t="shared" si="15"/>
        <v>#DIV/0!</v>
      </c>
      <c r="W71" s="322" t="e">
        <f t="shared" si="11"/>
        <v>#DIV/0!</v>
      </c>
      <c r="X71" s="322" t="e">
        <f t="shared" si="16"/>
        <v>#DIV/0!</v>
      </c>
    </row>
    <row r="72" spans="2:24">
      <c r="B72" s="282"/>
      <c r="C72" s="282" t="s">
        <v>194</v>
      </c>
      <c r="D72" s="282">
        <v>0</v>
      </c>
      <c r="E72" s="282" t="s">
        <v>181</v>
      </c>
      <c r="F72" s="282" t="s">
        <v>186</v>
      </c>
      <c r="G72" s="283"/>
      <c r="H72" s="283"/>
      <c r="I72" s="311">
        <v>0</v>
      </c>
      <c r="J72" s="257"/>
      <c r="K72" s="257"/>
      <c r="L72" s="3447" t="e">
        <f t="shared" si="12"/>
        <v>#DIV/0!</v>
      </c>
      <c r="M72" s="3447" t="e">
        <f t="shared" si="12"/>
        <v>#DIV/0!</v>
      </c>
      <c r="N72" s="214">
        <f t="shared" si="13"/>
        <v>0</v>
      </c>
      <c r="O72" s="214">
        <f t="shared" si="14"/>
        <v>0</v>
      </c>
      <c r="P72" s="214">
        <f>IF(K72=0, 0, (HLOOKUP(K72,'[1]E-CESTDWO'!$A$5:$G$35,J72+1,FALSE)*R22))</f>
        <v>0</v>
      </c>
      <c r="Q72" s="214">
        <f>IF(K72=0, 0, (HLOOKUP(K72,'[1]E-CESTD'!$A$5:$G$35,J72+1,FALSE)*R22))</f>
        <v>0</v>
      </c>
      <c r="R72" s="279">
        <v>1.081</v>
      </c>
      <c r="S72" s="280">
        <f t="shared" si="10"/>
        <v>0</v>
      </c>
      <c r="T72" s="280">
        <f t="shared" si="10"/>
        <v>0</v>
      </c>
      <c r="U72" s="280">
        <f t="shared" si="10"/>
        <v>0</v>
      </c>
      <c r="V72" s="322" t="e">
        <f t="shared" si="15"/>
        <v>#DIV/0!</v>
      </c>
      <c r="W72" s="322" t="e">
        <f t="shared" si="11"/>
        <v>#DIV/0!</v>
      </c>
      <c r="X72" s="322" t="e">
        <f t="shared" si="16"/>
        <v>#DIV/0!</v>
      </c>
    </row>
    <row r="73" spans="2:24">
      <c r="B73" s="282"/>
      <c r="C73" s="282" t="s">
        <v>195</v>
      </c>
      <c r="D73" s="282">
        <v>0</v>
      </c>
      <c r="E73" s="282" t="s">
        <v>181</v>
      </c>
      <c r="F73" s="282" t="s">
        <v>186</v>
      </c>
      <c r="G73" s="283"/>
      <c r="H73" s="283"/>
      <c r="I73" s="311">
        <v>0</v>
      </c>
      <c r="J73" s="257"/>
      <c r="K73" s="257"/>
      <c r="L73" s="3447" t="e">
        <f t="shared" si="12"/>
        <v>#DIV/0!</v>
      </c>
      <c r="M73" s="3447" t="e">
        <f t="shared" si="12"/>
        <v>#DIV/0!</v>
      </c>
      <c r="N73" s="214">
        <f t="shared" si="13"/>
        <v>0</v>
      </c>
      <c r="O73" s="214">
        <f t="shared" si="14"/>
        <v>0</v>
      </c>
      <c r="P73" s="214">
        <f>IF(K73=0, 0, (HLOOKUP(K73,'[1]E-CESTDWO'!$A$5:$G$35,J73+1,FALSE)*R23))</f>
        <v>0</v>
      </c>
      <c r="Q73" s="214">
        <f>IF(K73=0, 0, (HLOOKUP(K73,'[1]E-CESTD'!$A$5:$G$35,J73+1,FALSE)*R23))</f>
        <v>0</v>
      </c>
      <c r="R73" s="279">
        <v>1.081</v>
      </c>
      <c r="S73" s="280">
        <f t="shared" si="10"/>
        <v>0</v>
      </c>
      <c r="T73" s="280">
        <f t="shared" si="10"/>
        <v>0</v>
      </c>
      <c r="U73" s="280">
        <f t="shared" si="10"/>
        <v>0</v>
      </c>
      <c r="V73" s="322" t="e">
        <f t="shared" si="15"/>
        <v>#DIV/0!</v>
      </c>
      <c r="W73" s="322" t="e">
        <f t="shared" si="11"/>
        <v>#DIV/0!</v>
      </c>
      <c r="X73" s="322" t="e">
        <f t="shared" si="16"/>
        <v>#DIV/0!</v>
      </c>
    </row>
    <row r="74" spans="2:24">
      <c r="B74" s="282"/>
      <c r="C74" s="282" t="s">
        <v>196</v>
      </c>
      <c r="D74" s="282">
        <v>0</v>
      </c>
      <c r="E74" s="282" t="s">
        <v>181</v>
      </c>
      <c r="F74" s="282" t="s">
        <v>186</v>
      </c>
      <c r="G74" s="283"/>
      <c r="H74" s="283"/>
      <c r="I74" s="311">
        <v>0</v>
      </c>
      <c r="J74" s="257"/>
      <c r="K74" s="257"/>
      <c r="L74" s="3447" t="e">
        <f t="shared" si="12"/>
        <v>#DIV/0!</v>
      </c>
      <c r="M74" s="3447" t="e">
        <f t="shared" si="12"/>
        <v>#DIV/0!</v>
      </c>
      <c r="N74" s="214">
        <f t="shared" si="13"/>
        <v>0</v>
      </c>
      <c r="O74" s="214">
        <f t="shared" si="14"/>
        <v>0</v>
      </c>
      <c r="P74" s="214">
        <f>IF(K74=0, 0, (HLOOKUP(K74,'[1]E-CESTDWO'!$A$5:$G$35,J74+1,FALSE)*R24))</f>
        <v>0</v>
      </c>
      <c r="Q74" s="214">
        <f>IF(K74=0, 0, (HLOOKUP(K74,'[1]E-CESTD'!$A$5:$G$35,J74+1,FALSE)*R24))</f>
        <v>0</v>
      </c>
      <c r="R74" s="279">
        <v>1.081</v>
      </c>
      <c r="S74" s="280">
        <f t="shared" si="10"/>
        <v>0</v>
      </c>
      <c r="T74" s="280">
        <f t="shared" si="10"/>
        <v>0</v>
      </c>
      <c r="U74" s="280">
        <f t="shared" si="10"/>
        <v>0</v>
      </c>
      <c r="V74" s="322" t="e">
        <f t="shared" si="15"/>
        <v>#DIV/0!</v>
      </c>
      <c r="W74" s="322" t="e">
        <f t="shared" si="11"/>
        <v>#DIV/0!</v>
      </c>
      <c r="X74" s="322" t="e">
        <f t="shared" si="16"/>
        <v>#DIV/0!</v>
      </c>
    </row>
    <row r="75" spans="2:24">
      <c r="B75" s="282"/>
      <c r="C75" s="282" t="s">
        <v>197</v>
      </c>
      <c r="D75" s="282">
        <v>0</v>
      </c>
      <c r="E75" s="282" t="s">
        <v>181</v>
      </c>
      <c r="F75" s="282" t="s">
        <v>186</v>
      </c>
      <c r="G75" s="283"/>
      <c r="H75" s="283"/>
      <c r="I75" s="311">
        <v>0</v>
      </c>
      <c r="J75" s="257"/>
      <c r="K75" s="257"/>
      <c r="L75" s="3447" t="e">
        <f t="shared" si="12"/>
        <v>#DIV/0!</v>
      </c>
      <c r="M75" s="3447" t="e">
        <f t="shared" si="12"/>
        <v>#DIV/0!</v>
      </c>
      <c r="N75" s="214">
        <f t="shared" si="13"/>
        <v>0</v>
      </c>
      <c r="O75" s="214">
        <f t="shared" si="14"/>
        <v>0</v>
      </c>
      <c r="P75" s="214">
        <f>IF(K75=0, 0, (HLOOKUP(K75,'[1]E-CESTDWO'!$A$5:$G$35,J75+1,FALSE)*R25))</f>
        <v>0</v>
      </c>
      <c r="Q75" s="214">
        <f>IF(K75=0, 0, (HLOOKUP(K75,'[1]E-CESTD'!$A$5:$G$35,J75+1,FALSE)*R25))</f>
        <v>0</v>
      </c>
      <c r="R75" s="279">
        <v>1.081</v>
      </c>
      <c r="S75" s="280">
        <f t="shared" si="10"/>
        <v>0</v>
      </c>
      <c r="T75" s="280">
        <f t="shared" si="10"/>
        <v>0</v>
      </c>
      <c r="U75" s="280">
        <f t="shared" si="10"/>
        <v>0</v>
      </c>
      <c r="V75" s="322" t="e">
        <f t="shared" si="15"/>
        <v>#DIV/0!</v>
      </c>
      <c r="W75" s="322" t="e">
        <f t="shared" si="11"/>
        <v>#DIV/0!</v>
      </c>
      <c r="X75" s="322" t="e">
        <f t="shared" si="16"/>
        <v>#DIV/0!</v>
      </c>
    </row>
    <row r="76" spans="2:24">
      <c r="B76" s="282"/>
      <c r="C76" s="282" t="s">
        <v>198</v>
      </c>
      <c r="D76" s="282">
        <v>0</v>
      </c>
      <c r="E76" s="282" t="s">
        <v>181</v>
      </c>
      <c r="F76" s="282" t="s">
        <v>186</v>
      </c>
      <c r="G76" s="283"/>
      <c r="H76" s="283"/>
      <c r="I76" s="311">
        <v>0</v>
      </c>
      <c r="J76" s="257"/>
      <c r="K76" s="257"/>
      <c r="L76" s="3447" t="e">
        <f t="shared" si="12"/>
        <v>#DIV/0!</v>
      </c>
      <c r="M76" s="3447" t="e">
        <f t="shared" si="12"/>
        <v>#DIV/0!</v>
      </c>
      <c r="N76" s="214">
        <f t="shared" si="13"/>
        <v>0</v>
      </c>
      <c r="O76" s="214">
        <f t="shared" si="14"/>
        <v>0</v>
      </c>
      <c r="P76" s="214">
        <f>IF(K76=0, 0, (HLOOKUP(K76,'[1]G-CESTDWO'!$A$5:$G$35,J76+1,FALSE)*R26))</f>
        <v>0</v>
      </c>
      <c r="Q76" s="214">
        <f>IF(K76=0, 0, (HLOOKUP(K76,'[1]G-CESTD'!$A$5:$G$35,J76+1,FALSE)*R26))</f>
        <v>0</v>
      </c>
      <c r="R76" s="279">
        <v>1.081</v>
      </c>
      <c r="S76" s="280">
        <f t="shared" si="10"/>
        <v>0</v>
      </c>
      <c r="T76" s="280">
        <f t="shared" si="10"/>
        <v>0</v>
      </c>
      <c r="U76" s="280">
        <f t="shared" si="10"/>
        <v>0</v>
      </c>
      <c r="V76" s="322" t="e">
        <f t="shared" si="15"/>
        <v>#DIV/0!</v>
      </c>
      <c r="W76" s="322" t="e">
        <f t="shared" si="11"/>
        <v>#DIV/0!</v>
      </c>
      <c r="X76" s="322" t="e">
        <f t="shared" si="16"/>
        <v>#DIV/0!</v>
      </c>
    </row>
    <row r="77" spans="2:24">
      <c r="B77" s="282"/>
      <c r="C77" s="282" t="s">
        <v>199</v>
      </c>
      <c r="D77" s="282">
        <v>0</v>
      </c>
      <c r="E77" s="282" t="s">
        <v>181</v>
      </c>
      <c r="F77" s="282" t="s">
        <v>186</v>
      </c>
      <c r="G77" s="283"/>
      <c r="H77" s="283"/>
      <c r="I77" s="311">
        <v>0</v>
      </c>
      <c r="J77" s="257"/>
      <c r="K77" s="257"/>
      <c r="L77" s="3447" t="e">
        <f t="shared" si="12"/>
        <v>#DIV/0!</v>
      </c>
      <c r="M77" s="3447" t="e">
        <f t="shared" si="12"/>
        <v>#DIV/0!</v>
      </c>
      <c r="N77" s="214">
        <f t="shared" si="13"/>
        <v>0</v>
      </c>
      <c r="O77" s="214">
        <f t="shared" si="14"/>
        <v>0</v>
      </c>
      <c r="P77" s="214">
        <f>IF(K77=0, 0, (HLOOKUP(K77,'[1]G-CESTDWO'!$A$5:$G$35,J77+1,FALSE)*R27))</f>
        <v>0</v>
      </c>
      <c r="Q77" s="214">
        <f>IF(K77=0, 0, (HLOOKUP(K77,'[1]G-CESTD'!$A$5:$G$35,J77+1,FALSE)*R27))</f>
        <v>0</v>
      </c>
      <c r="R77" s="279">
        <v>1.081</v>
      </c>
      <c r="S77" s="280">
        <f t="shared" si="10"/>
        <v>0</v>
      </c>
      <c r="T77" s="280">
        <f t="shared" si="10"/>
        <v>0</v>
      </c>
      <c r="U77" s="280">
        <f t="shared" si="10"/>
        <v>0</v>
      </c>
      <c r="V77" s="322" t="e">
        <f t="shared" si="15"/>
        <v>#DIV/0!</v>
      </c>
      <c r="W77" s="322" t="e">
        <f t="shared" si="11"/>
        <v>#DIV/0!</v>
      </c>
      <c r="X77" s="322" t="e">
        <f t="shared" si="16"/>
        <v>#DIV/0!</v>
      </c>
    </row>
    <row r="78" spans="2:24">
      <c r="B78" s="282"/>
      <c r="C78" s="282" t="s">
        <v>200</v>
      </c>
      <c r="D78" s="282">
        <v>0</v>
      </c>
      <c r="E78" s="282" t="s">
        <v>181</v>
      </c>
      <c r="F78" s="282" t="s">
        <v>186</v>
      </c>
      <c r="G78" s="283"/>
      <c r="H78" s="283"/>
      <c r="I78" s="311">
        <v>0</v>
      </c>
      <c r="J78" s="257"/>
      <c r="K78" s="257"/>
      <c r="L78" s="3447" t="e">
        <f t="shared" si="12"/>
        <v>#DIV/0!</v>
      </c>
      <c r="M78" s="3447" t="e">
        <f t="shared" si="12"/>
        <v>#DIV/0!</v>
      </c>
      <c r="N78" s="214">
        <f t="shared" si="13"/>
        <v>0</v>
      </c>
      <c r="O78" s="214">
        <f t="shared" si="14"/>
        <v>0</v>
      </c>
      <c r="P78" s="214">
        <f>IF(K78=0, 0, (HLOOKUP(K78,'[1]G-CESTDWO'!$A$5:$G$35,J78+1,FALSE)*R28))</f>
        <v>0</v>
      </c>
      <c r="Q78" s="214">
        <f>IF(K78=0, 0, (HLOOKUP(K78,'[1]G-CESTD'!$A$5:$G$35,J78+1,FALSE)*R28))</f>
        <v>0</v>
      </c>
      <c r="R78" s="279">
        <v>1.081</v>
      </c>
      <c r="S78" s="280">
        <f t="shared" si="10"/>
        <v>0</v>
      </c>
      <c r="T78" s="280">
        <f t="shared" si="10"/>
        <v>0</v>
      </c>
      <c r="U78" s="280">
        <f t="shared" si="10"/>
        <v>0</v>
      </c>
      <c r="V78" s="322" t="e">
        <f t="shared" si="15"/>
        <v>#DIV/0!</v>
      </c>
      <c r="W78" s="322" t="e">
        <f t="shared" si="11"/>
        <v>#DIV/0!</v>
      </c>
      <c r="X78" s="322" t="e">
        <f t="shared" si="16"/>
        <v>#DIV/0!</v>
      </c>
    </row>
    <row r="79" spans="2:24">
      <c r="B79" s="282"/>
      <c r="C79" s="282" t="s">
        <v>201</v>
      </c>
      <c r="D79" s="282">
        <v>0</v>
      </c>
      <c r="E79" s="282" t="s">
        <v>181</v>
      </c>
      <c r="F79" s="282" t="s">
        <v>186</v>
      </c>
      <c r="G79" s="283"/>
      <c r="H79" s="283"/>
      <c r="I79" s="311">
        <v>0</v>
      </c>
      <c r="J79" s="257"/>
      <c r="K79" s="257"/>
      <c r="L79" s="3447" t="e">
        <f t="shared" si="12"/>
        <v>#DIV/0!</v>
      </c>
      <c r="M79" s="3447" t="e">
        <f t="shared" si="12"/>
        <v>#DIV/0!</v>
      </c>
      <c r="N79" s="214">
        <f t="shared" si="13"/>
        <v>0</v>
      </c>
      <c r="O79" s="214">
        <f t="shared" si="14"/>
        <v>0</v>
      </c>
      <c r="P79" s="214">
        <f>IF(K79=0, 0, (HLOOKUP(K79,'[1]G-CESTDWO'!$A$5:$G$35,J79+1,FALSE)*R29))</f>
        <v>0</v>
      </c>
      <c r="Q79" s="214">
        <f>IF(K79=0, 0, (HLOOKUP(K79,'[1]G-CESTD'!$A$5:$G$35,J79+1,FALSE)*R29))</f>
        <v>0</v>
      </c>
      <c r="R79" s="279">
        <v>1.081</v>
      </c>
      <c r="S79" s="280">
        <f t="shared" ref="S79:U104" si="17">M29*$H79</f>
        <v>0</v>
      </c>
      <c r="T79" s="280">
        <f t="shared" si="17"/>
        <v>0</v>
      </c>
      <c r="U79" s="280">
        <f t="shared" si="17"/>
        <v>0</v>
      </c>
      <c r="V79" s="322" t="e">
        <f t="shared" si="15"/>
        <v>#DIV/0!</v>
      </c>
      <c r="W79" s="322" t="e">
        <f t="shared" si="11"/>
        <v>#DIV/0!</v>
      </c>
      <c r="X79" s="322" t="e">
        <f t="shared" si="16"/>
        <v>#DIV/0!</v>
      </c>
    </row>
    <row r="80" spans="2:24">
      <c r="B80" s="282"/>
      <c r="C80" s="282" t="s">
        <v>202</v>
      </c>
      <c r="D80" s="282">
        <v>0</v>
      </c>
      <c r="E80" s="282" t="s">
        <v>181</v>
      </c>
      <c r="F80" s="282" t="s">
        <v>186</v>
      </c>
      <c r="G80" s="283"/>
      <c r="H80" s="283"/>
      <c r="I80" s="311">
        <v>0</v>
      </c>
      <c r="J80" s="257"/>
      <c r="K80" s="257"/>
      <c r="L80" s="3447" t="e">
        <f t="shared" si="12"/>
        <v>#DIV/0!</v>
      </c>
      <c r="M80" s="3447" t="e">
        <f t="shared" si="12"/>
        <v>#DIV/0!</v>
      </c>
      <c r="N80" s="214">
        <f t="shared" si="13"/>
        <v>0</v>
      </c>
      <c r="O80" s="214">
        <f t="shared" si="14"/>
        <v>0</v>
      </c>
      <c r="P80" s="214">
        <f>IF(K80=0, 0, (HLOOKUP(K80,'[1]G-CESTDWO'!$A$5:$G$35,J80+1,FALSE)*R30))</f>
        <v>0</v>
      </c>
      <c r="Q80" s="214">
        <f>IF(K80=0, 0, (HLOOKUP(K80,'[1]G-CESTD'!$A$5:$G$35,J80+1,FALSE)*R30))</f>
        <v>0</v>
      </c>
      <c r="R80" s="279">
        <v>1.081</v>
      </c>
      <c r="S80" s="280">
        <f t="shared" si="17"/>
        <v>0</v>
      </c>
      <c r="T80" s="280">
        <f t="shared" si="17"/>
        <v>0</v>
      </c>
      <c r="U80" s="280">
        <f t="shared" si="17"/>
        <v>0</v>
      </c>
      <c r="V80" s="322" t="e">
        <f t="shared" si="15"/>
        <v>#DIV/0!</v>
      </c>
      <c r="W80" s="322" t="e">
        <f t="shared" si="11"/>
        <v>#DIV/0!</v>
      </c>
      <c r="X80" s="322" t="e">
        <f t="shared" si="16"/>
        <v>#DIV/0!</v>
      </c>
    </row>
    <row r="81" spans="2:24">
      <c r="B81" s="282"/>
      <c r="C81" s="282" t="s">
        <v>203</v>
      </c>
      <c r="D81" s="282">
        <v>0</v>
      </c>
      <c r="E81" s="282" t="s">
        <v>181</v>
      </c>
      <c r="F81" s="282" t="s">
        <v>186</v>
      </c>
      <c r="G81" s="283"/>
      <c r="H81" s="283"/>
      <c r="I81" s="311">
        <v>0</v>
      </c>
      <c r="J81" s="257"/>
      <c r="K81" s="257"/>
      <c r="L81" s="3447" t="e">
        <f t="shared" si="12"/>
        <v>#DIV/0!</v>
      </c>
      <c r="M81" s="3447" t="e">
        <f t="shared" si="12"/>
        <v>#DIV/0!</v>
      </c>
      <c r="N81" s="214">
        <f t="shared" si="13"/>
        <v>0</v>
      </c>
      <c r="O81" s="214">
        <f t="shared" si="14"/>
        <v>0</v>
      </c>
      <c r="P81" s="214">
        <f>IF(K81=0, 0, (HLOOKUP(K81,'[1]G-CESTDWO'!$A$5:$G$35,J81+1,FALSE)*R31))</f>
        <v>0</v>
      </c>
      <c r="Q81" s="214">
        <f>IF(K81=0, 0, (HLOOKUP(K81,'[1]G-CESTD'!$A$5:$G$35,J81+1,FALSE)*R31))</f>
        <v>0</v>
      </c>
      <c r="R81" s="279">
        <v>1.081</v>
      </c>
      <c r="S81" s="280">
        <f t="shared" si="17"/>
        <v>0</v>
      </c>
      <c r="T81" s="280">
        <f t="shared" si="17"/>
        <v>0</v>
      </c>
      <c r="U81" s="280">
        <f t="shared" si="17"/>
        <v>0</v>
      </c>
      <c r="V81" s="322" t="e">
        <f t="shared" si="15"/>
        <v>#DIV/0!</v>
      </c>
      <c r="W81" s="322" t="e">
        <f t="shared" si="11"/>
        <v>#DIV/0!</v>
      </c>
      <c r="X81" s="322" t="e">
        <f t="shared" si="16"/>
        <v>#DIV/0!</v>
      </c>
    </row>
    <row r="82" spans="2:24">
      <c r="B82" s="282"/>
      <c r="C82" s="282" t="s">
        <v>204</v>
      </c>
      <c r="D82" s="282">
        <v>0</v>
      </c>
      <c r="E82" s="282" t="s">
        <v>181</v>
      </c>
      <c r="F82" s="282" t="s">
        <v>186</v>
      </c>
      <c r="G82" s="283"/>
      <c r="H82" s="283"/>
      <c r="I82" s="311">
        <v>0</v>
      </c>
      <c r="J82" s="257"/>
      <c r="K82" s="257"/>
      <c r="L82" s="3447" t="e">
        <f t="shared" si="12"/>
        <v>#DIV/0!</v>
      </c>
      <c r="M82" s="3447" t="e">
        <f t="shared" si="12"/>
        <v>#DIV/0!</v>
      </c>
      <c r="N82" s="214">
        <f t="shared" si="13"/>
        <v>0</v>
      </c>
      <c r="O82" s="214">
        <f t="shared" si="14"/>
        <v>0</v>
      </c>
      <c r="P82" s="214">
        <f>IF(K82=0, 0, (HLOOKUP(K82,'[1]G-CESTDWO'!$A$5:$G$35,J82+1,FALSE)*R32))</f>
        <v>0</v>
      </c>
      <c r="Q82" s="214">
        <f>IF(K82=0, 0, (HLOOKUP(K82,'[1]G-CESTD'!$A$5:$G$35,J82+1,FALSE)*R32))</f>
        <v>0</v>
      </c>
      <c r="R82" s="279">
        <v>1.081</v>
      </c>
      <c r="S82" s="280">
        <f t="shared" si="17"/>
        <v>0</v>
      </c>
      <c r="T82" s="280">
        <f t="shared" si="17"/>
        <v>0</v>
      </c>
      <c r="U82" s="280">
        <f t="shared" si="17"/>
        <v>0</v>
      </c>
    </row>
    <row r="83" spans="2:24">
      <c r="B83" s="282"/>
      <c r="C83" s="282" t="s">
        <v>205</v>
      </c>
      <c r="D83" s="285">
        <v>0</v>
      </c>
      <c r="E83" s="282" t="s">
        <v>181</v>
      </c>
      <c r="F83" s="282" t="s">
        <v>186</v>
      </c>
      <c r="G83" s="283"/>
      <c r="H83" s="283"/>
      <c r="I83" s="311">
        <v>0</v>
      </c>
      <c r="J83" s="257"/>
      <c r="K83" s="257"/>
      <c r="L83" s="3447" t="e">
        <f t="shared" si="12"/>
        <v>#DIV/0!</v>
      </c>
      <c r="M83" s="3447" t="e">
        <f t="shared" si="12"/>
        <v>#DIV/0!</v>
      </c>
      <c r="N83" s="214">
        <f t="shared" si="13"/>
        <v>0</v>
      </c>
      <c r="O83" s="214">
        <f t="shared" si="14"/>
        <v>0</v>
      </c>
      <c r="P83" s="214">
        <f>IF(K83=0, 0, (HLOOKUP(K83,'[1]G-CESTDWO'!$A$5:$G$35,J83+1,FALSE)*R33))</f>
        <v>0</v>
      </c>
      <c r="Q83" s="214">
        <f>IF(K83=0, 0, (HLOOKUP(K83,'[1]G-CESTD'!$A$5:$G$35,J83+1,FALSE)*R33))</f>
        <v>0</v>
      </c>
      <c r="R83" s="279">
        <v>1.081</v>
      </c>
      <c r="S83" s="280">
        <f t="shared" si="17"/>
        <v>0</v>
      </c>
      <c r="T83" s="280">
        <f t="shared" si="17"/>
        <v>0</v>
      </c>
      <c r="U83" s="280">
        <f t="shared" si="17"/>
        <v>0</v>
      </c>
    </row>
    <row r="84" spans="2:24">
      <c r="B84" s="282"/>
      <c r="C84" s="282" t="s">
        <v>206</v>
      </c>
      <c r="D84" s="285">
        <v>0</v>
      </c>
      <c r="E84" s="282" t="s">
        <v>181</v>
      </c>
      <c r="F84" s="282" t="s">
        <v>186</v>
      </c>
      <c r="G84" s="283"/>
      <c r="H84" s="283"/>
      <c r="I84" s="311">
        <v>0</v>
      </c>
      <c r="J84" s="257"/>
      <c r="K84" s="257"/>
      <c r="L84" s="3447" t="e">
        <f t="shared" si="12"/>
        <v>#DIV/0!</v>
      </c>
      <c r="M84" s="3447" t="e">
        <f t="shared" si="12"/>
        <v>#DIV/0!</v>
      </c>
      <c r="N84" s="214">
        <f t="shared" si="13"/>
        <v>0</v>
      </c>
      <c r="O84" s="214">
        <f t="shared" si="14"/>
        <v>0</v>
      </c>
      <c r="P84" s="214">
        <f>IF(K84=0, 0, (HLOOKUP(K84,'[1]G-CESTDWO'!$A$5:$G$35,J84+1,FALSE)*R34))</f>
        <v>0</v>
      </c>
      <c r="Q84" s="214">
        <f>IF(K84=0, 0, (HLOOKUP(K84,'[1]G-CESTD'!$A$5:$G$35,J84+1,FALSE)*R34))</f>
        <v>0</v>
      </c>
      <c r="R84" s="279">
        <v>1.081</v>
      </c>
      <c r="S84" s="280">
        <f t="shared" si="17"/>
        <v>0</v>
      </c>
      <c r="T84" s="280">
        <f t="shared" si="17"/>
        <v>0</v>
      </c>
      <c r="U84" s="280">
        <f t="shared" si="17"/>
        <v>0</v>
      </c>
    </row>
    <row r="85" spans="2:24">
      <c r="B85" s="282"/>
      <c r="C85" s="282" t="s">
        <v>207</v>
      </c>
      <c r="D85" s="285">
        <v>0</v>
      </c>
      <c r="E85" s="282" t="s">
        <v>181</v>
      </c>
      <c r="F85" s="282" t="s">
        <v>186</v>
      </c>
      <c r="G85" s="283"/>
      <c r="H85" s="283"/>
      <c r="I85" s="311">
        <v>0</v>
      </c>
      <c r="J85" s="257"/>
      <c r="K85" s="257"/>
      <c r="L85" s="3447" t="e">
        <f t="shared" si="12"/>
        <v>#DIV/0!</v>
      </c>
      <c r="M85" s="3447" t="e">
        <f t="shared" si="12"/>
        <v>#DIV/0!</v>
      </c>
      <c r="N85" s="214">
        <f t="shared" si="13"/>
        <v>0</v>
      </c>
      <c r="O85" s="214">
        <f t="shared" si="14"/>
        <v>0</v>
      </c>
      <c r="P85" s="214">
        <f>IF(K85=0, 0, (HLOOKUP(K85,'[1]G-CESTDWO'!$A$5:$G$35,J85+1,FALSE)*R35))</f>
        <v>0</v>
      </c>
      <c r="Q85" s="214">
        <f>IF(K85=0, 0, (HLOOKUP(K85,'[1]G-CESTD'!$A$5:$G$35,J85+1,FALSE)*R35))</f>
        <v>0</v>
      </c>
      <c r="R85" s="279">
        <v>1.081</v>
      </c>
      <c r="S85" s="280">
        <f t="shared" si="17"/>
        <v>0</v>
      </c>
      <c r="T85" s="280">
        <f t="shared" si="17"/>
        <v>0</v>
      </c>
      <c r="U85" s="280">
        <f t="shared" si="17"/>
        <v>0</v>
      </c>
    </row>
    <row r="86" spans="2:24">
      <c r="B86" s="282"/>
      <c r="C86" s="282" t="s">
        <v>208</v>
      </c>
      <c r="D86" s="285">
        <v>0</v>
      </c>
      <c r="E86" s="282" t="s">
        <v>181</v>
      </c>
      <c r="F86" s="282" t="s">
        <v>186</v>
      </c>
      <c r="G86" s="283"/>
      <c r="H86" s="283"/>
      <c r="I86" s="311">
        <v>0</v>
      </c>
      <c r="J86" s="257"/>
      <c r="K86" s="257"/>
      <c r="L86" s="3447" t="e">
        <f t="shared" si="12"/>
        <v>#DIV/0!</v>
      </c>
      <c r="M86" s="3447" t="e">
        <f t="shared" si="12"/>
        <v>#DIV/0!</v>
      </c>
      <c r="N86" s="214">
        <f t="shared" si="13"/>
        <v>0</v>
      </c>
      <c r="O86" s="214">
        <f t="shared" si="14"/>
        <v>0</v>
      </c>
      <c r="P86" s="214">
        <f>IF(K86=0, 0, (HLOOKUP(K86,'[1]G-CESTDWO'!$A$5:$G$35,J86+1,FALSE)*R36))</f>
        <v>0</v>
      </c>
      <c r="Q86" s="214">
        <f>IF(K86=0, 0, (HLOOKUP(K86,'[1]G-CESTD'!$A$5:$G$35,J86+1,FALSE)*R36))</f>
        <v>0</v>
      </c>
      <c r="R86" s="279">
        <v>1.081</v>
      </c>
      <c r="S86" s="280">
        <f t="shared" si="17"/>
        <v>0</v>
      </c>
      <c r="T86" s="280">
        <f t="shared" si="17"/>
        <v>0</v>
      </c>
      <c r="U86" s="280">
        <f t="shared" si="17"/>
        <v>0</v>
      </c>
    </row>
    <row r="87" spans="2:24">
      <c r="B87" s="282"/>
      <c r="C87" s="282" t="s">
        <v>209</v>
      </c>
      <c r="D87" s="285">
        <v>0</v>
      </c>
      <c r="E87" s="282" t="s">
        <v>181</v>
      </c>
      <c r="F87" s="282" t="s">
        <v>186</v>
      </c>
      <c r="G87" s="283"/>
      <c r="H87" s="283"/>
      <c r="I87" s="311">
        <v>0</v>
      </c>
      <c r="J87" s="257"/>
      <c r="K87" s="257"/>
      <c r="L87" s="3447" t="e">
        <f t="shared" si="12"/>
        <v>#DIV/0!</v>
      </c>
      <c r="M87" s="3447" t="e">
        <f t="shared" si="12"/>
        <v>#DIV/0!</v>
      </c>
      <c r="N87" s="214">
        <f t="shared" si="13"/>
        <v>0</v>
      </c>
      <c r="O87" s="214">
        <f t="shared" si="14"/>
        <v>0</v>
      </c>
      <c r="P87" s="214">
        <f>IF(K87=0, 0, (HLOOKUP(K87,'[1]G-CESTDWO'!$A$5:$G$35,J87+1,FALSE)*R37))</f>
        <v>0</v>
      </c>
      <c r="Q87" s="214">
        <f>IF(K87=0, 0, (HLOOKUP(K87,'[1]G-CESTD'!$A$5:$G$35,J87+1,FALSE)*R37))</f>
        <v>0</v>
      </c>
      <c r="R87" s="279">
        <v>1.081</v>
      </c>
      <c r="S87" s="280">
        <f t="shared" si="17"/>
        <v>0</v>
      </c>
      <c r="T87" s="280">
        <f t="shared" si="17"/>
        <v>0</v>
      </c>
      <c r="U87" s="280">
        <f t="shared" si="17"/>
        <v>0</v>
      </c>
    </row>
    <row r="88" spans="2:24">
      <c r="B88" s="282"/>
      <c r="C88" s="282" t="s">
        <v>210</v>
      </c>
      <c r="D88" s="285">
        <v>0</v>
      </c>
      <c r="E88" s="282" t="s">
        <v>181</v>
      </c>
      <c r="F88" s="282" t="s">
        <v>186</v>
      </c>
      <c r="G88" s="283"/>
      <c r="H88" s="283"/>
      <c r="I88" s="311">
        <v>0</v>
      </c>
      <c r="J88" s="257"/>
      <c r="K88" s="257"/>
      <c r="L88" s="3447" t="e">
        <f t="shared" si="12"/>
        <v>#DIV/0!</v>
      </c>
      <c r="M88" s="3447" t="e">
        <f t="shared" si="12"/>
        <v>#DIV/0!</v>
      </c>
      <c r="N88" s="214">
        <f t="shared" si="13"/>
        <v>0</v>
      </c>
      <c r="O88" s="214">
        <f t="shared" si="14"/>
        <v>0</v>
      </c>
      <c r="P88" s="214">
        <f>IF(K88=0, 0, (HLOOKUP(K88,'[1]G-CESTDWO'!$A$5:$G$35,J88+1,FALSE)*R38))</f>
        <v>0</v>
      </c>
      <c r="Q88" s="214">
        <f>IF(K88=0, 0, (HLOOKUP(K88,'[1]G-CESTD'!$A$5:$G$35,J88+1,FALSE)*R38))</f>
        <v>0</v>
      </c>
      <c r="R88" s="279">
        <v>1.081</v>
      </c>
      <c r="S88" s="280">
        <f t="shared" si="17"/>
        <v>0</v>
      </c>
      <c r="T88" s="280">
        <f t="shared" si="17"/>
        <v>0</v>
      </c>
      <c r="U88" s="280">
        <f t="shared" si="17"/>
        <v>0</v>
      </c>
    </row>
    <row r="89" spans="2:24">
      <c r="B89" s="282"/>
      <c r="C89" s="282" t="s">
        <v>211</v>
      </c>
      <c r="D89" s="285">
        <v>0</v>
      </c>
      <c r="E89" s="282" t="s">
        <v>181</v>
      </c>
      <c r="F89" s="282" t="s">
        <v>186</v>
      </c>
      <c r="G89" s="283"/>
      <c r="H89" s="283"/>
      <c r="I89" s="311">
        <v>0</v>
      </c>
      <c r="J89" s="257"/>
      <c r="K89" s="257"/>
      <c r="L89" s="3447" t="e">
        <f t="shared" si="12"/>
        <v>#DIV/0!</v>
      </c>
      <c r="M89" s="3447" t="e">
        <f t="shared" si="12"/>
        <v>#DIV/0!</v>
      </c>
      <c r="N89" s="214">
        <f t="shared" si="13"/>
        <v>0</v>
      </c>
      <c r="O89" s="214">
        <f t="shared" si="14"/>
        <v>0</v>
      </c>
      <c r="P89" s="214">
        <f>IF(K89=0, 0, (HLOOKUP(K89,'[1]G-CESTDWO'!$A$5:$G$35,J89+1,FALSE)*R39))</f>
        <v>0</v>
      </c>
      <c r="Q89" s="214">
        <f>IF(K89=0, 0, (HLOOKUP(K89,'[1]G-CESTD'!$A$5:$G$35,J89+1,FALSE)*R39))</f>
        <v>0</v>
      </c>
      <c r="R89" s="279">
        <v>1.081</v>
      </c>
      <c r="S89" s="280">
        <f t="shared" si="17"/>
        <v>0</v>
      </c>
      <c r="T89" s="280">
        <f t="shared" si="17"/>
        <v>0</v>
      </c>
      <c r="U89" s="280">
        <f t="shared" si="17"/>
        <v>0</v>
      </c>
    </row>
    <row r="90" spans="2:24">
      <c r="B90" s="282"/>
      <c r="C90" s="282" t="s">
        <v>212</v>
      </c>
      <c r="D90" s="285">
        <v>0</v>
      </c>
      <c r="E90" s="282" t="s">
        <v>181</v>
      </c>
      <c r="F90" s="282" t="s">
        <v>186</v>
      </c>
      <c r="G90" s="283"/>
      <c r="H90" s="283"/>
      <c r="I90" s="311">
        <v>0</v>
      </c>
      <c r="J90" s="257"/>
      <c r="K90" s="257"/>
      <c r="L90" s="3447" t="e">
        <f t="shared" si="12"/>
        <v>#DIV/0!</v>
      </c>
      <c r="M90" s="3447" t="e">
        <f t="shared" si="12"/>
        <v>#DIV/0!</v>
      </c>
      <c r="N90" s="214">
        <f t="shared" si="13"/>
        <v>0</v>
      </c>
      <c r="O90" s="214">
        <f t="shared" si="14"/>
        <v>0</v>
      </c>
      <c r="P90" s="214">
        <f>IF(K90=0, 0, (HLOOKUP(K90,'[1]G-CESTDWO'!$A$5:$G$35,J90+1,FALSE)*R40))</f>
        <v>0</v>
      </c>
      <c r="Q90" s="214">
        <f>IF(K90=0, 0, (HLOOKUP(K90,'[1]G-CESTD'!$A$5:$G$35,J90+1,FALSE)*R40))</f>
        <v>0</v>
      </c>
      <c r="R90" s="279">
        <v>1.081</v>
      </c>
      <c r="S90" s="280">
        <f t="shared" si="17"/>
        <v>0</v>
      </c>
      <c r="T90" s="280">
        <f t="shared" si="17"/>
        <v>0</v>
      </c>
      <c r="U90" s="280">
        <f t="shared" si="17"/>
        <v>0</v>
      </c>
    </row>
    <row r="91" spans="2:24">
      <c r="B91" s="282"/>
      <c r="C91" s="282" t="s">
        <v>213</v>
      </c>
      <c r="D91" s="285">
        <v>0</v>
      </c>
      <c r="E91" s="282" t="s">
        <v>181</v>
      </c>
      <c r="F91" s="282" t="s">
        <v>186</v>
      </c>
      <c r="G91" s="283"/>
      <c r="H91" s="283"/>
      <c r="I91" s="311">
        <v>0</v>
      </c>
      <c r="J91" s="257"/>
      <c r="K91" s="257"/>
      <c r="L91" s="3447" t="e">
        <f t="shared" si="12"/>
        <v>#DIV/0!</v>
      </c>
      <c r="M91" s="3447" t="e">
        <f t="shared" si="12"/>
        <v>#DIV/0!</v>
      </c>
      <c r="N91" s="214">
        <f t="shared" si="13"/>
        <v>0</v>
      </c>
      <c r="O91" s="214">
        <f t="shared" si="14"/>
        <v>0</v>
      </c>
      <c r="P91" s="214">
        <f>IF(K91=0, 0, (HLOOKUP(K91,'[1]G-CESTDWO'!$A$5:$G$35,J91+1,FALSE)*R41))</f>
        <v>0</v>
      </c>
      <c r="Q91" s="214">
        <f>IF(K91=0, 0, (HLOOKUP(K91,'[1]G-CESTD'!$A$5:$G$35,J91+1,FALSE)*R41))</f>
        <v>0</v>
      </c>
      <c r="R91" s="279">
        <v>1.081</v>
      </c>
      <c r="S91" s="280">
        <f t="shared" si="17"/>
        <v>0</v>
      </c>
      <c r="T91" s="280">
        <f t="shared" si="17"/>
        <v>0</v>
      </c>
      <c r="U91" s="280">
        <f t="shared" si="17"/>
        <v>0</v>
      </c>
    </row>
    <row r="92" spans="2:24">
      <c r="B92" s="282"/>
      <c r="C92" s="282" t="s">
        <v>214</v>
      </c>
      <c r="D92" s="285">
        <v>0</v>
      </c>
      <c r="E92" s="282" t="s">
        <v>181</v>
      </c>
      <c r="F92" s="282" t="s">
        <v>186</v>
      </c>
      <c r="G92" s="283"/>
      <c r="H92" s="283"/>
      <c r="I92" s="311">
        <v>0</v>
      </c>
      <c r="J92" s="257"/>
      <c r="K92" s="257"/>
      <c r="L92" s="3447" t="e">
        <f t="shared" si="12"/>
        <v>#DIV/0!</v>
      </c>
      <c r="M92" s="3447" t="e">
        <f t="shared" si="12"/>
        <v>#DIV/0!</v>
      </c>
      <c r="N92" s="214">
        <f t="shared" si="13"/>
        <v>0</v>
      </c>
      <c r="O92" s="214">
        <f t="shared" si="14"/>
        <v>0</v>
      </c>
      <c r="P92" s="214">
        <f>IF(K92=0, 0, (HLOOKUP(K92,'[1]G-CESTDWO'!$A$5:$G$35,J92+1,FALSE)*R42))</f>
        <v>0</v>
      </c>
      <c r="Q92" s="214">
        <f>IF(K92=0, 0, (HLOOKUP(K92,'[1]G-CESTD'!$A$5:$G$35,J92+1,FALSE)*R42))</f>
        <v>0</v>
      </c>
      <c r="R92" s="279">
        <v>1.081</v>
      </c>
      <c r="S92" s="280">
        <f t="shared" si="17"/>
        <v>0</v>
      </c>
      <c r="T92" s="280">
        <f t="shared" si="17"/>
        <v>0</v>
      </c>
      <c r="U92" s="280">
        <f t="shared" si="17"/>
        <v>0</v>
      </c>
    </row>
    <row r="93" spans="2:24">
      <c r="B93" s="282"/>
      <c r="C93" s="282" t="s">
        <v>215</v>
      </c>
      <c r="D93" s="285">
        <v>0</v>
      </c>
      <c r="E93" s="282" t="s">
        <v>181</v>
      </c>
      <c r="F93" s="282" t="s">
        <v>186</v>
      </c>
      <c r="G93" s="283"/>
      <c r="H93" s="283"/>
      <c r="I93" s="311">
        <v>0</v>
      </c>
      <c r="J93" s="257"/>
      <c r="K93" s="257"/>
      <c r="L93" s="3447" t="e">
        <f t="shared" si="12"/>
        <v>#DIV/0!</v>
      </c>
      <c r="M93" s="3447" t="e">
        <f t="shared" si="12"/>
        <v>#DIV/0!</v>
      </c>
      <c r="N93" s="214">
        <f t="shared" si="13"/>
        <v>0</v>
      </c>
      <c r="O93" s="214">
        <f t="shared" si="14"/>
        <v>0</v>
      </c>
      <c r="P93" s="214">
        <f>IF(K93=0, 0, (HLOOKUP(K93,'[1]G-CESTDWO'!$A$5:$G$35,J93+1,FALSE)*R43))</f>
        <v>0</v>
      </c>
      <c r="Q93" s="214">
        <f>IF(K93=0, 0, (HLOOKUP(K93,'[1]G-CESTD'!$A$5:$G$35,J93+1,FALSE)*R43))</f>
        <v>0</v>
      </c>
      <c r="R93" s="279">
        <v>1.081</v>
      </c>
      <c r="S93" s="280">
        <f t="shared" si="17"/>
        <v>0</v>
      </c>
      <c r="T93" s="280">
        <f t="shared" si="17"/>
        <v>0</v>
      </c>
      <c r="U93" s="280">
        <f t="shared" si="17"/>
        <v>0</v>
      </c>
    </row>
    <row r="94" spans="2:24">
      <c r="B94" s="282"/>
      <c r="C94" s="282" t="s">
        <v>216</v>
      </c>
      <c r="D94" s="285">
        <v>0</v>
      </c>
      <c r="E94" s="282" t="s">
        <v>181</v>
      </c>
      <c r="F94" s="282" t="s">
        <v>186</v>
      </c>
      <c r="G94" s="283"/>
      <c r="H94" s="283"/>
      <c r="I94" s="311">
        <v>0</v>
      </c>
      <c r="J94" s="257"/>
      <c r="K94" s="257"/>
      <c r="L94" s="3447" t="e">
        <f t="shared" si="12"/>
        <v>#DIV/0!</v>
      </c>
      <c r="M94" s="3447" t="e">
        <f t="shared" si="12"/>
        <v>#DIV/0!</v>
      </c>
      <c r="N94" s="214">
        <f t="shared" si="13"/>
        <v>0</v>
      </c>
      <c r="O94" s="214">
        <f t="shared" si="14"/>
        <v>0</v>
      </c>
      <c r="P94" s="214">
        <f>IF(K94=0, 0, (HLOOKUP(K94,'[1]G-CESTDWO'!$A$5:$G$35,J94+1,FALSE)*R44))</f>
        <v>0</v>
      </c>
      <c r="Q94" s="214">
        <f>IF(K94=0, 0, (HLOOKUP(K94,'[1]G-CESTD'!$A$5:$G$35,J94+1,FALSE)*R44))</f>
        <v>0</v>
      </c>
      <c r="R94" s="279">
        <v>1.081</v>
      </c>
      <c r="S94" s="280">
        <f t="shared" si="17"/>
        <v>0</v>
      </c>
      <c r="T94" s="280">
        <f t="shared" si="17"/>
        <v>0</v>
      </c>
      <c r="U94" s="280">
        <f t="shared" si="17"/>
        <v>0</v>
      </c>
    </row>
    <row r="95" spans="2:24">
      <c r="B95" s="282"/>
      <c r="C95" s="282" t="s">
        <v>217</v>
      </c>
      <c r="D95" s="285">
        <v>0</v>
      </c>
      <c r="E95" s="282" t="s">
        <v>181</v>
      </c>
      <c r="F95" s="282" t="s">
        <v>186</v>
      </c>
      <c r="G95" s="283"/>
      <c r="H95" s="283"/>
      <c r="I95" s="311">
        <v>0</v>
      </c>
      <c r="J95" s="257"/>
      <c r="K95" s="257"/>
      <c r="L95" s="3447" t="e">
        <f t="shared" si="12"/>
        <v>#DIV/0!</v>
      </c>
      <c r="M95" s="3447" t="e">
        <f t="shared" si="12"/>
        <v>#DIV/0!</v>
      </c>
      <c r="N95" s="214">
        <f t="shared" si="13"/>
        <v>0</v>
      </c>
      <c r="O95" s="214">
        <f t="shared" si="14"/>
        <v>0</v>
      </c>
      <c r="P95" s="214">
        <f>IF(K95=0, 0, (HLOOKUP(K95,'[1]G-CESTDWO'!$A$5:$G$35,J95+1,FALSE)*R45))</f>
        <v>0</v>
      </c>
      <c r="Q95" s="214">
        <f>IF(K95=0, 0, (HLOOKUP(K95,'[1]G-CESTD'!$A$5:$G$35,J95+1,FALSE)*R45))</f>
        <v>0</v>
      </c>
      <c r="R95" s="279">
        <v>1.081</v>
      </c>
      <c r="S95" s="280">
        <f t="shared" si="17"/>
        <v>0</v>
      </c>
      <c r="T95" s="280">
        <f t="shared" si="17"/>
        <v>0</v>
      </c>
      <c r="U95" s="280">
        <f t="shared" si="17"/>
        <v>0</v>
      </c>
    </row>
    <row r="96" spans="2:24">
      <c r="B96" s="282"/>
      <c r="C96" s="282" t="s">
        <v>218</v>
      </c>
      <c r="D96" s="285">
        <v>0</v>
      </c>
      <c r="E96" s="282" t="s">
        <v>181</v>
      </c>
      <c r="F96" s="282" t="s">
        <v>186</v>
      </c>
      <c r="G96" s="283"/>
      <c r="H96" s="283"/>
      <c r="I96" s="311">
        <v>0</v>
      </c>
      <c r="J96" s="257"/>
      <c r="K96" s="257"/>
      <c r="L96" s="3447" t="e">
        <f t="shared" si="12"/>
        <v>#DIV/0!</v>
      </c>
      <c r="M96" s="3447" t="e">
        <f t="shared" si="12"/>
        <v>#DIV/0!</v>
      </c>
      <c r="N96" s="214">
        <f t="shared" si="13"/>
        <v>0</v>
      </c>
      <c r="O96" s="214">
        <f t="shared" si="14"/>
        <v>0</v>
      </c>
      <c r="P96" s="214">
        <f>IF(K96=0, 0, (HLOOKUP(K96,'[1]G-CESTDWO'!$A$5:$G$35,J96+1,FALSE)*R46))</f>
        <v>0</v>
      </c>
      <c r="Q96" s="214">
        <f>IF(K96=0, 0, (HLOOKUP(K96,'[1]G-CESTD'!$A$5:$G$35,J96+1,FALSE)*R46))</f>
        <v>0</v>
      </c>
      <c r="R96" s="279">
        <v>1.081</v>
      </c>
      <c r="S96" s="280">
        <f t="shared" si="17"/>
        <v>0</v>
      </c>
      <c r="T96" s="280">
        <f t="shared" si="17"/>
        <v>0</v>
      </c>
      <c r="U96" s="280">
        <f t="shared" si="17"/>
        <v>0</v>
      </c>
    </row>
    <row r="97" spans="2:21">
      <c r="B97" s="282"/>
      <c r="C97" s="282" t="s">
        <v>219</v>
      </c>
      <c r="D97" s="285">
        <v>0</v>
      </c>
      <c r="E97" s="282" t="s">
        <v>181</v>
      </c>
      <c r="F97" s="282" t="s">
        <v>186</v>
      </c>
      <c r="G97" s="283"/>
      <c r="H97" s="283"/>
      <c r="I97" s="311">
        <v>0</v>
      </c>
      <c r="J97" s="257"/>
      <c r="K97" s="257"/>
      <c r="L97" s="3447" t="e">
        <f t="shared" si="12"/>
        <v>#DIV/0!</v>
      </c>
      <c r="M97" s="3447" t="e">
        <f t="shared" si="12"/>
        <v>#DIV/0!</v>
      </c>
      <c r="N97" s="214">
        <f t="shared" si="13"/>
        <v>0</v>
      </c>
      <c r="O97" s="214">
        <f t="shared" si="14"/>
        <v>0</v>
      </c>
      <c r="P97" s="214">
        <f>IF(K97=0, 0, (HLOOKUP(K97,'[1]G-CESTDWO'!$A$5:$G$35,J97+1,FALSE)*R47))</f>
        <v>0</v>
      </c>
      <c r="Q97" s="214">
        <f>IF(K97=0, 0, (HLOOKUP(K97,'[1]G-CESTD'!$A$5:$G$35,J97+1,FALSE)*R47))</f>
        <v>0</v>
      </c>
      <c r="R97" s="279">
        <v>1.081</v>
      </c>
      <c r="S97" s="280">
        <f t="shared" si="17"/>
        <v>0</v>
      </c>
      <c r="T97" s="280">
        <f t="shared" si="17"/>
        <v>0</v>
      </c>
      <c r="U97" s="280">
        <f t="shared" si="17"/>
        <v>0</v>
      </c>
    </row>
    <row r="98" spans="2:21">
      <c r="B98" s="282"/>
      <c r="C98" s="282" t="s">
        <v>220</v>
      </c>
      <c r="D98" s="285">
        <v>0</v>
      </c>
      <c r="E98" s="282" t="s">
        <v>181</v>
      </c>
      <c r="F98" s="282" t="s">
        <v>186</v>
      </c>
      <c r="G98" s="283"/>
      <c r="H98" s="283"/>
      <c r="I98" s="311">
        <v>0</v>
      </c>
      <c r="J98" s="257"/>
      <c r="K98" s="257"/>
      <c r="L98" s="3447" t="e">
        <f t="shared" si="12"/>
        <v>#DIV/0!</v>
      </c>
      <c r="M98" s="3447" t="e">
        <f t="shared" si="12"/>
        <v>#DIV/0!</v>
      </c>
      <c r="N98" s="214">
        <f t="shared" si="13"/>
        <v>0</v>
      </c>
      <c r="O98" s="214">
        <f t="shared" si="14"/>
        <v>0</v>
      </c>
      <c r="P98" s="214">
        <f>IF(K98=0, 0, (HLOOKUP(K98,'[1]G-CESTDWO'!$A$5:$G$35,J98+1,FALSE)*R48))</f>
        <v>0</v>
      </c>
      <c r="Q98" s="214">
        <f>IF(K98=0, 0, (HLOOKUP(K98,'[1]G-CESTD'!$A$5:$G$35,J98+1,FALSE)*R48))</f>
        <v>0</v>
      </c>
      <c r="R98" s="279">
        <v>1.081</v>
      </c>
      <c r="S98" s="280">
        <f t="shared" si="17"/>
        <v>0</v>
      </c>
      <c r="T98" s="280">
        <f t="shared" si="17"/>
        <v>0</v>
      </c>
      <c r="U98" s="280">
        <f t="shared" si="17"/>
        <v>0</v>
      </c>
    </row>
    <row r="99" spans="2:21">
      <c r="B99" s="282"/>
      <c r="C99" s="282" t="s">
        <v>221</v>
      </c>
      <c r="D99" s="285">
        <v>0</v>
      </c>
      <c r="E99" s="282" t="s">
        <v>181</v>
      </c>
      <c r="F99" s="282" t="s">
        <v>186</v>
      </c>
      <c r="G99" s="283"/>
      <c r="H99" s="283"/>
      <c r="I99" s="311">
        <v>0</v>
      </c>
      <c r="J99" s="257"/>
      <c r="K99" s="257"/>
      <c r="L99" s="3447" t="e">
        <f t="shared" si="12"/>
        <v>#DIV/0!</v>
      </c>
      <c r="M99" s="3447" t="e">
        <f t="shared" si="12"/>
        <v>#DIV/0!</v>
      </c>
      <c r="N99" s="214">
        <f t="shared" si="13"/>
        <v>0</v>
      </c>
      <c r="O99" s="214">
        <f t="shared" si="14"/>
        <v>0</v>
      </c>
      <c r="P99" s="214">
        <f>IF(K99=0, 0, (HLOOKUP(K99,'[1]G-CESTDWO'!$A$5:$G$35,J99+1,FALSE)*R49))</f>
        <v>0</v>
      </c>
      <c r="Q99" s="214">
        <f>IF(K99=0, 0, (HLOOKUP(K99,'[1]G-CESTD'!$A$5:$G$35,J99+1,FALSE)*R49))</f>
        <v>0</v>
      </c>
      <c r="R99" s="279">
        <v>1.081</v>
      </c>
      <c r="S99" s="280">
        <f t="shared" si="17"/>
        <v>0</v>
      </c>
      <c r="T99" s="280">
        <f t="shared" si="17"/>
        <v>0</v>
      </c>
      <c r="U99" s="280">
        <f t="shared" si="17"/>
        <v>0</v>
      </c>
    </row>
    <row r="100" spans="2:21">
      <c r="B100" s="282"/>
      <c r="C100" s="282" t="s">
        <v>222</v>
      </c>
      <c r="D100" s="285">
        <v>0</v>
      </c>
      <c r="E100" s="282" t="s">
        <v>181</v>
      </c>
      <c r="F100" s="282" t="s">
        <v>186</v>
      </c>
      <c r="G100" s="283"/>
      <c r="H100" s="283"/>
      <c r="I100" s="311">
        <v>0</v>
      </c>
      <c r="J100" s="257"/>
      <c r="K100" s="257"/>
      <c r="L100" s="3447" t="e">
        <f t="shared" si="12"/>
        <v>#DIV/0!</v>
      </c>
      <c r="M100" s="3447" t="e">
        <f t="shared" si="12"/>
        <v>#DIV/0!</v>
      </c>
      <c r="N100" s="214">
        <f t="shared" si="13"/>
        <v>0</v>
      </c>
      <c r="O100" s="214">
        <f t="shared" si="14"/>
        <v>0</v>
      </c>
      <c r="P100" s="214">
        <f>IF(K100=0, 0, (HLOOKUP(K100,'[1]G-CESTDWO'!$A$5:$G$35,J100+1,FALSE)*R50))</f>
        <v>0</v>
      </c>
      <c r="Q100" s="214">
        <f>IF(K100=0, 0, (HLOOKUP(K100,'[1]G-CESTD'!$A$5:$G$35,J100+1,FALSE)*R50))</f>
        <v>0</v>
      </c>
      <c r="R100" s="279">
        <v>1.081</v>
      </c>
      <c r="S100" s="280">
        <f t="shared" si="17"/>
        <v>0</v>
      </c>
      <c r="T100" s="280">
        <f t="shared" si="17"/>
        <v>0</v>
      </c>
      <c r="U100" s="280">
        <f t="shared" si="17"/>
        <v>0</v>
      </c>
    </row>
    <row r="101" spans="2:21">
      <c r="B101" s="282"/>
      <c r="C101" s="282" t="s">
        <v>223</v>
      </c>
      <c r="D101" s="285">
        <v>0</v>
      </c>
      <c r="E101" s="282" t="s">
        <v>181</v>
      </c>
      <c r="F101" s="282" t="s">
        <v>186</v>
      </c>
      <c r="G101" s="283"/>
      <c r="H101" s="283"/>
      <c r="I101" s="311">
        <v>0</v>
      </c>
      <c r="J101" s="257"/>
      <c r="K101" s="257"/>
      <c r="L101" s="3447" t="e">
        <f t="shared" si="12"/>
        <v>#DIV/0!</v>
      </c>
      <c r="M101" s="3447" t="e">
        <f t="shared" si="12"/>
        <v>#DIV/0!</v>
      </c>
      <c r="N101" s="214">
        <f t="shared" si="13"/>
        <v>0</v>
      </c>
      <c r="O101" s="214">
        <f t="shared" si="14"/>
        <v>0</v>
      </c>
      <c r="P101" s="214">
        <f>IF(K101=0, 0, (HLOOKUP(K101,'[1]G-CESTDWO'!$A$5:$G$35,J101+1,FALSE)*R51))</f>
        <v>0</v>
      </c>
      <c r="Q101" s="214">
        <f>IF(K101=0, 0, (HLOOKUP(K101,'[1]G-CESTD'!$A$5:$G$35,J101+1,FALSE)*R51))</f>
        <v>0</v>
      </c>
      <c r="R101" s="279">
        <v>1.081</v>
      </c>
      <c r="S101" s="280">
        <f t="shared" si="17"/>
        <v>0</v>
      </c>
      <c r="T101" s="280">
        <f t="shared" si="17"/>
        <v>0</v>
      </c>
      <c r="U101" s="280">
        <f t="shared" si="17"/>
        <v>0</v>
      </c>
    </row>
    <row r="102" spans="2:21">
      <c r="B102" s="282"/>
      <c r="C102" s="282" t="s">
        <v>224</v>
      </c>
      <c r="D102" s="285">
        <v>0</v>
      </c>
      <c r="E102" s="282" t="s">
        <v>181</v>
      </c>
      <c r="F102" s="282" t="s">
        <v>186</v>
      </c>
      <c r="G102" s="283"/>
      <c r="H102" s="283"/>
      <c r="I102" s="311">
        <v>0</v>
      </c>
      <c r="J102" s="257"/>
      <c r="K102" s="257"/>
      <c r="L102" s="3447" t="e">
        <f t="shared" si="12"/>
        <v>#DIV/0!</v>
      </c>
      <c r="M102" s="3447" t="e">
        <f t="shared" si="12"/>
        <v>#DIV/0!</v>
      </c>
      <c r="N102" s="214">
        <f t="shared" si="13"/>
        <v>0</v>
      </c>
      <c r="O102" s="214">
        <f t="shared" si="14"/>
        <v>0</v>
      </c>
      <c r="P102" s="214">
        <f>IF(K102=0, 0, (HLOOKUP(K102,'[1]G-CESTDWO'!$A$5:$G$35,J102+1,FALSE)*R52))</f>
        <v>0</v>
      </c>
      <c r="Q102" s="214">
        <f>IF(K102=0, 0, (HLOOKUP(K102,'[1]G-CESTD'!$A$5:$G$35,J102+1,FALSE)*R52))</f>
        <v>0</v>
      </c>
      <c r="R102" s="279">
        <v>1.081</v>
      </c>
      <c r="S102" s="280">
        <f t="shared" si="17"/>
        <v>0</v>
      </c>
      <c r="T102" s="280">
        <f t="shared" si="17"/>
        <v>0</v>
      </c>
      <c r="U102" s="280">
        <f t="shared" si="17"/>
        <v>0</v>
      </c>
    </row>
    <row r="103" spans="2:21">
      <c r="B103" s="282"/>
      <c r="C103" s="282" t="s">
        <v>225</v>
      </c>
      <c r="D103" s="285">
        <v>0</v>
      </c>
      <c r="E103" s="282" t="s">
        <v>181</v>
      </c>
      <c r="F103" s="282" t="s">
        <v>186</v>
      </c>
      <c r="G103" s="283"/>
      <c r="H103" s="283"/>
      <c r="I103" s="311">
        <v>0</v>
      </c>
      <c r="J103" s="257"/>
      <c r="K103" s="257"/>
      <c r="L103" s="3447" t="e">
        <f t="shared" si="12"/>
        <v>#DIV/0!</v>
      </c>
      <c r="M103" s="3447" t="e">
        <f t="shared" si="12"/>
        <v>#DIV/0!</v>
      </c>
      <c r="N103" s="214">
        <f t="shared" si="13"/>
        <v>0</v>
      </c>
      <c r="O103" s="214">
        <f t="shared" si="14"/>
        <v>0</v>
      </c>
      <c r="P103" s="214">
        <f>IF(K103=0, 0, (HLOOKUP(K103,'[1]G-CESTDWO'!$A$5:$G$35,J103+1,FALSE)*R53))</f>
        <v>0</v>
      </c>
      <c r="Q103" s="214">
        <f>IF(K103=0, 0, (HLOOKUP(K103,'[1]G-CESTD'!$A$5:$G$35,J103+1,FALSE)*R53))</f>
        <v>0</v>
      </c>
      <c r="R103" s="279">
        <v>1.081</v>
      </c>
      <c r="S103" s="280">
        <f t="shared" si="17"/>
        <v>0</v>
      </c>
      <c r="T103" s="280">
        <f t="shared" si="17"/>
        <v>0</v>
      </c>
      <c r="U103" s="280">
        <f t="shared" si="17"/>
        <v>0</v>
      </c>
    </row>
    <row r="104" spans="2:21" ht="13.5" thickBot="1">
      <c r="B104" s="282"/>
      <c r="C104" s="282" t="s">
        <v>226</v>
      </c>
      <c r="D104" s="285">
        <v>0</v>
      </c>
      <c r="E104" s="282" t="s">
        <v>181</v>
      </c>
      <c r="F104" s="282" t="s">
        <v>186</v>
      </c>
      <c r="G104" s="283"/>
      <c r="H104" s="283"/>
      <c r="I104" s="311">
        <v>0</v>
      </c>
      <c r="J104" s="257"/>
      <c r="K104" s="257"/>
      <c r="L104" s="3447" t="e">
        <f t="shared" si="12"/>
        <v>#DIV/0!</v>
      </c>
      <c r="M104" s="3447" t="e">
        <f t="shared" si="12"/>
        <v>#DIV/0!</v>
      </c>
      <c r="N104" s="214">
        <f t="shared" si="13"/>
        <v>0</v>
      </c>
      <c r="O104" s="214">
        <f t="shared" si="14"/>
        <v>0</v>
      </c>
      <c r="P104" s="214">
        <f>IF(K104=0, 0, (HLOOKUP(K104,'[1]G-CESTDWO'!$A$5:$G$35,J104+1,FALSE)*R54))</f>
        <v>0</v>
      </c>
      <c r="Q104" s="214">
        <f>IF(K104=0, 0, (HLOOKUP(K104,'[1]G-CESTD'!$A$5:$G$35,J104+1,FALSE)*R54))</f>
        <v>0</v>
      </c>
      <c r="R104" s="279">
        <v>1.081</v>
      </c>
      <c r="S104" s="280">
        <f t="shared" si="17"/>
        <v>0</v>
      </c>
      <c r="T104" s="280">
        <f t="shared" si="17"/>
        <v>0</v>
      </c>
      <c r="U104" s="280">
        <f t="shared" si="17"/>
        <v>0</v>
      </c>
    </row>
    <row r="105" spans="2:21" ht="13.5" thickBot="1">
      <c r="G105" s="286">
        <f>SUMPRODUCT(G63:G104,O13:O54)</f>
        <v>0</v>
      </c>
      <c r="H105" s="287">
        <f>U105</f>
        <v>0</v>
      </c>
      <c r="I105" s="288">
        <f>SUM(I63:I104)</f>
        <v>0</v>
      </c>
      <c r="J105" s="289" t="e">
        <f>ROUND(SUMPRODUCT(J63:J104,R13:R54)/R55,0)</f>
        <v>#DIV/0!</v>
      </c>
      <c r="K105" s="264"/>
      <c r="L105" s="290" t="e">
        <f>P105/N105</f>
        <v>#DIV/0!</v>
      </c>
      <c r="M105" s="291" t="e">
        <f>Q105/O105</f>
        <v>#DIV/0!</v>
      </c>
      <c r="N105" s="297">
        <f>SUM(N63:N104)</f>
        <v>0</v>
      </c>
      <c r="O105" s="297">
        <f>SUM(O63:O104)</f>
        <v>0</v>
      </c>
      <c r="P105" s="297">
        <f>SUM(P63:P104)</f>
        <v>0</v>
      </c>
      <c r="Q105" s="297">
        <f>SUM(Q63:Q104)</f>
        <v>0</v>
      </c>
      <c r="R105" s="293">
        <v>1.081</v>
      </c>
      <c r="S105" s="294">
        <f>SUM(S63:S104)</f>
        <v>0</v>
      </c>
      <c r="T105" s="294">
        <f>SUM(T63:T104)</f>
        <v>0</v>
      </c>
      <c r="U105" s="294">
        <f>SUM(U63:U104)</f>
        <v>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 right="0.23" top="0.37" bottom="0.31"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 right="0.23" top="0.37" bottom="0.31" header="0.3" footer="0.3"/>
  <pageSetup paperSize="17" scale="53" orientation="landscape" r:id="rId2"/>
  <drawing r:id="rId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sheetPr enableFormatConditionsCalculation="0">
    <pageSetUpPr fitToPage="1"/>
  </sheetPr>
  <dimension ref="A1:X149"/>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140625" style="3064" customWidth="1"/>
    <col min="2" max="2" width="18.42578125" customWidth="1"/>
    <col min="3" max="3" width="38.42578125" customWidth="1"/>
    <col min="4" max="4" width="15.85546875" style="19" customWidth="1"/>
    <col min="5" max="5" width="15.85546875" customWidth="1"/>
    <col min="6" max="6" width="16.7109375" bestFit="1" customWidth="1"/>
    <col min="7" max="7" width="1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20.85546875" bestFit="1" customWidth="1"/>
    <col min="17" max="17" width="23.42578125" bestFit="1" customWidth="1"/>
    <col min="18" max="18" width="23.28515625" bestFit="1" customWidth="1"/>
    <col min="19" max="19" width="15.42578125" bestFit="1" customWidth="1"/>
    <col min="20" max="20" width="20.42578125" bestFit="1" customWidth="1"/>
    <col min="21" max="21" width="18.28515625"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0" customWidth="1"/>
    <col min="259" max="259" width="36.85546875" customWidth="1"/>
    <col min="260" max="260" width="19.7109375" bestFit="1" customWidth="1"/>
    <col min="261" max="261" width="21" customWidth="1"/>
    <col min="262" max="262" width="16.7109375" bestFit="1" customWidth="1"/>
    <col min="263" max="263" width="1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20.85546875" bestFit="1" customWidth="1"/>
    <col min="273" max="273" width="23.42578125" bestFit="1" customWidth="1"/>
    <col min="274" max="274" width="23.28515625" bestFit="1" customWidth="1"/>
    <col min="275" max="275" width="15.42578125" bestFit="1" customWidth="1"/>
    <col min="276" max="276" width="20.42578125" bestFit="1" customWidth="1"/>
    <col min="277" max="277" width="18.28515625"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0" customWidth="1"/>
    <col min="515" max="515" width="36.85546875" customWidth="1"/>
    <col min="516" max="516" width="19.7109375" bestFit="1" customWidth="1"/>
    <col min="517" max="517" width="21" customWidth="1"/>
    <col min="518" max="518" width="16.7109375" bestFit="1" customWidth="1"/>
    <col min="519" max="519" width="1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20.85546875" bestFit="1" customWidth="1"/>
    <col min="529" max="529" width="23.42578125" bestFit="1" customWidth="1"/>
    <col min="530" max="530" width="23.28515625" bestFit="1" customWidth="1"/>
    <col min="531" max="531" width="15.42578125" bestFit="1" customWidth="1"/>
    <col min="532" max="532" width="20.42578125" bestFit="1" customWidth="1"/>
    <col min="533" max="533" width="18.28515625"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0" customWidth="1"/>
    <col min="771" max="771" width="36.85546875" customWidth="1"/>
    <col min="772" max="772" width="19.7109375" bestFit="1" customWidth="1"/>
    <col min="773" max="773" width="21" customWidth="1"/>
    <col min="774" max="774" width="16.7109375" bestFit="1" customWidth="1"/>
    <col min="775" max="775" width="1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20.85546875" bestFit="1" customWidth="1"/>
    <col min="785" max="785" width="23.42578125" bestFit="1" customWidth="1"/>
    <col min="786" max="786" width="23.28515625" bestFit="1" customWidth="1"/>
    <col min="787" max="787" width="15.42578125" bestFit="1" customWidth="1"/>
    <col min="788" max="788" width="20.42578125" bestFit="1" customWidth="1"/>
    <col min="789" max="789" width="18.28515625"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0" customWidth="1"/>
    <col min="1027" max="1027" width="36.85546875" customWidth="1"/>
    <col min="1028" max="1028" width="19.7109375" bestFit="1" customWidth="1"/>
    <col min="1029" max="1029" width="21" customWidth="1"/>
    <col min="1030" max="1030" width="16.7109375" bestFit="1" customWidth="1"/>
    <col min="1031" max="1031" width="1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20.85546875" bestFit="1" customWidth="1"/>
    <col min="1041" max="1041" width="23.42578125" bestFit="1" customWidth="1"/>
    <col min="1042" max="1042" width="23.28515625" bestFit="1" customWidth="1"/>
    <col min="1043" max="1043" width="15.42578125" bestFit="1" customWidth="1"/>
    <col min="1044" max="1044" width="20.42578125" bestFit="1" customWidth="1"/>
    <col min="1045" max="1045" width="18.28515625"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0" customWidth="1"/>
    <col min="1283" max="1283" width="36.85546875" customWidth="1"/>
    <col min="1284" max="1284" width="19.7109375" bestFit="1" customWidth="1"/>
    <col min="1285" max="1285" width="21" customWidth="1"/>
    <col min="1286" max="1286" width="16.7109375" bestFit="1" customWidth="1"/>
    <col min="1287" max="1287" width="1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20.85546875" bestFit="1" customWidth="1"/>
    <col min="1297" max="1297" width="23.42578125" bestFit="1" customWidth="1"/>
    <col min="1298" max="1298" width="23.28515625" bestFit="1" customWidth="1"/>
    <col min="1299" max="1299" width="15.42578125" bestFit="1" customWidth="1"/>
    <col min="1300" max="1300" width="20.42578125" bestFit="1" customWidth="1"/>
    <col min="1301" max="1301" width="18.28515625"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0" customWidth="1"/>
    <col min="1539" max="1539" width="36.85546875" customWidth="1"/>
    <col min="1540" max="1540" width="19.7109375" bestFit="1" customWidth="1"/>
    <col min="1541" max="1541" width="21" customWidth="1"/>
    <col min="1542" max="1542" width="16.7109375" bestFit="1" customWidth="1"/>
    <col min="1543" max="1543" width="1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20.85546875" bestFit="1" customWidth="1"/>
    <col min="1553" max="1553" width="23.42578125" bestFit="1" customWidth="1"/>
    <col min="1554" max="1554" width="23.28515625" bestFit="1" customWidth="1"/>
    <col min="1555" max="1555" width="15.42578125" bestFit="1" customWidth="1"/>
    <col min="1556" max="1556" width="20.42578125" bestFit="1" customWidth="1"/>
    <col min="1557" max="1557" width="18.28515625"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0" customWidth="1"/>
    <col min="1795" max="1795" width="36.85546875" customWidth="1"/>
    <col min="1796" max="1796" width="19.7109375" bestFit="1" customWidth="1"/>
    <col min="1797" max="1797" width="21" customWidth="1"/>
    <col min="1798" max="1798" width="16.7109375" bestFit="1" customWidth="1"/>
    <col min="1799" max="1799" width="1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20.85546875" bestFit="1" customWidth="1"/>
    <col min="1809" max="1809" width="23.42578125" bestFit="1" customWidth="1"/>
    <col min="1810" max="1810" width="23.28515625" bestFit="1" customWidth="1"/>
    <col min="1811" max="1811" width="15.42578125" bestFit="1" customWidth="1"/>
    <col min="1812" max="1812" width="20.42578125" bestFit="1" customWidth="1"/>
    <col min="1813" max="1813" width="18.28515625"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0" customWidth="1"/>
    <col min="2051" max="2051" width="36.85546875" customWidth="1"/>
    <col min="2052" max="2052" width="19.7109375" bestFit="1" customWidth="1"/>
    <col min="2053" max="2053" width="21" customWidth="1"/>
    <col min="2054" max="2054" width="16.7109375" bestFit="1" customWidth="1"/>
    <col min="2055" max="2055" width="1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20.85546875" bestFit="1" customWidth="1"/>
    <col min="2065" max="2065" width="23.42578125" bestFit="1" customWidth="1"/>
    <col min="2066" max="2066" width="23.28515625" bestFit="1" customWidth="1"/>
    <col min="2067" max="2067" width="15.42578125" bestFit="1" customWidth="1"/>
    <col min="2068" max="2068" width="20.42578125" bestFit="1" customWidth="1"/>
    <col min="2069" max="2069" width="18.28515625"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0" customWidth="1"/>
    <col min="2307" max="2307" width="36.85546875" customWidth="1"/>
    <col min="2308" max="2308" width="19.7109375" bestFit="1" customWidth="1"/>
    <col min="2309" max="2309" width="21" customWidth="1"/>
    <col min="2310" max="2310" width="16.7109375" bestFit="1" customWidth="1"/>
    <col min="2311" max="2311" width="1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20.85546875" bestFit="1" customWidth="1"/>
    <col min="2321" max="2321" width="23.42578125" bestFit="1" customWidth="1"/>
    <col min="2322" max="2322" width="23.28515625" bestFit="1" customWidth="1"/>
    <col min="2323" max="2323" width="15.42578125" bestFit="1" customWidth="1"/>
    <col min="2324" max="2324" width="20.42578125" bestFit="1" customWidth="1"/>
    <col min="2325" max="2325" width="18.28515625"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0" customWidth="1"/>
    <col min="2563" max="2563" width="36.85546875" customWidth="1"/>
    <col min="2564" max="2564" width="19.7109375" bestFit="1" customWidth="1"/>
    <col min="2565" max="2565" width="21" customWidth="1"/>
    <col min="2566" max="2566" width="16.7109375" bestFit="1" customWidth="1"/>
    <col min="2567" max="2567" width="1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20.85546875" bestFit="1" customWidth="1"/>
    <col min="2577" max="2577" width="23.42578125" bestFit="1" customWidth="1"/>
    <col min="2578" max="2578" width="23.28515625" bestFit="1" customWidth="1"/>
    <col min="2579" max="2579" width="15.42578125" bestFit="1" customWidth="1"/>
    <col min="2580" max="2580" width="20.42578125" bestFit="1" customWidth="1"/>
    <col min="2581" max="2581" width="18.28515625"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0" customWidth="1"/>
    <col min="2819" max="2819" width="36.85546875" customWidth="1"/>
    <col min="2820" max="2820" width="19.7109375" bestFit="1" customWidth="1"/>
    <col min="2821" max="2821" width="21" customWidth="1"/>
    <col min="2822" max="2822" width="16.7109375" bestFit="1" customWidth="1"/>
    <col min="2823" max="2823" width="1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20.85546875" bestFit="1" customWidth="1"/>
    <col min="2833" max="2833" width="23.42578125" bestFit="1" customWidth="1"/>
    <col min="2834" max="2834" width="23.28515625" bestFit="1" customWidth="1"/>
    <col min="2835" max="2835" width="15.42578125" bestFit="1" customWidth="1"/>
    <col min="2836" max="2836" width="20.42578125" bestFit="1" customWidth="1"/>
    <col min="2837" max="2837" width="18.28515625"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0" customWidth="1"/>
    <col min="3075" max="3075" width="36.85546875" customWidth="1"/>
    <col min="3076" max="3076" width="19.7109375" bestFit="1" customWidth="1"/>
    <col min="3077" max="3077" width="21" customWidth="1"/>
    <col min="3078" max="3078" width="16.7109375" bestFit="1" customWidth="1"/>
    <col min="3079" max="3079" width="1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20.85546875" bestFit="1" customWidth="1"/>
    <col min="3089" max="3089" width="23.42578125" bestFit="1" customWidth="1"/>
    <col min="3090" max="3090" width="23.28515625" bestFit="1" customWidth="1"/>
    <col min="3091" max="3091" width="15.42578125" bestFit="1" customWidth="1"/>
    <col min="3092" max="3092" width="20.42578125" bestFit="1" customWidth="1"/>
    <col min="3093" max="3093" width="18.28515625"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0" customWidth="1"/>
    <col min="3331" max="3331" width="36.85546875" customWidth="1"/>
    <col min="3332" max="3332" width="19.7109375" bestFit="1" customWidth="1"/>
    <col min="3333" max="3333" width="21" customWidth="1"/>
    <col min="3334" max="3334" width="16.7109375" bestFit="1" customWidth="1"/>
    <col min="3335" max="3335" width="1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20.85546875" bestFit="1" customWidth="1"/>
    <col min="3345" max="3345" width="23.42578125" bestFit="1" customWidth="1"/>
    <col min="3346" max="3346" width="23.28515625" bestFit="1" customWidth="1"/>
    <col min="3347" max="3347" width="15.42578125" bestFit="1" customWidth="1"/>
    <col min="3348" max="3348" width="20.42578125" bestFit="1" customWidth="1"/>
    <col min="3349" max="3349" width="18.28515625"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0" customWidth="1"/>
    <col min="3587" max="3587" width="36.85546875" customWidth="1"/>
    <col min="3588" max="3588" width="19.7109375" bestFit="1" customWidth="1"/>
    <col min="3589" max="3589" width="21" customWidth="1"/>
    <col min="3590" max="3590" width="16.7109375" bestFit="1" customWidth="1"/>
    <col min="3591" max="3591" width="1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20.85546875" bestFit="1" customWidth="1"/>
    <col min="3601" max="3601" width="23.42578125" bestFit="1" customWidth="1"/>
    <col min="3602" max="3602" width="23.28515625" bestFit="1" customWidth="1"/>
    <col min="3603" max="3603" width="15.42578125" bestFit="1" customWidth="1"/>
    <col min="3604" max="3604" width="20.42578125" bestFit="1" customWidth="1"/>
    <col min="3605" max="3605" width="18.28515625"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0" customWidth="1"/>
    <col min="3843" max="3843" width="36.85546875" customWidth="1"/>
    <col min="3844" max="3844" width="19.7109375" bestFit="1" customWidth="1"/>
    <col min="3845" max="3845" width="21" customWidth="1"/>
    <col min="3846" max="3846" width="16.7109375" bestFit="1" customWidth="1"/>
    <col min="3847" max="3847" width="1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20.85546875" bestFit="1" customWidth="1"/>
    <col min="3857" max="3857" width="23.42578125" bestFit="1" customWidth="1"/>
    <col min="3858" max="3858" width="23.28515625" bestFit="1" customWidth="1"/>
    <col min="3859" max="3859" width="15.42578125" bestFit="1" customWidth="1"/>
    <col min="3860" max="3860" width="20.42578125" bestFit="1" customWidth="1"/>
    <col min="3861" max="3861" width="18.28515625"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0" customWidth="1"/>
    <col min="4099" max="4099" width="36.85546875" customWidth="1"/>
    <col min="4100" max="4100" width="19.7109375" bestFit="1" customWidth="1"/>
    <col min="4101" max="4101" width="21" customWidth="1"/>
    <col min="4102" max="4102" width="16.7109375" bestFit="1" customWidth="1"/>
    <col min="4103" max="4103" width="1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20.85546875" bestFit="1" customWidth="1"/>
    <col min="4113" max="4113" width="23.42578125" bestFit="1" customWidth="1"/>
    <col min="4114" max="4114" width="23.28515625" bestFit="1" customWidth="1"/>
    <col min="4115" max="4115" width="15.42578125" bestFit="1" customWidth="1"/>
    <col min="4116" max="4116" width="20.42578125" bestFit="1" customWidth="1"/>
    <col min="4117" max="4117" width="18.28515625"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0" customWidth="1"/>
    <col min="4355" max="4355" width="36.85546875" customWidth="1"/>
    <col min="4356" max="4356" width="19.7109375" bestFit="1" customWidth="1"/>
    <col min="4357" max="4357" width="21" customWidth="1"/>
    <col min="4358" max="4358" width="16.7109375" bestFit="1" customWidth="1"/>
    <col min="4359" max="4359" width="1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20.85546875" bestFit="1" customWidth="1"/>
    <col min="4369" max="4369" width="23.42578125" bestFit="1" customWidth="1"/>
    <col min="4370" max="4370" width="23.28515625" bestFit="1" customWidth="1"/>
    <col min="4371" max="4371" width="15.42578125" bestFit="1" customWidth="1"/>
    <col min="4372" max="4372" width="20.42578125" bestFit="1" customWidth="1"/>
    <col min="4373" max="4373" width="18.28515625"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0" customWidth="1"/>
    <col min="4611" max="4611" width="36.85546875" customWidth="1"/>
    <col min="4612" max="4612" width="19.7109375" bestFit="1" customWidth="1"/>
    <col min="4613" max="4613" width="21" customWidth="1"/>
    <col min="4614" max="4614" width="16.7109375" bestFit="1" customWidth="1"/>
    <col min="4615" max="4615" width="1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20.85546875" bestFit="1" customWidth="1"/>
    <col min="4625" max="4625" width="23.42578125" bestFit="1" customWidth="1"/>
    <col min="4626" max="4626" width="23.28515625" bestFit="1" customWidth="1"/>
    <col min="4627" max="4627" width="15.42578125" bestFit="1" customWidth="1"/>
    <col min="4628" max="4628" width="20.42578125" bestFit="1" customWidth="1"/>
    <col min="4629" max="4629" width="18.28515625"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0" customWidth="1"/>
    <col min="4867" max="4867" width="36.85546875" customWidth="1"/>
    <col min="4868" max="4868" width="19.7109375" bestFit="1" customWidth="1"/>
    <col min="4869" max="4869" width="21" customWidth="1"/>
    <col min="4870" max="4870" width="16.7109375" bestFit="1" customWidth="1"/>
    <col min="4871" max="4871" width="1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20.85546875" bestFit="1" customWidth="1"/>
    <col min="4881" max="4881" width="23.42578125" bestFit="1" customWidth="1"/>
    <col min="4882" max="4882" width="23.28515625" bestFit="1" customWidth="1"/>
    <col min="4883" max="4883" width="15.42578125" bestFit="1" customWidth="1"/>
    <col min="4884" max="4884" width="20.42578125" bestFit="1" customWidth="1"/>
    <col min="4885" max="4885" width="18.28515625"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0" customWidth="1"/>
    <col min="5123" max="5123" width="36.85546875" customWidth="1"/>
    <col min="5124" max="5124" width="19.7109375" bestFit="1" customWidth="1"/>
    <col min="5125" max="5125" width="21" customWidth="1"/>
    <col min="5126" max="5126" width="16.7109375" bestFit="1" customWidth="1"/>
    <col min="5127" max="5127" width="1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20.85546875" bestFit="1" customWidth="1"/>
    <col min="5137" max="5137" width="23.42578125" bestFit="1" customWidth="1"/>
    <col min="5138" max="5138" width="23.28515625" bestFit="1" customWidth="1"/>
    <col min="5139" max="5139" width="15.42578125" bestFit="1" customWidth="1"/>
    <col min="5140" max="5140" width="20.42578125" bestFit="1" customWidth="1"/>
    <col min="5141" max="5141" width="18.28515625"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0" customWidth="1"/>
    <col min="5379" max="5379" width="36.85546875" customWidth="1"/>
    <col min="5380" max="5380" width="19.7109375" bestFit="1" customWidth="1"/>
    <col min="5381" max="5381" width="21" customWidth="1"/>
    <col min="5382" max="5382" width="16.7109375" bestFit="1" customWidth="1"/>
    <col min="5383" max="5383" width="1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20.85546875" bestFit="1" customWidth="1"/>
    <col min="5393" max="5393" width="23.42578125" bestFit="1" customWidth="1"/>
    <col min="5394" max="5394" width="23.28515625" bestFit="1" customWidth="1"/>
    <col min="5395" max="5395" width="15.42578125" bestFit="1" customWidth="1"/>
    <col min="5396" max="5396" width="20.42578125" bestFit="1" customWidth="1"/>
    <col min="5397" max="5397" width="18.28515625"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0" customWidth="1"/>
    <col min="5635" max="5635" width="36.85546875" customWidth="1"/>
    <col min="5636" max="5636" width="19.7109375" bestFit="1" customWidth="1"/>
    <col min="5637" max="5637" width="21" customWidth="1"/>
    <col min="5638" max="5638" width="16.7109375" bestFit="1" customWidth="1"/>
    <col min="5639" max="5639" width="1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20.85546875" bestFit="1" customWidth="1"/>
    <col min="5649" max="5649" width="23.42578125" bestFit="1" customWidth="1"/>
    <col min="5650" max="5650" width="23.28515625" bestFit="1" customWidth="1"/>
    <col min="5651" max="5651" width="15.42578125" bestFit="1" customWidth="1"/>
    <col min="5652" max="5652" width="20.42578125" bestFit="1" customWidth="1"/>
    <col min="5653" max="5653" width="18.28515625"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0" customWidth="1"/>
    <col min="5891" max="5891" width="36.85546875" customWidth="1"/>
    <col min="5892" max="5892" width="19.7109375" bestFit="1" customWidth="1"/>
    <col min="5893" max="5893" width="21" customWidth="1"/>
    <col min="5894" max="5894" width="16.7109375" bestFit="1" customWidth="1"/>
    <col min="5895" max="5895" width="1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20.85546875" bestFit="1" customWidth="1"/>
    <col min="5905" max="5905" width="23.42578125" bestFit="1" customWidth="1"/>
    <col min="5906" max="5906" width="23.28515625" bestFit="1" customWidth="1"/>
    <col min="5907" max="5907" width="15.42578125" bestFit="1" customWidth="1"/>
    <col min="5908" max="5908" width="20.42578125" bestFit="1" customWidth="1"/>
    <col min="5909" max="5909" width="18.28515625"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0" customWidth="1"/>
    <col min="6147" max="6147" width="36.85546875" customWidth="1"/>
    <col min="6148" max="6148" width="19.7109375" bestFit="1" customWidth="1"/>
    <col min="6149" max="6149" width="21" customWidth="1"/>
    <col min="6150" max="6150" width="16.7109375" bestFit="1" customWidth="1"/>
    <col min="6151" max="6151" width="1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20.85546875" bestFit="1" customWidth="1"/>
    <col min="6161" max="6161" width="23.42578125" bestFit="1" customWidth="1"/>
    <col min="6162" max="6162" width="23.28515625" bestFit="1" customWidth="1"/>
    <col min="6163" max="6163" width="15.42578125" bestFit="1" customWidth="1"/>
    <col min="6164" max="6164" width="20.42578125" bestFit="1" customWidth="1"/>
    <col min="6165" max="6165" width="18.28515625"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0" customWidth="1"/>
    <col min="6403" max="6403" width="36.85546875" customWidth="1"/>
    <col min="6404" max="6404" width="19.7109375" bestFit="1" customWidth="1"/>
    <col min="6405" max="6405" width="21" customWidth="1"/>
    <col min="6406" max="6406" width="16.7109375" bestFit="1" customWidth="1"/>
    <col min="6407" max="6407" width="1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20.85546875" bestFit="1" customWidth="1"/>
    <col min="6417" max="6417" width="23.42578125" bestFit="1" customWidth="1"/>
    <col min="6418" max="6418" width="23.28515625" bestFit="1" customWidth="1"/>
    <col min="6419" max="6419" width="15.42578125" bestFit="1" customWidth="1"/>
    <col min="6420" max="6420" width="20.42578125" bestFit="1" customWidth="1"/>
    <col min="6421" max="6421" width="18.28515625"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0" customWidth="1"/>
    <col min="6659" max="6659" width="36.85546875" customWidth="1"/>
    <col min="6660" max="6660" width="19.7109375" bestFit="1" customWidth="1"/>
    <col min="6661" max="6661" width="21" customWidth="1"/>
    <col min="6662" max="6662" width="16.7109375" bestFit="1" customWidth="1"/>
    <col min="6663" max="6663" width="1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20.85546875" bestFit="1" customWidth="1"/>
    <col min="6673" max="6673" width="23.42578125" bestFit="1" customWidth="1"/>
    <col min="6674" max="6674" width="23.28515625" bestFit="1" customWidth="1"/>
    <col min="6675" max="6675" width="15.42578125" bestFit="1" customWidth="1"/>
    <col min="6676" max="6676" width="20.42578125" bestFit="1" customWidth="1"/>
    <col min="6677" max="6677" width="18.28515625"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0" customWidth="1"/>
    <col min="6915" max="6915" width="36.85546875" customWidth="1"/>
    <col min="6916" max="6916" width="19.7109375" bestFit="1" customWidth="1"/>
    <col min="6917" max="6917" width="21" customWidth="1"/>
    <col min="6918" max="6918" width="16.7109375" bestFit="1" customWidth="1"/>
    <col min="6919" max="6919" width="1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20.85546875" bestFit="1" customWidth="1"/>
    <col min="6929" max="6929" width="23.42578125" bestFit="1" customWidth="1"/>
    <col min="6930" max="6930" width="23.28515625" bestFit="1" customWidth="1"/>
    <col min="6931" max="6931" width="15.42578125" bestFit="1" customWidth="1"/>
    <col min="6932" max="6932" width="20.42578125" bestFit="1" customWidth="1"/>
    <col min="6933" max="6933" width="18.28515625"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0" customWidth="1"/>
    <col min="7171" max="7171" width="36.85546875" customWidth="1"/>
    <col min="7172" max="7172" width="19.7109375" bestFit="1" customWidth="1"/>
    <col min="7173" max="7173" width="21" customWidth="1"/>
    <col min="7174" max="7174" width="16.7109375" bestFit="1" customWidth="1"/>
    <col min="7175" max="7175" width="1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20.85546875" bestFit="1" customWidth="1"/>
    <col min="7185" max="7185" width="23.42578125" bestFit="1" customWidth="1"/>
    <col min="7186" max="7186" width="23.28515625" bestFit="1" customWidth="1"/>
    <col min="7187" max="7187" width="15.42578125" bestFit="1" customWidth="1"/>
    <col min="7188" max="7188" width="20.42578125" bestFit="1" customWidth="1"/>
    <col min="7189" max="7189" width="18.28515625"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0" customWidth="1"/>
    <col min="7427" max="7427" width="36.85546875" customWidth="1"/>
    <col min="7428" max="7428" width="19.7109375" bestFit="1" customWidth="1"/>
    <col min="7429" max="7429" width="21" customWidth="1"/>
    <col min="7430" max="7430" width="16.7109375" bestFit="1" customWidth="1"/>
    <col min="7431" max="7431" width="1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20.85546875" bestFit="1" customWidth="1"/>
    <col min="7441" max="7441" width="23.42578125" bestFit="1" customWidth="1"/>
    <col min="7442" max="7442" width="23.28515625" bestFit="1" customWidth="1"/>
    <col min="7443" max="7443" width="15.42578125" bestFit="1" customWidth="1"/>
    <col min="7444" max="7444" width="20.42578125" bestFit="1" customWidth="1"/>
    <col min="7445" max="7445" width="18.28515625"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0" customWidth="1"/>
    <col min="7683" max="7683" width="36.85546875" customWidth="1"/>
    <col min="7684" max="7684" width="19.7109375" bestFit="1" customWidth="1"/>
    <col min="7685" max="7685" width="21" customWidth="1"/>
    <col min="7686" max="7686" width="16.7109375" bestFit="1" customWidth="1"/>
    <col min="7687" max="7687" width="1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20.85546875" bestFit="1" customWidth="1"/>
    <col min="7697" max="7697" width="23.42578125" bestFit="1" customWidth="1"/>
    <col min="7698" max="7698" width="23.28515625" bestFit="1" customWidth="1"/>
    <col min="7699" max="7699" width="15.42578125" bestFit="1" customWidth="1"/>
    <col min="7700" max="7700" width="20.42578125" bestFit="1" customWidth="1"/>
    <col min="7701" max="7701" width="18.28515625"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0" customWidth="1"/>
    <col min="7939" max="7939" width="36.85546875" customWidth="1"/>
    <col min="7940" max="7940" width="19.7109375" bestFit="1" customWidth="1"/>
    <col min="7941" max="7941" width="21" customWidth="1"/>
    <col min="7942" max="7942" width="16.7109375" bestFit="1" customWidth="1"/>
    <col min="7943" max="7943" width="1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20.85546875" bestFit="1" customWidth="1"/>
    <col min="7953" max="7953" width="23.42578125" bestFit="1" customWidth="1"/>
    <col min="7954" max="7954" width="23.28515625" bestFit="1" customWidth="1"/>
    <col min="7955" max="7955" width="15.42578125" bestFit="1" customWidth="1"/>
    <col min="7956" max="7956" width="20.42578125" bestFit="1" customWidth="1"/>
    <col min="7957" max="7957" width="18.28515625"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0" customWidth="1"/>
    <col min="8195" max="8195" width="36.85546875" customWidth="1"/>
    <col min="8196" max="8196" width="19.7109375" bestFit="1" customWidth="1"/>
    <col min="8197" max="8197" width="21" customWidth="1"/>
    <col min="8198" max="8198" width="16.7109375" bestFit="1" customWidth="1"/>
    <col min="8199" max="8199" width="1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20.85546875" bestFit="1" customWidth="1"/>
    <col min="8209" max="8209" width="23.42578125" bestFit="1" customWidth="1"/>
    <col min="8210" max="8210" width="23.28515625" bestFit="1" customWidth="1"/>
    <col min="8211" max="8211" width="15.42578125" bestFit="1" customWidth="1"/>
    <col min="8212" max="8212" width="20.42578125" bestFit="1" customWidth="1"/>
    <col min="8213" max="8213" width="18.28515625"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0" customWidth="1"/>
    <col min="8451" max="8451" width="36.85546875" customWidth="1"/>
    <col min="8452" max="8452" width="19.7109375" bestFit="1" customWidth="1"/>
    <col min="8453" max="8453" width="21" customWidth="1"/>
    <col min="8454" max="8454" width="16.7109375" bestFit="1" customWidth="1"/>
    <col min="8455" max="8455" width="1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20.85546875" bestFit="1" customWidth="1"/>
    <col min="8465" max="8465" width="23.42578125" bestFit="1" customWidth="1"/>
    <col min="8466" max="8466" width="23.28515625" bestFit="1" customWidth="1"/>
    <col min="8467" max="8467" width="15.42578125" bestFit="1" customWidth="1"/>
    <col min="8468" max="8468" width="20.42578125" bestFit="1" customWidth="1"/>
    <col min="8469" max="8469" width="18.28515625"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0" customWidth="1"/>
    <col min="8707" max="8707" width="36.85546875" customWidth="1"/>
    <col min="8708" max="8708" width="19.7109375" bestFit="1" customWidth="1"/>
    <col min="8709" max="8709" width="21" customWidth="1"/>
    <col min="8710" max="8710" width="16.7109375" bestFit="1" customWidth="1"/>
    <col min="8711" max="8711" width="1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20.85546875" bestFit="1" customWidth="1"/>
    <col min="8721" max="8721" width="23.42578125" bestFit="1" customWidth="1"/>
    <col min="8722" max="8722" width="23.28515625" bestFit="1" customWidth="1"/>
    <col min="8723" max="8723" width="15.42578125" bestFit="1" customWidth="1"/>
    <col min="8724" max="8724" width="20.42578125" bestFit="1" customWidth="1"/>
    <col min="8725" max="8725" width="18.28515625"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0" customWidth="1"/>
    <col min="8963" max="8963" width="36.85546875" customWidth="1"/>
    <col min="8964" max="8964" width="19.7109375" bestFit="1" customWidth="1"/>
    <col min="8965" max="8965" width="21" customWidth="1"/>
    <col min="8966" max="8966" width="16.7109375" bestFit="1" customWidth="1"/>
    <col min="8967" max="8967" width="1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20.85546875" bestFit="1" customWidth="1"/>
    <col min="8977" max="8977" width="23.42578125" bestFit="1" customWidth="1"/>
    <col min="8978" max="8978" width="23.28515625" bestFit="1" customWidth="1"/>
    <col min="8979" max="8979" width="15.42578125" bestFit="1" customWidth="1"/>
    <col min="8980" max="8980" width="20.42578125" bestFit="1" customWidth="1"/>
    <col min="8981" max="8981" width="18.28515625"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0" customWidth="1"/>
    <col min="9219" max="9219" width="36.85546875" customWidth="1"/>
    <col min="9220" max="9220" width="19.7109375" bestFit="1" customWidth="1"/>
    <col min="9221" max="9221" width="21" customWidth="1"/>
    <col min="9222" max="9222" width="16.7109375" bestFit="1" customWidth="1"/>
    <col min="9223" max="9223" width="1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20.85546875" bestFit="1" customWidth="1"/>
    <col min="9233" max="9233" width="23.42578125" bestFit="1" customWidth="1"/>
    <col min="9234" max="9234" width="23.28515625" bestFit="1" customWidth="1"/>
    <col min="9235" max="9235" width="15.42578125" bestFit="1" customWidth="1"/>
    <col min="9236" max="9236" width="20.42578125" bestFit="1" customWidth="1"/>
    <col min="9237" max="9237" width="18.28515625"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0" customWidth="1"/>
    <col min="9475" max="9475" width="36.85546875" customWidth="1"/>
    <col min="9476" max="9476" width="19.7109375" bestFit="1" customWidth="1"/>
    <col min="9477" max="9477" width="21" customWidth="1"/>
    <col min="9478" max="9478" width="16.7109375" bestFit="1" customWidth="1"/>
    <col min="9479" max="9479" width="1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20.85546875" bestFit="1" customWidth="1"/>
    <col min="9489" max="9489" width="23.42578125" bestFit="1" customWidth="1"/>
    <col min="9490" max="9490" width="23.28515625" bestFit="1" customWidth="1"/>
    <col min="9491" max="9491" width="15.42578125" bestFit="1" customWidth="1"/>
    <col min="9492" max="9492" width="20.42578125" bestFit="1" customWidth="1"/>
    <col min="9493" max="9493" width="18.28515625"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0" customWidth="1"/>
    <col min="9731" max="9731" width="36.85546875" customWidth="1"/>
    <col min="9732" max="9732" width="19.7109375" bestFit="1" customWidth="1"/>
    <col min="9733" max="9733" width="21" customWidth="1"/>
    <col min="9734" max="9734" width="16.7109375" bestFit="1" customWidth="1"/>
    <col min="9735" max="9735" width="1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20.85546875" bestFit="1" customWidth="1"/>
    <col min="9745" max="9745" width="23.42578125" bestFit="1" customWidth="1"/>
    <col min="9746" max="9746" width="23.28515625" bestFit="1" customWidth="1"/>
    <col min="9747" max="9747" width="15.42578125" bestFit="1" customWidth="1"/>
    <col min="9748" max="9748" width="20.42578125" bestFit="1" customWidth="1"/>
    <col min="9749" max="9749" width="18.28515625"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0" customWidth="1"/>
    <col min="9987" max="9987" width="36.85546875" customWidth="1"/>
    <col min="9988" max="9988" width="19.7109375" bestFit="1" customWidth="1"/>
    <col min="9989" max="9989" width="21" customWidth="1"/>
    <col min="9990" max="9990" width="16.7109375" bestFit="1" customWidth="1"/>
    <col min="9991" max="9991" width="1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20.85546875" bestFit="1" customWidth="1"/>
    <col min="10001" max="10001" width="23.42578125" bestFit="1" customWidth="1"/>
    <col min="10002" max="10002" width="23.28515625" bestFit="1" customWidth="1"/>
    <col min="10003" max="10003" width="15.42578125" bestFit="1" customWidth="1"/>
    <col min="10004" max="10004" width="20.42578125" bestFit="1" customWidth="1"/>
    <col min="10005" max="10005" width="18.28515625"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0" customWidth="1"/>
    <col min="10243" max="10243" width="36.85546875" customWidth="1"/>
    <col min="10244" max="10244" width="19.7109375" bestFit="1" customWidth="1"/>
    <col min="10245" max="10245" width="21" customWidth="1"/>
    <col min="10246" max="10246" width="16.7109375" bestFit="1" customWidth="1"/>
    <col min="10247" max="10247" width="1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20.85546875" bestFit="1" customWidth="1"/>
    <col min="10257" max="10257" width="23.42578125" bestFit="1" customWidth="1"/>
    <col min="10258" max="10258" width="23.28515625" bestFit="1" customWidth="1"/>
    <col min="10259" max="10259" width="15.42578125" bestFit="1" customWidth="1"/>
    <col min="10260" max="10260" width="20.42578125" bestFit="1" customWidth="1"/>
    <col min="10261" max="10261" width="18.28515625"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0" customWidth="1"/>
    <col min="10499" max="10499" width="36.85546875" customWidth="1"/>
    <col min="10500" max="10500" width="19.7109375" bestFit="1" customWidth="1"/>
    <col min="10501" max="10501" width="21" customWidth="1"/>
    <col min="10502" max="10502" width="16.7109375" bestFit="1" customWidth="1"/>
    <col min="10503" max="10503" width="1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20.85546875" bestFit="1" customWidth="1"/>
    <col min="10513" max="10513" width="23.42578125" bestFit="1" customWidth="1"/>
    <col min="10514" max="10514" width="23.28515625" bestFit="1" customWidth="1"/>
    <col min="10515" max="10515" width="15.42578125" bestFit="1" customWidth="1"/>
    <col min="10516" max="10516" width="20.42578125" bestFit="1" customWidth="1"/>
    <col min="10517" max="10517" width="18.28515625"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0" customWidth="1"/>
    <col min="10755" max="10755" width="36.85546875" customWidth="1"/>
    <col min="10756" max="10756" width="19.7109375" bestFit="1" customWidth="1"/>
    <col min="10757" max="10757" width="21" customWidth="1"/>
    <col min="10758" max="10758" width="16.7109375" bestFit="1" customWidth="1"/>
    <col min="10759" max="10759" width="1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20.85546875" bestFit="1" customWidth="1"/>
    <col min="10769" max="10769" width="23.42578125" bestFit="1" customWidth="1"/>
    <col min="10770" max="10770" width="23.28515625" bestFit="1" customWidth="1"/>
    <col min="10771" max="10771" width="15.42578125" bestFit="1" customWidth="1"/>
    <col min="10772" max="10772" width="20.42578125" bestFit="1" customWidth="1"/>
    <col min="10773" max="10773" width="18.28515625"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0" customWidth="1"/>
    <col min="11011" max="11011" width="36.85546875" customWidth="1"/>
    <col min="11012" max="11012" width="19.7109375" bestFit="1" customWidth="1"/>
    <col min="11013" max="11013" width="21" customWidth="1"/>
    <col min="11014" max="11014" width="16.7109375" bestFit="1" customWidth="1"/>
    <col min="11015" max="11015" width="1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20.85546875" bestFit="1" customWidth="1"/>
    <col min="11025" max="11025" width="23.42578125" bestFit="1" customWidth="1"/>
    <col min="11026" max="11026" width="23.28515625" bestFit="1" customWidth="1"/>
    <col min="11027" max="11027" width="15.42578125" bestFit="1" customWidth="1"/>
    <col min="11028" max="11028" width="20.42578125" bestFit="1" customWidth="1"/>
    <col min="11029" max="11029" width="18.28515625"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0" customWidth="1"/>
    <col min="11267" max="11267" width="36.85546875" customWidth="1"/>
    <col min="11268" max="11268" width="19.7109375" bestFit="1" customWidth="1"/>
    <col min="11269" max="11269" width="21" customWidth="1"/>
    <col min="11270" max="11270" width="16.7109375" bestFit="1" customWidth="1"/>
    <col min="11271" max="11271" width="1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20.85546875" bestFit="1" customWidth="1"/>
    <col min="11281" max="11281" width="23.42578125" bestFit="1" customWidth="1"/>
    <col min="11282" max="11282" width="23.28515625" bestFit="1" customWidth="1"/>
    <col min="11283" max="11283" width="15.42578125" bestFit="1" customWidth="1"/>
    <col min="11284" max="11284" width="20.42578125" bestFit="1" customWidth="1"/>
    <col min="11285" max="11285" width="18.28515625"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0" customWidth="1"/>
    <col min="11523" max="11523" width="36.85546875" customWidth="1"/>
    <col min="11524" max="11524" width="19.7109375" bestFit="1" customWidth="1"/>
    <col min="11525" max="11525" width="21" customWidth="1"/>
    <col min="11526" max="11526" width="16.7109375" bestFit="1" customWidth="1"/>
    <col min="11527" max="11527" width="1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20.85546875" bestFit="1" customWidth="1"/>
    <col min="11537" max="11537" width="23.42578125" bestFit="1" customWidth="1"/>
    <col min="11538" max="11538" width="23.28515625" bestFit="1" customWidth="1"/>
    <col min="11539" max="11539" width="15.42578125" bestFit="1" customWidth="1"/>
    <col min="11540" max="11540" width="20.42578125" bestFit="1" customWidth="1"/>
    <col min="11541" max="11541" width="18.28515625"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0" customWidth="1"/>
    <col min="11779" max="11779" width="36.85546875" customWidth="1"/>
    <col min="11780" max="11780" width="19.7109375" bestFit="1" customWidth="1"/>
    <col min="11781" max="11781" width="21" customWidth="1"/>
    <col min="11782" max="11782" width="16.7109375" bestFit="1" customWidth="1"/>
    <col min="11783" max="11783" width="1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20.85546875" bestFit="1" customWidth="1"/>
    <col min="11793" max="11793" width="23.42578125" bestFit="1" customWidth="1"/>
    <col min="11794" max="11794" width="23.28515625" bestFit="1" customWidth="1"/>
    <col min="11795" max="11795" width="15.42578125" bestFit="1" customWidth="1"/>
    <col min="11796" max="11796" width="20.42578125" bestFit="1" customWidth="1"/>
    <col min="11797" max="11797" width="18.28515625"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0" customWidth="1"/>
    <col min="12035" max="12035" width="36.85546875" customWidth="1"/>
    <col min="12036" max="12036" width="19.7109375" bestFit="1" customWidth="1"/>
    <col min="12037" max="12037" width="21" customWidth="1"/>
    <col min="12038" max="12038" width="16.7109375" bestFit="1" customWidth="1"/>
    <col min="12039" max="12039" width="1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20.85546875" bestFit="1" customWidth="1"/>
    <col min="12049" max="12049" width="23.42578125" bestFit="1" customWidth="1"/>
    <col min="12050" max="12050" width="23.28515625" bestFit="1" customWidth="1"/>
    <col min="12051" max="12051" width="15.42578125" bestFit="1" customWidth="1"/>
    <col min="12052" max="12052" width="20.42578125" bestFit="1" customWidth="1"/>
    <col min="12053" max="12053" width="18.28515625"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0" customWidth="1"/>
    <col min="12291" max="12291" width="36.85546875" customWidth="1"/>
    <col min="12292" max="12292" width="19.7109375" bestFit="1" customWidth="1"/>
    <col min="12293" max="12293" width="21" customWidth="1"/>
    <col min="12294" max="12294" width="16.7109375" bestFit="1" customWidth="1"/>
    <col min="12295" max="12295" width="1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20.85546875" bestFit="1" customWidth="1"/>
    <col min="12305" max="12305" width="23.42578125" bestFit="1" customWidth="1"/>
    <col min="12306" max="12306" width="23.28515625" bestFit="1" customWidth="1"/>
    <col min="12307" max="12307" width="15.42578125" bestFit="1" customWidth="1"/>
    <col min="12308" max="12308" width="20.42578125" bestFit="1" customWidth="1"/>
    <col min="12309" max="12309" width="18.28515625"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0" customWidth="1"/>
    <col min="12547" max="12547" width="36.85546875" customWidth="1"/>
    <col min="12548" max="12548" width="19.7109375" bestFit="1" customWidth="1"/>
    <col min="12549" max="12549" width="21" customWidth="1"/>
    <col min="12550" max="12550" width="16.7109375" bestFit="1" customWidth="1"/>
    <col min="12551" max="12551" width="1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20.85546875" bestFit="1" customWidth="1"/>
    <col min="12561" max="12561" width="23.42578125" bestFit="1" customWidth="1"/>
    <col min="12562" max="12562" width="23.28515625" bestFit="1" customWidth="1"/>
    <col min="12563" max="12563" width="15.42578125" bestFit="1" customWidth="1"/>
    <col min="12564" max="12564" width="20.42578125" bestFit="1" customWidth="1"/>
    <col min="12565" max="12565" width="18.28515625"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0" customWidth="1"/>
    <col min="12803" max="12803" width="36.85546875" customWidth="1"/>
    <col min="12804" max="12804" width="19.7109375" bestFit="1" customWidth="1"/>
    <col min="12805" max="12805" width="21" customWidth="1"/>
    <col min="12806" max="12806" width="16.7109375" bestFit="1" customWidth="1"/>
    <col min="12807" max="12807" width="1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20.85546875" bestFit="1" customWidth="1"/>
    <col min="12817" max="12817" width="23.42578125" bestFit="1" customWidth="1"/>
    <col min="12818" max="12818" width="23.28515625" bestFit="1" customWidth="1"/>
    <col min="12819" max="12819" width="15.42578125" bestFit="1" customWidth="1"/>
    <col min="12820" max="12820" width="20.42578125" bestFit="1" customWidth="1"/>
    <col min="12821" max="12821" width="18.28515625"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0" customWidth="1"/>
    <col min="13059" max="13059" width="36.85546875" customWidth="1"/>
    <col min="13060" max="13060" width="19.7109375" bestFit="1" customWidth="1"/>
    <col min="13061" max="13061" width="21" customWidth="1"/>
    <col min="13062" max="13062" width="16.7109375" bestFit="1" customWidth="1"/>
    <col min="13063" max="13063" width="1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20.85546875" bestFit="1" customWidth="1"/>
    <col min="13073" max="13073" width="23.42578125" bestFit="1" customWidth="1"/>
    <col min="13074" max="13074" width="23.28515625" bestFit="1" customWidth="1"/>
    <col min="13075" max="13075" width="15.42578125" bestFit="1" customWidth="1"/>
    <col min="13076" max="13076" width="20.42578125" bestFit="1" customWidth="1"/>
    <col min="13077" max="13077" width="18.28515625"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0" customWidth="1"/>
    <col min="13315" max="13315" width="36.85546875" customWidth="1"/>
    <col min="13316" max="13316" width="19.7109375" bestFit="1" customWidth="1"/>
    <col min="13317" max="13317" width="21" customWidth="1"/>
    <col min="13318" max="13318" width="16.7109375" bestFit="1" customWidth="1"/>
    <col min="13319" max="13319" width="1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20.85546875" bestFit="1" customWidth="1"/>
    <col min="13329" max="13329" width="23.42578125" bestFit="1" customWidth="1"/>
    <col min="13330" max="13330" width="23.28515625" bestFit="1" customWidth="1"/>
    <col min="13331" max="13331" width="15.42578125" bestFit="1" customWidth="1"/>
    <col min="13332" max="13332" width="20.42578125" bestFit="1" customWidth="1"/>
    <col min="13333" max="13333" width="18.28515625"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0" customWidth="1"/>
    <col min="13571" max="13571" width="36.85546875" customWidth="1"/>
    <col min="13572" max="13572" width="19.7109375" bestFit="1" customWidth="1"/>
    <col min="13573" max="13573" width="21" customWidth="1"/>
    <col min="13574" max="13574" width="16.7109375" bestFit="1" customWidth="1"/>
    <col min="13575" max="13575" width="1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20.85546875" bestFit="1" customWidth="1"/>
    <col min="13585" max="13585" width="23.42578125" bestFit="1" customWidth="1"/>
    <col min="13586" max="13586" width="23.28515625" bestFit="1" customWidth="1"/>
    <col min="13587" max="13587" width="15.42578125" bestFit="1" customWidth="1"/>
    <col min="13588" max="13588" width="20.42578125" bestFit="1" customWidth="1"/>
    <col min="13589" max="13589" width="18.28515625"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0" customWidth="1"/>
    <col min="13827" max="13827" width="36.85546875" customWidth="1"/>
    <col min="13828" max="13828" width="19.7109375" bestFit="1" customWidth="1"/>
    <col min="13829" max="13829" width="21" customWidth="1"/>
    <col min="13830" max="13830" width="16.7109375" bestFit="1" customWidth="1"/>
    <col min="13831" max="13831" width="1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20.85546875" bestFit="1" customWidth="1"/>
    <col min="13841" max="13841" width="23.42578125" bestFit="1" customWidth="1"/>
    <col min="13842" max="13842" width="23.28515625" bestFit="1" customWidth="1"/>
    <col min="13843" max="13843" width="15.42578125" bestFit="1" customWidth="1"/>
    <col min="13844" max="13844" width="20.42578125" bestFit="1" customWidth="1"/>
    <col min="13845" max="13845" width="18.28515625"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0" customWidth="1"/>
    <col min="14083" max="14083" width="36.85546875" customWidth="1"/>
    <col min="14084" max="14084" width="19.7109375" bestFit="1" customWidth="1"/>
    <col min="14085" max="14085" width="21" customWidth="1"/>
    <col min="14086" max="14086" width="16.7109375" bestFit="1" customWidth="1"/>
    <col min="14087" max="14087" width="1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20.85546875" bestFit="1" customWidth="1"/>
    <col min="14097" max="14097" width="23.42578125" bestFit="1" customWidth="1"/>
    <col min="14098" max="14098" width="23.28515625" bestFit="1" customWidth="1"/>
    <col min="14099" max="14099" width="15.42578125" bestFit="1" customWidth="1"/>
    <col min="14100" max="14100" width="20.42578125" bestFit="1" customWidth="1"/>
    <col min="14101" max="14101" width="18.28515625"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0" customWidth="1"/>
    <col min="14339" max="14339" width="36.85546875" customWidth="1"/>
    <col min="14340" max="14340" width="19.7109375" bestFit="1" customWidth="1"/>
    <col min="14341" max="14341" width="21" customWidth="1"/>
    <col min="14342" max="14342" width="16.7109375" bestFit="1" customWidth="1"/>
    <col min="14343" max="14343" width="1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20.85546875" bestFit="1" customWidth="1"/>
    <col min="14353" max="14353" width="23.42578125" bestFit="1" customWidth="1"/>
    <col min="14354" max="14354" width="23.28515625" bestFit="1" customWidth="1"/>
    <col min="14355" max="14355" width="15.42578125" bestFit="1" customWidth="1"/>
    <col min="14356" max="14356" width="20.42578125" bestFit="1" customWidth="1"/>
    <col min="14357" max="14357" width="18.28515625"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0" customWidth="1"/>
    <col min="14595" max="14595" width="36.85546875" customWidth="1"/>
    <col min="14596" max="14596" width="19.7109375" bestFit="1" customWidth="1"/>
    <col min="14597" max="14597" width="21" customWidth="1"/>
    <col min="14598" max="14598" width="16.7109375" bestFit="1" customWidth="1"/>
    <col min="14599" max="14599" width="1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20.85546875" bestFit="1" customWidth="1"/>
    <col min="14609" max="14609" width="23.42578125" bestFit="1" customWidth="1"/>
    <col min="14610" max="14610" width="23.28515625" bestFit="1" customWidth="1"/>
    <col min="14611" max="14611" width="15.42578125" bestFit="1" customWidth="1"/>
    <col min="14612" max="14612" width="20.42578125" bestFit="1" customWidth="1"/>
    <col min="14613" max="14613" width="18.28515625"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0" customWidth="1"/>
    <col min="14851" max="14851" width="36.85546875" customWidth="1"/>
    <col min="14852" max="14852" width="19.7109375" bestFit="1" customWidth="1"/>
    <col min="14853" max="14853" width="21" customWidth="1"/>
    <col min="14854" max="14854" width="16.7109375" bestFit="1" customWidth="1"/>
    <col min="14855" max="14855" width="1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20.85546875" bestFit="1" customWidth="1"/>
    <col min="14865" max="14865" width="23.42578125" bestFit="1" customWidth="1"/>
    <col min="14866" max="14866" width="23.28515625" bestFit="1" customWidth="1"/>
    <col min="14867" max="14867" width="15.42578125" bestFit="1" customWidth="1"/>
    <col min="14868" max="14868" width="20.42578125" bestFit="1" customWidth="1"/>
    <col min="14869" max="14869" width="18.28515625"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0" customWidth="1"/>
    <col min="15107" max="15107" width="36.85546875" customWidth="1"/>
    <col min="15108" max="15108" width="19.7109375" bestFit="1" customWidth="1"/>
    <col min="15109" max="15109" width="21" customWidth="1"/>
    <col min="15110" max="15110" width="16.7109375" bestFit="1" customWidth="1"/>
    <col min="15111" max="15111" width="1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20.85546875" bestFit="1" customWidth="1"/>
    <col min="15121" max="15121" width="23.42578125" bestFit="1" customWidth="1"/>
    <col min="15122" max="15122" width="23.28515625" bestFit="1" customWidth="1"/>
    <col min="15123" max="15123" width="15.42578125" bestFit="1" customWidth="1"/>
    <col min="15124" max="15124" width="20.42578125" bestFit="1" customWidth="1"/>
    <col min="15125" max="15125" width="18.28515625"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0" customWidth="1"/>
    <col min="15363" max="15363" width="36.85546875" customWidth="1"/>
    <col min="15364" max="15364" width="19.7109375" bestFit="1" customWidth="1"/>
    <col min="15365" max="15365" width="21" customWidth="1"/>
    <col min="15366" max="15366" width="16.7109375" bestFit="1" customWidth="1"/>
    <col min="15367" max="15367" width="1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20.85546875" bestFit="1" customWidth="1"/>
    <col min="15377" max="15377" width="23.42578125" bestFit="1" customWidth="1"/>
    <col min="15378" max="15378" width="23.28515625" bestFit="1" customWidth="1"/>
    <col min="15379" max="15379" width="15.42578125" bestFit="1" customWidth="1"/>
    <col min="15380" max="15380" width="20.42578125" bestFit="1" customWidth="1"/>
    <col min="15381" max="15381" width="18.28515625"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0" customWidth="1"/>
    <col min="15619" max="15619" width="36.85546875" customWidth="1"/>
    <col min="15620" max="15620" width="19.7109375" bestFit="1" customWidth="1"/>
    <col min="15621" max="15621" width="21" customWidth="1"/>
    <col min="15622" max="15622" width="16.7109375" bestFit="1" customWidth="1"/>
    <col min="15623" max="15623" width="1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20.85546875" bestFit="1" customWidth="1"/>
    <col min="15633" max="15633" width="23.42578125" bestFit="1" customWidth="1"/>
    <col min="15634" max="15634" width="23.28515625" bestFit="1" customWidth="1"/>
    <col min="15635" max="15635" width="15.42578125" bestFit="1" customWidth="1"/>
    <col min="15636" max="15636" width="20.42578125" bestFit="1" customWidth="1"/>
    <col min="15637" max="15637" width="18.28515625"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0" customWidth="1"/>
    <col min="15875" max="15875" width="36.85546875" customWidth="1"/>
    <col min="15876" max="15876" width="19.7109375" bestFit="1" customWidth="1"/>
    <col min="15877" max="15877" width="21" customWidth="1"/>
    <col min="15878" max="15878" width="16.7109375" bestFit="1" customWidth="1"/>
    <col min="15879" max="15879" width="1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20.85546875" bestFit="1" customWidth="1"/>
    <col min="15889" max="15889" width="23.42578125" bestFit="1" customWidth="1"/>
    <col min="15890" max="15890" width="23.28515625" bestFit="1" customWidth="1"/>
    <col min="15891" max="15891" width="15.42578125" bestFit="1" customWidth="1"/>
    <col min="15892" max="15892" width="20.42578125" bestFit="1" customWidth="1"/>
    <col min="15893" max="15893" width="18.28515625"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0" customWidth="1"/>
    <col min="16131" max="16131" width="36.85546875" customWidth="1"/>
    <col min="16132" max="16132" width="19.7109375" bestFit="1" customWidth="1"/>
    <col min="16133" max="16133" width="21" customWidth="1"/>
    <col min="16134" max="16134" width="16.7109375" bestFit="1" customWidth="1"/>
    <col min="16135" max="16135" width="1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20.85546875" bestFit="1" customWidth="1"/>
    <col min="16145" max="16145" width="23.42578125" bestFit="1" customWidth="1"/>
    <col min="16146" max="16146" width="23.28515625" bestFit="1" customWidth="1"/>
    <col min="16147" max="16147" width="15.42578125" bestFit="1" customWidth="1"/>
    <col min="16148" max="16148" width="20.42578125" bestFit="1" customWidth="1"/>
    <col min="16149" max="16149" width="18.28515625"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461"/>
      <c r="F1" s="198"/>
      <c r="G1" s="198">
        <f>C3</f>
        <v>18230661</v>
      </c>
      <c r="H1" s="198" t="str">
        <f>C4</f>
        <v>Low Income Weatherization TG</v>
      </c>
      <c r="I1" s="198"/>
    </row>
    <row r="2" spans="2:22" ht="16.5" thickBot="1">
      <c r="B2" s="198" t="s">
        <v>109</v>
      </c>
      <c r="C2" s="3537" t="s">
        <v>1327</v>
      </c>
      <c r="G2" s="200" t="s">
        <v>8</v>
      </c>
      <c r="Q2" s="5133" t="s">
        <v>556</v>
      </c>
      <c r="R2" s="5133"/>
      <c r="S2" s="5124" t="s">
        <v>110</v>
      </c>
      <c r="T2" s="5125"/>
      <c r="U2" s="5126"/>
      <c r="V2" s="5118" t="s">
        <v>111</v>
      </c>
    </row>
    <row r="3" spans="2:22" ht="16.5" thickBot="1">
      <c r="B3" s="199" t="s">
        <v>6</v>
      </c>
      <c r="C3" s="199">
        <v>18230661</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573</v>
      </c>
      <c r="F4" s="198">
        <v>2011</v>
      </c>
      <c r="G4" s="206">
        <f>B13</f>
        <v>31825</v>
      </c>
      <c r="H4" s="207">
        <f>B18</f>
        <v>0</v>
      </c>
      <c r="I4" s="207">
        <f>B23</f>
        <v>20049</v>
      </c>
      <c r="J4" s="207">
        <f>B28</f>
        <v>550</v>
      </c>
      <c r="K4" s="207">
        <f>B33</f>
        <v>293</v>
      </c>
      <c r="L4" s="207">
        <f>B38</f>
        <v>5613</v>
      </c>
      <c r="M4" s="207">
        <f>B43</f>
        <v>300</v>
      </c>
      <c r="N4" s="207">
        <f>B48</f>
        <v>1878</v>
      </c>
      <c r="O4" s="207">
        <f>B53</f>
        <v>828873</v>
      </c>
      <c r="P4" s="207">
        <f>B54</f>
        <v>0</v>
      </c>
      <c r="Q4" s="209">
        <f>B55</f>
        <v>889381</v>
      </c>
      <c r="R4" s="355">
        <f>T73</f>
        <v>0</v>
      </c>
      <c r="S4" s="316">
        <f>O4/Q4</f>
        <v>0.93196616523177356</v>
      </c>
      <c r="T4" s="316">
        <f>(J4+(H4*1.63))/Q4</f>
        <v>6.1840763407358603E-4</v>
      </c>
      <c r="U4" s="316">
        <f>L4/Q4</f>
        <v>6.3111310001000695E-3</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P73</f>
        <v>0</v>
      </c>
      <c r="S5" s="317" t="e">
        <f>O5/Q5</f>
        <v>#DIV/0!</v>
      </c>
      <c r="T5" s="317" t="e">
        <f>(J5+(H5*1.63))/Q5</f>
        <v>#DIV/0!</v>
      </c>
      <c r="U5" s="317" t="e">
        <f>L5/Q5</f>
        <v>#DIV/0!</v>
      </c>
      <c r="V5" s="218" t="e">
        <f>Q5/R5</f>
        <v>#DIV/0!</v>
      </c>
    </row>
    <row r="6" spans="2:22" s="3532" customFormat="1" ht="16.5" thickBot="1">
      <c r="B6" s="3536"/>
      <c r="D6" s="3533"/>
      <c r="F6" s="4249" t="s">
        <v>1168</v>
      </c>
      <c r="G6" s="3547">
        <v>20610.539999999997</v>
      </c>
      <c r="H6" s="3548">
        <v>2214</v>
      </c>
      <c r="I6" s="3548">
        <v>14379.460199999998</v>
      </c>
      <c r="J6" s="3548">
        <v>1000</v>
      </c>
      <c r="K6" s="3548">
        <v>2400</v>
      </c>
      <c r="L6" s="3548">
        <v>4800</v>
      </c>
      <c r="M6" s="3548">
        <v>4038</v>
      </c>
      <c r="N6" s="3548">
        <v>297</v>
      </c>
      <c r="O6" s="3548">
        <v>467114.18749999994</v>
      </c>
      <c r="P6" s="3548">
        <v>0</v>
      </c>
      <c r="Q6" s="3549">
        <v>516853.18769999995</v>
      </c>
      <c r="R6" s="3610">
        <v>35686.26</v>
      </c>
      <c r="S6" s="3637">
        <v>0.90376570874731588</v>
      </c>
      <c r="T6" s="3637">
        <v>8.9170776338040568E-3</v>
      </c>
      <c r="U6" s="3637">
        <v>9.2869699060192153E-3</v>
      </c>
      <c r="V6" s="3498">
        <v>14.483254555114486</v>
      </c>
    </row>
    <row r="7" spans="2:22" ht="16.5" thickBot="1">
      <c r="C7" s="198" t="s">
        <v>341</v>
      </c>
      <c r="F7" s="4281" t="s">
        <v>1169</v>
      </c>
      <c r="G7" s="4195">
        <f>E13</f>
        <v>11670.14</v>
      </c>
      <c r="H7" s="4196">
        <f>E18</f>
        <v>1291.5</v>
      </c>
      <c r="I7" s="4196">
        <f>E23</f>
        <v>9163.8794799999996</v>
      </c>
      <c r="J7" s="4196">
        <f>E28</f>
        <v>350</v>
      </c>
      <c r="K7" s="4196">
        <f>E33</f>
        <v>504</v>
      </c>
      <c r="L7" s="4196">
        <f>E38</f>
        <v>1680</v>
      </c>
      <c r="M7" s="4196">
        <f>E43</f>
        <v>4038</v>
      </c>
      <c r="N7" s="4196">
        <f>E48</f>
        <v>308.62</v>
      </c>
      <c r="O7" s="4196">
        <f>E53</f>
        <v>272303</v>
      </c>
      <c r="P7" s="4196">
        <f>E54</f>
        <v>0</v>
      </c>
      <c r="Q7" s="4197">
        <f>SUM(G7:P7)</f>
        <v>301309.13948000001</v>
      </c>
      <c r="R7" s="4198">
        <f>Q73</f>
        <v>21178.5</v>
      </c>
      <c r="S7" s="317">
        <f>O7/Q7</f>
        <v>0.90373295834949163</v>
      </c>
      <c r="T7" s="317">
        <f>(J7+(H7*1.63))/Q7</f>
        <v>8.1482593068271832E-3</v>
      </c>
      <c r="U7" s="317">
        <f>L7/Q7</f>
        <v>5.5756689056938261E-3</v>
      </c>
      <c r="V7" s="218">
        <f>Q7/R7</f>
        <v>14.227123709422292</v>
      </c>
    </row>
    <row r="8" spans="2:22" ht="16.5" thickBot="1">
      <c r="C8" s="220" t="s">
        <v>342</v>
      </c>
      <c r="F8" s="3611" t="s">
        <v>1175</v>
      </c>
      <c r="G8" s="357">
        <f>SUM(G5+G7)</f>
        <v>11670.14</v>
      </c>
      <c r="H8" s="3612">
        <f t="shared" ref="H8:R8" si="0">SUM(H5+H7)</f>
        <v>1291.5</v>
      </c>
      <c r="I8" s="3612">
        <f t="shared" si="0"/>
        <v>9163.8794799999996</v>
      </c>
      <c r="J8" s="3612">
        <f t="shared" si="0"/>
        <v>350</v>
      </c>
      <c r="K8" s="3612">
        <f t="shared" si="0"/>
        <v>504</v>
      </c>
      <c r="L8" s="3612">
        <f t="shared" si="0"/>
        <v>1680</v>
      </c>
      <c r="M8" s="3612">
        <f t="shared" si="0"/>
        <v>4038</v>
      </c>
      <c r="N8" s="3612">
        <f t="shared" si="0"/>
        <v>308.62</v>
      </c>
      <c r="O8" s="3612">
        <f t="shared" si="0"/>
        <v>272303</v>
      </c>
      <c r="P8" s="3612">
        <f t="shared" si="0"/>
        <v>0</v>
      </c>
      <c r="Q8" s="3612">
        <f t="shared" si="0"/>
        <v>301309.13948000001</v>
      </c>
      <c r="R8" s="3610">
        <f t="shared" si="0"/>
        <v>21178.5</v>
      </c>
      <c r="S8" s="317">
        <f>O8/Q8</f>
        <v>0.90373295834949163</v>
      </c>
      <c r="T8" s="317">
        <f>(J8+(H8*1.63))/Q8</f>
        <v>8.1482593068271832E-3</v>
      </c>
      <c r="U8" s="317">
        <f>L8/Q8</f>
        <v>5.5756689056938261E-3</v>
      </c>
      <c r="V8" s="218">
        <f>Q8/R8</f>
        <v>14.227123709422292</v>
      </c>
    </row>
    <row r="10" spans="2:22" ht="20.25" customHeight="1" thickBot="1">
      <c r="C10" s="224" t="s">
        <v>118</v>
      </c>
      <c r="D10" s="5120" t="s">
        <v>119</v>
      </c>
      <c r="E10" s="5120"/>
      <c r="I10" s="5121" t="s">
        <v>120</v>
      </c>
      <c r="J10" s="5121"/>
      <c r="K10" s="5121"/>
      <c r="L10" s="5121"/>
      <c r="M10" s="5131" t="s">
        <v>119</v>
      </c>
      <c r="N10" s="5131"/>
      <c r="T10" s="3534"/>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31825</v>
      </c>
      <c r="C13" s="236" t="s">
        <v>138</v>
      </c>
      <c r="D13" s="237">
        <f>SUM(D14:D17)</f>
        <v>0</v>
      </c>
      <c r="E13" s="4468">
        <f>SUM(E14:E17)</f>
        <v>11670.14</v>
      </c>
      <c r="F13" s="238">
        <f>D13+E13</f>
        <v>11670.14</v>
      </c>
      <c r="H13" s="132"/>
      <c r="I13" s="239" t="str">
        <f t="shared" ref="I13:I72" si="1">C85</f>
        <v>Furnace Replacement (90% AFUE) - MF</v>
      </c>
      <c r="J13" s="240"/>
      <c r="K13" s="241"/>
      <c r="L13" s="360">
        <f t="shared" ref="L13:L72" si="2">D85</f>
        <v>66</v>
      </c>
      <c r="M13" s="4146">
        <v>0</v>
      </c>
      <c r="N13" s="3574">
        <v>1</v>
      </c>
      <c r="O13" s="244">
        <f>M13+N13</f>
        <v>1</v>
      </c>
      <c r="P13" s="361">
        <f t="shared" ref="P13:R28" si="3">M13*$D85</f>
        <v>0</v>
      </c>
      <c r="Q13" s="361">
        <f t="shared" si="3"/>
        <v>66</v>
      </c>
      <c r="R13" s="362">
        <f t="shared" si="3"/>
        <v>66</v>
      </c>
      <c r="T13" s="3066"/>
    </row>
    <row r="14" spans="2:22">
      <c r="B14" s="247"/>
      <c r="C14" s="248" t="s">
        <v>239</v>
      </c>
      <c r="D14" s="4147">
        <v>0</v>
      </c>
      <c r="E14" s="4453">
        <v>2003.8</v>
      </c>
      <c r="F14" s="249">
        <f>SUM(D14:E14)</f>
        <v>2003.8</v>
      </c>
      <c r="H14" s="132"/>
      <c r="I14" s="239" t="str">
        <f t="shared" si="1"/>
        <v>Furnace Replacement (90% AFUE) - MH</v>
      </c>
      <c r="J14" s="251"/>
      <c r="K14" s="252"/>
      <c r="L14" s="360">
        <f t="shared" si="2"/>
        <v>89</v>
      </c>
      <c r="M14" s="4146">
        <v>0</v>
      </c>
      <c r="N14" s="3574">
        <v>3</v>
      </c>
      <c r="O14" s="244">
        <f t="shared" ref="O14:O72" si="4">M14+N14</f>
        <v>3</v>
      </c>
      <c r="P14" s="361">
        <f t="shared" si="3"/>
        <v>0</v>
      </c>
      <c r="Q14" s="361">
        <f t="shared" si="3"/>
        <v>267</v>
      </c>
      <c r="R14" s="362">
        <f t="shared" si="3"/>
        <v>267</v>
      </c>
      <c r="T14" s="3066"/>
    </row>
    <row r="15" spans="2:22">
      <c r="B15" s="254"/>
      <c r="C15" s="255" t="s">
        <v>33</v>
      </c>
      <c r="D15" s="4147">
        <v>0</v>
      </c>
      <c r="E15" s="4453">
        <v>8015.21</v>
      </c>
      <c r="F15" s="249">
        <f t="shared" ref="F15:F25" si="5">SUM(D15:E15)</f>
        <v>8015.21</v>
      </c>
      <c r="H15" s="132"/>
      <c r="I15" s="239" t="str">
        <f t="shared" si="1"/>
        <v>Furnace Replacement (90% AFUE) - SF</v>
      </c>
      <c r="J15" s="251"/>
      <c r="K15" s="252"/>
      <c r="L15" s="360">
        <f t="shared" si="2"/>
        <v>89</v>
      </c>
      <c r="M15" s="4146">
        <v>0</v>
      </c>
      <c r="N15" s="3574">
        <v>3</v>
      </c>
      <c r="O15" s="244">
        <f t="shared" si="4"/>
        <v>3</v>
      </c>
      <c r="P15" s="361">
        <f t="shared" si="3"/>
        <v>0</v>
      </c>
      <c r="Q15" s="361">
        <f t="shared" si="3"/>
        <v>267</v>
      </c>
      <c r="R15" s="362">
        <f t="shared" si="3"/>
        <v>267</v>
      </c>
      <c r="T15" s="3066"/>
    </row>
    <row r="16" spans="2:22">
      <c r="B16" s="254"/>
      <c r="C16" s="255" t="s">
        <v>240</v>
      </c>
      <c r="D16" s="4147">
        <v>0</v>
      </c>
      <c r="E16" s="4453">
        <v>1651.13</v>
      </c>
      <c r="F16" s="249">
        <f t="shared" si="5"/>
        <v>1651.13</v>
      </c>
      <c r="H16" s="132"/>
      <c r="I16" s="239" t="str">
        <f t="shared" si="1"/>
        <v>Boiler Space Heat Replacement - MF</v>
      </c>
      <c r="J16" s="251"/>
      <c r="K16" s="252"/>
      <c r="L16" s="360">
        <f t="shared" si="2"/>
        <v>734</v>
      </c>
      <c r="M16" s="4146">
        <v>0</v>
      </c>
      <c r="N16" s="3574">
        <v>2</v>
      </c>
      <c r="O16" s="244">
        <f t="shared" si="4"/>
        <v>2</v>
      </c>
      <c r="P16" s="361">
        <f t="shared" si="3"/>
        <v>0</v>
      </c>
      <c r="Q16" s="361">
        <f t="shared" si="3"/>
        <v>1468</v>
      </c>
      <c r="R16" s="362">
        <f t="shared" si="3"/>
        <v>1468</v>
      </c>
      <c r="T16" s="3066"/>
    </row>
    <row r="17" spans="2:20" ht="13.5" thickBot="1">
      <c r="B17" s="254"/>
      <c r="C17" s="255" t="s">
        <v>557</v>
      </c>
      <c r="D17" s="249"/>
      <c r="E17" s="249"/>
      <c r="F17" s="249">
        <f t="shared" si="5"/>
        <v>0</v>
      </c>
      <c r="H17" s="132"/>
      <c r="I17" s="239" t="str">
        <f t="shared" si="1"/>
        <v>Boiler Water Heat Replacement - MF</v>
      </c>
      <c r="J17" s="251"/>
      <c r="K17" s="252"/>
      <c r="L17" s="360">
        <f t="shared" si="2"/>
        <v>1100</v>
      </c>
      <c r="M17" s="4146">
        <v>0</v>
      </c>
      <c r="N17" s="4537">
        <v>0</v>
      </c>
      <c r="O17" s="244">
        <f t="shared" si="4"/>
        <v>0</v>
      </c>
      <c r="P17" s="361">
        <f t="shared" si="3"/>
        <v>0</v>
      </c>
      <c r="Q17" s="361">
        <f t="shared" si="3"/>
        <v>0</v>
      </c>
      <c r="R17" s="362">
        <f t="shared" si="3"/>
        <v>0</v>
      </c>
      <c r="T17" s="3066"/>
    </row>
    <row r="18" spans="2:20" ht="13.5" thickBot="1">
      <c r="B18" s="262">
        <v>0</v>
      </c>
      <c r="C18" s="236" t="s">
        <v>143</v>
      </c>
      <c r="D18" s="237">
        <f>SUM(D19:D22)</f>
        <v>0</v>
      </c>
      <c r="E18" s="4468">
        <f>SUM(E19:E22)</f>
        <v>1291.5</v>
      </c>
      <c r="F18" s="238">
        <f>D18+E18</f>
        <v>1291.5</v>
      </c>
      <c r="H18" s="132"/>
      <c r="I18" s="239" t="str">
        <f t="shared" si="1"/>
        <v>Tankless Water Heater (.90 EF) - MF</v>
      </c>
      <c r="J18" s="251"/>
      <c r="K18" s="252"/>
      <c r="L18" s="360">
        <f t="shared" si="2"/>
        <v>93</v>
      </c>
      <c r="M18" s="4146">
        <v>0</v>
      </c>
      <c r="N18" s="4537">
        <v>0</v>
      </c>
      <c r="O18" s="244">
        <f t="shared" si="4"/>
        <v>0</v>
      </c>
      <c r="P18" s="361">
        <f t="shared" si="3"/>
        <v>0</v>
      </c>
      <c r="Q18" s="361">
        <f t="shared" si="3"/>
        <v>0</v>
      </c>
      <c r="R18" s="362">
        <f t="shared" si="3"/>
        <v>0</v>
      </c>
      <c r="T18" s="3066"/>
    </row>
    <row r="19" spans="2:20">
      <c r="B19" s="247"/>
      <c r="C19" s="248" t="s">
        <v>242</v>
      </c>
      <c r="D19" s="249">
        <v>0</v>
      </c>
      <c r="E19" s="4447">
        <v>1291.5</v>
      </c>
      <c r="F19" s="249">
        <f t="shared" si="5"/>
        <v>1291.5</v>
      </c>
      <c r="H19" s="132"/>
      <c r="I19" s="239" t="str">
        <f t="shared" si="1"/>
        <v>Tankless Water Heater (.90 EF) - MH</v>
      </c>
      <c r="J19" s="251"/>
      <c r="K19" s="252"/>
      <c r="L19" s="360">
        <f t="shared" si="2"/>
        <v>93</v>
      </c>
      <c r="M19" s="4146">
        <v>0</v>
      </c>
      <c r="N19" s="4537">
        <v>0</v>
      </c>
      <c r="O19" s="244">
        <f t="shared" si="4"/>
        <v>0</v>
      </c>
      <c r="P19" s="361">
        <f t="shared" si="3"/>
        <v>0</v>
      </c>
      <c r="Q19" s="361">
        <f t="shared" si="3"/>
        <v>0</v>
      </c>
      <c r="R19" s="362">
        <f t="shared" si="3"/>
        <v>0</v>
      </c>
      <c r="T19" s="3066"/>
    </row>
    <row r="20" spans="2:20">
      <c r="B20" s="254"/>
      <c r="C20" s="255" t="s">
        <v>140</v>
      </c>
      <c r="D20" s="256">
        <v>0</v>
      </c>
      <c r="E20" s="256"/>
      <c r="F20" s="249">
        <f t="shared" si="5"/>
        <v>0</v>
      </c>
      <c r="H20" s="132"/>
      <c r="I20" s="239" t="str">
        <f t="shared" si="1"/>
        <v>Tankless Water Heater (.90 EF) - SF</v>
      </c>
      <c r="J20" s="251"/>
      <c r="K20" s="252"/>
      <c r="L20" s="360">
        <f t="shared" si="2"/>
        <v>93</v>
      </c>
      <c r="M20" s="4146">
        <v>0</v>
      </c>
      <c r="N20" s="4537">
        <v>0</v>
      </c>
      <c r="O20" s="244">
        <f t="shared" si="4"/>
        <v>0</v>
      </c>
      <c r="P20" s="361">
        <f t="shared" si="3"/>
        <v>0</v>
      </c>
      <c r="Q20" s="361">
        <f t="shared" si="3"/>
        <v>0</v>
      </c>
      <c r="R20" s="362">
        <f t="shared" si="3"/>
        <v>0</v>
      </c>
      <c r="T20" s="3066"/>
    </row>
    <row r="21" spans="2:20">
      <c r="B21" s="254"/>
      <c r="C21" s="255" t="s">
        <v>141</v>
      </c>
      <c r="D21" s="258">
        <v>0</v>
      </c>
      <c r="E21" s="258"/>
      <c r="F21" s="249">
        <f t="shared" si="5"/>
        <v>0</v>
      </c>
      <c r="H21" s="132"/>
      <c r="I21" s="239" t="str">
        <f t="shared" si="1"/>
        <v>Water Heater (.67 EF) - MF</v>
      </c>
      <c r="J21" s="251"/>
      <c r="K21" s="252"/>
      <c r="L21" s="360">
        <f t="shared" si="2"/>
        <v>24</v>
      </c>
      <c r="M21" s="4146">
        <v>0</v>
      </c>
      <c r="N21" s="4537">
        <v>0</v>
      </c>
      <c r="O21" s="244">
        <f t="shared" si="4"/>
        <v>0</v>
      </c>
      <c r="P21" s="361">
        <f t="shared" si="3"/>
        <v>0</v>
      </c>
      <c r="Q21" s="361">
        <f t="shared" si="3"/>
        <v>0</v>
      </c>
      <c r="R21" s="362">
        <f t="shared" si="3"/>
        <v>0</v>
      </c>
      <c r="T21" s="3066"/>
    </row>
    <row r="22" spans="2:20" ht="13.5" thickBot="1">
      <c r="B22" s="254"/>
      <c r="C22" s="255" t="s">
        <v>142</v>
      </c>
      <c r="D22" s="258">
        <v>0</v>
      </c>
      <c r="E22" s="258"/>
      <c r="F22" s="249">
        <f t="shared" si="5"/>
        <v>0</v>
      </c>
      <c r="H22" s="132"/>
      <c r="I22" s="239" t="str">
        <f t="shared" si="1"/>
        <v>Water Heater (.67 EF) - MH</v>
      </c>
      <c r="J22" s="251"/>
      <c r="K22" s="252"/>
      <c r="L22" s="360">
        <f t="shared" si="2"/>
        <v>24</v>
      </c>
      <c r="M22" s="4146">
        <v>0</v>
      </c>
      <c r="N22" s="4537">
        <v>0</v>
      </c>
      <c r="O22" s="244">
        <f t="shared" si="4"/>
        <v>0</v>
      </c>
      <c r="P22" s="361">
        <f t="shared" si="3"/>
        <v>0</v>
      </c>
      <c r="Q22" s="361">
        <f t="shared" si="3"/>
        <v>0</v>
      </c>
      <c r="R22" s="362">
        <f t="shared" si="3"/>
        <v>0</v>
      </c>
      <c r="T22" s="3066"/>
    </row>
    <row r="23" spans="2:20" ht="13.5" thickBot="1">
      <c r="B23" s="262">
        <v>20049</v>
      </c>
      <c r="C23" s="236" t="s">
        <v>144</v>
      </c>
      <c r="D23" s="237">
        <f>SUM(D24:D27)</f>
        <v>0</v>
      </c>
      <c r="E23" s="237">
        <f>SUM(E24:E27)</f>
        <v>9163.8794799999996</v>
      </c>
      <c r="F23" s="238">
        <f>D23+E23</f>
        <v>9163.8794799999996</v>
      </c>
      <c r="G23" s="53"/>
      <c r="H23" s="132"/>
      <c r="I23" s="239" t="str">
        <f t="shared" si="1"/>
        <v>Water Heater (.67 EF) - SF</v>
      </c>
      <c r="J23" s="251"/>
      <c r="K23" s="252"/>
      <c r="L23" s="360">
        <f t="shared" si="2"/>
        <v>24</v>
      </c>
      <c r="M23" s="4146">
        <v>0</v>
      </c>
      <c r="N23" s="4537">
        <v>0</v>
      </c>
      <c r="O23" s="244">
        <f t="shared" si="4"/>
        <v>0</v>
      </c>
      <c r="P23" s="361">
        <f t="shared" si="3"/>
        <v>0</v>
      </c>
      <c r="Q23" s="361">
        <f t="shared" si="3"/>
        <v>0</v>
      </c>
      <c r="R23" s="362">
        <f t="shared" si="3"/>
        <v>0</v>
      </c>
      <c r="T23" s="3066"/>
    </row>
    <row r="24" spans="2:20">
      <c r="B24" s="247"/>
      <c r="C24" s="3566" t="s">
        <v>1434</v>
      </c>
      <c r="D24" s="249">
        <f>0.63*D13</f>
        <v>0</v>
      </c>
      <c r="E24" s="249">
        <f>0.707*E13</f>
        <v>8250.7889799999994</v>
      </c>
      <c r="F24" s="249">
        <f t="shared" si="5"/>
        <v>8250.7889799999994</v>
      </c>
      <c r="H24" s="132"/>
      <c r="I24" s="239" t="str">
        <f t="shared" si="1"/>
        <v>Insulation-Attic R0 to R38 - MF</v>
      </c>
      <c r="J24" s="251"/>
      <c r="K24" s="252"/>
      <c r="L24" s="360">
        <f t="shared" si="2"/>
        <v>0.09</v>
      </c>
      <c r="M24" s="4146">
        <v>0</v>
      </c>
      <c r="N24" s="4537">
        <v>500</v>
      </c>
      <c r="O24" s="244">
        <f t="shared" si="4"/>
        <v>500</v>
      </c>
      <c r="P24" s="361">
        <f t="shared" si="3"/>
        <v>0</v>
      </c>
      <c r="Q24" s="361">
        <f t="shared" si="3"/>
        <v>45</v>
      </c>
      <c r="R24" s="362">
        <f t="shared" si="3"/>
        <v>45</v>
      </c>
      <c r="T24" s="3066"/>
    </row>
    <row r="25" spans="2:20">
      <c r="B25" s="247"/>
      <c r="C25" s="3566" t="s">
        <v>1435</v>
      </c>
      <c r="D25" s="256">
        <v>0</v>
      </c>
      <c r="E25" s="256">
        <f>0.707*E18</f>
        <v>913.09049999999991</v>
      </c>
      <c r="F25" s="249">
        <f t="shared" si="5"/>
        <v>913.09049999999991</v>
      </c>
      <c r="H25" s="132"/>
      <c r="I25" s="239" t="str">
        <f t="shared" si="1"/>
        <v>Insulation-Attic R0 to R38 - SF</v>
      </c>
      <c r="J25" s="251"/>
      <c r="K25" s="252"/>
      <c r="L25" s="360">
        <f t="shared" si="2"/>
        <v>0.09</v>
      </c>
      <c r="M25" s="4146">
        <v>0</v>
      </c>
      <c r="N25" s="4537">
        <v>28430</v>
      </c>
      <c r="O25" s="244">
        <f t="shared" si="4"/>
        <v>28430</v>
      </c>
      <c r="P25" s="361">
        <f t="shared" si="3"/>
        <v>0</v>
      </c>
      <c r="Q25" s="361">
        <f t="shared" si="3"/>
        <v>2558.6999999999998</v>
      </c>
      <c r="R25" s="362">
        <f t="shared" si="3"/>
        <v>2558.6999999999998</v>
      </c>
      <c r="T25" s="3066"/>
    </row>
    <row r="26" spans="2:20">
      <c r="B26" s="254"/>
      <c r="C26" s="255"/>
      <c r="D26" s="258"/>
      <c r="E26" s="258"/>
      <c r="F26" s="258"/>
      <c r="H26" s="132"/>
      <c r="I26" s="239" t="str">
        <f t="shared" si="1"/>
        <v>Insulation-Attic R11 to R38 - MF</v>
      </c>
      <c r="J26" s="251"/>
      <c r="K26" s="252"/>
      <c r="L26" s="360">
        <f t="shared" si="2"/>
        <v>0.06</v>
      </c>
      <c r="M26" s="4146">
        <v>0</v>
      </c>
      <c r="N26" s="4537">
        <v>500</v>
      </c>
      <c r="O26" s="244">
        <f t="shared" si="4"/>
        <v>500</v>
      </c>
      <c r="P26" s="361">
        <f t="shared" si="3"/>
        <v>0</v>
      </c>
      <c r="Q26" s="361">
        <f t="shared" si="3"/>
        <v>30</v>
      </c>
      <c r="R26" s="362">
        <f t="shared" si="3"/>
        <v>30</v>
      </c>
      <c r="T26" s="3066"/>
    </row>
    <row r="27" spans="2:20" ht="13.5" thickBot="1">
      <c r="B27" s="254"/>
      <c r="C27" s="255"/>
      <c r="D27" s="258"/>
      <c r="E27" s="258"/>
      <c r="F27" s="258"/>
      <c r="H27" s="132"/>
      <c r="I27" s="239" t="str">
        <f t="shared" si="1"/>
        <v>Insulation-Attic R11 to R38 - SF</v>
      </c>
      <c r="J27" s="251"/>
      <c r="K27" s="252"/>
      <c r="L27" s="360">
        <f t="shared" si="2"/>
        <v>0.06</v>
      </c>
      <c r="M27" s="4146">
        <v>0</v>
      </c>
      <c r="N27" s="4537">
        <v>50000</v>
      </c>
      <c r="O27" s="244">
        <f t="shared" si="4"/>
        <v>50000</v>
      </c>
      <c r="P27" s="361">
        <f t="shared" si="3"/>
        <v>0</v>
      </c>
      <c r="Q27" s="361">
        <f t="shared" si="3"/>
        <v>3000</v>
      </c>
      <c r="R27" s="362">
        <f t="shared" si="3"/>
        <v>3000</v>
      </c>
      <c r="T27" s="3066"/>
    </row>
    <row r="28" spans="2:20" ht="13.5" thickBot="1">
      <c r="B28" s="262">
        <v>550</v>
      </c>
      <c r="C28" s="236" t="s">
        <v>145</v>
      </c>
      <c r="D28" s="237">
        <f>SUM(D29:D32)</f>
        <v>0</v>
      </c>
      <c r="E28" s="4468">
        <f>SUM(E29:E32)</f>
        <v>350</v>
      </c>
      <c r="F28" s="238">
        <f>D28+E28</f>
        <v>350</v>
      </c>
      <c r="H28" s="132"/>
      <c r="I28" s="239" t="str">
        <f t="shared" si="1"/>
        <v>Insulation-Attic R0 to R19 - MF</v>
      </c>
      <c r="J28" s="251"/>
      <c r="K28" s="252"/>
      <c r="L28" s="360">
        <f t="shared" si="2"/>
        <v>7.0000000000000007E-2</v>
      </c>
      <c r="M28" s="4146">
        <v>0</v>
      </c>
      <c r="N28" s="3574">
        <v>0</v>
      </c>
      <c r="O28" s="244">
        <f t="shared" si="4"/>
        <v>0</v>
      </c>
      <c r="P28" s="361">
        <f t="shared" si="3"/>
        <v>0</v>
      </c>
      <c r="Q28" s="361">
        <f t="shared" si="3"/>
        <v>0</v>
      </c>
      <c r="R28" s="362">
        <f t="shared" si="3"/>
        <v>0</v>
      </c>
      <c r="T28" s="3066"/>
    </row>
    <row r="29" spans="2:20">
      <c r="B29" s="247"/>
      <c r="C29" s="248" t="s">
        <v>62</v>
      </c>
      <c r="D29" s="249">
        <v>0</v>
      </c>
      <c r="E29" s="4447">
        <v>350</v>
      </c>
      <c r="F29" s="249">
        <f t="shared" ref="F29:F37" si="6">SUM(D29:E29)</f>
        <v>350</v>
      </c>
      <c r="H29" s="132"/>
      <c r="I29" s="239" t="str">
        <f t="shared" si="1"/>
        <v>Insulation-Attic R0 to R19 - SF</v>
      </c>
      <c r="J29" s="251"/>
      <c r="K29" s="252"/>
      <c r="L29" s="360">
        <f t="shared" si="2"/>
        <v>7.0000000000000007E-2</v>
      </c>
      <c r="M29" s="4146">
        <v>0</v>
      </c>
      <c r="N29" s="3574">
        <v>0</v>
      </c>
      <c r="O29" s="244">
        <f t="shared" si="4"/>
        <v>0</v>
      </c>
      <c r="P29" s="361">
        <f t="shared" ref="P29:R44" si="7">M29*$D101</f>
        <v>0</v>
      </c>
      <c r="Q29" s="361">
        <f t="shared" si="7"/>
        <v>0</v>
      </c>
      <c r="R29" s="362">
        <f t="shared" si="7"/>
        <v>0</v>
      </c>
      <c r="T29" s="3066"/>
    </row>
    <row r="30" spans="2:20">
      <c r="B30" s="254"/>
      <c r="C30" s="255" t="s">
        <v>140</v>
      </c>
      <c r="D30" s="256">
        <v>0</v>
      </c>
      <c r="E30" s="256"/>
      <c r="F30" s="249">
        <f t="shared" si="6"/>
        <v>0</v>
      </c>
      <c r="H30" s="132"/>
      <c r="I30" s="239" t="str">
        <f t="shared" si="1"/>
        <v>Insulation-Attic R19 to R38 - MF</v>
      </c>
      <c r="J30" s="251"/>
      <c r="K30" s="252"/>
      <c r="L30" s="360">
        <f t="shared" si="2"/>
        <v>0.02</v>
      </c>
      <c r="M30" s="4146">
        <v>0</v>
      </c>
      <c r="N30" s="3574">
        <v>0</v>
      </c>
      <c r="O30" s="244">
        <f t="shared" si="4"/>
        <v>0</v>
      </c>
      <c r="P30" s="361">
        <f t="shared" si="7"/>
        <v>0</v>
      </c>
      <c r="Q30" s="361">
        <f t="shared" si="7"/>
        <v>0</v>
      </c>
      <c r="R30" s="362">
        <f t="shared" si="7"/>
        <v>0</v>
      </c>
      <c r="T30" s="3066"/>
    </row>
    <row r="31" spans="2:20">
      <c r="B31" s="254"/>
      <c r="C31" s="255" t="s">
        <v>141</v>
      </c>
      <c r="D31" s="256">
        <v>0</v>
      </c>
      <c r="E31" s="256"/>
      <c r="F31" s="249">
        <f t="shared" si="6"/>
        <v>0</v>
      </c>
      <c r="H31" s="132"/>
      <c r="I31" s="239" t="str">
        <f t="shared" si="1"/>
        <v>Insulation-Attic R19 to R38 - SF</v>
      </c>
      <c r="J31" s="251"/>
      <c r="K31" s="252"/>
      <c r="L31" s="360">
        <f t="shared" si="2"/>
        <v>0.02</v>
      </c>
      <c r="M31" s="4146">
        <v>0</v>
      </c>
      <c r="N31" s="3574">
        <v>0</v>
      </c>
      <c r="O31" s="244">
        <f t="shared" si="4"/>
        <v>0</v>
      </c>
      <c r="P31" s="361">
        <f t="shared" si="7"/>
        <v>0</v>
      </c>
      <c r="Q31" s="361">
        <f t="shared" si="7"/>
        <v>0</v>
      </c>
      <c r="R31" s="362">
        <f t="shared" si="7"/>
        <v>0</v>
      </c>
      <c r="T31" s="3066"/>
    </row>
    <row r="32" spans="2:20" ht="13.5" thickBot="1">
      <c r="B32" s="254"/>
      <c r="C32" s="255" t="s">
        <v>142</v>
      </c>
      <c r="D32" s="256">
        <v>0</v>
      </c>
      <c r="E32" s="256"/>
      <c r="F32" s="249">
        <f t="shared" si="6"/>
        <v>0</v>
      </c>
      <c r="H32" s="132"/>
      <c r="I32" s="239" t="str">
        <f t="shared" si="1"/>
        <v>Insulation-Attic R0 to R49 - MF</v>
      </c>
      <c r="J32" s="251"/>
      <c r="K32" s="252"/>
      <c r="L32" s="360">
        <f t="shared" si="2"/>
        <v>0.1</v>
      </c>
      <c r="M32" s="4146">
        <v>0</v>
      </c>
      <c r="N32" s="3574">
        <v>0</v>
      </c>
      <c r="O32" s="244">
        <f t="shared" si="4"/>
        <v>0</v>
      </c>
      <c r="P32" s="361">
        <f t="shared" si="7"/>
        <v>0</v>
      </c>
      <c r="Q32" s="361">
        <f t="shared" si="7"/>
        <v>0</v>
      </c>
      <c r="R32" s="362">
        <f t="shared" si="7"/>
        <v>0</v>
      </c>
      <c r="T32" s="3066"/>
    </row>
    <row r="33" spans="2:20" ht="13.5" thickBot="1">
      <c r="B33" s="262">
        <v>293</v>
      </c>
      <c r="C33" s="236" t="s">
        <v>146</v>
      </c>
      <c r="D33" s="237">
        <f>SUM(D34:D37)</f>
        <v>0</v>
      </c>
      <c r="E33" s="4468">
        <f>SUM(E34:E37)</f>
        <v>504</v>
      </c>
      <c r="F33" s="238">
        <f>D33+E33</f>
        <v>504</v>
      </c>
      <c r="H33" s="132"/>
      <c r="I33" s="239" t="str">
        <f t="shared" si="1"/>
        <v>Insulation-Attic R0 to R49 - SF</v>
      </c>
      <c r="J33" s="251"/>
      <c r="K33" s="252"/>
      <c r="L33" s="360">
        <f t="shared" si="2"/>
        <v>0.1</v>
      </c>
      <c r="M33" s="4146">
        <v>0</v>
      </c>
      <c r="N33" s="3574">
        <v>0</v>
      </c>
      <c r="O33" s="244">
        <f t="shared" si="4"/>
        <v>0</v>
      </c>
      <c r="P33" s="361">
        <f t="shared" si="7"/>
        <v>0</v>
      </c>
      <c r="Q33" s="361">
        <f t="shared" si="7"/>
        <v>0</v>
      </c>
      <c r="R33" s="362">
        <f t="shared" si="7"/>
        <v>0</v>
      </c>
      <c r="T33" s="3066"/>
    </row>
    <row r="34" spans="2:20">
      <c r="B34" s="254"/>
      <c r="C34" s="255" t="s">
        <v>42</v>
      </c>
      <c r="D34" s="256">
        <v>0</v>
      </c>
      <c r="E34" s="4449">
        <v>252</v>
      </c>
      <c r="F34" s="249">
        <f t="shared" si="6"/>
        <v>252</v>
      </c>
      <c r="H34" s="132"/>
      <c r="I34" s="239" t="str">
        <f t="shared" si="1"/>
        <v>Insulation-Attic R0 to R30 - MH</v>
      </c>
      <c r="J34" s="251"/>
      <c r="K34" s="252"/>
      <c r="L34" s="360">
        <f t="shared" si="2"/>
        <v>0.04</v>
      </c>
      <c r="M34" s="4146">
        <v>0</v>
      </c>
      <c r="N34" s="4537">
        <v>5000</v>
      </c>
      <c r="O34" s="244">
        <f t="shared" si="4"/>
        <v>5000</v>
      </c>
      <c r="P34" s="361">
        <f t="shared" si="7"/>
        <v>0</v>
      </c>
      <c r="Q34" s="361">
        <f t="shared" si="7"/>
        <v>200</v>
      </c>
      <c r="R34" s="362">
        <f t="shared" si="7"/>
        <v>200</v>
      </c>
      <c r="T34" s="3066"/>
    </row>
    <row r="35" spans="2:20">
      <c r="B35" s="254"/>
      <c r="C35" s="255" t="s">
        <v>70</v>
      </c>
      <c r="D35" s="256">
        <v>0</v>
      </c>
      <c r="E35" s="4449">
        <v>252</v>
      </c>
      <c r="F35" s="249">
        <f t="shared" si="6"/>
        <v>252</v>
      </c>
      <c r="H35" s="132"/>
      <c r="I35" s="239" t="str">
        <f t="shared" si="1"/>
        <v>Insulation-Attic R0 to R33 - MH</v>
      </c>
      <c r="J35" s="251"/>
      <c r="K35" s="252"/>
      <c r="L35" s="360">
        <f t="shared" si="2"/>
        <v>0.1</v>
      </c>
      <c r="M35" s="4146">
        <v>0</v>
      </c>
      <c r="N35" s="3574">
        <v>0</v>
      </c>
      <c r="O35" s="244">
        <f t="shared" si="4"/>
        <v>0</v>
      </c>
      <c r="P35" s="361">
        <f t="shared" si="7"/>
        <v>0</v>
      </c>
      <c r="Q35" s="361">
        <f t="shared" si="7"/>
        <v>0</v>
      </c>
      <c r="R35" s="362">
        <f t="shared" si="7"/>
        <v>0</v>
      </c>
      <c r="T35" s="3066"/>
    </row>
    <row r="36" spans="2:20">
      <c r="B36" s="254"/>
      <c r="C36" s="255" t="s">
        <v>141</v>
      </c>
      <c r="D36" s="256">
        <v>0</v>
      </c>
      <c r="E36" s="256"/>
      <c r="F36" s="249">
        <f t="shared" si="6"/>
        <v>0</v>
      </c>
      <c r="H36" s="132"/>
      <c r="I36" s="239" t="str">
        <f t="shared" si="1"/>
        <v>Insulation-Attic R0 to R22 - MH</v>
      </c>
      <c r="J36" s="251"/>
      <c r="K36" s="252"/>
      <c r="L36" s="360">
        <f t="shared" si="2"/>
        <v>7.0000000000000007E-2</v>
      </c>
      <c r="M36" s="4146">
        <v>0</v>
      </c>
      <c r="N36" s="3574">
        <v>0</v>
      </c>
      <c r="O36" s="244">
        <f t="shared" si="4"/>
        <v>0</v>
      </c>
      <c r="P36" s="361">
        <f t="shared" si="7"/>
        <v>0</v>
      </c>
      <c r="Q36" s="361">
        <f t="shared" si="7"/>
        <v>0</v>
      </c>
      <c r="R36" s="362">
        <f t="shared" si="7"/>
        <v>0</v>
      </c>
      <c r="T36" s="3066"/>
    </row>
    <row r="37" spans="2:20" ht="13.5" thickBot="1">
      <c r="B37" s="254"/>
      <c r="C37" s="255" t="s">
        <v>142</v>
      </c>
      <c r="D37" s="256">
        <v>0</v>
      </c>
      <c r="E37" s="256"/>
      <c r="F37" s="249">
        <f t="shared" si="6"/>
        <v>0</v>
      </c>
      <c r="H37" s="132"/>
      <c r="I37" s="239" t="str">
        <f t="shared" si="1"/>
        <v>Insulation-Attic R11 to R33 - MH</v>
      </c>
      <c r="J37" s="251"/>
      <c r="K37" s="252"/>
      <c r="L37" s="360">
        <f t="shared" si="2"/>
        <v>0.05</v>
      </c>
      <c r="M37" s="4146">
        <v>0</v>
      </c>
      <c r="N37" s="3574">
        <v>0</v>
      </c>
      <c r="O37" s="244">
        <f t="shared" si="4"/>
        <v>0</v>
      </c>
      <c r="P37" s="361">
        <f t="shared" si="7"/>
        <v>0</v>
      </c>
      <c r="Q37" s="361">
        <f t="shared" si="7"/>
        <v>0</v>
      </c>
      <c r="R37" s="362">
        <f t="shared" si="7"/>
        <v>0</v>
      </c>
      <c r="T37" s="3066"/>
    </row>
    <row r="38" spans="2:20" ht="13.5" thickBot="1">
      <c r="B38" s="262">
        <v>5613</v>
      </c>
      <c r="C38" s="236" t="s">
        <v>147</v>
      </c>
      <c r="D38" s="237">
        <f>SUM(D39:D42)</f>
        <v>0</v>
      </c>
      <c r="E38" s="4468">
        <f>SUM(E39:E42)</f>
        <v>1680</v>
      </c>
      <c r="F38" s="238">
        <f>D38+E38</f>
        <v>1680</v>
      </c>
      <c r="H38" s="132"/>
      <c r="I38" s="239" t="str">
        <f t="shared" si="1"/>
        <v>Insulation-Duct R0 to R11 - MF</v>
      </c>
      <c r="J38" s="251"/>
      <c r="K38" s="260"/>
      <c r="L38" s="360">
        <f t="shared" si="2"/>
        <v>0.2</v>
      </c>
      <c r="M38" s="4146">
        <v>0</v>
      </c>
      <c r="N38" s="4537">
        <v>60</v>
      </c>
      <c r="O38" s="244">
        <f t="shared" si="4"/>
        <v>60</v>
      </c>
      <c r="P38" s="361">
        <f t="shared" si="7"/>
        <v>0</v>
      </c>
      <c r="Q38" s="361">
        <f t="shared" si="7"/>
        <v>12</v>
      </c>
      <c r="R38" s="362">
        <f t="shared" si="7"/>
        <v>12</v>
      </c>
      <c r="T38" s="3066"/>
    </row>
    <row r="39" spans="2:20">
      <c r="B39" s="254"/>
      <c r="C39" s="255" t="s">
        <v>243</v>
      </c>
      <c r="D39" s="256">
        <v>0</v>
      </c>
      <c r="E39" s="4449">
        <v>1680</v>
      </c>
      <c r="F39" s="249">
        <f t="shared" ref="F39:F52" si="8">SUM(D39:E39)</f>
        <v>1680</v>
      </c>
      <c r="H39" s="132"/>
      <c r="I39" s="239" t="str">
        <f t="shared" si="1"/>
        <v>Insulation-Duct R0 to R11 - SF</v>
      </c>
      <c r="J39" s="251"/>
      <c r="K39" s="260"/>
      <c r="L39" s="360">
        <f t="shared" si="2"/>
        <v>0.2</v>
      </c>
      <c r="M39" s="4146">
        <v>0</v>
      </c>
      <c r="N39" s="4537">
        <v>10000</v>
      </c>
      <c r="O39" s="244">
        <f t="shared" si="4"/>
        <v>10000</v>
      </c>
      <c r="P39" s="361">
        <f t="shared" si="7"/>
        <v>0</v>
      </c>
      <c r="Q39" s="361">
        <f t="shared" si="7"/>
        <v>2000</v>
      </c>
      <c r="R39" s="362">
        <f t="shared" si="7"/>
        <v>2000</v>
      </c>
      <c r="T39" s="3066"/>
    </row>
    <row r="40" spans="2:20">
      <c r="B40" s="254"/>
      <c r="C40" s="3572" t="s">
        <v>140</v>
      </c>
      <c r="D40" s="256"/>
      <c r="E40" s="256"/>
      <c r="F40" s="249">
        <f t="shared" si="8"/>
        <v>0</v>
      </c>
      <c r="H40" s="132"/>
      <c r="I40" s="239" t="str">
        <f t="shared" si="1"/>
        <v>Insulation-Floor R0 to R19 - MF</v>
      </c>
      <c r="J40" s="251"/>
      <c r="K40" s="260"/>
      <c r="L40" s="360">
        <f t="shared" si="2"/>
        <v>0.04</v>
      </c>
      <c r="M40" s="4146">
        <v>0</v>
      </c>
      <c r="N40" s="3574">
        <v>0</v>
      </c>
      <c r="O40" s="244">
        <f t="shared" si="4"/>
        <v>0</v>
      </c>
      <c r="P40" s="361">
        <f t="shared" si="7"/>
        <v>0</v>
      </c>
      <c r="Q40" s="361">
        <f t="shared" si="7"/>
        <v>0</v>
      </c>
      <c r="R40" s="362">
        <f t="shared" si="7"/>
        <v>0</v>
      </c>
      <c r="T40" s="3066"/>
    </row>
    <row r="41" spans="2:20">
      <c r="B41" s="254"/>
      <c r="C41" s="255" t="s">
        <v>141</v>
      </c>
      <c r="D41" s="256">
        <v>0</v>
      </c>
      <c r="E41" s="256"/>
      <c r="F41" s="249">
        <f t="shared" si="8"/>
        <v>0</v>
      </c>
      <c r="H41" s="132"/>
      <c r="I41" s="239" t="str">
        <f t="shared" si="1"/>
        <v>Insulation-Floor R0 to R19 - SF</v>
      </c>
      <c r="J41" s="251"/>
      <c r="K41" s="260"/>
      <c r="L41" s="360">
        <f t="shared" si="2"/>
        <v>0.04</v>
      </c>
      <c r="M41" s="4146">
        <v>0</v>
      </c>
      <c r="N41" s="3574">
        <v>0</v>
      </c>
      <c r="O41" s="244">
        <f t="shared" si="4"/>
        <v>0</v>
      </c>
      <c r="P41" s="361">
        <f t="shared" si="7"/>
        <v>0</v>
      </c>
      <c r="Q41" s="361">
        <f t="shared" si="7"/>
        <v>0</v>
      </c>
      <c r="R41" s="362">
        <f t="shared" si="7"/>
        <v>0</v>
      </c>
      <c r="T41" s="3066"/>
    </row>
    <row r="42" spans="2:20" ht="13.5" thickBot="1">
      <c r="B42" s="254"/>
      <c r="C42" s="255" t="s">
        <v>142</v>
      </c>
      <c r="D42" s="256">
        <v>0</v>
      </c>
      <c r="E42" s="256"/>
      <c r="F42" s="249">
        <f t="shared" si="8"/>
        <v>0</v>
      </c>
      <c r="H42" s="132"/>
      <c r="I42" s="239" t="str">
        <f t="shared" si="1"/>
        <v>Insulation-Floor R0 to R30 - MF</v>
      </c>
      <c r="J42" s="251"/>
      <c r="K42" s="260"/>
      <c r="L42" s="360">
        <f t="shared" si="2"/>
        <v>0.06</v>
      </c>
      <c r="M42" s="4146">
        <v>0</v>
      </c>
      <c r="N42" s="4537">
        <v>500</v>
      </c>
      <c r="O42" s="244">
        <f t="shared" si="4"/>
        <v>500</v>
      </c>
      <c r="P42" s="361">
        <f t="shared" si="7"/>
        <v>0</v>
      </c>
      <c r="Q42" s="361">
        <f t="shared" si="7"/>
        <v>30</v>
      </c>
      <c r="R42" s="362">
        <f t="shared" si="7"/>
        <v>30</v>
      </c>
      <c r="T42" s="3066"/>
    </row>
    <row r="43" spans="2:20" ht="13.5" thickBot="1">
      <c r="B43" s="262">
        <v>300</v>
      </c>
      <c r="C43" s="236" t="s">
        <v>148</v>
      </c>
      <c r="D43" s="237">
        <f>SUM(D44:D47)</f>
        <v>0</v>
      </c>
      <c r="E43" s="237">
        <f>SUM(E44:E47)</f>
        <v>4038</v>
      </c>
      <c r="F43" s="238">
        <f>D43+E43</f>
        <v>4038</v>
      </c>
      <c r="H43" s="132"/>
      <c r="I43" s="239" t="str">
        <f t="shared" si="1"/>
        <v>Insulation-Floor R0 to R30 - MH</v>
      </c>
      <c r="J43" s="251"/>
      <c r="K43" s="260"/>
      <c r="L43" s="360">
        <f t="shared" si="2"/>
        <v>0.06</v>
      </c>
      <c r="M43" s="4146">
        <v>0</v>
      </c>
      <c r="N43" s="4537">
        <v>500</v>
      </c>
      <c r="O43" s="244">
        <f t="shared" si="4"/>
        <v>500</v>
      </c>
      <c r="P43" s="361">
        <f t="shared" si="7"/>
        <v>0</v>
      </c>
      <c r="Q43" s="361">
        <f t="shared" si="7"/>
        <v>30</v>
      </c>
      <c r="R43" s="362">
        <f t="shared" si="7"/>
        <v>30</v>
      </c>
      <c r="T43" s="3066"/>
    </row>
    <row r="44" spans="2:20">
      <c r="B44" s="254"/>
      <c r="C44" s="255" t="s">
        <v>245</v>
      </c>
      <c r="D44" s="256">
        <v>0</v>
      </c>
      <c r="E44" s="256">
        <v>4038</v>
      </c>
      <c r="F44" s="249">
        <f t="shared" si="8"/>
        <v>4038</v>
      </c>
      <c r="H44" s="132"/>
      <c r="I44" s="239" t="str">
        <f t="shared" si="1"/>
        <v>Insulation-Floor R0 to R30 - SF</v>
      </c>
      <c r="J44" s="251"/>
      <c r="K44" s="260"/>
      <c r="L44" s="360">
        <f t="shared" si="2"/>
        <v>0.06</v>
      </c>
      <c r="M44" s="4146">
        <v>0</v>
      </c>
      <c r="N44" s="4537">
        <v>15000</v>
      </c>
      <c r="O44" s="244">
        <f t="shared" si="4"/>
        <v>15000</v>
      </c>
      <c r="P44" s="361">
        <f t="shared" si="7"/>
        <v>0</v>
      </c>
      <c r="Q44" s="361">
        <f t="shared" si="7"/>
        <v>900</v>
      </c>
      <c r="R44" s="362">
        <f t="shared" si="7"/>
        <v>900</v>
      </c>
      <c r="T44" s="3066"/>
    </row>
    <row r="45" spans="2:20">
      <c r="B45" s="254"/>
      <c r="C45" s="255" t="s">
        <v>140</v>
      </c>
      <c r="D45" s="256">
        <v>0</v>
      </c>
      <c r="E45" s="256"/>
      <c r="F45" s="249">
        <f t="shared" si="8"/>
        <v>0</v>
      </c>
      <c r="H45" s="132"/>
      <c r="I45" s="239" t="str">
        <f t="shared" si="1"/>
        <v>Insulation-Floor R11 to R30 - MF</v>
      </c>
      <c r="J45" s="251"/>
      <c r="K45" s="260"/>
      <c r="L45" s="360">
        <f t="shared" si="2"/>
        <v>0.03</v>
      </c>
      <c r="M45" s="4146">
        <v>0</v>
      </c>
      <c r="N45" s="3574">
        <v>0</v>
      </c>
      <c r="O45" s="244">
        <f t="shared" si="4"/>
        <v>0</v>
      </c>
      <c r="P45" s="361">
        <f t="shared" ref="P45:R60" si="9">M45*$D117</f>
        <v>0</v>
      </c>
      <c r="Q45" s="361">
        <f t="shared" si="9"/>
        <v>0</v>
      </c>
      <c r="R45" s="362">
        <f t="shared" si="9"/>
        <v>0</v>
      </c>
      <c r="T45" s="3066"/>
    </row>
    <row r="46" spans="2:20">
      <c r="B46" s="254"/>
      <c r="C46" s="255" t="s">
        <v>141</v>
      </c>
      <c r="D46" s="256">
        <v>0</v>
      </c>
      <c r="E46" s="256"/>
      <c r="F46" s="249">
        <f t="shared" si="8"/>
        <v>0</v>
      </c>
      <c r="H46" s="132"/>
      <c r="I46" s="239" t="str">
        <f t="shared" si="1"/>
        <v>Insulation-Floor R11 to R30 - SF</v>
      </c>
      <c r="J46" s="251"/>
      <c r="K46" s="260"/>
      <c r="L46" s="360">
        <f t="shared" si="2"/>
        <v>0.05</v>
      </c>
      <c r="M46" s="4146">
        <v>0</v>
      </c>
      <c r="N46" s="3574">
        <v>0</v>
      </c>
      <c r="O46" s="244">
        <f t="shared" si="4"/>
        <v>0</v>
      </c>
      <c r="P46" s="361">
        <f t="shared" si="9"/>
        <v>0</v>
      </c>
      <c r="Q46" s="361">
        <f t="shared" si="9"/>
        <v>0</v>
      </c>
      <c r="R46" s="362">
        <f t="shared" si="9"/>
        <v>0</v>
      </c>
      <c r="T46" s="3066"/>
    </row>
    <row r="47" spans="2:20" ht="13.5" thickBot="1">
      <c r="B47" s="254"/>
      <c r="C47" s="255" t="s">
        <v>142</v>
      </c>
      <c r="D47" s="256">
        <v>0</v>
      </c>
      <c r="E47" s="256"/>
      <c r="F47" s="249">
        <f t="shared" si="8"/>
        <v>0</v>
      </c>
      <c r="H47" s="132"/>
      <c r="I47" s="239" t="str">
        <f t="shared" si="1"/>
        <v>Insulation-Floor R0 to R22 - MH</v>
      </c>
      <c r="J47" s="251"/>
      <c r="K47" s="260"/>
      <c r="L47" s="360">
        <f t="shared" si="2"/>
        <v>0.04</v>
      </c>
      <c r="M47" s="4146">
        <v>0</v>
      </c>
      <c r="N47" s="4537">
        <v>1000</v>
      </c>
      <c r="O47" s="244">
        <f t="shared" si="4"/>
        <v>1000</v>
      </c>
      <c r="P47" s="361">
        <f t="shared" si="9"/>
        <v>0</v>
      </c>
      <c r="Q47" s="361">
        <f t="shared" si="9"/>
        <v>40</v>
      </c>
      <c r="R47" s="362">
        <f t="shared" si="9"/>
        <v>40</v>
      </c>
      <c r="T47" s="3066"/>
    </row>
    <row r="48" spans="2:20" ht="13.5" thickBot="1">
      <c r="B48" s="262">
        <v>1878</v>
      </c>
      <c r="C48" s="236" t="s">
        <v>149</v>
      </c>
      <c r="D48" s="237">
        <f>SUM(D49:D52)</f>
        <v>0</v>
      </c>
      <c r="E48" s="237">
        <f>SUM(E49:E52)</f>
        <v>308.62</v>
      </c>
      <c r="F48" s="238">
        <f>D48+E48</f>
        <v>308.62</v>
      </c>
      <c r="H48" s="132"/>
      <c r="I48" s="239" t="str">
        <f t="shared" si="1"/>
        <v>Insulation-Floor R11 to R22 - MH</v>
      </c>
      <c r="J48" s="251"/>
      <c r="K48" s="260"/>
      <c r="L48" s="360">
        <f t="shared" si="2"/>
        <v>0.03</v>
      </c>
      <c r="M48" s="4146">
        <v>0</v>
      </c>
      <c r="N48" s="3574">
        <v>0</v>
      </c>
      <c r="O48" s="244">
        <f t="shared" si="4"/>
        <v>0</v>
      </c>
      <c r="P48" s="361">
        <f t="shared" si="9"/>
        <v>0</v>
      </c>
      <c r="Q48" s="361">
        <f t="shared" si="9"/>
        <v>0</v>
      </c>
      <c r="R48" s="362">
        <f t="shared" si="9"/>
        <v>0</v>
      </c>
      <c r="T48" s="3066"/>
    </row>
    <row r="49" spans="2:24">
      <c r="B49" s="254"/>
      <c r="C49" s="255" t="s">
        <v>139</v>
      </c>
      <c r="D49" s="256">
        <v>0</v>
      </c>
      <c r="E49" s="256">
        <v>308.62</v>
      </c>
      <c r="F49" s="249">
        <f t="shared" si="8"/>
        <v>308.62</v>
      </c>
      <c r="H49" s="132"/>
      <c r="I49" s="239" t="str">
        <f t="shared" si="1"/>
        <v>Insulation-Wall R0 to R11 - MF</v>
      </c>
      <c r="J49" s="251"/>
      <c r="K49" s="260"/>
      <c r="L49" s="360">
        <f t="shared" si="2"/>
        <v>0.06</v>
      </c>
      <c r="M49" s="4146">
        <v>0</v>
      </c>
      <c r="N49" s="4537">
        <v>500</v>
      </c>
      <c r="O49" s="244">
        <f t="shared" si="4"/>
        <v>500</v>
      </c>
      <c r="P49" s="361">
        <f t="shared" si="9"/>
        <v>0</v>
      </c>
      <c r="Q49" s="361">
        <f t="shared" si="9"/>
        <v>30</v>
      </c>
      <c r="R49" s="362">
        <f t="shared" si="9"/>
        <v>30</v>
      </c>
      <c r="T49" s="3066"/>
    </row>
    <row r="50" spans="2:24">
      <c r="B50" s="254"/>
      <c r="C50" s="255" t="s">
        <v>140</v>
      </c>
      <c r="D50" s="256">
        <v>0</v>
      </c>
      <c r="E50" s="256"/>
      <c r="F50" s="249">
        <f t="shared" si="8"/>
        <v>0</v>
      </c>
      <c r="I50" s="239" t="str">
        <f t="shared" si="1"/>
        <v>Insulation-Wall R0 to R11 - MH</v>
      </c>
      <c r="J50" s="251"/>
      <c r="K50" s="252"/>
      <c r="L50" s="360">
        <f t="shared" si="2"/>
        <v>0.08</v>
      </c>
      <c r="M50" s="4146">
        <v>0</v>
      </c>
      <c r="N50" s="4537">
        <v>500</v>
      </c>
      <c r="O50" s="244">
        <f t="shared" si="4"/>
        <v>500</v>
      </c>
      <c r="P50" s="361">
        <f t="shared" si="9"/>
        <v>0</v>
      </c>
      <c r="Q50" s="361">
        <f t="shared" si="9"/>
        <v>40</v>
      </c>
      <c r="R50" s="362">
        <f t="shared" si="9"/>
        <v>40</v>
      </c>
      <c r="T50" s="3066"/>
    </row>
    <row r="51" spans="2:24">
      <c r="B51" s="254"/>
      <c r="C51" s="255" t="s">
        <v>141</v>
      </c>
      <c r="D51" s="256">
        <v>0</v>
      </c>
      <c r="E51" s="256"/>
      <c r="F51" s="249">
        <f t="shared" si="8"/>
        <v>0</v>
      </c>
      <c r="I51" s="239" t="str">
        <f t="shared" si="1"/>
        <v>Insulation-Wall R0 to R11 - SF</v>
      </c>
      <c r="J51" s="251"/>
      <c r="K51" s="252"/>
      <c r="L51" s="360">
        <f t="shared" si="2"/>
        <v>0.06</v>
      </c>
      <c r="M51" s="4146">
        <v>0</v>
      </c>
      <c r="N51" s="4537">
        <v>50000</v>
      </c>
      <c r="O51" s="244">
        <f t="shared" si="4"/>
        <v>50000</v>
      </c>
      <c r="P51" s="361">
        <f t="shared" si="9"/>
        <v>0</v>
      </c>
      <c r="Q51" s="361">
        <f t="shared" si="9"/>
        <v>3000</v>
      </c>
      <c r="R51" s="362">
        <f t="shared" si="9"/>
        <v>3000</v>
      </c>
      <c r="T51" s="3066"/>
    </row>
    <row r="52" spans="2:24" ht="13.5" thickBot="1">
      <c r="B52" s="254"/>
      <c r="C52" s="255" t="s">
        <v>142</v>
      </c>
      <c r="D52" s="256">
        <v>0</v>
      </c>
      <c r="E52" s="256"/>
      <c r="F52" s="249">
        <f t="shared" si="8"/>
        <v>0</v>
      </c>
      <c r="I52" s="239" t="str">
        <f t="shared" si="1"/>
        <v>Insulation-Wall R0 to R15 - SF</v>
      </c>
      <c r="J52" s="251"/>
      <c r="K52" s="252"/>
      <c r="L52" s="360">
        <f t="shared" si="2"/>
        <v>0.14000000000000001</v>
      </c>
      <c r="M52" s="4146">
        <v>0</v>
      </c>
      <c r="N52" s="3574">
        <v>0</v>
      </c>
      <c r="O52" s="244">
        <f t="shared" si="4"/>
        <v>0</v>
      </c>
      <c r="P52" s="361">
        <f t="shared" si="9"/>
        <v>0</v>
      </c>
      <c r="Q52" s="361">
        <f t="shared" si="9"/>
        <v>0</v>
      </c>
      <c r="R52" s="362">
        <f t="shared" si="9"/>
        <v>0</v>
      </c>
      <c r="T52" s="3066"/>
    </row>
    <row r="53" spans="2:24" ht="13.5" thickBot="1">
      <c r="B53" s="262">
        <v>828873</v>
      </c>
      <c r="C53" s="236" t="s">
        <v>150</v>
      </c>
      <c r="D53" s="237">
        <f>T145*1.15</f>
        <v>0</v>
      </c>
      <c r="E53" s="3562">
        <v>272303</v>
      </c>
      <c r="F53" s="238">
        <f>SUM(D53:E53)</f>
        <v>272303</v>
      </c>
      <c r="G53" s="261" t="s">
        <v>151</v>
      </c>
      <c r="I53" s="239" t="str">
        <f t="shared" si="1"/>
        <v>Insulation-Tapered Roof R5 to R38 - MF</v>
      </c>
      <c r="J53" s="251"/>
      <c r="K53" s="252"/>
      <c r="L53" s="360">
        <f t="shared" si="2"/>
        <v>0.1</v>
      </c>
      <c r="M53" s="4146">
        <v>0</v>
      </c>
      <c r="N53" s="3574">
        <v>0</v>
      </c>
      <c r="O53" s="244">
        <f t="shared" si="4"/>
        <v>0</v>
      </c>
      <c r="P53" s="361">
        <f t="shared" si="9"/>
        <v>0</v>
      </c>
      <c r="Q53" s="361">
        <f t="shared" si="9"/>
        <v>0</v>
      </c>
      <c r="R53" s="362">
        <f t="shared" si="9"/>
        <v>0</v>
      </c>
      <c r="T53" s="3066"/>
    </row>
    <row r="54" spans="2:24" ht="13.5" thickBot="1">
      <c r="B54" s="262">
        <v>0</v>
      </c>
      <c r="C54" s="236" t="s">
        <v>152</v>
      </c>
      <c r="D54" s="237">
        <v>0</v>
      </c>
      <c r="E54" s="237">
        <v>0</v>
      </c>
      <c r="F54" s="238">
        <v>0</v>
      </c>
      <c r="I54" s="239" t="str">
        <f t="shared" si="1"/>
        <v>Showerhead - MF</v>
      </c>
      <c r="J54" s="251"/>
      <c r="K54" s="252"/>
      <c r="L54" s="360">
        <f t="shared" si="2"/>
        <v>6</v>
      </c>
      <c r="M54" s="4146">
        <v>0</v>
      </c>
      <c r="N54" s="4537">
        <v>10</v>
      </c>
      <c r="O54" s="244">
        <f t="shared" si="4"/>
        <v>10</v>
      </c>
      <c r="P54" s="361">
        <f t="shared" si="9"/>
        <v>0</v>
      </c>
      <c r="Q54" s="361">
        <f t="shared" si="9"/>
        <v>60</v>
      </c>
      <c r="R54" s="362">
        <f t="shared" si="9"/>
        <v>60</v>
      </c>
      <c r="T54" s="3066"/>
    </row>
    <row r="55" spans="2:24">
      <c r="B55" s="263">
        <f>B13+B18+B23+B28+B33+B38+B43+B48+B53+B54</f>
        <v>889381</v>
      </c>
      <c r="C55" s="264" t="s">
        <v>153</v>
      </c>
      <c r="D55" s="263">
        <f>D13+D18+D23+D28+D33+D38+D43+D48+D53+D54</f>
        <v>0</v>
      </c>
      <c r="E55" s="263">
        <f>E13+E18+E23+E28+E33+E38+E43+E48+E53+E54</f>
        <v>301309.13948000001</v>
      </c>
      <c r="F55" s="263">
        <f>F13+F18+F23+F28+F33+F38+F43+F48+F53+F54</f>
        <v>301309.13948000001</v>
      </c>
      <c r="I55" s="239" t="str">
        <f t="shared" si="1"/>
        <v>Showerhead - MH</v>
      </c>
      <c r="J55" s="251"/>
      <c r="K55" s="252"/>
      <c r="L55" s="360">
        <f t="shared" si="2"/>
        <v>6</v>
      </c>
      <c r="M55" s="4146">
        <v>0</v>
      </c>
      <c r="N55" s="4537">
        <v>10</v>
      </c>
      <c r="O55" s="244">
        <f t="shared" si="4"/>
        <v>10</v>
      </c>
      <c r="P55" s="361">
        <f t="shared" si="9"/>
        <v>0</v>
      </c>
      <c r="Q55" s="361">
        <f t="shared" si="9"/>
        <v>60</v>
      </c>
      <c r="R55" s="362">
        <f t="shared" si="9"/>
        <v>60</v>
      </c>
      <c r="T55" s="3066"/>
    </row>
    <row r="56" spans="2:24">
      <c r="C56" s="264"/>
      <c r="D56" s="263"/>
      <c r="E56" s="263"/>
      <c r="F56" s="263"/>
      <c r="I56" s="239" t="str">
        <f t="shared" si="1"/>
        <v>Showerhead - SF</v>
      </c>
      <c r="J56" s="251"/>
      <c r="K56" s="252"/>
      <c r="L56" s="360">
        <f t="shared" si="2"/>
        <v>6</v>
      </c>
      <c r="M56" s="4146">
        <v>0</v>
      </c>
      <c r="N56" s="4537">
        <v>10</v>
      </c>
      <c r="O56" s="244">
        <f t="shared" si="4"/>
        <v>10</v>
      </c>
      <c r="P56" s="361">
        <f t="shared" si="9"/>
        <v>0</v>
      </c>
      <c r="Q56" s="361">
        <f t="shared" si="9"/>
        <v>60</v>
      </c>
      <c r="R56" s="362">
        <f t="shared" si="9"/>
        <v>60</v>
      </c>
      <c r="T56" s="3066"/>
    </row>
    <row r="57" spans="2:24">
      <c r="C57" s="264" t="s">
        <v>154</v>
      </c>
      <c r="D57" s="263">
        <f>D55-D53</f>
        <v>0</v>
      </c>
      <c r="E57" s="263">
        <f>E55-E53</f>
        <v>29006.139480000013</v>
      </c>
      <c r="F57" s="263">
        <f>F55-F53</f>
        <v>29006.139480000013</v>
      </c>
      <c r="I57" s="239" t="str">
        <f t="shared" si="1"/>
        <v>Duct Sealing - MH</v>
      </c>
      <c r="J57" s="251"/>
      <c r="K57" s="252"/>
      <c r="L57" s="360">
        <f t="shared" si="2"/>
        <v>43</v>
      </c>
      <c r="M57" s="4146">
        <v>0</v>
      </c>
      <c r="N57" s="4537">
        <v>15</v>
      </c>
      <c r="O57" s="244">
        <f t="shared" si="4"/>
        <v>15</v>
      </c>
      <c r="P57" s="361">
        <f t="shared" si="9"/>
        <v>0</v>
      </c>
      <c r="Q57" s="361">
        <f t="shared" si="9"/>
        <v>645</v>
      </c>
      <c r="R57" s="362">
        <f t="shared" si="9"/>
        <v>645</v>
      </c>
      <c r="T57" s="3066"/>
    </row>
    <row r="58" spans="2:24">
      <c r="C58" s="264" t="s">
        <v>155</v>
      </c>
      <c r="D58" s="266">
        <f>D53</f>
        <v>0</v>
      </c>
      <c r="E58" s="266">
        <f>E53</f>
        <v>272303</v>
      </c>
      <c r="F58" s="266">
        <f>F53</f>
        <v>272303</v>
      </c>
      <c r="G58" s="319">
        <f>F58/(F57+F58)</f>
        <v>0.90373295834949163</v>
      </c>
      <c r="H58" s="268" t="s">
        <v>156</v>
      </c>
      <c r="I58" s="239" t="str">
        <f t="shared" si="1"/>
        <v>Duct Sealing - SF</v>
      </c>
      <c r="J58" s="251"/>
      <c r="K58" s="252"/>
      <c r="L58" s="360">
        <f t="shared" si="2"/>
        <v>50</v>
      </c>
      <c r="M58" s="4146">
        <v>0</v>
      </c>
      <c r="N58" s="4537">
        <v>50</v>
      </c>
      <c r="O58" s="244">
        <f t="shared" si="4"/>
        <v>50</v>
      </c>
      <c r="P58" s="361">
        <f t="shared" si="9"/>
        <v>0</v>
      </c>
      <c r="Q58" s="361">
        <f t="shared" si="9"/>
        <v>2500</v>
      </c>
      <c r="R58" s="362">
        <f t="shared" si="9"/>
        <v>2500</v>
      </c>
      <c r="T58" s="3066"/>
    </row>
    <row r="59" spans="2:24">
      <c r="C59" s="264"/>
      <c r="D59" s="266"/>
      <c r="E59" s="266"/>
      <c r="F59" s="266"/>
      <c r="I59" s="239" t="str">
        <f t="shared" si="1"/>
        <v>Structure Sealing - MH</v>
      </c>
      <c r="J59" s="251"/>
      <c r="K59" s="252"/>
      <c r="L59" s="360">
        <f t="shared" si="2"/>
        <v>0.04</v>
      </c>
      <c r="M59" s="4146">
        <v>0</v>
      </c>
      <c r="N59" s="4537">
        <v>5000</v>
      </c>
      <c r="O59" s="244">
        <f t="shared" si="4"/>
        <v>5000</v>
      </c>
      <c r="P59" s="361">
        <f t="shared" si="9"/>
        <v>0</v>
      </c>
      <c r="Q59" s="361">
        <f t="shared" si="9"/>
        <v>200</v>
      </c>
      <c r="R59" s="362">
        <f t="shared" si="9"/>
        <v>200</v>
      </c>
      <c r="T59" s="3066"/>
    </row>
    <row r="60" spans="2:24">
      <c r="B60" s="307"/>
      <c r="C60" s="363"/>
      <c r="D60" s="263"/>
      <c r="E60" s="263"/>
      <c r="F60" s="266"/>
      <c r="I60" s="239" t="str">
        <f t="shared" si="1"/>
        <v>Structure Sealing - SF</v>
      </c>
      <c r="J60" s="251"/>
      <c r="K60" s="252"/>
      <c r="L60" s="360">
        <f t="shared" si="2"/>
        <v>7.0000000000000007E-2</v>
      </c>
      <c r="M60" s="4146">
        <v>0</v>
      </c>
      <c r="N60" s="4537">
        <v>5000</v>
      </c>
      <c r="O60" s="244">
        <f t="shared" si="4"/>
        <v>5000</v>
      </c>
      <c r="P60" s="361">
        <f t="shared" si="9"/>
        <v>0</v>
      </c>
      <c r="Q60" s="361">
        <f t="shared" si="9"/>
        <v>350.00000000000006</v>
      </c>
      <c r="R60" s="362">
        <f t="shared" si="9"/>
        <v>350.00000000000006</v>
      </c>
      <c r="T60" s="3066"/>
    </row>
    <row r="61" spans="2:24" ht="15.75">
      <c r="B61" s="303"/>
      <c r="C61" s="263"/>
      <c r="D61" s="263"/>
      <c r="E61" s="263"/>
      <c r="F61" s="266"/>
      <c r="I61" s="239" t="str">
        <f t="shared" si="1"/>
        <v>Structure Sealing - MF</v>
      </c>
      <c r="J61" s="251"/>
      <c r="K61" s="252"/>
      <c r="L61" s="360">
        <f t="shared" si="2"/>
        <v>0.08</v>
      </c>
      <c r="M61" s="4146">
        <v>0</v>
      </c>
      <c r="N61" s="3574">
        <v>0</v>
      </c>
      <c r="O61" s="244">
        <f t="shared" si="4"/>
        <v>0</v>
      </c>
      <c r="P61" s="361">
        <f t="shared" ref="P61:R72" si="10">M61*$D133</f>
        <v>0</v>
      </c>
      <c r="Q61" s="361">
        <f t="shared" si="10"/>
        <v>0</v>
      </c>
      <c r="R61" s="362">
        <f t="shared" si="10"/>
        <v>0</v>
      </c>
      <c r="T61" s="3066"/>
      <c r="W61" s="282"/>
    </row>
    <row r="62" spans="2:24">
      <c r="B62" s="304"/>
      <c r="C62" s="263"/>
      <c r="D62" s="263"/>
      <c r="E62" s="263"/>
      <c r="F62" s="266"/>
      <c r="I62" s="239" t="str">
        <f t="shared" si="1"/>
        <v>Water Heater Pipe Wrap - MF</v>
      </c>
      <c r="J62" s="251"/>
      <c r="K62" s="252"/>
      <c r="L62" s="360">
        <f t="shared" si="2"/>
        <v>0.9</v>
      </c>
      <c r="M62" s="4146">
        <v>0</v>
      </c>
      <c r="N62" s="4537">
        <v>2</v>
      </c>
      <c r="O62" s="244">
        <f t="shared" si="4"/>
        <v>2</v>
      </c>
      <c r="P62" s="361">
        <f t="shared" si="10"/>
        <v>0</v>
      </c>
      <c r="Q62" s="361">
        <f t="shared" si="10"/>
        <v>1.8</v>
      </c>
      <c r="R62" s="362">
        <f t="shared" si="10"/>
        <v>1.8</v>
      </c>
      <c r="T62" s="3066"/>
      <c r="W62" s="282"/>
    </row>
    <row r="63" spans="2:24">
      <c r="B63" s="304"/>
      <c r="C63" s="263"/>
      <c r="D63" s="263"/>
      <c r="E63" s="263"/>
      <c r="F63" s="266"/>
      <c r="I63" s="239" t="str">
        <f t="shared" si="1"/>
        <v>Water Heater Pipe Wrap - MH</v>
      </c>
      <c r="J63" s="251"/>
      <c r="K63" s="252"/>
      <c r="L63" s="360">
        <f t="shared" si="2"/>
        <v>0.9</v>
      </c>
      <c r="M63" s="4146">
        <v>0</v>
      </c>
      <c r="N63" s="4537">
        <v>10</v>
      </c>
      <c r="O63" s="244">
        <f t="shared" si="4"/>
        <v>10</v>
      </c>
      <c r="P63" s="361">
        <f t="shared" si="10"/>
        <v>0</v>
      </c>
      <c r="Q63" s="361">
        <f t="shared" si="10"/>
        <v>9</v>
      </c>
      <c r="R63" s="362">
        <f t="shared" si="10"/>
        <v>9</v>
      </c>
      <c r="T63" s="3066"/>
      <c r="V63" s="364"/>
      <c r="W63" s="364"/>
      <c r="X63" s="364"/>
    </row>
    <row r="64" spans="2:24">
      <c r="B64" s="264"/>
      <c r="C64" s="263"/>
      <c r="D64" s="263"/>
      <c r="E64" s="263"/>
      <c r="F64" s="266"/>
      <c r="I64" s="239" t="str">
        <f t="shared" si="1"/>
        <v>Water Heater Pipe Wrap - SF</v>
      </c>
      <c r="J64" s="251"/>
      <c r="K64" s="252"/>
      <c r="L64" s="360">
        <f t="shared" si="2"/>
        <v>0.9</v>
      </c>
      <c r="M64" s="4146">
        <v>0</v>
      </c>
      <c r="N64" s="4537">
        <v>10</v>
      </c>
      <c r="O64" s="244">
        <f t="shared" si="4"/>
        <v>10</v>
      </c>
      <c r="P64" s="361">
        <f t="shared" si="10"/>
        <v>0</v>
      </c>
      <c r="Q64" s="361">
        <f t="shared" si="10"/>
        <v>9</v>
      </c>
      <c r="R64" s="362">
        <f t="shared" si="10"/>
        <v>9</v>
      </c>
      <c r="T64" s="3066"/>
      <c r="V64" s="364"/>
      <c r="W64" s="364"/>
      <c r="X64" s="364"/>
    </row>
    <row r="65" spans="2:24">
      <c r="B65" s="264"/>
      <c r="C65" s="263"/>
      <c r="D65" s="263"/>
      <c r="E65" s="263"/>
      <c r="F65" s="266"/>
      <c r="I65" s="239" t="str">
        <f t="shared" si="1"/>
        <v>Windows-Single to Double - MF</v>
      </c>
      <c r="J65" s="251"/>
      <c r="K65" s="252"/>
      <c r="L65" s="360">
        <f t="shared" si="2"/>
        <v>0.83</v>
      </c>
      <c r="M65" s="4146">
        <v>0</v>
      </c>
      <c r="N65" s="3574">
        <v>0</v>
      </c>
      <c r="O65" s="244">
        <f t="shared" si="4"/>
        <v>0</v>
      </c>
      <c r="P65" s="361">
        <f t="shared" si="10"/>
        <v>0</v>
      </c>
      <c r="Q65" s="361">
        <f t="shared" si="10"/>
        <v>0</v>
      </c>
      <c r="R65" s="362">
        <f t="shared" si="10"/>
        <v>0</v>
      </c>
      <c r="T65" s="3066"/>
      <c r="V65" s="364"/>
      <c r="W65" s="364"/>
      <c r="X65" s="364"/>
    </row>
    <row r="66" spans="2:24">
      <c r="B66" s="264"/>
      <c r="C66" s="263"/>
      <c r="D66" s="263"/>
      <c r="E66" s="263"/>
      <c r="F66" s="266"/>
      <c r="I66" s="239" t="str">
        <f t="shared" si="1"/>
        <v>Windows-Single to Double - MH</v>
      </c>
      <c r="J66" s="251"/>
      <c r="K66" s="252"/>
      <c r="L66" s="360">
        <f t="shared" si="2"/>
        <v>0.81</v>
      </c>
      <c r="M66" s="4146">
        <v>0</v>
      </c>
      <c r="N66" s="3574">
        <v>0</v>
      </c>
      <c r="O66" s="244">
        <f t="shared" si="4"/>
        <v>0</v>
      </c>
      <c r="P66" s="361">
        <f t="shared" si="10"/>
        <v>0</v>
      </c>
      <c r="Q66" s="361">
        <f t="shared" si="10"/>
        <v>0</v>
      </c>
      <c r="R66" s="362">
        <f t="shared" si="10"/>
        <v>0</v>
      </c>
      <c r="T66" s="3066"/>
      <c r="V66" s="364"/>
      <c r="W66" s="364"/>
      <c r="X66" s="364"/>
    </row>
    <row r="67" spans="2:24">
      <c r="B67" s="264"/>
      <c r="C67" s="263"/>
      <c r="D67" s="263"/>
      <c r="E67" s="263"/>
      <c r="F67" s="266"/>
      <c r="I67" s="239" t="str">
        <f t="shared" si="1"/>
        <v>Windows-Single to Double - SF</v>
      </c>
      <c r="J67" s="251"/>
      <c r="K67" s="252"/>
      <c r="L67" s="360">
        <f t="shared" si="2"/>
        <v>0.87</v>
      </c>
      <c r="M67" s="4146">
        <v>0</v>
      </c>
      <c r="N67" s="3574">
        <v>0</v>
      </c>
      <c r="O67" s="244">
        <f t="shared" si="4"/>
        <v>0</v>
      </c>
      <c r="P67" s="361">
        <f t="shared" si="10"/>
        <v>0</v>
      </c>
      <c r="Q67" s="361">
        <f t="shared" si="10"/>
        <v>0</v>
      </c>
      <c r="R67" s="362">
        <f t="shared" si="10"/>
        <v>0</v>
      </c>
      <c r="T67" s="3066"/>
      <c r="V67" s="364"/>
      <c r="W67" s="364"/>
      <c r="X67" s="364"/>
    </row>
    <row r="68" spans="2:24">
      <c r="B68" s="264"/>
      <c r="C68" s="263"/>
      <c r="D68" s="263"/>
      <c r="E68" s="263"/>
      <c r="F68" s="266"/>
      <c r="I68" s="239" t="str">
        <f t="shared" si="1"/>
        <v>Windows-Single to Triple - MF</v>
      </c>
      <c r="J68" s="251"/>
      <c r="K68" s="252"/>
      <c r="L68" s="360">
        <f t="shared" si="2"/>
        <v>0.96</v>
      </c>
      <c r="M68" s="4146">
        <v>0</v>
      </c>
      <c r="N68" s="3574">
        <v>0</v>
      </c>
      <c r="O68" s="244">
        <f t="shared" si="4"/>
        <v>0</v>
      </c>
      <c r="P68" s="361">
        <f t="shared" si="10"/>
        <v>0</v>
      </c>
      <c r="Q68" s="361">
        <f t="shared" si="10"/>
        <v>0</v>
      </c>
      <c r="R68" s="362">
        <f t="shared" si="10"/>
        <v>0</v>
      </c>
      <c r="T68" s="3066"/>
      <c r="V68" s="364"/>
      <c r="W68" s="364"/>
      <c r="X68" s="364"/>
    </row>
    <row r="69" spans="2:24">
      <c r="B69" s="264"/>
      <c r="C69" s="263"/>
      <c r="D69" s="263"/>
      <c r="E69" s="263"/>
      <c r="F69" s="266"/>
      <c r="I69" s="239" t="str">
        <f t="shared" si="1"/>
        <v>Windows-Single to Triple - SF</v>
      </c>
      <c r="J69" s="251"/>
      <c r="K69" s="252"/>
      <c r="L69" s="360">
        <f t="shared" si="2"/>
        <v>0.92</v>
      </c>
      <c r="M69" s="4146">
        <v>0</v>
      </c>
      <c r="N69" s="3574">
        <v>0</v>
      </c>
      <c r="O69" s="244">
        <f t="shared" si="4"/>
        <v>0</v>
      </c>
      <c r="P69" s="361">
        <f t="shared" si="10"/>
        <v>0</v>
      </c>
      <c r="Q69" s="361">
        <f t="shared" si="10"/>
        <v>0</v>
      </c>
      <c r="R69" s="362">
        <f t="shared" si="10"/>
        <v>0</v>
      </c>
      <c r="T69" s="3066"/>
      <c r="V69" s="364"/>
      <c r="W69" s="364"/>
      <c r="X69" s="364"/>
    </row>
    <row r="70" spans="2:24">
      <c r="B70" s="264"/>
      <c r="C70" s="263"/>
      <c r="D70" s="263"/>
      <c r="E70" s="263"/>
      <c r="F70" s="266"/>
      <c r="I70" s="239" t="str">
        <f t="shared" si="1"/>
        <v>Shareholder Repairs</v>
      </c>
      <c r="J70" s="251"/>
      <c r="K70" s="252"/>
      <c r="L70" s="360">
        <f t="shared" si="2"/>
        <v>0</v>
      </c>
      <c r="M70" s="4146">
        <v>0</v>
      </c>
      <c r="N70" s="3574">
        <v>1</v>
      </c>
      <c r="O70" s="244">
        <f t="shared" si="4"/>
        <v>1</v>
      </c>
      <c r="P70" s="361">
        <f t="shared" si="10"/>
        <v>0</v>
      </c>
      <c r="Q70" s="361">
        <f t="shared" si="10"/>
        <v>0</v>
      </c>
      <c r="R70" s="362">
        <f t="shared" si="10"/>
        <v>0</v>
      </c>
      <c r="T70" s="3066"/>
      <c r="V70" s="364"/>
      <c r="W70" s="364"/>
      <c r="X70" s="364"/>
    </row>
    <row r="71" spans="2:24">
      <c r="B71" s="264"/>
      <c r="C71" s="263"/>
      <c r="D71" s="263"/>
      <c r="E71" s="263"/>
      <c r="F71" s="266"/>
      <c r="I71" s="239" t="s">
        <v>249</v>
      </c>
      <c r="J71" s="251"/>
      <c r="K71" s="252"/>
      <c r="L71" s="360">
        <f t="shared" si="2"/>
        <v>3300</v>
      </c>
      <c r="M71" s="4146">
        <v>0</v>
      </c>
      <c r="N71" s="3574">
        <v>0</v>
      </c>
      <c r="O71" s="244">
        <f t="shared" si="4"/>
        <v>0</v>
      </c>
      <c r="P71" s="361">
        <f t="shared" si="10"/>
        <v>0</v>
      </c>
      <c r="Q71" s="361">
        <f t="shared" si="10"/>
        <v>0</v>
      </c>
      <c r="R71" s="362">
        <f t="shared" si="10"/>
        <v>0</v>
      </c>
      <c r="T71" s="3066"/>
      <c r="V71" s="364"/>
      <c r="W71" s="364"/>
      <c r="X71" s="364"/>
    </row>
    <row r="72" spans="2:24">
      <c r="B72" s="264"/>
      <c r="C72" s="263"/>
      <c r="D72" s="263"/>
      <c r="E72" s="263"/>
      <c r="F72" s="266"/>
      <c r="I72" s="239" t="str">
        <f t="shared" si="1"/>
        <v>Mayor's Challenge</v>
      </c>
      <c r="J72" s="251"/>
      <c r="K72" s="252"/>
      <c r="L72" s="360">
        <f t="shared" si="2"/>
        <v>3300</v>
      </c>
      <c r="M72" s="4146">
        <v>0</v>
      </c>
      <c r="N72" s="3574">
        <v>1</v>
      </c>
      <c r="O72" s="244">
        <f t="shared" si="4"/>
        <v>1</v>
      </c>
      <c r="P72" s="361">
        <f t="shared" si="10"/>
        <v>0</v>
      </c>
      <c r="Q72" s="361">
        <f t="shared" si="10"/>
        <v>3300</v>
      </c>
      <c r="R72" s="362">
        <f t="shared" si="10"/>
        <v>3300</v>
      </c>
      <c r="T72" s="3066"/>
      <c r="V72" s="364"/>
      <c r="W72" s="364"/>
      <c r="X72" s="364"/>
    </row>
    <row r="73" spans="2:24">
      <c r="B73" s="264"/>
      <c r="C73" s="263"/>
      <c r="D73" s="263"/>
      <c r="E73" s="263"/>
      <c r="F73" s="266"/>
      <c r="I73" s="4112"/>
      <c r="J73" s="2369"/>
      <c r="K73" s="4111"/>
      <c r="L73" s="4110"/>
      <c r="M73" s="4109"/>
      <c r="N73" s="4109"/>
      <c r="O73" s="4108"/>
      <c r="P73" s="365">
        <f>SUM(P13:P72)</f>
        <v>0</v>
      </c>
      <c r="Q73" s="365">
        <f>SUM(Q13:Q72)</f>
        <v>21178.5</v>
      </c>
      <c r="R73" s="4107">
        <f>SUM(P73:Q73)</f>
        <v>21178.5</v>
      </c>
      <c r="T73" s="4882"/>
      <c r="V73" s="364"/>
      <c r="W73" s="364"/>
      <c r="X73" s="364"/>
    </row>
    <row r="74" spans="2:24">
      <c r="B74" s="264"/>
      <c r="C74" s="263"/>
      <c r="D74" s="263"/>
      <c r="E74" s="263"/>
      <c r="F74" s="266"/>
      <c r="I74" s="4106"/>
      <c r="J74" s="4106"/>
      <c r="K74" s="4106"/>
      <c r="L74" s="4105"/>
      <c r="M74" s="3066"/>
      <c r="N74" s="3066"/>
      <c r="O74" s="4104"/>
      <c r="P74" s="4103"/>
      <c r="Q74" s="4103"/>
      <c r="R74" s="4102"/>
      <c r="S74" s="3066"/>
      <c r="T74" s="3066"/>
      <c r="V74" s="364"/>
      <c r="W74" s="364"/>
      <c r="X74" s="364"/>
    </row>
    <row r="75" spans="2:24">
      <c r="B75" s="264"/>
      <c r="C75" s="263"/>
      <c r="D75" s="263"/>
      <c r="E75" s="263"/>
      <c r="F75" s="266"/>
      <c r="I75" s="4106"/>
      <c r="J75" s="4106"/>
      <c r="K75" s="4106"/>
      <c r="L75" s="4105"/>
      <c r="M75" s="3066"/>
      <c r="N75" s="3066"/>
      <c r="O75" s="4104"/>
      <c r="P75" s="4103"/>
      <c r="Q75" s="4103"/>
      <c r="R75" s="4102"/>
      <c r="S75" s="3066"/>
      <c r="T75" s="3066"/>
      <c r="V75" s="364"/>
      <c r="W75" s="364"/>
      <c r="X75" s="364"/>
    </row>
    <row r="76" spans="2:24">
      <c r="B76" s="264"/>
      <c r="C76" s="263"/>
      <c r="D76" s="263"/>
      <c r="E76" s="263"/>
      <c r="F76" s="266"/>
      <c r="I76" s="4106"/>
      <c r="J76" s="4106"/>
      <c r="K76" s="4106"/>
      <c r="L76" s="4105"/>
      <c r="M76" s="3066"/>
      <c r="N76" s="3066"/>
      <c r="O76" s="4104"/>
      <c r="P76" s="4103"/>
      <c r="Q76" s="4103"/>
      <c r="R76" s="4102"/>
      <c r="S76" s="3066"/>
      <c r="T76" s="3066"/>
      <c r="V76" s="364"/>
      <c r="W76" s="364"/>
      <c r="X76" s="364"/>
    </row>
    <row r="77" spans="2:24">
      <c r="B77" s="264"/>
      <c r="C77" s="263"/>
      <c r="D77" s="263"/>
      <c r="E77" s="263"/>
      <c r="F77" s="266"/>
      <c r="I77" s="4106"/>
      <c r="J77" s="4106"/>
      <c r="K77" s="4106"/>
      <c r="L77" s="4105"/>
      <c r="M77" s="3066"/>
      <c r="N77" s="3066"/>
      <c r="O77" s="4104"/>
      <c r="P77" s="4103"/>
      <c r="Q77" s="4103"/>
      <c r="R77" s="4102"/>
      <c r="S77" s="3066"/>
      <c r="T77" s="3066"/>
      <c r="V77" s="364"/>
      <c r="W77" s="364"/>
      <c r="X77" s="364"/>
    </row>
    <row r="78" spans="2:24">
      <c r="B78" s="264"/>
      <c r="C78" s="263"/>
      <c r="D78" s="263"/>
      <c r="E78" s="263"/>
      <c r="F78" s="266"/>
      <c r="I78" s="4106"/>
      <c r="J78" s="4106"/>
      <c r="K78" s="4106"/>
      <c r="L78" s="4105"/>
      <c r="M78" s="3066"/>
      <c r="N78" s="3066"/>
      <c r="O78" s="4104"/>
      <c r="P78" s="4103"/>
      <c r="Q78" s="4103"/>
      <c r="R78" s="4102"/>
      <c r="S78" s="3066"/>
      <c r="T78" s="3066"/>
      <c r="V78" s="364"/>
      <c r="W78" s="364"/>
      <c r="X78" s="364"/>
    </row>
    <row r="79" spans="2:24">
      <c r="B79" s="307"/>
      <c r="C79" s="263"/>
      <c r="D79" s="263"/>
      <c r="E79" s="301"/>
      <c r="F79" s="266"/>
      <c r="G79" s="307"/>
      <c r="H79" s="308"/>
      <c r="I79" s="4106"/>
      <c r="J79" s="4106"/>
      <c r="K79" s="4106"/>
      <c r="L79" s="4105"/>
      <c r="M79" s="3066"/>
      <c r="N79" s="3066"/>
      <c r="O79" s="4104"/>
      <c r="P79" s="4103"/>
      <c r="Q79" s="4103"/>
      <c r="R79" s="4102"/>
      <c r="S79" s="3066"/>
      <c r="T79" s="3066"/>
      <c r="V79" s="364"/>
      <c r="W79" s="364"/>
      <c r="X79" s="364"/>
    </row>
    <row r="80" spans="2:24">
      <c r="C80" s="264"/>
      <c r="D80" s="266"/>
      <c r="E80" s="266"/>
      <c r="F80" s="266"/>
      <c r="I80" s="4106"/>
      <c r="J80" s="4106"/>
      <c r="K80" s="4106"/>
      <c r="L80" s="4105"/>
      <c r="M80" s="3066"/>
      <c r="N80" s="3066"/>
      <c r="O80" s="4104"/>
      <c r="P80" s="4103"/>
      <c r="Q80" s="4103"/>
      <c r="R80" s="4102"/>
      <c r="S80" s="3066"/>
      <c r="T80" s="3066"/>
      <c r="V80" s="364"/>
      <c r="W80" s="364"/>
      <c r="X80" s="364"/>
    </row>
    <row r="81" spans="2:24" ht="13.5" thickBot="1">
      <c r="C81" s="264"/>
      <c r="D81" s="266"/>
      <c r="E81" s="266"/>
      <c r="F81" s="266"/>
      <c r="I81" s="4106"/>
      <c r="J81" s="4106"/>
      <c r="K81" s="4106"/>
      <c r="L81" s="4105"/>
      <c r="M81" s="3066"/>
      <c r="N81" s="3066"/>
      <c r="O81" s="4104"/>
      <c r="P81" s="4103"/>
      <c r="Q81" s="4103"/>
      <c r="R81" s="4102"/>
      <c r="S81" s="3066"/>
      <c r="T81" s="3066"/>
      <c r="V81" s="364"/>
      <c r="W81" s="364"/>
      <c r="X81" s="364"/>
    </row>
    <row r="82" spans="2:24" ht="16.5" thickBot="1">
      <c r="B82" s="269" t="s">
        <v>157</v>
      </c>
      <c r="C82" s="270"/>
      <c r="D82" s="5130" t="s">
        <v>158</v>
      </c>
      <c r="E82" s="5131"/>
      <c r="F82" s="5131"/>
      <c r="G82" s="5131"/>
      <c r="H82" s="5131"/>
      <c r="K82" s="4888"/>
      <c r="L82" s="3535"/>
      <c r="M82" s="3534"/>
      <c r="N82" s="3534"/>
      <c r="O82" s="3534"/>
      <c r="P82" s="3534"/>
      <c r="Q82" s="3534"/>
      <c r="R82" s="3534"/>
      <c r="S82" s="3534"/>
      <c r="T82" s="3534"/>
      <c r="U82" s="3534"/>
    </row>
    <row r="83" spans="2:24" ht="16.5" thickBot="1">
      <c r="B83" s="5124" t="s">
        <v>159</v>
      </c>
      <c r="C83" s="5125"/>
      <c r="D83" s="5125"/>
      <c r="E83" s="5125"/>
      <c r="F83" s="5125"/>
      <c r="G83" s="5125"/>
      <c r="H83" s="5125"/>
      <c r="I83" s="5125"/>
      <c r="J83" s="5125"/>
      <c r="K83" s="5126"/>
      <c r="L83" s="5132"/>
      <c r="M83" s="5132"/>
      <c r="N83" s="5132"/>
      <c r="O83" s="5132"/>
      <c r="P83" s="5132"/>
      <c r="Q83" s="5132"/>
      <c r="R83" s="5132"/>
      <c r="S83" s="5132"/>
      <c r="T83" s="5132"/>
      <c r="U83" s="5132"/>
      <c r="V83" s="3066"/>
      <c r="W83" s="3066"/>
    </row>
    <row r="84" spans="2:24" ht="13.5" thickBot="1">
      <c r="B84" s="272" t="s">
        <v>162</v>
      </c>
      <c r="C84" s="273" t="s">
        <v>129</v>
      </c>
      <c r="D84" s="273" t="s">
        <v>130</v>
      </c>
      <c r="E84" s="273" t="s">
        <v>163</v>
      </c>
      <c r="F84" s="273" t="s">
        <v>164</v>
      </c>
      <c r="G84" s="273" t="s">
        <v>165</v>
      </c>
      <c r="H84" s="273" t="s">
        <v>166</v>
      </c>
      <c r="I84" s="273" t="s">
        <v>167</v>
      </c>
      <c r="J84" s="273" t="s">
        <v>168</v>
      </c>
      <c r="K84" s="3588" t="s">
        <v>169</v>
      </c>
      <c r="L84" s="4104"/>
      <c r="M84" s="4862"/>
      <c r="N84" s="4862"/>
      <c r="O84" s="4862"/>
      <c r="P84" s="4862"/>
      <c r="Q84" s="4862"/>
      <c r="R84" s="4862"/>
      <c r="S84" s="4862"/>
      <c r="T84" s="296"/>
      <c r="U84" s="296"/>
      <c r="V84" s="296"/>
      <c r="W84" s="3066"/>
    </row>
    <row r="85" spans="2:24">
      <c r="B85" s="257"/>
      <c r="C85" s="3574" t="s">
        <v>558</v>
      </c>
      <c r="D85" s="3574">
        <v>66</v>
      </c>
      <c r="E85" s="3574" t="s">
        <v>559</v>
      </c>
      <c r="F85" s="3574" t="s">
        <v>186</v>
      </c>
      <c r="G85" s="4464">
        <v>600</v>
      </c>
      <c r="H85" s="4464">
        <v>600</v>
      </c>
      <c r="I85" s="4156">
        <f>R13/$R$73</f>
        <v>3.1163680147319214E-3</v>
      </c>
      <c r="J85" s="3574">
        <v>18</v>
      </c>
      <c r="K85" s="4889" t="s">
        <v>560</v>
      </c>
      <c r="L85" s="3066"/>
      <c r="M85" s="4863"/>
      <c r="N85" s="4863"/>
      <c r="O85" s="4114"/>
      <c r="P85" s="4114"/>
      <c r="Q85" s="4114"/>
      <c r="R85" s="4114"/>
      <c r="S85" s="4884"/>
      <c r="T85" s="4775"/>
      <c r="U85" s="4775"/>
      <c r="V85" s="4115"/>
      <c r="W85" s="3066"/>
    </row>
    <row r="86" spans="2:24">
      <c r="B86" s="282"/>
      <c r="C86" s="3593" t="s">
        <v>561</v>
      </c>
      <c r="D86" s="3593">
        <v>89</v>
      </c>
      <c r="E86" s="3593" t="s">
        <v>559</v>
      </c>
      <c r="F86" s="3593" t="s">
        <v>186</v>
      </c>
      <c r="G86" s="3594">
        <v>692</v>
      </c>
      <c r="H86" s="3594">
        <v>692</v>
      </c>
      <c r="I86" s="4156">
        <f t="shared" ref="I86:I143" si="11">R14/$R$73</f>
        <v>1.260712515050641E-2</v>
      </c>
      <c r="J86" s="3574">
        <v>18</v>
      </c>
      <c r="K86" s="4889" t="s">
        <v>560</v>
      </c>
      <c r="L86" s="3066"/>
      <c r="M86" s="4863"/>
      <c r="N86" s="4863"/>
      <c r="O86" s="4114"/>
      <c r="P86" s="4114"/>
      <c r="Q86" s="4114"/>
      <c r="R86" s="4114"/>
      <c r="S86" s="4884"/>
      <c r="T86" s="4775"/>
      <c r="U86" s="4775"/>
      <c r="V86" s="4115"/>
      <c r="W86" s="3066"/>
    </row>
    <row r="87" spans="2:24">
      <c r="B87" s="282"/>
      <c r="C87" s="3593" t="s">
        <v>562</v>
      </c>
      <c r="D87" s="3593">
        <v>89</v>
      </c>
      <c r="E87" s="3593" t="s">
        <v>559</v>
      </c>
      <c r="F87" s="3593" t="s">
        <v>186</v>
      </c>
      <c r="G87" s="3594">
        <v>692</v>
      </c>
      <c r="H87" s="3594">
        <v>692</v>
      </c>
      <c r="I87" s="4156">
        <f t="shared" si="11"/>
        <v>1.260712515050641E-2</v>
      </c>
      <c r="J87" s="3574">
        <v>18</v>
      </c>
      <c r="K87" s="4889" t="s">
        <v>560</v>
      </c>
      <c r="L87" s="3066"/>
      <c r="M87" s="4863"/>
      <c r="N87" s="4863"/>
      <c r="O87" s="4114"/>
      <c r="P87" s="4114"/>
      <c r="Q87" s="4114"/>
      <c r="R87" s="4114"/>
      <c r="S87" s="4884"/>
      <c r="T87" s="4775"/>
      <c r="U87" s="4775"/>
      <c r="V87" s="4115"/>
      <c r="W87" s="3066"/>
    </row>
    <row r="88" spans="2:24">
      <c r="B88" s="282"/>
      <c r="C88" s="3593" t="s">
        <v>563</v>
      </c>
      <c r="D88" s="3593">
        <v>734</v>
      </c>
      <c r="E88" s="3593" t="s">
        <v>559</v>
      </c>
      <c r="F88" s="3593" t="s">
        <v>303</v>
      </c>
      <c r="G88" s="4464">
        <v>15358</v>
      </c>
      <c r="H88" s="4464">
        <v>15358</v>
      </c>
      <c r="I88" s="4156">
        <f t="shared" si="11"/>
        <v>6.9315579479188802E-2</v>
      </c>
      <c r="J88" s="3574">
        <v>24</v>
      </c>
      <c r="K88" s="4889" t="s">
        <v>560</v>
      </c>
      <c r="L88" s="3066"/>
      <c r="M88" s="4863"/>
      <c r="N88" s="4863"/>
      <c r="O88" s="4114"/>
      <c r="P88" s="4114"/>
      <c r="Q88" s="4114"/>
      <c r="R88" s="4114"/>
      <c r="S88" s="4884"/>
      <c r="T88" s="4775"/>
      <c r="U88" s="4775"/>
      <c r="V88" s="4115"/>
      <c r="W88" s="3066"/>
    </row>
    <row r="89" spans="2:24">
      <c r="B89" s="282"/>
      <c r="C89" s="4458" t="s">
        <v>564</v>
      </c>
      <c r="D89" s="4458">
        <v>1100</v>
      </c>
      <c r="E89" s="3593" t="s">
        <v>559</v>
      </c>
      <c r="F89" s="3593" t="s">
        <v>303</v>
      </c>
      <c r="G89" s="3594">
        <v>11560</v>
      </c>
      <c r="H89" s="3594">
        <v>6150</v>
      </c>
      <c r="I89" s="4156">
        <f t="shared" si="11"/>
        <v>0</v>
      </c>
      <c r="J89" s="3574">
        <v>15</v>
      </c>
      <c r="K89" s="4889" t="s">
        <v>233</v>
      </c>
      <c r="L89" s="3066"/>
      <c r="M89" s="4863"/>
      <c r="N89" s="4863"/>
      <c r="O89" s="4114"/>
      <c r="P89" s="4114"/>
      <c r="Q89" s="4114"/>
      <c r="R89" s="4114"/>
      <c r="S89" s="4884"/>
      <c r="T89" s="4775"/>
      <c r="U89" s="4775"/>
      <c r="V89" s="4115"/>
      <c r="W89" s="3066"/>
    </row>
    <row r="90" spans="2:24">
      <c r="B90" s="282"/>
      <c r="C90" s="4458" t="s">
        <v>565</v>
      </c>
      <c r="D90" s="4458">
        <v>93</v>
      </c>
      <c r="E90" s="3593" t="s">
        <v>559</v>
      </c>
      <c r="F90" s="3593" t="s">
        <v>186</v>
      </c>
      <c r="G90" s="3594">
        <v>923</v>
      </c>
      <c r="H90" s="3594">
        <v>923</v>
      </c>
      <c r="I90" s="4156">
        <f t="shared" si="11"/>
        <v>0</v>
      </c>
      <c r="J90" s="3574">
        <v>20</v>
      </c>
      <c r="K90" s="4889" t="s">
        <v>233</v>
      </c>
      <c r="L90" s="3066"/>
      <c r="M90" s="4863"/>
      <c r="N90" s="4863"/>
      <c r="O90" s="4114"/>
      <c r="P90" s="4114"/>
      <c r="Q90" s="4114"/>
      <c r="R90" s="4114"/>
      <c r="S90" s="4884"/>
      <c r="T90" s="4775"/>
      <c r="U90" s="4775"/>
      <c r="V90" s="4115"/>
      <c r="W90" s="3066"/>
    </row>
    <row r="91" spans="2:24">
      <c r="B91" s="282"/>
      <c r="C91" s="4458" t="s">
        <v>566</v>
      </c>
      <c r="D91" s="4458">
        <v>93</v>
      </c>
      <c r="E91" s="3593" t="s">
        <v>559</v>
      </c>
      <c r="F91" s="3593" t="s">
        <v>186</v>
      </c>
      <c r="G91" s="3594">
        <v>923</v>
      </c>
      <c r="H91" s="3594">
        <v>923</v>
      </c>
      <c r="I91" s="4156">
        <f t="shared" si="11"/>
        <v>0</v>
      </c>
      <c r="J91" s="3574">
        <v>20</v>
      </c>
      <c r="K91" s="4889" t="s">
        <v>233</v>
      </c>
      <c r="L91" s="3066"/>
      <c r="M91" s="4863"/>
      <c r="N91" s="4863"/>
      <c r="O91" s="4114"/>
      <c r="P91" s="4114"/>
      <c r="Q91" s="4114"/>
      <c r="R91" s="4114"/>
      <c r="S91" s="4884"/>
      <c r="T91" s="4775"/>
      <c r="U91" s="4775"/>
      <c r="V91" s="4115"/>
      <c r="W91" s="3066"/>
    </row>
    <row r="92" spans="2:24">
      <c r="B92" s="282"/>
      <c r="C92" s="4458" t="s">
        <v>567</v>
      </c>
      <c r="D92" s="4458">
        <v>93</v>
      </c>
      <c r="E92" s="3593" t="s">
        <v>559</v>
      </c>
      <c r="F92" s="3593" t="s">
        <v>186</v>
      </c>
      <c r="G92" s="3594">
        <v>923</v>
      </c>
      <c r="H92" s="3594">
        <v>923</v>
      </c>
      <c r="I92" s="4156">
        <f t="shared" si="11"/>
        <v>0</v>
      </c>
      <c r="J92" s="3574">
        <v>20</v>
      </c>
      <c r="K92" s="4889" t="s">
        <v>233</v>
      </c>
      <c r="L92" s="3066"/>
      <c r="M92" s="4863"/>
      <c r="N92" s="4863"/>
      <c r="O92" s="4114"/>
      <c r="P92" s="4114"/>
      <c r="Q92" s="4114"/>
      <c r="R92" s="4114"/>
      <c r="S92" s="4884"/>
      <c r="T92" s="4775"/>
      <c r="U92" s="4775"/>
      <c r="V92" s="4115"/>
      <c r="W92" s="3066"/>
    </row>
    <row r="93" spans="2:24">
      <c r="B93" s="282"/>
      <c r="C93" s="4458" t="s">
        <v>568</v>
      </c>
      <c r="D93" s="4458">
        <v>24</v>
      </c>
      <c r="E93" s="3593" t="s">
        <v>559</v>
      </c>
      <c r="F93" s="3593" t="s">
        <v>186</v>
      </c>
      <c r="G93" s="3594">
        <v>158</v>
      </c>
      <c r="H93" s="3594">
        <v>158</v>
      </c>
      <c r="I93" s="4156">
        <f t="shared" si="11"/>
        <v>0</v>
      </c>
      <c r="J93" s="3574">
        <v>13</v>
      </c>
      <c r="K93" s="4889" t="s">
        <v>233</v>
      </c>
      <c r="L93" s="3066"/>
      <c r="M93" s="4863"/>
      <c r="N93" s="4863"/>
      <c r="O93" s="4114"/>
      <c r="P93" s="4114"/>
      <c r="Q93" s="4114"/>
      <c r="R93" s="4114"/>
      <c r="S93" s="4884"/>
      <c r="T93" s="4775"/>
      <c r="U93" s="4775"/>
      <c r="V93" s="4115"/>
      <c r="W93" s="3066"/>
    </row>
    <row r="94" spans="2:24">
      <c r="B94" s="282"/>
      <c r="C94" s="4458" t="s">
        <v>569</v>
      </c>
      <c r="D94" s="4458">
        <v>24</v>
      </c>
      <c r="E94" s="3593" t="s">
        <v>559</v>
      </c>
      <c r="F94" s="3593" t="s">
        <v>186</v>
      </c>
      <c r="G94" s="3594">
        <v>158</v>
      </c>
      <c r="H94" s="3594">
        <v>158</v>
      </c>
      <c r="I94" s="4156">
        <f t="shared" si="11"/>
        <v>0</v>
      </c>
      <c r="J94" s="3574">
        <v>13</v>
      </c>
      <c r="K94" s="4889" t="s">
        <v>233</v>
      </c>
      <c r="L94" s="3066"/>
      <c r="M94" s="4863"/>
      <c r="N94" s="4863"/>
      <c r="O94" s="4114"/>
      <c r="P94" s="4114"/>
      <c r="Q94" s="4114"/>
      <c r="R94" s="4114"/>
      <c r="S94" s="4884"/>
      <c r="T94" s="4775"/>
      <c r="U94" s="4775"/>
      <c r="V94" s="4115"/>
      <c r="W94" s="3066"/>
    </row>
    <row r="95" spans="2:24">
      <c r="B95" s="282"/>
      <c r="C95" s="4458" t="s">
        <v>570</v>
      </c>
      <c r="D95" s="4458">
        <v>24</v>
      </c>
      <c r="E95" s="3593" t="s">
        <v>559</v>
      </c>
      <c r="F95" s="3593" t="s">
        <v>186</v>
      </c>
      <c r="G95" s="3594">
        <v>158</v>
      </c>
      <c r="H95" s="3594">
        <v>158</v>
      </c>
      <c r="I95" s="4156">
        <f t="shared" si="11"/>
        <v>0</v>
      </c>
      <c r="J95" s="3574">
        <v>13</v>
      </c>
      <c r="K95" s="4889" t="s">
        <v>233</v>
      </c>
      <c r="L95" s="3066"/>
      <c r="M95" s="4863"/>
      <c r="N95" s="4863"/>
      <c r="O95" s="4114"/>
      <c r="P95" s="4114"/>
      <c r="Q95" s="4114"/>
      <c r="R95" s="4114"/>
      <c r="S95" s="4884"/>
      <c r="T95" s="4775"/>
      <c r="U95" s="4775"/>
      <c r="V95" s="4115"/>
      <c r="W95" s="3066"/>
    </row>
    <row r="96" spans="2:24">
      <c r="B96" s="282"/>
      <c r="C96" s="3593" t="s">
        <v>256</v>
      </c>
      <c r="D96" s="3593">
        <v>0.09</v>
      </c>
      <c r="E96" s="3593" t="s">
        <v>559</v>
      </c>
      <c r="F96" s="3593" t="s">
        <v>257</v>
      </c>
      <c r="G96" s="3594">
        <v>0.95</v>
      </c>
      <c r="H96" s="3594">
        <v>0.95</v>
      </c>
      <c r="I96" s="4156">
        <f t="shared" si="11"/>
        <v>2.1247963736808558E-3</v>
      </c>
      <c r="J96" s="3574">
        <v>30</v>
      </c>
      <c r="K96" s="4889" t="s">
        <v>560</v>
      </c>
      <c r="L96" s="3066"/>
      <c r="M96" s="4863"/>
      <c r="N96" s="4863"/>
      <c r="O96" s="4114"/>
      <c r="P96" s="4114"/>
      <c r="Q96" s="4114"/>
      <c r="R96" s="4114"/>
      <c r="S96" s="4884"/>
      <c r="T96" s="4775"/>
      <c r="U96" s="4775"/>
      <c r="V96" s="4115"/>
      <c r="W96" s="3066"/>
    </row>
    <row r="97" spans="2:23">
      <c r="B97" s="282"/>
      <c r="C97" s="3593" t="s">
        <v>259</v>
      </c>
      <c r="D97" s="3593">
        <v>0.09</v>
      </c>
      <c r="E97" s="3593" t="s">
        <v>559</v>
      </c>
      <c r="F97" s="3593" t="s">
        <v>257</v>
      </c>
      <c r="G97" s="3594">
        <v>0.95</v>
      </c>
      <c r="H97" s="3594">
        <v>0.95</v>
      </c>
      <c r="I97" s="4156">
        <f t="shared" si="11"/>
        <v>0.12081592180749344</v>
      </c>
      <c r="J97" s="3574">
        <v>30</v>
      </c>
      <c r="K97" s="4889" t="s">
        <v>560</v>
      </c>
      <c r="L97" s="3066"/>
      <c r="M97" s="4863"/>
      <c r="N97" s="4863"/>
      <c r="O97" s="4114"/>
      <c r="P97" s="4114"/>
      <c r="Q97" s="4114"/>
      <c r="R97" s="4114"/>
      <c r="S97" s="4884"/>
      <c r="T97" s="4775"/>
      <c r="U97" s="4775"/>
      <c r="V97" s="4115"/>
      <c r="W97" s="3066"/>
    </row>
    <row r="98" spans="2:23">
      <c r="B98" s="282"/>
      <c r="C98" s="3593" t="s">
        <v>261</v>
      </c>
      <c r="D98" s="3593">
        <v>0.06</v>
      </c>
      <c r="E98" s="3593" t="s">
        <v>559</v>
      </c>
      <c r="F98" s="3593" t="s">
        <v>257</v>
      </c>
      <c r="G98" s="4464">
        <v>0.7</v>
      </c>
      <c r="H98" s="4464">
        <v>0.7</v>
      </c>
      <c r="I98" s="4156">
        <f t="shared" si="11"/>
        <v>1.4165309157872371E-3</v>
      </c>
      <c r="J98" s="3574">
        <v>30</v>
      </c>
      <c r="K98" s="4889" t="s">
        <v>560</v>
      </c>
      <c r="L98" s="3066"/>
      <c r="M98" s="4863"/>
      <c r="N98" s="4863"/>
      <c r="O98" s="4114"/>
      <c r="P98" s="4114"/>
      <c r="Q98" s="4114"/>
      <c r="R98" s="4114"/>
      <c r="S98" s="4884"/>
      <c r="T98" s="4775"/>
      <c r="U98" s="4775"/>
      <c r="V98" s="4115"/>
      <c r="W98" s="3066"/>
    </row>
    <row r="99" spans="2:23">
      <c r="B99" s="282"/>
      <c r="C99" s="3593" t="s">
        <v>262</v>
      </c>
      <c r="D99" s="3593">
        <v>0.06</v>
      </c>
      <c r="E99" s="3593" t="s">
        <v>559</v>
      </c>
      <c r="F99" s="3593" t="s">
        <v>257</v>
      </c>
      <c r="G99" s="4464">
        <v>0.7</v>
      </c>
      <c r="H99" s="4464">
        <v>0.7</v>
      </c>
      <c r="I99" s="4156">
        <f t="shared" si="11"/>
        <v>0.14165309157872372</v>
      </c>
      <c r="J99" s="3574">
        <v>30</v>
      </c>
      <c r="K99" s="4889" t="s">
        <v>560</v>
      </c>
      <c r="L99" s="3066"/>
      <c r="M99" s="4863"/>
      <c r="N99" s="4863"/>
      <c r="O99" s="4114"/>
      <c r="P99" s="4114"/>
      <c r="Q99" s="4114"/>
      <c r="R99" s="4114"/>
      <c r="S99" s="4884"/>
      <c r="T99" s="4775"/>
      <c r="U99" s="4775"/>
      <c r="V99" s="4115"/>
      <c r="W99" s="3066"/>
    </row>
    <row r="100" spans="2:23">
      <c r="B100" s="282"/>
      <c r="C100" s="4458" t="s">
        <v>265</v>
      </c>
      <c r="D100" s="4458">
        <v>7.0000000000000007E-2</v>
      </c>
      <c r="E100" s="3593" t="s">
        <v>559</v>
      </c>
      <c r="F100" s="3593" t="s">
        <v>257</v>
      </c>
      <c r="G100" s="4466">
        <v>1.42</v>
      </c>
      <c r="H100" s="4466">
        <v>0.95</v>
      </c>
      <c r="I100" s="4156">
        <f t="shared" si="11"/>
        <v>0</v>
      </c>
      <c r="J100" s="3574">
        <v>30</v>
      </c>
      <c r="K100" s="4889" t="s">
        <v>560</v>
      </c>
      <c r="L100" s="3066"/>
      <c r="M100" s="4863"/>
      <c r="N100" s="4863"/>
      <c r="O100" s="4114"/>
      <c r="P100" s="4114"/>
      <c r="Q100" s="4114"/>
      <c r="R100" s="4114"/>
      <c r="S100" s="4884"/>
      <c r="T100" s="4775"/>
      <c r="U100" s="4775"/>
      <c r="V100" s="4115"/>
      <c r="W100" s="3066"/>
    </row>
    <row r="101" spans="2:23">
      <c r="B101" s="282"/>
      <c r="C101" s="4458" t="s">
        <v>267</v>
      </c>
      <c r="D101" s="4458">
        <v>7.0000000000000007E-2</v>
      </c>
      <c r="E101" s="3593" t="s">
        <v>559</v>
      </c>
      <c r="F101" s="3593" t="s">
        <v>257</v>
      </c>
      <c r="G101" s="4466">
        <v>1.42</v>
      </c>
      <c r="H101" s="4466">
        <v>0.95</v>
      </c>
      <c r="I101" s="4156">
        <f t="shared" si="11"/>
        <v>0</v>
      </c>
      <c r="J101" s="3574">
        <v>30</v>
      </c>
      <c r="K101" s="4889" t="s">
        <v>560</v>
      </c>
      <c r="L101" s="3066"/>
      <c r="M101" s="4863"/>
      <c r="N101" s="4863"/>
      <c r="O101" s="4114"/>
      <c r="P101" s="4114"/>
      <c r="Q101" s="4114"/>
      <c r="R101" s="4114"/>
      <c r="S101" s="4884"/>
      <c r="T101" s="4775"/>
      <c r="U101" s="4775"/>
      <c r="V101" s="4115"/>
      <c r="W101" s="3066"/>
    </row>
    <row r="102" spans="2:23">
      <c r="B102" s="282"/>
      <c r="C102" s="4458" t="s">
        <v>263</v>
      </c>
      <c r="D102" s="4458">
        <v>0.02</v>
      </c>
      <c r="E102" s="3593" t="s">
        <v>559</v>
      </c>
      <c r="F102" s="3593" t="s">
        <v>257</v>
      </c>
      <c r="G102" s="4466">
        <v>0.95</v>
      </c>
      <c r="H102" s="4466">
        <v>0.95</v>
      </c>
      <c r="I102" s="4156">
        <f t="shared" si="11"/>
        <v>0</v>
      </c>
      <c r="J102" s="3574">
        <v>30</v>
      </c>
      <c r="K102" s="4889" t="s">
        <v>560</v>
      </c>
      <c r="L102" s="3066"/>
      <c r="M102" s="4863"/>
      <c r="N102" s="4863"/>
      <c r="O102" s="4114"/>
      <c r="P102" s="4114"/>
      <c r="Q102" s="4114"/>
      <c r="R102" s="4114"/>
      <c r="S102" s="4884"/>
      <c r="T102" s="4775"/>
      <c r="U102" s="4775"/>
      <c r="V102" s="4115"/>
      <c r="W102" s="3066"/>
    </row>
    <row r="103" spans="2:23">
      <c r="B103" s="282"/>
      <c r="C103" s="4458" t="s">
        <v>264</v>
      </c>
      <c r="D103" s="4458">
        <v>0.02</v>
      </c>
      <c r="E103" s="3593" t="s">
        <v>559</v>
      </c>
      <c r="F103" s="3593" t="s">
        <v>257</v>
      </c>
      <c r="G103" s="4466">
        <v>0.95</v>
      </c>
      <c r="H103" s="4466">
        <v>0.95</v>
      </c>
      <c r="I103" s="4156">
        <f t="shared" si="11"/>
        <v>0</v>
      </c>
      <c r="J103" s="3574">
        <v>30</v>
      </c>
      <c r="K103" s="4889" t="s">
        <v>560</v>
      </c>
      <c r="L103" s="3066"/>
      <c r="M103" s="4863"/>
      <c r="N103" s="4863"/>
      <c r="O103" s="4114"/>
      <c r="P103" s="4114"/>
      <c r="Q103" s="4114"/>
      <c r="R103" s="4114"/>
      <c r="S103" s="4884"/>
      <c r="T103" s="4775"/>
      <c r="U103" s="4775"/>
      <c r="V103" s="4115"/>
      <c r="W103" s="3066"/>
    </row>
    <row r="104" spans="2:23">
      <c r="B104" s="282"/>
      <c r="C104" s="4458" t="s">
        <v>269</v>
      </c>
      <c r="D104" s="4458">
        <v>0.1</v>
      </c>
      <c r="E104" s="3593" t="s">
        <v>559</v>
      </c>
      <c r="F104" s="3593" t="s">
        <v>257</v>
      </c>
      <c r="G104" s="4466">
        <v>2</v>
      </c>
      <c r="H104" s="4466">
        <v>0.95</v>
      </c>
      <c r="I104" s="4156">
        <f t="shared" si="11"/>
        <v>0</v>
      </c>
      <c r="J104" s="3574">
        <v>30</v>
      </c>
      <c r="K104" s="4889" t="s">
        <v>560</v>
      </c>
      <c r="L104" s="3066"/>
      <c r="M104" s="4863"/>
      <c r="N104" s="4863"/>
      <c r="O104" s="4114"/>
      <c r="P104" s="4114"/>
      <c r="Q104" s="4114"/>
      <c r="R104" s="4114"/>
      <c r="S104" s="4884"/>
      <c r="T104" s="4775"/>
      <c r="U104" s="4775"/>
      <c r="V104" s="4115"/>
      <c r="W104" s="3066"/>
    </row>
    <row r="105" spans="2:23">
      <c r="B105" s="282"/>
      <c r="C105" s="4458" t="s">
        <v>270</v>
      </c>
      <c r="D105" s="4458">
        <v>0.1</v>
      </c>
      <c r="E105" s="3593" t="s">
        <v>559</v>
      </c>
      <c r="F105" s="3593" t="s">
        <v>257</v>
      </c>
      <c r="G105" s="4466">
        <v>2</v>
      </c>
      <c r="H105" s="4466">
        <v>0.95</v>
      </c>
      <c r="I105" s="4156">
        <f t="shared" si="11"/>
        <v>0</v>
      </c>
      <c r="J105" s="3574">
        <v>30</v>
      </c>
      <c r="K105" s="4889" t="s">
        <v>560</v>
      </c>
      <c r="L105" s="3066"/>
      <c r="M105" s="4863"/>
      <c r="N105" s="4863"/>
      <c r="O105" s="4114"/>
      <c r="P105" s="4114"/>
      <c r="Q105" s="4114"/>
      <c r="R105" s="4114"/>
      <c r="S105" s="4884"/>
      <c r="T105" s="4775"/>
      <c r="U105" s="4775"/>
      <c r="V105" s="4115"/>
      <c r="W105" s="3066"/>
    </row>
    <row r="106" spans="2:23">
      <c r="B106" s="282"/>
      <c r="C106" s="3593" t="s">
        <v>271</v>
      </c>
      <c r="D106" s="3595">
        <v>0.04</v>
      </c>
      <c r="E106" s="3593" t="s">
        <v>559</v>
      </c>
      <c r="F106" s="3593" t="s">
        <v>257</v>
      </c>
      <c r="G106" s="4466">
        <v>0.95</v>
      </c>
      <c r="H106" s="4466">
        <v>0.7</v>
      </c>
      <c r="I106" s="4156">
        <f t="shared" si="11"/>
        <v>9.4435394385815798E-3</v>
      </c>
      <c r="J106" s="3574">
        <v>30</v>
      </c>
      <c r="K106" s="4889" t="s">
        <v>560</v>
      </c>
      <c r="L106" s="3066"/>
      <c r="M106" s="4863"/>
      <c r="N106" s="4863"/>
      <c r="O106" s="4114"/>
      <c r="P106" s="4114"/>
      <c r="Q106" s="4114"/>
      <c r="R106" s="4114"/>
      <c r="S106" s="4884"/>
      <c r="T106" s="4775"/>
      <c r="U106" s="4775"/>
      <c r="V106" s="4115"/>
      <c r="W106" s="3066"/>
    </row>
    <row r="107" spans="2:23">
      <c r="B107" s="282"/>
      <c r="C107" s="4458" t="s">
        <v>272</v>
      </c>
      <c r="D107" s="4460">
        <v>0.1</v>
      </c>
      <c r="E107" s="3593" t="s">
        <v>559</v>
      </c>
      <c r="F107" s="3593" t="s">
        <v>257</v>
      </c>
      <c r="G107" s="4466">
        <v>2</v>
      </c>
      <c r="H107" s="4466">
        <v>0.95</v>
      </c>
      <c r="I107" s="4156">
        <f t="shared" si="11"/>
        <v>0</v>
      </c>
      <c r="J107" s="3574">
        <v>25</v>
      </c>
      <c r="K107" s="4889" t="s">
        <v>560</v>
      </c>
      <c r="L107" s="3066"/>
      <c r="M107" s="4863"/>
      <c r="N107" s="4863"/>
      <c r="O107" s="4114"/>
      <c r="P107" s="4114"/>
      <c r="Q107" s="4114"/>
      <c r="R107" s="4114"/>
      <c r="S107" s="4884"/>
      <c r="T107" s="4775"/>
      <c r="U107" s="4775"/>
      <c r="V107" s="4115"/>
      <c r="W107" s="3066"/>
    </row>
    <row r="108" spans="2:23">
      <c r="B108" s="282"/>
      <c r="C108" s="4458" t="s">
        <v>273</v>
      </c>
      <c r="D108" s="4460">
        <v>7.0000000000000007E-2</v>
      </c>
      <c r="E108" s="3593" t="s">
        <v>559</v>
      </c>
      <c r="F108" s="3593" t="s">
        <v>257</v>
      </c>
      <c r="G108" s="4466">
        <v>1.5</v>
      </c>
      <c r="H108" s="4466">
        <v>0.95</v>
      </c>
      <c r="I108" s="4156">
        <f t="shared" si="11"/>
        <v>0</v>
      </c>
      <c r="J108" s="3574">
        <v>25</v>
      </c>
      <c r="K108" s="4889" t="s">
        <v>560</v>
      </c>
      <c r="L108" s="3066"/>
      <c r="M108" s="4863"/>
      <c r="N108" s="4863"/>
      <c r="O108" s="4114"/>
      <c r="P108" s="4114"/>
      <c r="Q108" s="4114"/>
      <c r="R108" s="4114"/>
      <c r="S108" s="4884"/>
      <c r="T108" s="4775"/>
      <c r="U108" s="4775"/>
      <c r="V108" s="4115"/>
      <c r="W108" s="3066"/>
    </row>
    <row r="109" spans="2:23">
      <c r="B109" s="282"/>
      <c r="C109" s="4458" t="s">
        <v>268</v>
      </c>
      <c r="D109" s="4458">
        <v>0.05</v>
      </c>
      <c r="E109" s="3593" t="s">
        <v>559</v>
      </c>
      <c r="F109" s="3593" t="s">
        <v>257</v>
      </c>
      <c r="G109" s="4466">
        <v>0.95</v>
      </c>
      <c r="H109" s="4466">
        <v>0.95</v>
      </c>
      <c r="I109" s="4156">
        <f t="shared" si="11"/>
        <v>0</v>
      </c>
      <c r="J109" s="3574">
        <v>25</v>
      </c>
      <c r="K109" s="4889" t="s">
        <v>560</v>
      </c>
      <c r="L109" s="3066"/>
      <c r="M109" s="4863"/>
      <c r="N109" s="4863"/>
      <c r="O109" s="4114"/>
      <c r="P109" s="4114"/>
      <c r="Q109" s="4114"/>
      <c r="R109" s="4114"/>
      <c r="S109" s="4884"/>
      <c r="T109" s="4775"/>
      <c r="U109" s="4775"/>
      <c r="V109" s="4115"/>
      <c r="W109" s="3066"/>
    </row>
    <row r="110" spans="2:23">
      <c r="B110" s="282"/>
      <c r="C110" s="3593" t="s">
        <v>274</v>
      </c>
      <c r="D110" s="3595">
        <v>0.2</v>
      </c>
      <c r="E110" s="3593" t="s">
        <v>559</v>
      </c>
      <c r="F110" s="3593" t="s">
        <v>257</v>
      </c>
      <c r="G110" s="3594">
        <v>2.86</v>
      </c>
      <c r="H110" s="3594">
        <v>2.5</v>
      </c>
      <c r="I110" s="4156">
        <f t="shared" si="11"/>
        <v>5.6661236631489484E-4</v>
      </c>
      <c r="J110" s="3574">
        <v>30</v>
      </c>
      <c r="K110" s="4889" t="s">
        <v>560</v>
      </c>
      <c r="L110" s="3066"/>
      <c r="M110" s="4863"/>
      <c r="N110" s="4863"/>
      <c r="O110" s="4114"/>
      <c r="P110" s="4114"/>
      <c r="Q110" s="4114"/>
      <c r="R110" s="4114"/>
      <c r="S110" s="4884"/>
      <c r="T110" s="4775"/>
      <c r="U110" s="4775"/>
      <c r="V110" s="4115"/>
      <c r="W110" s="3066"/>
    </row>
    <row r="111" spans="2:23">
      <c r="B111" s="282"/>
      <c r="C111" s="3593" t="s">
        <v>275</v>
      </c>
      <c r="D111" s="3595">
        <v>0.2</v>
      </c>
      <c r="E111" s="3593" t="s">
        <v>559</v>
      </c>
      <c r="F111" s="3593" t="s">
        <v>257</v>
      </c>
      <c r="G111" s="3594">
        <v>2.86</v>
      </c>
      <c r="H111" s="3594">
        <v>2.5</v>
      </c>
      <c r="I111" s="4156">
        <f t="shared" si="11"/>
        <v>9.4435394385815802E-2</v>
      </c>
      <c r="J111" s="3574">
        <v>30</v>
      </c>
      <c r="K111" s="4889" t="s">
        <v>560</v>
      </c>
      <c r="L111" s="3066"/>
      <c r="M111" s="4863"/>
      <c r="N111" s="4863"/>
      <c r="O111" s="4114"/>
      <c r="P111" s="4114"/>
      <c r="Q111" s="4114"/>
      <c r="R111" s="4114"/>
      <c r="S111" s="4884"/>
      <c r="T111" s="4775"/>
      <c r="U111" s="4775"/>
      <c r="V111" s="4115"/>
      <c r="W111" s="3066"/>
    </row>
    <row r="112" spans="2:23">
      <c r="B112" s="282"/>
      <c r="C112" s="4458" t="s">
        <v>276</v>
      </c>
      <c r="D112" s="4460">
        <v>0.04</v>
      </c>
      <c r="E112" s="3593" t="s">
        <v>559</v>
      </c>
      <c r="F112" s="3593" t="s">
        <v>257</v>
      </c>
      <c r="G112" s="3594">
        <v>1.4</v>
      </c>
      <c r="H112" s="3594">
        <v>0.95</v>
      </c>
      <c r="I112" s="4156">
        <f t="shared" si="11"/>
        <v>0</v>
      </c>
      <c r="J112" s="3574">
        <v>30</v>
      </c>
      <c r="K112" s="4889" t="s">
        <v>560</v>
      </c>
      <c r="L112" s="3066"/>
      <c r="M112" s="4863"/>
      <c r="N112" s="4863"/>
      <c r="O112" s="4114"/>
      <c r="P112" s="4114"/>
      <c r="Q112" s="4114"/>
      <c r="R112" s="4114"/>
      <c r="S112" s="4884"/>
      <c r="T112" s="4775"/>
      <c r="U112" s="4775"/>
      <c r="V112" s="4115"/>
      <c r="W112" s="3066"/>
    </row>
    <row r="113" spans="2:23">
      <c r="B113" s="282"/>
      <c r="C113" s="4458" t="s">
        <v>277</v>
      </c>
      <c r="D113" s="4460">
        <v>0.04</v>
      </c>
      <c r="E113" s="3593" t="s">
        <v>559</v>
      </c>
      <c r="F113" s="3593" t="s">
        <v>257</v>
      </c>
      <c r="G113" s="3594">
        <v>1.71</v>
      </c>
      <c r="H113" s="3594">
        <v>0.95</v>
      </c>
      <c r="I113" s="4156">
        <f t="shared" si="11"/>
        <v>0</v>
      </c>
      <c r="J113" s="3574">
        <v>30</v>
      </c>
      <c r="K113" s="4889" t="s">
        <v>560</v>
      </c>
      <c r="L113" s="3066"/>
      <c r="M113" s="4863"/>
      <c r="N113" s="4863"/>
      <c r="O113" s="4114"/>
      <c r="P113" s="4114"/>
      <c r="Q113" s="4114"/>
      <c r="R113" s="4114"/>
      <c r="S113" s="4884"/>
      <c r="T113" s="4775"/>
      <c r="U113" s="4775"/>
      <c r="V113" s="4115"/>
      <c r="W113" s="3066"/>
    </row>
    <row r="114" spans="2:23">
      <c r="B114" s="282"/>
      <c r="C114" s="3593" t="s">
        <v>278</v>
      </c>
      <c r="D114" s="3595">
        <v>0.06</v>
      </c>
      <c r="E114" s="3593" t="s">
        <v>559</v>
      </c>
      <c r="F114" s="3593" t="s">
        <v>257</v>
      </c>
      <c r="G114" s="3594">
        <v>0.85</v>
      </c>
      <c r="H114" s="3594">
        <v>0.85</v>
      </c>
      <c r="I114" s="4156">
        <f t="shared" si="11"/>
        <v>1.4165309157872371E-3</v>
      </c>
      <c r="J114" s="3574">
        <v>30</v>
      </c>
      <c r="K114" s="4889" t="s">
        <v>560</v>
      </c>
      <c r="L114" s="3066"/>
      <c r="M114" s="4863"/>
      <c r="N114" s="4863"/>
      <c r="O114" s="4114"/>
      <c r="P114" s="4114"/>
      <c r="Q114" s="4114"/>
      <c r="R114" s="4114"/>
      <c r="S114" s="4884"/>
      <c r="T114" s="4775"/>
      <c r="U114" s="4775"/>
      <c r="V114" s="4115"/>
      <c r="W114" s="3066"/>
    </row>
    <row r="115" spans="2:23">
      <c r="B115" s="282"/>
      <c r="C115" s="3593" t="s">
        <v>280</v>
      </c>
      <c r="D115" s="4463">
        <v>0.06</v>
      </c>
      <c r="E115" s="3593" t="s">
        <v>559</v>
      </c>
      <c r="F115" s="3593" t="s">
        <v>257</v>
      </c>
      <c r="G115" s="3594">
        <v>0.8</v>
      </c>
      <c r="H115" s="3594">
        <v>0.8</v>
      </c>
      <c r="I115" s="4156">
        <f t="shared" si="11"/>
        <v>1.4165309157872371E-3</v>
      </c>
      <c r="J115" s="3574">
        <v>25</v>
      </c>
      <c r="K115" s="4889" t="s">
        <v>560</v>
      </c>
      <c r="L115" s="3066"/>
      <c r="M115" s="4863"/>
      <c r="N115" s="4863"/>
      <c r="O115" s="4114"/>
      <c r="P115" s="4114"/>
      <c r="Q115" s="4114"/>
      <c r="R115" s="4114"/>
      <c r="S115" s="4884"/>
      <c r="T115" s="4775"/>
      <c r="U115" s="4775"/>
      <c r="V115" s="4115"/>
      <c r="W115" s="3066"/>
    </row>
    <row r="116" spans="2:23">
      <c r="B116" s="282"/>
      <c r="C116" s="3593" t="s">
        <v>279</v>
      </c>
      <c r="D116" s="3595">
        <v>0.06</v>
      </c>
      <c r="E116" s="3593" t="s">
        <v>559</v>
      </c>
      <c r="F116" s="3593" t="s">
        <v>257</v>
      </c>
      <c r="G116" s="3594">
        <v>0.85</v>
      </c>
      <c r="H116" s="3594">
        <v>0.85</v>
      </c>
      <c r="I116" s="4156">
        <f t="shared" si="11"/>
        <v>4.2495927473617114E-2</v>
      </c>
      <c r="J116" s="3574">
        <v>30</v>
      </c>
      <c r="K116" s="4889" t="s">
        <v>560</v>
      </c>
      <c r="L116" s="3066"/>
      <c r="M116" s="4863"/>
      <c r="N116" s="4863"/>
      <c r="O116" s="4114"/>
      <c r="P116" s="4114"/>
      <c r="Q116" s="4114"/>
      <c r="R116" s="4114"/>
      <c r="S116" s="4884"/>
      <c r="T116" s="4775"/>
      <c r="U116" s="4775"/>
      <c r="V116" s="4115"/>
      <c r="W116" s="3066"/>
    </row>
    <row r="117" spans="2:23">
      <c r="B117" s="282"/>
      <c r="C117" s="4458" t="s">
        <v>283</v>
      </c>
      <c r="D117" s="4460">
        <v>0.03</v>
      </c>
      <c r="E117" s="3593" t="s">
        <v>559</v>
      </c>
      <c r="F117" s="3593" t="s">
        <v>257</v>
      </c>
      <c r="G117" s="4466">
        <v>0.95</v>
      </c>
      <c r="H117" s="4466">
        <v>0.95</v>
      </c>
      <c r="I117" s="4156">
        <f t="shared" si="11"/>
        <v>0</v>
      </c>
      <c r="J117" s="3574">
        <v>30</v>
      </c>
      <c r="K117" s="4889" t="s">
        <v>560</v>
      </c>
      <c r="L117" s="3066"/>
      <c r="M117" s="4863"/>
      <c r="N117" s="4863"/>
      <c r="O117" s="4114"/>
      <c r="P117" s="4114"/>
      <c r="Q117" s="4114"/>
      <c r="R117" s="4114"/>
      <c r="S117" s="4884"/>
      <c r="T117" s="4775"/>
      <c r="U117" s="4775"/>
      <c r="V117" s="4115"/>
      <c r="W117" s="3066"/>
    </row>
    <row r="118" spans="2:23">
      <c r="B118" s="282"/>
      <c r="C118" s="4458" t="s">
        <v>284</v>
      </c>
      <c r="D118" s="4460">
        <v>0.05</v>
      </c>
      <c r="E118" s="3593" t="s">
        <v>559</v>
      </c>
      <c r="F118" s="3593" t="s">
        <v>257</v>
      </c>
      <c r="G118" s="4466">
        <v>0.95</v>
      </c>
      <c r="H118" s="4466">
        <v>0.95</v>
      </c>
      <c r="I118" s="4156">
        <f t="shared" si="11"/>
        <v>0</v>
      </c>
      <c r="J118" s="3574">
        <v>30</v>
      </c>
      <c r="K118" s="4889" t="s">
        <v>560</v>
      </c>
      <c r="L118" s="3066"/>
      <c r="M118" s="4863"/>
      <c r="N118" s="4863"/>
      <c r="O118" s="4114"/>
      <c r="P118" s="4114"/>
      <c r="Q118" s="4114"/>
      <c r="R118" s="4114"/>
      <c r="S118" s="4884"/>
      <c r="T118" s="4775"/>
      <c r="U118" s="4775"/>
      <c r="V118" s="4115"/>
      <c r="W118" s="3066"/>
    </row>
    <row r="119" spans="2:23">
      <c r="B119" s="282"/>
      <c r="C119" s="3593" t="s">
        <v>281</v>
      </c>
      <c r="D119" s="4463">
        <v>0.04</v>
      </c>
      <c r="E119" s="3593" t="s">
        <v>559</v>
      </c>
      <c r="F119" s="3593" t="s">
        <v>257</v>
      </c>
      <c r="G119" s="313">
        <v>0.7</v>
      </c>
      <c r="H119" s="313">
        <v>0.7</v>
      </c>
      <c r="I119" s="4156">
        <f t="shared" si="11"/>
        <v>1.8887078877163161E-3</v>
      </c>
      <c r="J119" s="3574">
        <v>25</v>
      </c>
      <c r="K119" s="4889" t="s">
        <v>560</v>
      </c>
      <c r="L119" s="3066"/>
      <c r="M119" s="4863"/>
      <c r="N119" s="4863"/>
      <c r="O119" s="4114"/>
      <c r="P119" s="4114"/>
      <c r="Q119" s="4114"/>
      <c r="R119" s="4114"/>
      <c r="S119" s="4884"/>
      <c r="T119" s="4775"/>
      <c r="U119" s="4775"/>
      <c r="V119" s="4115"/>
      <c r="W119" s="3066"/>
    </row>
    <row r="120" spans="2:23">
      <c r="B120" s="282"/>
      <c r="C120" s="4458" t="s">
        <v>282</v>
      </c>
      <c r="D120" s="4460">
        <v>0.03</v>
      </c>
      <c r="E120" s="3593" t="s">
        <v>559</v>
      </c>
      <c r="F120" s="3593" t="s">
        <v>257</v>
      </c>
      <c r="G120" s="4466">
        <v>0.75</v>
      </c>
      <c r="H120" s="4466">
        <v>0.75</v>
      </c>
      <c r="I120" s="4156">
        <f t="shared" si="11"/>
        <v>0</v>
      </c>
      <c r="J120" s="3574">
        <v>25</v>
      </c>
      <c r="K120" s="4889" t="s">
        <v>560</v>
      </c>
      <c r="L120" s="3066"/>
      <c r="M120" s="4863"/>
      <c r="N120" s="4863"/>
      <c r="O120" s="4114"/>
      <c r="P120" s="4114"/>
      <c r="Q120" s="4114"/>
      <c r="R120" s="4114"/>
      <c r="S120" s="4884"/>
      <c r="T120" s="4775"/>
      <c r="U120" s="4775"/>
      <c r="V120" s="4115"/>
      <c r="W120" s="3066"/>
    </row>
    <row r="121" spans="2:23">
      <c r="B121" s="282"/>
      <c r="C121" s="3593" t="s">
        <v>286</v>
      </c>
      <c r="D121" s="3595">
        <v>0.06</v>
      </c>
      <c r="E121" s="3593" t="s">
        <v>559</v>
      </c>
      <c r="F121" s="3593" t="s">
        <v>257</v>
      </c>
      <c r="G121" s="4464">
        <v>0.85</v>
      </c>
      <c r="H121" s="4464">
        <v>0.85</v>
      </c>
      <c r="I121" s="4156">
        <f t="shared" si="11"/>
        <v>1.4165309157872371E-3</v>
      </c>
      <c r="J121" s="3574">
        <v>30</v>
      </c>
      <c r="K121" s="4889" t="s">
        <v>560</v>
      </c>
      <c r="L121" s="3066"/>
      <c r="M121" s="4863"/>
      <c r="N121" s="4863"/>
      <c r="O121" s="4114"/>
      <c r="P121" s="4114"/>
      <c r="Q121" s="4114"/>
      <c r="R121" s="4114"/>
      <c r="S121" s="4884"/>
      <c r="T121" s="4775"/>
      <c r="U121" s="4775"/>
      <c r="V121" s="4115"/>
      <c r="W121" s="3066"/>
    </row>
    <row r="122" spans="2:23">
      <c r="B122" s="282"/>
      <c r="C122" s="3593" t="s">
        <v>288</v>
      </c>
      <c r="D122" s="4463">
        <v>0.08</v>
      </c>
      <c r="E122" s="3593" t="s">
        <v>559</v>
      </c>
      <c r="F122" s="3593" t="s">
        <v>257</v>
      </c>
      <c r="G122" s="4464">
        <v>0.8</v>
      </c>
      <c r="H122" s="4464">
        <v>0.8</v>
      </c>
      <c r="I122" s="4156">
        <f t="shared" si="11"/>
        <v>1.8887078877163161E-3</v>
      </c>
      <c r="J122" s="3574">
        <v>25</v>
      </c>
      <c r="K122" s="4889" t="s">
        <v>560</v>
      </c>
      <c r="L122" s="3066"/>
      <c r="M122" s="4863"/>
      <c r="N122" s="4863"/>
      <c r="O122" s="4114"/>
      <c r="P122" s="4114"/>
      <c r="Q122" s="4114"/>
      <c r="R122" s="4114"/>
      <c r="S122" s="4884"/>
      <c r="T122" s="4775"/>
      <c r="U122" s="4775"/>
      <c r="V122" s="4115"/>
      <c r="W122" s="3066"/>
    </row>
    <row r="123" spans="2:23">
      <c r="B123" s="282"/>
      <c r="C123" s="3593" t="s">
        <v>287</v>
      </c>
      <c r="D123" s="3595">
        <v>0.06</v>
      </c>
      <c r="E123" s="3593" t="s">
        <v>559</v>
      </c>
      <c r="F123" s="3593" t="s">
        <v>257</v>
      </c>
      <c r="G123" s="4464">
        <v>0.85</v>
      </c>
      <c r="H123" s="4464">
        <v>0.85</v>
      </c>
      <c r="I123" s="4156">
        <f t="shared" si="11"/>
        <v>0.14165309157872372</v>
      </c>
      <c r="J123" s="3574">
        <v>30</v>
      </c>
      <c r="K123" s="4889" t="s">
        <v>560</v>
      </c>
      <c r="L123" s="3066"/>
      <c r="M123" s="4863"/>
      <c r="N123" s="4863"/>
      <c r="O123" s="4114"/>
      <c r="P123" s="4114"/>
      <c r="Q123" s="4114"/>
      <c r="R123" s="4114"/>
      <c r="S123" s="4884"/>
      <c r="T123" s="4775"/>
      <c r="U123" s="4775"/>
      <c r="V123" s="4115"/>
      <c r="W123" s="3066"/>
    </row>
    <row r="124" spans="2:23">
      <c r="B124" s="282"/>
      <c r="C124" s="4458" t="s">
        <v>289</v>
      </c>
      <c r="D124" s="4460">
        <v>0.14000000000000001</v>
      </c>
      <c r="E124" s="3593" t="s">
        <v>559</v>
      </c>
      <c r="F124" s="3593" t="s">
        <v>257</v>
      </c>
      <c r="G124" s="4466">
        <v>1.5</v>
      </c>
      <c r="H124" s="4466">
        <v>1.5</v>
      </c>
      <c r="I124" s="4156">
        <f t="shared" si="11"/>
        <v>0</v>
      </c>
      <c r="J124" s="3574">
        <v>30</v>
      </c>
      <c r="K124" s="4889" t="s">
        <v>560</v>
      </c>
      <c r="L124" s="3066"/>
      <c r="M124" s="4863"/>
      <c r="N124" s="4863"/>
      <c r="O124" s="4114"/>
      <c r="P124" s="4114"/>
      <c r="Q124" s="4114"/>
      <c r="R124" s="4114"/>
      <c r="S124" s="4884"/>
      <c r="T124" s="4775"/>
      <c r="U124" s="4775"/>
      <c r="V124" s="4115"/>
      <c r="W124" s="3066"/>
    </row>
    <row r="125" spans="2:23">
      <c r="B125" s="282"/>
      <c r="C125" s="4458" t="s">
        <v>571</v>
      </c>
      <c r="D125" s="4460">
        <v>0.1</v>
      </c>
      <c r="E125" s="3593" t="s">
        <v>559</v>
      </c>
      <c r="F125" s="3593" t="s">
        <v>257</v>
      </c>
      <c r="G125" s="4466">
        <v>2</v>
      </c>
      <c r="H125" s="4466">
        <v>2</v>
      </c>
      <c r="I125" s="4156">
        <f t="shared" si="11"/>
        <v>0</v>
      </c>
      <c r="J125" s="3574">
        <v>30</v>
      </c>
      <c r="K125" s="4889" t="s">
        <v>560</v>
      </c>
      <c r="L125" s="3066"/>
      <c r="M125" s="4863"/>
      <c r="N125" s="4863"/>
      <c r="O125" s="4114"/>
      <c r="P125" s="4114"/>
      <c r="Q125" s="4114"/>
      <c r="R125" s="4114"/>
      <c r="S125" s="4884"/>
      <c r="T125" s="4775"/>
      <c r="U125" s="4775"/>
      <c r="V125" s="4115"/>
      <c r="W125" s="3066"/>
    </row>
    <row r="126" spans="2:23">
      <c r="B126" s="282"/>
      <c r="C126" s="3593" t="s">
        <v>290</v>
      </c>
      <c r="D126" s="3595">
        <v>6</v>
      </c>
      <c r="E126" s="3593" t="s">
        <v>559</v>
      </c>
      <c r="F126" s="3593" t="s">
        <v>186</v>
      </c>
      <c r="G126" s="4464">
        <v>25</v>
      </c>
      <c r="H126" s="4464">
        <v>25</v>
      </c>
      <c r="I126" s="4156">
        <f t="shared" si="11"/>
        <v>2.8330618315744742E-3</v>
      </c>
      <c r="J126" s="3574">
        <v>10</v>
      </c>
      <c r="K126" s="4889" t="s">
        <v>233</v>
      </c>
      <c r="L126" s="3066"/>
      <c r="M126" s="4863"/>
      <c r="N126" s="4863"/>
      <c r="O126" s="4114"/>
      <c r="P126" s="4114"/>
      <c r="Q126" s="4114"/>
      <c r="R126" s="4114"/>
      <c r="S126" s="4884"/>
      <c r="T126" s="4775"/>
      <c r="U126" s="4775"/>
      <c r="V126" s="4115"/>
      <c r="W126" s="3066"/>
    </row>
    <row r="127" spans="2:23">
      <c r="B127" s="282"/>
      <c r="C127" s="3593" t="s">
        <v>291</v>
      </c>
      <c r="D127" s="3595">
        <v>6</v>
      </c>
      <c r="E127" s="3593" t="s">
        <v>559</v>
      </c>
      <c r="F127" s="3593" t="s">
        <v>186</v>
      </c>
      <c r="G127" s="4464">
        <v>25</v>
      </c>
      <c r="H127" s="4464">
        <v>25</v>
      </c>
      <c r="I127" s="4156">
        <f t="shared" si="11"/>
        <v>2.8330618315744742E-3</v>
      </c>
      <c r="J127" s="3574">
        <v>10</v>
      </c>
      <c r="K127" s="4889" t="s">
        <v>233</v>
      </c>
      <c r="L127" s="3066"/>
      <c r="M127" s="4863"/>
      <c r="N127" s="4863"/>
      <c r="O127" s="4114"/>
      <c r="P127" s="4114"/>
      <c r="Q127" s="4114"/>
      <c r="R127" s="4114"/>
      <c r="S127" s="4884"/>
      <c r="T127" s="4775"/>
      <c r="U127" s="4775"/>
      <c r="V127" s="4115"/>
      <c r="W127" s="3066"/>
    </row>
    <row r="128" spans="2:23">
      <c r="B128" s="282"/>
      <c r="C128" s="3593" t="s">
        <v>292</v>
      </c>
      <c r="D128" s="3595">
        <v>6</v>
      </c>
      <c r="E128" s="3593" t="s">
        <v>559</v>
      </c>
      <c r="F128" s="3593" t="s">
        <v>186</v>
      </c>
      <c r="G128" s="4464">
        <v>25</v>
      </c>
      <c r="H128" s="4464">
        <v>25</v>
      </c>
      <c r="I128" s="4156">
        <f t="shared" si="11"/>
        <v>2.8330618315744742E-3</v>
      </c>
      <c r="J128" s="3574">
        <v>10</v>
      </c>
      <c r="K128" s="4889" t="s">
        <v>233</v>
      </c>
      <c r="L128" s="3066"/>
      <c r="M128" s="4863"/>
      <c r="N128" s="4863"/>
      <c r="O128" s="4114"/>
      <c r="P128" s="4114"/>
      <c r="Q128" s="4114"/>
      <c r="R128" s="4114"/>
      <c r="S128" s="4884"/>
      <c r="T128" s="4775"/>
      <c r="U128" s="4775"/>
      <c r="V128" s="4115"/>
      <c r="W128" s="3066"/>
    </row>
    <row r="129" spans="2:23">
      <c r="B129" s="282"/>
      <c r="C129" s="3593" t="s">
        <v>304</v>
      </c>
      <c r="D129" s="3595">
        <v>43</v>
      </c>
      <c r="E129" s="3593" t="s">
        <v>559</v>
      </c>
      <c r="F129" s="3593" t="s">
        <v>186</v>
      </c>
      <c r="G129" s="4464">
        <v>400</v>
      </c>
      <c r="H129" s="4464">
        <v>400</v>
      </c>
      <c r="I129" s="4156">
        <f t="shared" si="11"/>
        <v>3.0455414689425597E-2</v>
      </c>
      <c r="J129" s="3574">
        <v>20</v>
      </c>
      <c r="K129" s="4889" t="s">
        <v>560</v>
      </c>
      <c r="L129" s="3066"/>
      <c r="M129" s="4863"/>
      <c r="N129" s="4863"/>
      <c r="O129" s="4114"/>
      <c r="P129" s="4114"/>
      <c r="Q129" s="4114"/>
      <c r="R129" s="4114"/>
      <c r="S129" s="4884"/>
      <c r="T129" s="4775"/>
      <c r="U129" s="4775"/>
      <c r="V129" s="4115"/>
      <c r="W129" s="3066"/>
    </row>
    <row r="130" spans="2:23">
      <c r="B130" s="282"/>
      <c r="C130" s="3593" t="s">
        <v>305</v>
      </c>
      <c r="D130" s="3595">
        <v>50</v>
      </c>
      <c r="E130" s="3593" t="s">
        <v>559</v>
      </c>
      <c r="F130" s="3593" t="s">
        <v>186</v>
      </c>
      <c r="G130" s="4464">
        <v>400</v>
      </c>
      <c r="H130" s="4464">
        <v>400</v>
      </c>
      <c r="I130" s="4156">
        <f t="shared" si="11"/>
        <v>0.11804424298226976</v>
      </c>
      <c r="J130" s="3574">
        <v>20</v>
      </c>
      <c r="K130" s="4889" t="s">
        <v>560</v>
      </c>
      <c r="L130" s="3066"/>
      <c r="M130" s="4863"/>
      <c r="N130" s="4863"/>
      <c r="O130" s="4114"/>
      <c r="P130" s="4114"/>
      <c r="Q130" s="4114"/>
      <c r="R130" s="4114"/>
      <c r="S130" s="4884"/>
      <c r="T130" s="4775"/>
      <c r="U130" s="4775"/>
      <c r="V130" s="4115"/>
      <c r="W130" s="3066"/>
    </row>
    <row r="131" spans="2:23">
      <c r="B131" s="282"/>
      <c r="C131" s="3593" t="s">
        <v>306</v>
      </c>
      <c r="D131" s="4459">
        <v>0.04</v>
      </c>
      <c r="E131" s="3593" t="s">
        <v>559</v>
      </c>
      <c r="F131" s="3593" t="s">
        <v>303</v>
      </c>
      <c r="G131" s="4464">
        <v>0.44</v>
      </c>
      <c r="H131" s="4464">
        <v>0.44</v>
      </c>
      <c r="I131" s="4156">
        <f t="shared" si="11"/>
        <v>9.4435394385815798E-3</v>
      </c>
      <c r="J131" s="3574">
        <v>25</v>
      </c>
      <c r="K131" s="4889" t="s">
        <v>560</v>
      </c>
      <c r="L131" s="3066"/>
      <c r="M131" s="4863"/>
      <c r="N131" s="4863"/>
      <c r="O131" s="4114"/>
      <c r="P131" s="4114"/>
      <c r="Q131" s="4114"/>
      <c r="R131" s="4114"/>
      <c r="S131" s="4884"/>
      <c r="T131" s="4775"/>
      <c r="U131" s="4775"/>
      <c r="V131" s="4115"/>
      <c r="W131" s="3066"/>
    </row>
    <row r="132" spans="2:23">
      <c r="B132" s="282"/>
      <c r="C132" s="3593" t="s">
        <v>307</v>
      </c>
      <c r="D132" s="4463">
        <v>7.0000000000000007E-2</v>
      </c>
      <c r="E132" s="3593" t="s">
        <v>559</v>
      </c>
      <c r="F132" s="3593" t="s">
        <v>303</v>
      </c>
      <c r="G132" s="4577">
        <v>0.81</v>
      </c>
      <c r="H132" s="4577">
        <v>0.81</v>
      </c>
      <c r="I132" s="4156">
        <f t="shared" si="11"/>
        <v>1.6526194017517769E-2</v>
      </c>
      <c r="J132" s="3574">
        <v>20</v>
      </c>
      <c r="K132" s="4889" t="s">
        <v>560</v>
      </c>
      <c r="L132" s="3066"/>
      <c r="M132" s="4863"/>
      <c r="N132" s="4863"/>
      <c r="O132" s="4114"/>
      <c r="P132" s="4114"/>
      <c r="Q132" s="4114"/>
      <c r="R132" s="4114"/>
      <c r="S132" s="4884"/>
      <c r="T132" s="4775"/>
      <c r="U132" s="4775"/>
      <c r="V132" s="4115"/>
      <c r="W132" s="3066"/>
    </row>
    <row r="133" spans="2:23">
      <c r="B133" s="282"/>
      <c r="C133" s="4578" t="s">
        <v>308</v>
      </c>
      <c r="D133" s="4460">
        <v>0.08</v>
      </c>
      <c r="E133" s="3593" t="s">
        <v>559</v>
      </c>
      <c r="F133" s="3593" t="s">
        <v>303</v>
      </c>
      <c r="G133" s="4466">
        <v>0</v>
      </c>
      <c r="H133" s="4466">
        <v>0</v>
      </c>
      <c r="I133" s="4156">
        <f t="shared" si="11"/>
        <v>0</v>
      </c>
      <c r="J133" s="314">
        <v>20</v>
      </c>
      <c r="K133" s="4889" t="s">
        <v>560</v>
      </c>
      <c r="L133" s="3066"/>
      <c r="M133" s="4863"/>
      <c r="N133" s="4863"/>
      <c r="O133" s="4114"/>
      <c r="P133" s="4114"/>
      <c r="Q133" s="4114"/>
      <c r="R133" s="4114"/>
      <c r="S133" s="4884"/>
      <c r="T133" s="4775"/>
      <c r="U133" s="4775"/>
      <c r="V133" s="4115"/>
      <c r="W133" s="3066"/>
    </row>
    <row r="134" spans="2:23">
      <c r="B134" s="282"/>
      <c r="C134" s="3593" t="s">
        <v>319</v>
      </c>
      <c r="D134" s="3595">
        <v>0.9</v>
      </c>
      <c r="E134" s="3593" t="s">
        <v>559</v>
      </c>
      <c r="F134" s="3593" t="s">
        <v>186</v>
      </c>
      <c r="G134" s="3594">
        <v>5.5</v>
      </c>
      <c r="H134" s="3594">
        <v>5.5</v>
      </c>
      <c r="I134" s="4156">
        <f t="shared" si="11"/>
        <v>8.4991854947234224E-5</v>
      </c>
      <c r="J134" s="3574">
        <v>15</v>
      </c>
      <c r="K134" s="4889" t="s">
        <v>233</v>
      </c>
      <c r="L134" s="3066"/>
      <c r="M134" s="4863"/>
      <c r="N134" s="4863"/>
      <c r="O134" s="4114"/>
      <c r="P134" s="4114"/>
      <c r="Q134" s="4114"/>
      <c r="R134" s="4114"/>
      <c r="S134" s="4884"/>
      <c r="T134" s="4775"/>
      <c r="U134" s="4775"/>
      <c r="V134" s="4115"/>
      <c r="W134" s="3066"/>
    </row>
    <row r="135" spans="2:23">
      <c r="B135" s="282"/>
      <c r="C135" s="3593" t="s">
        <v>320</v>
      </c>
      <c r="D135" s="3595">
        <v>0.9</v>
      </c>
      <c r="E135" s="3593" t="s">
        <v>559</v>
      </c>
      <c r="F135" s="3593" t="s">
        <v>186</v>
      </c>
      <c r="G135" s="3594">
        <v>5.5</v>
      </c>
      <c r="H135" s="3594">
        <v>5.5</v>
      </c>
      <c r="I135" s="4156">
        <f t="shared" si="11"/>
        <v>4.2495927473617113E-4</v>
      </c>
      <c r="J135" s="3574">
        <v>15</v>
      </c>
      <c r="K135" s="4889" t="s">
        <v>233</v>
      </c>
      <c r="L135" s="3066"/>
      <c r="M135" s="4863"/>
      <c r="N135" s="4863"/>
      <c r="O135" s="4114"/>
      <c r="P135" s="4114"/>
      <c r="Q135" s="4114"/>
      <c r="R135" s="4114"/>
      <c r="S135" s="4884"/>
      <c r="T135" s="4775"/>
      <c r="U135" s="4775"/>
      <c r="V135" s="4115"/>
      <c r="W135" s="3066"/>
    </row>
    <row r="136" spans="2:23">
      <c r="B136" s="282"/>
      <c r="C136" s="3593" t="s">
        <v>321</v>
      </c>
      <c r="D136" s="3595">
        <v>0.9</v>
      </c>
      <c r="E136" s="3593" t="s">
        <v>559</v>
      </c>
      <c r="F136" s="3593" t="s">
        <v>186</v>
      </c>
      <c r="G136" s="3594">
        <v>5.5</v>
      </c>
      <c r="H136" s="3594">
        <v>5.5</v>
      </c>
      <c r="I136" s="4156">
        <f t="shared" si="11"/>
        <v>4.2495927473617113E-4</v>
      </c>
      <c r="J136" s="3574">
        <v>15</v>
      </c>
      <c r="K136" s="4889" t="s">
        <v>233</v>
      </c>
      <c r="L136" s="3066"/>
      <c r="M136" s="4863"/>
      <c r="N136" s="4863"/>
      <c r="O136" s="4114"/>
      <c r="P136" s="4114"/>
      <c r="Q136" s="4114"/>
      <c r="R136" s="4114"/>
      <c r="S136" s="4884"/>
      <c r="T136" s="4775"/>
      <c r="U136" s="4775"/>
      <c r="V136" s="4115"/>
      <c r="W136" s="3066"/>
    </row>
    <row r="137" spans="2:23">
      <c r="B137" s="282"/>
      <c r="C137" s="4458" t="s">
        <v>325</v>
      </c>
      <c r="D137" s="4460">
        <v>0.83</v>
      </c>
      <c r="E137" s="3593" t="s">
        <v>559</v>
      </c>
      <c r="F137" s="3593" t="s">
        <v>257</v>
      </c>
      <c r="G137" s="4466">
        <v>21.64</v>
      </c>
      <c r="H137" s="4466">
        <v>9</v>
      </c>
      <c r="I137" s="4156">
        <f t="shared" si="11"/>
        <v>0</v>
      </c>
      <c r="J137" s="3574">
        <v>30</v>
      </c>
      <c r="K137" s="4889" t="s">
        <v>560</v>
      </c>
      <c r="L137" s="3066"/>
      <c r="M137" s="4863"/>
      <c r="N137" s="4863"/>
      <c r="O137" s="4114"/>
      <c r="P137" s="4114"/>
      <c r="Q137" s="4114"/>
      <c r="R137" s="4114"/>
      <c r="S137" s="4884"/>
      <c r="T137" s="4775"/>
      <c r="U137" s="4775"/>
      <c r="V137" s="4115"/>
      <c r="W137" s="3066"/>
    </row>
    <row r="138" spans="2:23">
      <c r="B138" s="282"/>
      <c r="C138" s="4458" t="s">
        <v>326</v>
      </c>
      <c r="D138" s="4460">
        <v>0.81</v>
      </c>
      <c r="E138" s="3593" t="s">
        <v>559</v>
      </c>
      <c r="F138" s="3593" t="s">
        <v>257</v>
      </c>
      <c r="G138" s="4466">
        <v>21.64</v>
      </c>
      <c r="H138" s="4466">
        <v>9</v>
      </c>
      <c r="I138" s="4156">
        <f t="shared" si="11"/>
        <v>0</v>
      </c>
      <c r="J138" s="3574">
        <v>25</v>
      </c>
      <c r="K138" s="4889" t="s">
        <v>560</v>
      </c>
      <c r="L138" s="3066"/>
      <c r="M138" s="4863"/>
      <c r="N138" s="4863"/>
      <c r="O138" s="4114"/>
      <c r="P138" s="4114"/>
      <c r="Q138" s="4114"/>
      <c r="R138" s="4114"/>
      <c r="S138" s="4884"/>
      <c r="T138" s="4775"/>
      <c r="U138" s="4775"/>
      <c r="V138" s="4115"/>
      <c r="W138" s="3066"/>
    </row>
    <row r="139" spans="2:23">
      <c r="B139" s="282"/>
      <c r="C139" s="4458" t="s">
        <v>327</v>
      </c>
      <c r="D139" s="4460">
        <v>0.87</v>
      </c>
      <c r="E139" s="3593" t="s">
        <v>559</v>
      </c>
      <c r="F139" s="3593" t="s">
        <v>257</v>
      </c>
      <c r="G139" s="4466">
        <v>21.64</v>
      </c>
      <c r="H139" s="4466">
        <v>10</v>
      </c>
      <c r="I139" s="4156">
        <f t="shared" si="11"/>
        <v>0</v>
      </c>
      <c r="J139" s="3574">
        <v>30</v>
      </c>
      <c r="K139" s="4889" t="s">
        <v>560</v>
      </c>
      <c r="L139" s="3066"/>
      <c r="M139" s="4863"/>
      <c r="N139" s="4863"/>
      <c r="O139" s="4114"/>
      <c r="P139" s="4114"/>
      <c r="Q139" s="4114"/>
      <c r="R139" s="4114"/>
      <c r="S139" s="4884"/>
      <c r="T139" s="4775"/>
      <c r="U139" s="4775"/>
      <c r="V139" s="4115"/>
      <c r="W139" s="3066"/>
    </row>
    <row r="140" spans="2:23">
      <c r="B140" s="282"/>
      <c r="C140" s="4458" t="s">
        <v>328</v>
      </c>
      <c r="D140" s="4460">
        <v>0.96</v>
      </c>
      <c r="E140" s="3593" t="s">
        <v>559</v>
      </c>
      <c r="F140" s="3593" t="s">
        <v>257</v>
      </c>
      <c r="G140" s="4466">
        <v>26.62</v>
      </c>
      <c r="H140" s="4466">
        <v>14</v>
      </c>
      <c r="I140" s="4156">
        <f t="shared" si="11"/>
        <v>0</v>
      </c>
      <c r="J140" s="3574">
        <v>30</v>
      </c>
      <c r="K140" s="4889" t="s">
        <v>560</v>
      </c>
      <c r="L140" s="3066"/>
      <c r="M140" s="4863"/>
      <c r="N140" s="4863"/>
      <c r="O140" s="4114"/>
      <c r="P140" s="4114"/>
      <c r="Q140" s="4114"/>
      <c r="R140" s="4114"/>
      <c r="S140" s="4884"/>
      <c r="T140" s="4775"/>
      <c r="U140" s="4775"/>
      <c r="V140" s="4115"/>
      <c r="W140" s="3066"/>
    </row>
    <row r="141" spans="2:23">
      <c r="B141" s="282"/>
      <c r="C141" s="4458" t="s">
        <v>329</v>
      </c>
      <c r="D141" s="4460">
        <v>0.92</v>
      </c>
      <c r="E141" s="3593" t="s">
        <v>559</v>
      </c>
      <c r="F141" s="3593" t="s">
        <v>257</v>
      </c>
      <c r="G141" s="4466">
        <v>26.62</v>
      </c>
      <c r="H141" s="4466">
        <v>14</v>
      </c>
      <c r="I141" s="4156">
        <f t="shared" si="11"/>
        <v>0</v>
      </c>
      <c r="J141" s="3574">
        <v>30</v>
      </c>
      <c r="K141" s="4889" t="s">
        <v>560</v>
      </c>
      <c r="L141" s="3066"/>
      <c r="M141" s="4863"/>
      <c r="N141" s="4863"/>
      <c r="O141" s="4114"/>
      <c r="P141" s="4114"/>
      <c r="Q141" s="4114"/>
      <c r="R141" s="4114"/>
      <c r="S141" s="4884"/>
      <c r="T141" s="4775"/>
      <c r="U141" s="4775"/>
      <c r="V141" s="4115"/>
      <c r="W141" s="3066"/>
    </row>
    <row r="142" spans="2:23">
      <c r="B142" s="282"/>
      <c r="C142" s="4542" t="s">
        <v>338</v>
      </c>
      <c r="D142" s="4462">
        <v>0</v>
      </c>
      <c r="E142" s="3593" t="s">
        <v>559</v>
      </c>
      <c r="F142" s="3593" t="s">
        <v>186</v>
      </c>
      <c r="G142" s="313">
        <v>0</v>
      </c>
      <c r="H142" s="313">
        <v>0</v>
      </c>
      <c r="I142" s="4145">
        <f t="shared" si="11"/>
        <v>0</v>
      </c>
      <c r="J142" s="314">
        <v>1</v>
      </c>
      <c r="K142" s="4889" t="s">
        <v>560</v>
      </c>
      <c r="L142" s="3066"/>
      <c r="M142" s="4863"/>
      <c r="N142" s="4863"/>
      <c r="O142" s="4114"/>
      <c r="P142" s="4114"/>
      <c r="Q142" s="4114"/>
      <c r="R142" s="4114"/>
      <c r="S142" s="4884"/>
      <c r="T142" s="4775"/>
      <c r="U142" s="4775"/>
      <c r="V142" s="4115"/>
      <c r="W142" s="3066"/>
    </row>
    <row r="143" spans="2:23">
      <c r="B143" s="282"/>
      <c r="C143" s="4578" t="s">
        <v>1154</v>
      </c>
      <c r="D143" s="4460">
        <v>3300</v>
      </c>
      <c r="E143" s="3593" t="s">
        <v>559</v>
      </c>
      <c r="F143" s="3593" t="s">
        <v>186</v>
      </c>
      <c r="G143" s="4466">
        <v>0</v>
      </c>
      <c r="H143" s="4466">
        <v>61572</v>
      </c>
      <c r="I143" s="4145">
        <f t="shared" si="11"/>
        <v>0</v>
      </c>
      <c r="J143" s="314">
        <v>1</v>
      </c>
      <c r="K143" s="4889" t="s">
        <v>560</v>
      </c>
      <c r="L143" s="3066"/>
      <c r="M143" s="4863"/>
      <c r="N143" s="4863"/>
      <c r="O143" s="4114"/>
      <c r="P143" s="4114"/>
      <c r="Q143" s="4114"/>
      <c r="R143" s="4114"/>
      <c r="S143" s="4884"/>
      <c r="T143" s="4775"/>
      <c r="U143" s="4775"/>
      <c r="V143" s="4115"/>
      <c r="W143" s="3066"/>
    </row>
    <row r="144" spans="2:23">
      <c r="B144" s="282"/>
      <c r="C144" s="312" t="s">
        <v>1288</v>
      </c>
      <c r="D144" s="4462">
        <v>3300</v>
      </c>
      <c r="E144" s="3593" t="s">
        <v>559</v>
      </c>
      <c r="F144" s="3593" t="s">
        <v>186</v>
      </c>
      <c r="G144" s="313">
        <v>0</v>
      </c>
      <c r="H144" s="4465">
        <v>61572</v>
      </c>
      <c r="I144" s="4145">
        <v>0</v>
      </c>
      <c r="J144" s="314">
        <v>1</v>
      </c>
      <c r="K144" s="4889" t="s">
        <v>560</v>
      </c>
      <c r="L144" s="3066"/>
      <c r="M144" s="4863"/>
      <c r="N144" s="4863"/>
      <c r="O144" s="4114"/>
      <c r="P144" s="4114"/>
      <c r="Q144" s="4114"/>
      <c r="R144" s="4114"/>
      <c r="S144" s="4884"/>
      <c r="T144" s="4775"/>
      <c r="U144" s="4775"/>
      <c r="V144" s="4115"/>
      <c r="W144" s="3066"/>
    </row>
    <row r="145" spans="3:23">
      <c r="C145" s="4523" t="s">
        <v>129</v>
      </c>
      <c r="D145" s="4462">
        <v>1</v>
      </c>
      <c r="E145" s="3593" t="s">
        <v>559</v>
      </c>
      <c r="F145" s="3593" t="s">
        <v>186</v>
      </c>
      <c r="G145" s="313">
        <v>0</v>
      </c>
      <c r="H145" s="313">
        <v>0</v>
      </c>
      <c r="I145" s="4145">
        <v>0</v>
      </c>
      <c r="J145" s="314">
        <v>1</v>
      </c>
      <c r="K145" s="4889" t="s">
        <v>560</v>
      </c>
      <c r="L145" s="3066"/>
      <c r="M145" s="4863"/>
      <c r="N145" s="4863"/>
      <c r="O145" s="4114"/>
      <c r="P145" s="4114"/>
      <c r="Q145" s="4114"/>
      <c r="R145" s="4114"/>
      <c r="S145" s="4884"/>
      <c r="T145" s="4775"/>
      <c r="U145" s="4775"/>
      <c r="V145" s="4115"/>
      <c r="W145" s="3066"/>
    </row>
    <row r="146" spans="3:23">
      <c r="G146" s="3596" t="e">
        <f>SUMPRODUCT(G85:G145,O13:O72)</f>
        <v>#VALUE!</v>
      </c>
      <c r="H146" s="3597">
        <f>V146</f>
        <v>0</v>
      </c>
      <c r="I146" s="3598">
        <f>SUM(I85:I145)</f>
        <v>0.84418159926340408</v>
      </c>
      <c r="L146" s="3066"/>
      <c r="M146" s="4863"/>
      <c r="N146" s="4863"/>
      <c r="O146" s="4885"/>
      <c r="P146" s="4885"/>
      <c r="Q146" s="4885"/>
      <c r="R146" s="4885"/>
      <c r="S146" s="4886"/>
      <c r="T146" s="4887"/>
      <c r="U146" s="4887"/>
      <c r="V146" s="4887"/>
      <c r="W146" s="4876"/>
    </row>
    <row r="147" spans="3:23">
      <c r="L147" s="3066"/>
      <c r="M147" s="3066"/>
      <c r="N147" s="3066"/>
      <c r="O147" s="3066"/>
      <c r="P147" s="3066"/>
      <c r="Q147" s="3066"/>
      <c r="R147" s="3066"/>
      <c r="S147" s="3066"/>
      <c r="T147" s="3066"/>
      <c r="U147" s="3066"/>
      <c r="V147" s="3066"/>
      <c r="W147" s="3066"/>
    </row>
    <row r="148" spans="3:23">
      <c r="L148" s="3066"/>
      <c r="M148" s="3066"/>
      <c r="N148" s="3066"/>
      <c r="O148" s="3066"/>
      <c r="P148" s="3066"/>
      <c r="Q148" s="3066"/>
      <c r="R148" s="3066"/>
      <c r="S148" s="3066"/>
      <c r="T148" s="3066"/>
      <c r="U148" s="3066"/>
      <c r="V148" s="3066"/>
      <c r="W148" s="3066"/>
    </row>
    <row r="149" spans="3:23">
      <c r="L149" s="3066"/>
      <c r="M149" s="3066"/>
      <c r="N149" s="3066"/>
      <c r="O149" s="3066"/>
      <c r="P149" s="3066"/>
      <c r="Q149" s="3066"/>
      <c r="R149" s="3066"/>
      <c r="S149" s="3066"/>
      <c r="T149" s="3066"/>
      <c r="U149" s="3066"/>
      <c r="V149" s="3066"/>
      <c r="W149" s="3066"/>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23" top="0.34" bottom="0.34" header="0.3" footer="0.3"/>
      <pageSetup paperSize="17" scale="39"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38" orientation="landscape"/>
    </customSheetView>
  </customSheetViews>
  <mergeCells count="15">
    <mergeCell ref="B83:K83"/>
    <mergeCell ref="L83:R83"/>
    <mergeCell ref="S83:U83"/>
    <mergeCell ref="C11:F11"/>
    <mergeCell ref="I11:L11"/>
    <mergeCell ref="M11:O11"/>
    <mergeCell ref="P11:R11"/>
    <mergeCell ref="I12:K12"/>
    <mergeCell ref="D82:H82"/>
    <mergeCell ref="Q2:R2"/>
    <mergeCell ref="S2:U2"/>
    <mergeCell ref="V2:V3"/>
    <mergeCell ref="D10:E10"/>
    <mergeCell ref="I10:L10"/>
    <mergeCell ref="M10:N10"/>
  </mergeCells>
  <pageMargins left="0.17" right="0.23" top="0.34" bottom="0.34" header="0.3" footer="0.3"/>
  <pageSetup paperSize="17" scale="37" orientation="landscape" r:id="rId2"/>
  <drawing r:id="rId3"/>
  <legacyDrawing r:id="rId4"/>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sheetPr enableFormatConditionsCalculation="0">
    <tabColor theme="7" tint="-0.249977111117893"/>
  </sheetPr>
  <dimension ref="A1"/>
  <sheetViews>
    <sheetView workbookViewId="0">
      <selection activeCell="K69" sqref="K69"/>
    </sheetView>
  </sheetViews>
  <sheetFormatPr defaultColWidth="8.85546875" defaultRowHeight="12.75"/>
  <sheetData>
    <row r="1" spans="1:1">
      <c r="A1" t="s">
        <v>106</v>
      </c>
    </row>
  </sheetData>
  <customSheetViews>
    <customSheetView guid="{074EB09C-6289-46D7-9513-012B68BCA7BF}">
      <selection activeCell="K69" sqref="K69"/>
      <pageMargins left="0.7" right="0.7" top="0.75" bottom="0.75" header="0.3" footer="0.3"/>
      <pageSetup orientation="portrait" r:id="rId1"/>
    </customSheetView>
    <customSheetView guid="{AF9F1D33-B8C2-423F-86A1-47612B8F532C}">
      <selection activeCell="K41" sqref="K41"/>
      <pageMargins left="0.7" right="0.7" top="0.75" bottom="0.75" header="0.3" footer="0.3"/>
      <pageSetup orientation="portrait"/>
    </customSheetView>
  </customSheetView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sheetPr enableFormatConditionsCalculation="0">
    <tabColor theme="7" tint="0.59999389629810485"/>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H45" sqref="H45"/>
    </sheetView>
  </sheetViews>
  <sheetFormatPr defaultColWidth="8.85546875" defaultRowHeight="12.75"/>
  <cols>
    <col min="1" max="1" width="16.42578125" style="3064" customWidth="1"/>
    <col min="2" max="2" width="20.28515625" customWidth="1"/>
    <col min="3" max="3" width="38.140625" customWidth="1"/>
    <col min="4" max="4" width="15.7109375" style="19" customWidth="1"/>
    <col min="5" max="5" width="15.7109375" customWidth="1"/>
    <col min="6" max="6" width="14.855468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19" width="15.42578125" bestFit="1" customWidth="1"/>
    <col min="20" max="20" width="20.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1.42578125" bestFit="1" customWidth="1"/>
    <col min="262" max="262" width="14.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5" width="15.42578125" bestFit="1" customWidth="1"/>
    <col min="276" max="276" width="20.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1.42578125" bestFit="1" customWidth="1"/>
    <col min="518" max="518" width="14.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1" width="15.42578125" bestFit="1" customWidth="1"/>
    <col min="532" max="532" width="20.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1.42578125" bestFit="1" customWidth="1"/>
    <col min="774" max="774" width="14.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7" width="15.42578125" bestFit="1" customWidth="1"/>
    <col min="788" max="788" width="20.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1.42578125" bestFit="1" customWidth="1"/>
    <col min="1030" max="1030" width="14.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3" width="15.42578125" bestFit="1" customWidth="1"/>
    <col min="1044" max="1044" width="20.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1.42578125" bestFit="1" customWidth="1"/>
    <col min="1286" max="1286" width="14.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299" width="15.42578125" bestFit="1" customWidth="1"/>
    <col min="1300" max="1300" width="20.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1.42578125" bestFit="1" customWidth="1"/>
    <col min="1542" max="1542" width="14.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5" width="15.42578125" bestFit="1" customWidth="1"/>
    <col min="1556" max="1556" width="20.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1.42578125" bestFit="1" customWidth="1"/>
    <col min="1798" max="1798" width="14.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1" width="15.42578125" bestFit="1" customWidth="1"/>
    <col min="1812" max="1812" width="20.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1.42578125" bestFit="1" customWidth="1"/>
    <col min="2054" max="2054" width="14.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7" width="15.42578125" bestFit="1" customWidth="1"/>
    <col min="2068" max="2068" width="20.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1.42578125" bestFit="1" customWidth="1"/>
    <col min="2310" max="2310" width="14.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3" width="15.42578125" bestFit="1" customWidth="1"/>
    <col min="2324" max="2324" width="20.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1.42578125" bestFit="1" customWidth="1"/>
    <col min="2566" max="2566" width="14.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79" width="15.42578125" bestFit="1" customWidth="1"/>
    <col min="2580" max="2580" width="20.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1.42578125" bestFit="1" customWidth="1"/>
    <col min="2822" max="2822" width="14.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5" width="15.42578125" bestFit="1" customWidth="1"/>
    <col min="2836" max="2836" width="20.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1.42578125" bestFit="1" customWidth="1"/>
    <col min="3078" max="3078" width="14.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1" width="15.42578125" bestFit="1" customWidth="1"/>
    <col min="3092" max="3092" width="20.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1.42578125" bestFit="1" customWidth="1"/>
    <col min="3334" max="3334" width="14.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7" width="15.42578125" bestFit="1" customWidth="1"/>
    <col min="3348" max="3348" width="20.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1.42578125" bestFit="1" customWidth="1"/>
    <col min="3590" max="3590" width="14.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3" width="15.42578125" bestFit="1" customWidth="1"/>
    <col min="3604" max="3604" width="20.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1.42578125" bestFit="1" customWidth="1"/>
    <col min="3846" max="3846" width="14.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59" width="15.42578125" bestFit="1" customWidth="1"/>
    <col min="3860" max="3860" width="20.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1.42578125" bestFit="1" customWidth="1"/>
    <col min="4102" max="4102" width="14.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5" width="15.42578125" bestFit="1" customWidth="1"/>
    <col min="4116" max="4116" width="20.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1.42578125" bestFit="1" customWidth="1"/>
    <col min="4358" max="4358" width="14.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1" width="15.42578125" bestFit="1" customWidth="1"/>
    <col min="4372" max="4372" width="20.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1.42578125" bestFit="1" customWidth="1"/>
    <col min="4614" max="4614" width="14.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7" width="15.42578125" bestFit="1" customWidth="1"/>
    <col min="4628" max="4628" width="20.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1.42578125" bestFit="1" customWidth="1"/>
    <col min="4870" max="4870" width="14.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3" width="15.42578125" bestFit="1" customWidth="1"/>
    <col min="4884" max="4884" width="20.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1.42578125" bestFit="1" customWidth="1"/>
    <col min="5126" max="5126" width="14.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39" width="15.42578125" bestFit="1" customWidth="1"/>
    <col min="5140" max="5140" width="20.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1.42578125" bestFit="1" customWidth="1"/>
    <col min="5382" max="5382" width="14.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5" width="15.42578125" bestFit="1" customWidth="1"/>
    <col min="5396" max="5396" width="20.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1.42578125" bestFit="1" customWidth="1"/>
    <col min="5638" max="5638" width="14.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1" width="15.42578125" bestFit="1" customWidth="1"/>
    <col min="5652" max="5652" width="20.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1.42578125" bestFit="1" customWidth="1"/>
    <col min="5894" max="5894" width="14.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7" width="15.42578125" bestFit="1" customWidth="1"/>
    <col min="5908" max="5908" width="20.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1.42578125" bestFit="1" customWidth="1"/>
    <col min="6150" max="6150" width="14.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3" width="15.42578125" bestFit="1" customWidth="1"/>
    <col min="6164" max="6164" width="20.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1.42578125" bestFit="1" customWidth="1"/>
    <col min="6406" max="6406" width="14.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19" width="15.42578125" bestFit="1" customWidth="1"/>
    <col min="6420" max="6420" width="20.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1.42578125" bestFit="1" customWidth="1"/>
    <col min="6662" max="6662" width="14.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5" width="15.42578125" bestFit="1" customWidth="1"/>
    <col min="6676" max="6676" width="20.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1.42578125" bestFit="1" customWidth="1"/>
    <col min="6918" max="6918" width="14.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1" width="15.42578125" bestFit="1" customWidth="1"/>
    <col min="6932" max="6932" width="20.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1.42578125" bestFit="1" customWidth="1"/>
    <col min="7174" max="7174" width="14.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7" width="15.42578125" bestFit="1" customWidth="1"/>
    <col min="7188" max="7188" width="20.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1.42578125" bestFit="1" customWidth="1"/>
    <col min="7430" max="7430" width="14.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3" width="15.42578125" bestFit="1" customWidth="1"/>
    <col min="7444" max="7444" width="20.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1.42578125" bestFit="1" customWidth="1"/>
    <col min="7686" max="7686" width="14.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699" width="15.42578125" bestFit="1" customWidth="1"/>
    <col min="7700" max="7700" width="20.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1.42578125" bestFit="1" customWidth="1"/>
    <col min="7942" max="7942" width="14.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5" width="15.42578125" bestFit="1" customWidth="1"/>
    <col min="7956" max="7956" width="20.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1.42578125" bestFit="1" customWidth="1"/>
    <col min="8198" max="8198" width="14.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1" width="15.42578125" bestFit="1" customWidth="1"/>
    <col min="8212" max="8212" width="20.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1.42578125" bestFit="1" customWidth="1"/>
    <col min="8454" max="8454" width="14.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7" width="15.42578125" bestFit="1" customWidth="1"/>
    <col min="8468" max="8468" width="20.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1.42578125" bestFit="1" customWidth="1"/>
    <col min="8710" max="8710" width="14.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3" width="15.42578125" bestFit="1" customWidth="1"/>
    <col min="8724" max="8724" width="20.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1.42578125" bestFit="1" customWidth="1"/>
    <col min="8966" max="8966" width="14.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79" width="15.42578125" bestFit="1" customWidth="1"/>
    <col min="8980" max="8980" width="20.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1.42578125" bestFit="1" customWidth="1"/>
    <col min="9222" max="9222" width="14.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5" width="15.42578125" bestFit="1" customWidth="1"/>
    <col min="9236" max="9236" width="20.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1.42578125" bestFit="1" customWidth="1"/>
    <col min="9478" max="9478" width="14.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1" width="15.42578125" bestFit="1" customWidth="1"/>
    <col min="9492" max="9492" width="20.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1.42578125" bestFit="1" customWidth="1"/>
    <col min="9734" max="9734" width="14.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7" width="15.42578125" bestFit="1" customWidth="1"/>
    <col min="9748" max="9748" width="20.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1.42578125" bestFit="1" customWidth="1"/>
    <col min="9990" max="9990" width="14.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3" width="15.42578125" bestFit="1" customWidth="1"/>
    <col min="10004" max="10004" width="20.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1.42578125" bestFit="1" customWidth="1"/>
    <col min="10246" max="10246" width="14.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59" width="15.42578125" bestFit="1" customWidth="1"/>
    <col min="10260" max="10260" width="20.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1.42578125" bestFit="1" customWidth="1"/>
    <col min="10502" max="10502" width="14.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5" width="15.42578125" bestFit="1" customWidth="1"/>
    <col min="10516" max="10516" width="20.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1.42578125" bestFit="1" customWidth="1"/>
    <col min="10758" max="10758" width="14.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1" width="15.42578125" bestFit="1" customWidth="1"/>
    <col min="10772" max="10772" width="20.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1.42578125" bestFit="1" customWidth="1"/>
    <col min="11014" max="11014" width="14.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7" width="15.42578125" bestFit="1" customWidth="1"/>
    <col min="11028" max="11028" width="20.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1.42578125" bestFit="1" customWidth="1"/>
    <col min="11270" max="11270" width="14.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3" width="15.42578125" bestFit="1" customWidth="1"/>
    <col min="11284" max="11284" width="20.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1.42578125" bestFit="1" customWidth="1"/>
    <col min="11526" max="11526" width="14.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39" width="15.42578125" bestFit="1" customWidth="1"/>
    <col min="11540" max="11540" width="20.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1.42578125" bestFit="1" customWidth="1"/>
    <col min="11782" max="11782" width="14.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5" width="15.42578125" bestFit="1" customWidth="1"/>
    <col min="11796" max="11796" width="20.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1.42578125" bestFit="1" customWidth="1"/>
    <col min="12038" max="12038" width="14.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1" width="15.42578125" bestFit="1" customWidth="1"/>
    <col min="12052" max="12052" width="20.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1.42578125" bestFit="1" customWidth="1"/>
    <col min="12294" max="12294" width="14.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7" width="15.42578125" bestFit="1" customWidth="1"/>
    <col min="12308" max="12308" width="20.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1.42578125" bestFit="1" customWidth="1"/>
    <col min="12550" max="12550" width="14.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3" width="15.42578125" bestFit="1" customWidth="1"/>
    <col min="12564" max="12564" width="20.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1.42578125" bestFit="1" customWidth="1"/>
    <col min="12806" max="12806" width="14.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19" width="15.42578125" bestFit="1" customWidth="1"/>
    <col min="12820" max="12820" width="20.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1.42578125" bestFit="1" customWidth="1"/>
    <col min="13062" max="13062" width="14.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5" width="15.42578125" bestFit="1" customWidth="1"/>
    <col min="13076" max="13076" width="20.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1.42578125" bestFit="1" customWidth="1"/>
    <col min="13318" max="13318" width="14.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1" width="15.42578125" bestFit="1" customWidth="1"/>
    <col min="13332" max="13332" width="20.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1.42578125" bestFit="1" customWidth="1"/>
    <col min="13574" max="13574" width="14.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7" width="15.42578125" bestFit="1" customWidth="1"/>
    <col min="13588" max="13588" width="20.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1.42578125" bestFit="1" customWidth="1"/>
    <col min="13830" max="13830" width="14.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3" width="15.42578125" bestFit="1" customWidth="1"/>
    <col min="13844" max="13844" width="20.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1.42578125" bestFit="1" customWidth="1"/>
    <col min="14086" max="14086" width="14.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099" width="15.42578125" bestFit="1" customWidth="1"/>
    <col min="14100" max="14100" width="20.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1.42578125" bestFit="1" customWidth="1"/>
    <col min="14342" max="14342" width="14.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5" width="15.42578125" bestFit="1" customWidth="1"/>
    <col min="14356" max="14356" width="20.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1.42578125" bestFit="1" customWidth="1"/>
    <col min="14598" max="14598" width="14.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1" width="15.42578125" bestFit="1" customWidth="1"/>
    <col min="14612" max="14612" width="20.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1.42578125" bestFit="1" customWidth="1"/>
    <col min="14854" max="14854" width="14.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7" width="15.42578125" bestFit="1" customWidth="1"/>
    <col min="14868" max="14868" width="20.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1.42578125" bestFit="1" customWidth="1"/>
    <col min="15110" max="15110" width="14.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3" width="15.42578125" bestFit="1" customWidth="1"/>
    <col min="15124" max="15124" width="20.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1.42578125" bestFit="1" customWidth="1"/>
    <col min="15366" max="15366" width="14.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79" width="15.42578125" bestFit="1" customWidth="1"/>
    <col min="15380" max="15380" width="20.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1.42578125" bestFit="1" customWidth="1"/>
    <col min="15622" max="15622" width="14.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5" width="15.42578125" bestFit="1" customWidth="1"/>
    <col min="15636" max="15636" width="20.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1.42578125" bestFit="1" customWidth="1"/>
    <col min="15878" max="15878" width="14.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1" width="15.42578125" bestFit="1" customWidth="1"/>
    <col min="15892" max="15892" width="20.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1.42578125" bestFit="1" customWidth="1"/>
    <col min="16134" max="16134" width="14.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7" width="15.42578125" bestFit="1" customWidth="1"/>
    <col min="16148" max="16148" width="20.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461"/>
      <c r="F1" s="198"/>
      <c r="G1" s="198">
        <f>C3</f>
        <v>18230635</v>
      </c>
      <c r="H1" s="198" t="str">
        <f>C4</f>
        <v>HomePrint - Gas</v>
      </c>
      <c r="I1" s="198"/>
    </row>
    <row r="2" spans="2:22" ht="16.5" thickBot="1">
      <c r="B2" s="198" t="s">
        <v>109</v>
      </c>
      <c r="C2" s="199" t="s">
        <v>574</v>
      </c>
      <c r="G2" s="200" t="s">
        <v>8</v>
      </c>
      <c r="Q2" s="5133" t="s">
        <v>556</v>
      </c>
      <c r="R2" s="5133"/>
      <c r="S2" s="5124" t="s">
        <v>110</v>
      </c>
      <c r="T2" s="5125"/>
      <c r="U2" s="5126"/>
      <c r="V2" s="5118" t="s">
        <v>111</v>
      </c>
    </row>
    <row r="3" spans="2:22" ht="16.5" thickBot="1">
      <c r="B3" s="199" t="s">
        <v>6</v>
      </c>
      <c r="C3" s="199">
        <v>18230635</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575</v>
      </c>
      <c r="F4" s="198">
        <v>2011</v>
      </c>
      <c r="G4" s="206">
        <f>B13</f>
        <v>61117</v>
      </c>
      <c r="H4" s="207">
        <f>B18</f>
        <v>4612</v>
      </c>
      <c r="I4" s="207">
        <f>B23</f>
        <v>41409</v>
      </c>
      <c r="J4" s="207">
        <f>B28</f>
        <v>1440</v>
      </c>
      <c r="K4" s="207">
        <f>B33</f>
        <v>2040</v>
      </c>
      <c r="L4" s="207">
        <f>B38</f>
        <v>0</v>
      </c>
      <c r="M4" s="207">
        <f>B43</f>
        <v>0</v>
      </c>
      <c r="N4" s="207">
        <f>B48</f>
        <v>6565</v>
      </c>
      <c r="O4" s="207">
        <f>B53</f>
        <v>243821</v>
      </c>
      <c r="P4" s="207">
        <f>B54</f>
        <v>0</v>
      </c>
      <c r="Q4" s="209">
        <f>B55</f>
        <v>361004</v>
      </c>
      <c r="R4" s="355">
        <f>T55</f>
        <v>0</v>
      </c>
      <c r="S4" s="316">
        <f>O4/Q4</f>
        <v>0.67539694851026577</v>
      </c>
      <c r="T4" s="316">
        <f>(J4+(H4*1.63))/Q4</f>
        <v>2.481291066026969E-2</v>
      </c>
      <c r="U4" s="316">
        <f>L4/Q4</f>
        <v>0</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P55</f>
        <v>0</v>
      </c>
      <c r="S5" s="317" t="e">
        <f>O5/Q5</f>
        <v>#DIV/0!</v>
      </c>
      <c r="T5" s="317" t="e">
        <f>(J5+(H5*1.63))/Q5</f>
        <v>#DIV/0!</v>
      </c>
      <c r="U5" s="317" t="e">
        <f>L5/Q5</f>
        <v>#DIV/0!</v>
      </c>
      <c r="V5" s="218" t="e">
        <f>Q5/R5</f>
        <v>#DIV/0!</v>
      </c>
    </row>
    <row r="6" spans="2:22" s="3532" customFormat="1" ht="16.5" thickBot="1">
      <c r="B6" s="3536"/>
      <c r="D6" s="3533"/>
      <c r="F6" s="4249" t="s">
        <v>1168</v>
      </c>
      <c r="G6" s="3547">
        <v>0</v>
      </c>
      <c r="H6" s="3548">
        <v>0</v>
      </c>
      <c r="I6" s="3548">
        <v>0</v>
      </c>
      <c r="J6" s="3548">
        <v>0</v>
      </c>
      <c r="K6" s="3548">
        <v>0</v>
      </c>
      <c r="L6" s="3548">
        <v>0</v>
      </c>
      <c r="M6" s="3548">
        <v>0</v>
      </c>
      <c r="N6" s="3548">
        <v>0</v>
      </c>
      <c r="O6" s="3548">
        <v>0</v>
      </c>
      <c r="P6" s="3548">
        <v>0</v>
      </c>
      <c r="Q6" s="3549">
        <v>0</v>
      </c>
      <c r="R6" s="3610">
        <v>0</v>
      </c>
      <c r="S6" s="3637" t="e">
        <v>#DIV/0!</v>
      </c>
      <c r="T6" s="3637" t="e">
        <v>#DIV/0!</v>
      </c>
      <c r="U6" s="3637" t="e">
        <v>#DIV/0!</v>
      </c>
      <c r="V6" s="3498"/>
    </row>
    <row r="7" spans="2:22" ht="16.5" thickBot="1">
      <c r="C7" s="198" t="s">
        <v>229</v>
      </c>
      <c r="F7" s="4281" t="s">
        <v>1169</v>
      </c>
      <c r="G7" s="4195">
        <f>E13</f>
        <v>0</v>
      </c>
      <c r="H7" s="4196">
        <f>E18</f>
        <v>0</v>
      </c>
      <c r="I7" s="4196">
        <f>E23</f>
        <v>0</v>
      </c>
      <c r="J7" s="4196">
        <f>E28</f>
        <v>0</v>
      </c>
      <c r="K7" s="4196">
        <f>E33</f>
        <v>0</v>
      </c>
      <c r="L7" s="4196">
        <f>E38</f>
        <v>0</v>
      </c>
      <c r="M7" s="4196">
        <f>E43</f>
        <v>0</v>
      </c>
      <c r="N7" s="4196">
        <f>E48</f>
        <v>0</v>
      </c>
      <c r="O7" s="4196">
        <f>E53</f>
        <v>0</v>
      </c>
      <c r="P7" s="4196">
        <f>E54</f>
        <v>0</v>
      </c>
      <c r="Q7" s="4197">
        <f>SUM(G7:P7)</f>
        <v>0</v>
      </c>
      <c r="R7" s="4198">
        <f>Q55</f>
        <v>0</v>
      </c>
      <c r="S7" s="317" t="e">
        <f>O7/Q7</f>
        <v>#DIV/0!</v>
      </c>
      <c r="T7" s="317" t="e">
        <f>(J7+(H7*1.63))/Q7</f>
        <v>#DIV/0!</v>
      </c>
      <c r="U7" s="317" t="e">
        <f>L7/Q7</f>
        <v>#DIV/0!</v>
      </c>
      <c r="V7" s="218" t="e">
        <f>Q7/R7</f>
        <v>#DIV/0!</v>
      </c>
    </row>
    <row r="8" spans="2:22" ht="16.5" thickBot="1">
      <c r="C8" s="220" t="s">
        <v>230</v>
      </c>
      <c r="F8" s="3611" t="s">
        <v>1175</v>
      </c>
      <c r="G8" s="357">
        <f>SUM(G5+G7)</f>
        <v>0</v>
      </c>
      <c r="H8" s="3612">
        <f t="shared" ref="H8:R8" si="0">SUM(H5+H7)</f>
        <v>0</v>
      </c>
      <c r="I8" s="3612">
        <f t="shared" si="0"/>
        <v>0</v>
      </c>
      <c r="J8" s="3612">
        <f t="shared" si="0"/>
        <v>0</v>
      </c>
      <c r="K8" s="3612">
        <f t="shared" si="0"/>
        <v>0</v>
      </c>
      <c r="L8" s="3612">
        <f t="shared" si="0"/>
        <v>0</v>
      </c>
      <c r="M8" s="3612">
        <f t="shared" si="0"/>
        <v>0</v>
      </c>
      <c r="N8" s="3612">
        <f t="shared" si="0"/>
        <v>0</v>
      </c>
      <c r="O8" s="3612">
        <f t="shared" si="0"/>
        <v>0</v>
      </c>
      <c r="P8" s="3612">
        <f t="shared" si="0"/>
        <v>0</v>
      </c>
      <c r="Q8" s="3612">
        <f t="shared" si="0"/>
        <v>0</v>
      </c>
      <c r="R8" s="3610">
        <f t="shared" si="0"/>
        <v>0</v>
      </c>
      <c r="S8" s="317" t="e">
        <f>O8/Q8</f>
        <v>#DIV/0!</v>
      </c>
      <c r="T8" s="317" t="e">
        <f>(J8+(H8*1.63))/Q8</f>
        <v>#DIV/0!</v>
      </c>
      <c r="U8" s="317" t="e">
        <f>L8/Q8</f>
        <v>#DIV/0!</v>
      </c>
      <c r="V8" s="218" t="e">
        <f>Q8/R8</f>
        <v>#DIV/0!</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61117</v>
      </c>
      <c r="C13" s="236" t="s">
        <v>138</v>
      </c>
      <c r="D13" s="237">
        <f>SUM(D14:D17)</f>
        <v>0</v>
      </c>
      <c r="E13" s="237">
        <f>SUM(E14:E17)</f>
        <v>0</v>
      </c>
      <c r="F13" s="238">
        <f>D13+E13</f>
        <v>0</v>
      </c>
      <c r="H13" s="132"/>
      <c r="I13" s="239" t="str">
        <f t="shared" ref="I13:I54" si="1">C63</f>
        <v>Measure 1</v>
      </c>
      <c r="J13" s="240"/>
      <c r="K13" s="241"/>
      <c r="L13" s="360">
        <f t="shared" ref="L13:L54" si="2">D63</f>
        <v>0</v>
      </c>
      <c r="M13" s="257">
        <v>0</v>
      </c>
      <c r="N13" s="257">
        <v>0</v>
      </c>
      <c r="O13" s="244">
        <f>M13+N13</f>
        <v>0</v>
      </c>
      <c r="P13" s="361">
        <f t="shared" ref="P13:R28" si="3">M13*$D63</f>
        <v>0</v>
      </c>
      <c r="Q13" s="361">
        <f t="shared" si="3"/>
        <v>0</v>
      </c>
      <c r="R13" s="362">
        <f t="shared" si="3"/>
        <v>0</v>
      </c>
      <c r="T13" s="3535"/>
    </row>
    <row r="14" spans="2:22">
      <c r="B14" s="247"/>
      <c r="C14" s="248" t="s">
        <v>139</v>
      </c>
      <c r="D14" s="249">
        <v>0</v>
      </c>
      <c r="E14" s="249"/>
      <c r="F14" s="249">
        <f>SUM(D14:E14)</f>
        <v>0</v>
      </c>
      <c r="H14" s="132"/>
      <c r="I14" s="250" t="str">
        <f t="shared" si="1"/>
        <v>Measure 2</v>
      </c>
      <c r="J14" s="251"/>
      <c r="K14" s="252"/>
      <c r="L14" s="360">
        <f t="shared" si="2"/>
        <v>0</v>
      </c>
      <c r="M14" s="257">
        <v>0</v>
      </c>
      <c r="N14" s="257">
        <v>0</v>
      </c>
      <c r="O14" s="244">
        <f t="shared" ref="O14:O54" si="4">M14+N14</f>
        <v>0</v>
      </c>
      <c r="P14" s="361">
        <f t="shared" si="3"/>
        <v>0</v>
      </c>
      <c r="Q14" s="361">
        <f t="shared" si="3"/>
        <v>0</v>
      </c>
      <c r="R14" s="362">
        <f t="shared" si="3"/>
        <v>0</v>
      </c>
      <c r="T14" s="3535"/>
    </row>
    <row r="15" spans="2:22">
      <c r="B15" s="254"/>
      <c r="C15" s="255" t="s">
        <v>140</v>
      </c>
      <c r="D15" s="256">
        <v>0</v>
      </c>
      <c r="E15" s="256"/>
      <c r="F15" s="249">
        <f t="shared" ref="F15:F25" si="5">SUM(D15:E15)</f>
        <v>0</v>
      </c>
      <c r="H15" s="132"/>
      <c r="I15" s="250" t="str">
        <f t="shared" si="1"/>
        <v>Measure 3</v>
      </c>
      <c r="J15" s="251"/>
      <c r="K15" s="252"/>
      <c r="L15" s="360">
        <f t="shared" si="2"/>
        <v>0</v>
      </c>
      <c r="M15" s="257">
        <v>0</v>
      </c>
      <c r="N15" s="257">
        <v>0</v>
      </c>
      <c r="O15" s="244">
        <f t="shared" si="4"/>
        <v>0</v>
      </c>
      <c r="P15" s="361">
        <f t="shared" si="3"/>
        <v>0</v>
      </c>
      <c r="Q15" s="361">
        <f t="shared" si="3"/>
        <v>0</v>
      </c>
      <c r="R15" s="362">
        <f t="shared" si="3"/>
        <v>0</v>
      </c>
      <c r="T15" s="3535"/>
    </row>
    <row r="16" spans="2:22">
      <c r="B16" s="254"/>
      <c r="C16" s="255" t="s">
        <v>141</v>
      </c>
      <c r="D16" s="258">
        <v>0</v>
      </c>
      <c r="E16" s="258"/>
      <c r="F16" s="249">
        <f t="shared" si="5"/>
        <v>0</v>
      </c>
      <c r="H16" s="132"/>
      <c r="I16" s="250" t="str">
        <f t="shared" si="1"/>
        <v>Measure 4</v>
      </c>
      <c r="J16" s="251"/>
      <c r="K16" s="252"/>
      <c r="L16" s="360">
        <f t="shared" si="2"/>
        <v>0</v>
      </c>
      <c r="M16" s="257">
        <v>0</v>
      </c>
      <c r="N16" s="257">
        <v>0</v>
      </c>
      <c r="O16" s="244">
        <f t="shared" si="4"/>
        <v>0</v>
      </c>
      <c r="P16" s="361">
        <f t="shared" si="3"/>
        <v>0</v>
      </c>
      <c r="Q16" s="361">
        <f t="shared" si="3"/>
        <v>0</v>
      </c>
      <c r="R16" s="362">
        <f t="shared" si="3"/>
        <v>0</v>
      </c>
      <c r="T16" s="3535"/>
    </row>
    <row r="17" spans="2:20" ht="13.5" thickBot="1">
      <c r="B17" s="254"/>
      <c r="C17" s="255" t="s">
        <v>142</v>
      </c>
      <c r="D17" s="258">
        <v>0</v>
      </c>
      <c r="E17" s="258"/>
      <c r="F17" s="249">
        <f t="shared" si="5"/>
        <v>0</v>
      </c>
      <c r="H17" s="132"/>
      <c r="I17" s="250" t="str">
        <f t="shared" si="1"/>
        <v>Measure 5</v>
      </c>
      <c r="J17" s="251"/>
      <c r="K17" s="252"/>
      <c r="L17" s="360">
        <f t="shared" si="2"/>
        <v>0</v>
      </c>
      <c r="M17" s="257">
        <v>0</v>
      </c>
      <c r="N17" s="257">
        <v>0</v>
      </c>
      <c r="O17" s="244">
        <f t="shared" si="4"/>
        <v>0</v>
      </c>
      <c r="P17" s="361">
        <f t="shared" si="3"/>
        <v>0</v>
      </c>
      <c r="Q17" s="361">
        <f t="shared" si="3"/>
        <v>0</v>
      </c>
      <c r="R17" s="362">
        <f t="shared" si="3"/>
        <v>0</v>
      </c>
      <c r="T17" s="3535"/>
    </row>
    <row r="18" spans="2:20" ht="13.5" thickBot="1">
      <c r="B18" s="262">
        <v>4612</v>
      </c>
      <c r="C18" s="236" t="s">
        <v>143</v>
      </c>
      <c r="D18" s="237">
        <f>SUM(D19:D22)</f>
        <v>0</v>
      </c>
      <c r="E18" s="237">
        <f>SUM(E19:E22)</f>
        <v>0</v>
      </c>
      <c r="F18" s="238">
        <f>D18+E18</f>
        <v>0</v>
      </c>
      <c r="H18" s="132"/>
      <c r="I18" s="250" t="str">
        <f t="shared" si="1"/>
        <v>Measure 6</v>
      </c>
      <c r="J18" s="251"/>
      <c r="K18" s="252"/>
      <c r="L18" s="360">
        <f t="shared" si="2"/>
        <v>0</v>
      </c>
      <c r="M18" s="257">
        <v>0</v>
      </c>
      <c r="N18" s="257">
        <v>0</v>
      </c>
      <c r="O18" s="244">
        <f t="shared" si="4"/>
        <v>0</v>
      </c>
      <c r="P18" s="361">
        <f t="shared" si="3"/>
        <v>0</v>
      </c>
      <c r="Q18" s="361">
        <f t="shared" si="3"/>
        <v>0</v>
      </c>
      <c r="R18" s="362">
        <f t="shared" si="3"/>
        <v>0</v>
      </c>
      <c r="T18" s="3535"/>
    </row>
    <row r="19" spans="2:20">
      <c r="B19" s="247"/>
      <c r="C19" s="248" t="s">
        <v>139</v>
      </c>
      <c r="D19" s="249">
        <v>0</v>
      </c>
      <c r="E19" s="249"/>
      <c r="F19" s="249">
        <f t="shared" si="5"/>
        <v>0</v>
      </c>
      <c r="H19" s="132"/>
      <c r="I19" s="250" t="str">
        <f t="shared" si="1"/>
        <v>Measure 7</v>
      </c>
      <c r="J19" s="251"/>
      <c r="K19" s="252"/>
      <c r="L19" s="360">
        <f t="shared" si="2"/>
        <v>0</v>
      </c>
      <c r="M19" s="257">
        <v>0</v>
      </c>
      <c r="N19" s="257">
        <v>0</v>
      </c>
      <c r="O19" s="244">
        <f t="shared" si="4"/>
        <v>0</v>
      </c>
      <c r="P19" s="361">
        <f t="shared" si="3"/>
        <v>0</v>
      </c>
      <c r="Q19" s="361">
        <f t="shared" si="3"/>
        <v>0</v>
      </c>
      <c r="R19" s="362">
        <f t="shared" si="3"/>
        <v>0</v>
      </c>
      <c r="T19" s="3535"/>
    </row>
    <row r="20" spans="2:20">
      <c r="B20" s="254"/>
      <c r="C20" s="255" t="s">
        <v>140</v>
      </c>
      <c r="D20" s="256">
        <v>0</v>
      </c>
      <c r="E20" s="256"/>
      <c r="F20" s="249">
        <f t="shared" si="5"/>
        <v>0</v>
      </c>
      <c r="H20" s="132"/>
      <c r="I20" s="250" t="str">
        <f t="shared" si="1"/>
        <v>Measure 8</v>
      </c>
      <c r="J20" s="251"/>
      <c r="K20" s="252"/>
      <c r="L20" s="360">
        <f t="shared" si="2"/>
        <v>0</v>
      </c>
      <c r="M20" s="257">
        <v>0</v>
      </c>
      <c r="N20" s="257">
        <v>0</v>
      </c>
      <c r="O20" s="244">
        <f t="shared" si="4"/>
        <v>0</v>
      </c>
      <c r="P20" s="361">
        <f t="shared" si="3"/>
        <v>0</v>
      </c>
      <c r="Q20" s="361">
        <f t="shared" si="3"/>
        <v>0</v>
      </c>
      <c r="R20" s="362">
        <f t="shared" si="3"/>
        <v>0</v>
      </c>
      <c r="T20" s="3535"/>
    </row>
    <row r="21" spans="2:20">
      <c r="B21" s="254"/>
      <c r="C21" s="255" t="s">
        <v>141</v>
      </c>
      <c r="D21" s="258">
        <v>0</v>
      </c>
      <c r="E21" s="258"/>
      <c r="F21" s="249">
        <f t="shared" si="5"/>
        <v>0</v>
      </c>
      <c r="H21" s="132"/>
      <c r="I21" s="250" t="str">
        <f t="shared" si="1"/>
        <v>Measure 9</v>
      </c>
      <c r="J21" s="251"/>
      <c r="K21" s="252"/>
      <c r="L21" s="360">
        <f t="shared" si="2"/>
        <v>0</v>
      </c>
      <c r="M21" s="257">
        <v>0</v>
      </c>
      <c r="N21" s="257">
        <v>0</v>
      </c>
      <c r="O21" s="244">
        <f t="shared" si="4"/>
        <v>0</v>
      </c>
      <c r="P21" s="361">
        <f t="shared" si="3"/>
        <v>0</v>
      </c>
      <c r="Q21" s="361">
        <f t="shared" si="3"/>
        <v>0</v>
      </c>
      <c r="R21" s="362">
        <f t="shared" si="3"/>
        <v>0</v>
      </c>
      <c r="T21" s="3535"/>
    </row>
    <row r="22" spans="2:20" ht="13.5" thickBot="1">
      <c r="B22" s="254"/>
      <c r="C22" s="255" t="s">
        <v>142</v>
      </c>
      <c r="D22" s="258">
        <v>0</v>
      </c>
      <c r="E22" s="258"/>
      <c r="F22" s="249">
        <f t="shared" si="5"/>
        <v>0</v>
      </c>
      <c r="H22" s="132"/>
      <c r="I22" s="250" t="str">
        <f t="shared" si="1"/>
        <v>Measure 10</v>
      </c>
      <c r="J22" s="251"/>
      <c r="K22" s="252"/>
      <c r="L22" s="360">
        <f t="shared" si="2"/>
        <v>0</v>
      </c>
      <c r="M22" s="257">
        <v>0</v>
      </c>
      <c r="N22" s="257">
        <v>0</v>
      </c>
      <c r="O22" s="244">
        <f t="shared" si="4"/>
        <v>0</v>
      </c>
      <c r="P22" s="361">
        <f t="shared" si="3"/>
        <v>0</v>
      </c>
      <c r="Q22" s="361">
        <f t="shared" si="3"/>
        <v>0</v>
      </c>
      <c r="R22" s="362">
        <f t="shared" si="3"/>
        <v>0</v>
      </c>
      <c r="T22" s="3535"/>
    </row>
    <row r="23" spans="2:20" ht="13.5" thickBot="1">
      <c r="B23" s="262">
        <v>41409</v>
      </c>
      <c r="C23" s="236" t="s">
        <v>144</v>
      </c>
      <c r="D23" s="237">
        <f>SUM(D24:D27)</f>
        <v>0</v>
      </c>
      <c r="E23" s="237">
        <f>SUM(E24:E27)</f>
        <v>0</v>
      </c>
      <c r="F23" s="238">
        <f>D23+E23</f>
        <v>0</v>
      </c>
      <c r="G23" s="53"/>
      <c r="H23" s="132"/>
      <c r="I23" s="250" t="str">
        <f t="shared" si="1"/>
        <v>Measure 11</v>
      </c>
      <c r="J23" s="251"/>
      <c r="K23" s="252"/>
      <c r="L23" s="360">
        <f t="shared" si="2"/>
        <v>0</v>
      </c>
      <c r="M23" s="257">
        <v>0</v>
      </c>
      <c r="N23" s="257">
        <v>0</v>
      </c>
      <c r="O23" s="244">
        <f t="shared" si="4"/>
        <v>0</v>
      </c>
      <c r="P23" s="361">
        <f t="shared" si="3"/>
        <v>0</v>
      </c>
      <c r="Q23" s="361">
        <f t="shared" si="3"/>
        <v>0</v>
      </c>
      <c r="R23" s="362">
        <f t="shared" si="3"/>
        <v>0</v>
      </c>
      <c r="T23" s="3535"/>
    </row>
    <row r="24" spans="2:20">
      <c r="B24" s="247"/>
      <c r="C24" s="3566" t="s">
        <v>1434</v>
      </c>
      <c r="D24" s="249">
        <f>0.63*D13</f>
        <v>0</v>
      </c>
      <c r="E24" s="249">
        <f>0.707*E13</f>
        <v>0</v>
      </c>
      <c r="F24" s="249">
        <f t="shared" si="5"/>
        <v>0</v>
      </c>
      <c r="H24" s="132"/>
      <c r="I24" s="250" t="str">
        <f t="shared" si="1"/>
        <v>Measure 12</v>
      </c>
      <c r="J24" s="251"/>
      <c r="K24" s="252"/>
      <c r="L24" s="360">
        <f t="shared" si="2"/>
        <v>0</v>
      </c>
      <c r="M24" s="257">
        <v>0</v>
      </c>
      <c r="N24" s="257">
        <v>0</v>
      </c>
      <c r="O24" s="244">
        <f t="shared" si="4"/>
        <v>0</v>
      </c>
      <c r="P24" s="361">
        <f t="shared" si="3"/>
        <v>0</v>
      </c>
      <c r="Q24" s="361">
        <f t="shared" si="3"/>
        <v>0</v>
      </c>
      <c r="R24" s="362">
        <f t="shared" si="3"/>
        <v>0</v>
      </c>
      <c r="T24" s="3535"/>
    </row>
    <row r="25" spans="2:20">
      <c r="B25" s="247"/>
      <c r="C25" s="3566" t="s">
        <v>1435</v>
      </c>
      <c r="D25" s="256">
        <f>0.63*D18</f>
        <v>0</v>
      </c>
      <c r="E25" s="256">
        <f>0.707*E18</f>
        <v>0</v>
      </c>
      <c r="F25" s="249">
        <f t="shared" si="5"/>
        <v>0</v>
      </c>
      <c r="H25" s="132"/>
      <c r="I25" s="250" t="str">
        <f t="shared" si="1"/>
        <v>Measure 13</v>
      </c>
      <c r="J25" s="251"/>
      <c r="K25" s="252"/>
      <c r="L25" s="360">
        <f t="shared" si="2"/>
        <v>0</v>
      </c>
      <c r="M25" s="257">
        <v>0</v>
      </c>
      <c r="N25" s="257">
        <v>0</v>
      </c>
      <c r="O25" s="244">
        <f t="shared" si="4"/>
        <v>0</v>
      </c>
      <c r="P25" s="361">
        <f t="shared" si="3"/>
        <v>0</v>
      </c>
      <c r="Q25" s="361">
        <f t="shared" si="3"/>
        <v>0</v>
      </c>
      <c r="R25" s="362">
        <f t="shared" si="3"/>
        <v>0</v>
      </c>
      <c r="T25" s="3535"/>
    </row>
    <row r="26" spans="2:20">
      <c r="B26" s="254"/>
      <c r="C26" s="255"/>
      <c r="D26" s="258"/>
      <c r="E26" s="258"/>
      <c r="F26" s="258"/>
      <c r="H26" s="132"/>
      <c r="I26" s="250" t="str">
        <f t="shared" si="1"/>
        <v>Measure 14</v>
      </c>
      <c r="J26" s="251"/>
      <c r="K26" s="252"/>
      <c r="L26" s="360">
        <f t="shared" si="2"/>
        <v>0</v>
      </c>
      <c r="M26" s="257">
        <v>0</v>
      </c>
      <c r="N26" s="257">
        <v>0</v>
      </c>
      <c r="O26" s="244">
        <f t="shared" si="4"/>
        <v>0</v>
      </c>
      <c r="P26" s="361">
        <f t="shared" si="3"/>
        <v>0</v>
      </c>
      <c r="Q26" s="361">
        <f t="shared" si="3"/>
        <v>0</v>
      </c>
      <c r="R26" s="362">
        <f t="shared" si="3"/>
        <v>0</v>
      </c>
      <c r="T26" s="3535"/>
    </row>
    <row r="27" spans="2:20" ht="13.5" thickBot="1">
      <c r="B27" s="254"/>
      <c r="C27" s="255"/>
      <c r="D27" s="258"/>
      <c r="E27" s="258"/>
      <c r="F27" s="258"/>
      <c r="H27" s="132"/>
      <c r="I27" s="250" t="str">
        <f t="shared" si="1"/>
        <v>Measure 15</v>
      </c>
      <c r="J27" s="251"/>
      <c r="K27" s="252"/>
      <c r="L27" s="360">
        <f t="shared" si="2"/>
        <v>0</v>
      </c>
      <c r="M27" s="257">
        <v>0</v>
      </c>
      <c r="N27" s="257">
        <v>0</v>
      </c>
      <c r="O27" s="244">
        <f t="shared" si="4"/>
        <v>0</v>
      </c>
      <c r="P27" s="361">
        <f t="shared" si="3"/>
        <v>0</v>
      </c>
      <c r="Q27" s="361">
        <f t="shared" si="3"/>
        <v>0</v>
      </c>
      <c r="R27" s="362">
        <f t="shared" si="3"/>
        <v>0</v>
      </c>
      <c r="T27" s="3535"/>
    </row>
    <row r="28" spans="2:20" ht="13.5" thickBot="1">
      <c r="B28" s="262">
        <v>1440</v>
      </c>
      <c r="C28" s="236" t="s">
        <v>145</v>
      </c>
      <c r="D28" s="237">
        <f>SUM(D29:D32)</f>
        <v>0</v>
      </c>
      <c r="E28" s="237">
        <f>SUM(E29:E32)</f>
        <v>0</v>
      </c>
      <c r="F28" s="238">
        <f>D28+E28</f>
        <v>0</v>
      </c>
      <c r="H28" s="132"/>
      <c r="I28" s="250" t="str">
        <f t="shared" si="1"/>
        <v>Measure 16</v>
      </c>
      <c r="J28" s="251"/>
      <c r="K28" s="252"/>
      <c r="L28" s="360">
        <f t="shared" si="2"/>
        <v>0</v>
      </c>
      <c r="M28" s="257">
        <v>0</v>
      </c>
      <c r="N28" s="257">
        <v>0</v>
      </c>
      <c r="O28" s="244">
        <f t="shared" si="4"/>
        <v>0</v>
      </c>
      <c r="P28" s="361">
        <f t="shared" si="3"/>
        <v>0</v>
      </c>
      <c r="Q28" s="361">
        <f t="shared" si="3"/>
        <v>0</v>
      </c>
      <c r="R28" s="362">
        <f t="shared" si="3"/>
        <v>0</v>
      </c>
      <c r="T28" s="3535"/>
    </row>
    <row r="29" spans="2:20">
      <c r="B29" s="247"/>
      <c r="C29" s="248" t="s">
        <v>139</v>
      </c>
      <c r="D29" s="249">
        <v>0</v>
      </c>
      <c r="E29" s="249"/>
      <c r="F29" s="249">
        <f t="shared" ref="F29:F37" si="6">SUM(D29:E29)</f>
        <v>0</v>
      </c>
      <c r="H29" s="132"/>
      <c r="I29" s="250" t="str">
        <f t="shared" si="1"/>
        <v>Measure 17</v>
      </c>
      <c r="J29" s="251"/>
      <c r="K29" s="252"/>
      <c r="L29" s="360">
        <f t="shared" si="2"/>
        <v>0</v>
      </c>
      <c r="M29" s="257">
        <v>0</v>
      </c>
      <c r="N29" s="257">
        <v>0</v>
      </c>
      <c r="O29" s="244">
        <f t="shared" si="4"/>
        <v>0</v>
      </c>
      <c r="P29" s="361">
        <f t="shared" ref="P29:R44" si="7">M29*$D79</f>
        <v>0</v>
      </c>
      <c r="Q29" s="361">
        <f t="shared" si="7"/>
        <v>0</v>
      </c>
      <c r="R29" s="362">
        <f t="shared" si="7"/>
        <v>0</v>
      </c>
      <c r="T29" s="3535"/>
    </row>
    <row r="30" spans="2:20">
      <c r="B30" s="254"/>
      <c r="C30" s="255" t="s">
        <v>140</v>
      </c>
      <c r="D30" s="256">
        <v>0</v>
      </c>
      <c r="E30" s="256"/>
      <c r="F30" s="249">
        <f t="shared" si="6"/>
        <v>0</v>
      </c>
      <c r="H30" s="132"/>
      <c r="I30" s="250" t="str">
        <f t="shared" si="1"/>
        <v>Measure 18</v>
      </c>
      <c r="J30" s="251"/>
      <c r="K30" s="252"/>
      <c r="L30" s="360">
        <f t="shared" si="2"/>
        <v>0</v>
      </c>
      <c r="M30" s="257">
        <v>0</v>
      </c>
      <c r="N30" s="257">
        <v>0</v>
      </c>
      <c r="O30" s="244">
        <f t="shared" si="4"/>
        <v>0</v>
      </c>
      <c r="P30" s="361">
        <f t="shared" si="7"/>
        <v>0</v>
      </c>
      <c r="Q30" s="361">
        <f t="shared" si="7"/>
        <v>0</v>
      </c>
      <c r="R30" s="362">
        <f t="shared" si="7"/>
        <v>0</v>
      </c>
      <c r="T30" s="3535"/>
    </row>
    <row r="31" spans="2:20">
      <c r="B31" s="254"/>
      <c r="C31" s="255" t="s">
        <v>141</v>
      </c>
      <c r="D31" s="256">
        <v>0</v>
      </c>
      <c r="E31" s="256"/>
      <c r="F31" s="249">
        <f t="shared" si="6"/>
        <v>0</v>
      </c>
      <c r="H31" s="132"/>
      <c r="I31" s="250" t="str">
        <f t="shared" si="1"/>
        <v>Measure 19</v>
      </c>
      <c r="J31" s="251"/>
      <c r="K31" s="252"/>
      <c r="L31" s="360">
        <f t="shared" si="2"/>
        <v>0</v>
      </c>
      <c r="M31" s="257">
        <v>0</v>
      </c>
      <c r="N31" s="257">
        <v>0</v>
      </c>
      <c r="O31" s="244">
        <f t="shared" si="4"/>
        <v>0</v>
      </c>
      <c r="P31" s="361">
        <f t="shared" si="7"/>
        <v>0</v>
      </c>
      <c r="Q31" s="361">
        <f t="shared" si="7"/>
        <v>0</v>
      </c>
      <c r="R31" s="362">
        <f t="shared" si="7"/>
        <v>0</v>
      </c>
      <c r="T31" s="3535"/>
    </row>
    <row r="32" spans="2:20" ht="13.5" thickBot="1">
      <c r="B32" s="254"/>
      <c r="C32" s="255" t="s">
        <v>142</v>
      </c>
      <c r="D32" s="256">
        <v>0</v>
      </c>
      <c r="E32" s="256"/>
      <c r="F32" s="249">
        <f t="shared" si="6"/>
        <v>0</v>
      </c>
      <c r="H32" s="132"/>
      <c r="I32" s="250" t="str">
        <f t="shared" si="1"/>
        <v>Measure 20</v>
      </c>
      <c r="J32" s="251"/>
      <c r="K32" s="252"/>
      <c r="L32" s="360">
        <f t="shared" si="2"/>
        <v>0</v>
      </c>
      <c r="M32" s="257">
        <v>0</v>
      </c>
      <c r="N32" s="257">
        <v>0</v>
      </c>
      <c r="O32" s="244">
        <f t="shared" si="4"/>
        <v>0</v>
      </c>
      <c r="P32" s="361">
        <f t="shared" si="7"/>
        <v>0</v>
      </c>
      <c r="Q32" s="361">
        <f t="shared" si="7"/>
        <v>0</v>
      </c>
      <c r="R32" s="362">
        <f t="shared" si="7"/>
        <v>0</v>
      </c>
      <c r="T32" s="3535"/>
    </row>
    <row r="33" spans="2:20" ht="13.5" thickBot="1">
      <c r="B33" s="262">
        <v>2040</v>
      </c>
      <c r="C33" s="236" t="s">
        <v>146</v>
      </c>
      <c r="D33" s="237">
        <f>SUM(D34:D37)</f>
        <v>0</v>
      </c>
      <c r="E33" s="237">
        <f>SUM(E34:E37)</f>
        <v>0</v>
      </c>
      <c r="F33" s="238">
        <f>D33+E33</f>
        <v>0</v>
      </c>
      <c r="H33" s="132"/>
      <c r="I33" s="250" t="str">
        <f t="shared" si="1"/>
        <v>Measure 21</v>
      </c>
      <c r="J33" s="251"/>
      <c r="K33" s="252"/>
      <c r="L33" s="360">
        <f t="shared" si="2"/>
        <v>0</v>
      </c>
      <c r="M33" s="257">
        <v>0</v>
      </c>
      <c r="N33" s="257">
        <v>0</v>
      </c>
      <c r="O33" s="244">
        <f t="shared" si="4"/>
        <v>0</v>
      </c>
      <c r="P33" s="361">
        <f t="shared" si="7"/>
        <v>0</v>
      </c>
      <c r="Q33" s="361">
        <f t="shared" si="7"/>
        <v>0</v>
      </c>
      <c r="R33" s="362">
        <f t="shared" si="7"/>
        <v>0</v>
      </c>
      <c r="T33" s="3535"/>
    </row>
    <row r="34" spans="2:20">
      <c r="B34" s="254"/>
      <c r="C34" s="255" t="s">
        <v>139</v>
      </c>
      <c r="D34" s="256">
        <v>0</v>
      </c>
      <c r="E34" s="256"/>
      <c r="F34" s="249">
        <f t="shared" si="6"/>
        <v>0</v>
      </c>
      <c r="H34" s="132"/>
      <c r="I34" s="250" t="str">
        <f t="shared" si="1"/>
        <v>Measure 22</v>
      </c>
      <c r="J34" s="251"/>
      <c r="K34" s="252"/>
      <c r="L34" s="360">
        <f t="shared" si="2"/>
        <v>0</v>
      </c>
      <c r="M34" s="257">
        <v>0</v>
      </c>
      <c r="N34" s="257">
        <v>0</v>
      </c>
      <c r="O34" s="244">
        <f t="shared" si="4"/>
        <v>0</v>
      </c>
      <c r="P34" s="361">
        <f t="shared" si="7"/>
        <v>0</v>
      </c>
      <c r="Q34" s="361">
        <f t="shared" si="7"/>
        <v>0</v>
      </c>
      <c r="R34" s="362">
        <f t="shared" si="7"/>
        <v>0</v>
      </c>
      <c r="T34" s="3535"/>
    </row>
    <row r="35" spans="2:20">
      <c r="B35" s="254"/>
      <c r="C35" s="255" t="s">
        <v>140</v>
      </c>
      <c r="D35" s="256">
        <v>0</v>
      </c>
      <c r="E35" s="256"/>
      <c r="F35" s="249">
        <f t="shared" si="6"/>
        <v>0</v>
      </c>
      <c r="H35" s="132"/>
      <c r="I35" s="250" t="str">
        <f t="shared" si="1"/>
        <v>Measure 23</v>
      </c>
      <c r="J35" s="251"/>
      <c r="K35" s="252"/>
      <c r="L35" s="360">
        <f t="shared" si="2"/>
        <v>0</v>
      </c>
      <c r="M35" s="257">
        <v>0</v>
      </c>
      <c r="N35" s="257">
        <v>0</v>
      </c>
      <c r="O35" s="244">
        <f t="shared" si="4"/>
        <v>0</v>
      </c>
      <c r="P35" s="361">
        <f t="shared" si="7"/>
        <v>0</v>
      </c>
      <c r="Q35" s="361">
        <f t="shared" si="7"/>
        <v>0</v>
      </c>
      <c r="R35" s="362">
        <f t="shared" si="7"/>
        <v>0</v>
      </c>
      <c r="T35" s="3535"/>
    </row>
    <row r="36" spans="2:20">
      <c r="B36" s="254"/>
      <c r="C36" s="255" t="s">
        <v>141</v>
      </c>
      <c r="D36" s="256">
        <v>0</v>
      </c>
      <c r="E36" s="256"/>
      <c r="F36" s="249">
        <f t="shared" si="6"/>
        <v>0</v>
      </c>
      <c r="H36" s="132"/>
      <c r="I36" s="250" t="str">
        <f t="shared" si="1"/>
        <v>Measure 24</v>
      </c>
      <c r="J36" s="251"/>
      <c r="K36" s="252"/>
      <c r="L36" s="360">
        <f t="shared" si="2"/>
        <v>0</v>
      </c>
      <c r="M36" s="257">
        <v>0</v>
      </c>
      <c r="N36" s="257">
        <v>0</v>
      </c>
      <c r="O36" s="244">
        <f t="shared" si="4"/>
        <v>0</v>
      </c>
      <c r="P36" s="361">
        <f t="shared" si="7"/>
        <v>0</v>
      </c>
      <c r="Q36" s="361">
        <f t="shared" si="7"/>
        <v>0</v>
      </c>
      <c r="R36" s="362">
        <f t="shared" si="7"/>
        <v>0</v>
      </c>
      <c r="T36" s="3535"/>
    </row>
    <row r="37" spans="2:20" ht="13.5" thickBot="1">
      <c r="B37" s="254"/>
      <c r="C37" s="255" t="s">
        <v>142</v>
      </c>
      <c r="D37" s="256">
        <v>0</v>
      </c>
      <c r="E37" s="256"/>
      <c r="F37" s="249">
        <f t="shared" si="6"/>
        <v>0</v>
      </c>
      <c r="H37" s="132"/>
      <c r="I37" s="250" t="str">
        <f t="shared" si="1"/>
        <v>Measure 25</v>
      </c>
      <c r="J37" s="251"/>
      <c r="K37" s="252"/>
      <c r="L37" s="360">
        <f t="shared" si="2"/>
        <v>0</v>
      </c>
      <c r="M37" s="257">
        <v>0</v>
      </c>
      <c r="N37" s="257">
        <v>0</v>
      </c>
      <c r="O37" s="244">
        <f t="shared" si="4"/>
        <v>0</v>
      </c>
      <c r="P37" s="361">
        <f t="shared" si="7"/>
        <v>0</v>
      </c>
      <c r="Q37" s="361">
        <f t="shared" si="7"/>
        <v>0</v>
      </c>
      <c r="R37" s="362">
        <f t="shared" si="7"/>
        <v>0</v>
      </c>
      <c r="T37" s="3535"/>
    </row>
    <row r="38" spans="2:20" ht="13.5" thickBot="1">
      <c r="B38" s="262">
        <v>0</v>
      </c>
      <c r="C38" s="236" t="s">
        <v>147</v>
      </c>
      <c r="D38" s="237">
        <f>SUM(D39:D42)</f>
        <v>0</v>
      </c>
      <c r="E38" s="237">
        <f>SUM(E39:E42)</f>
        <v>0</v>
      </c>
      <c r="F38" s="238">
        <f>D38+E38</f>
        <v>0</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3535"/>
    </row>
    <row r="39" spans="2:20">
      <c r="B39" s="254"/>
      <c r="C39" s="255" t="s">
        <v>139</v>
      </c>
      <c r="D39" s="256">
        <v>0</v>
      </c>
      <c r="E39" s="256"/>
      <c r="F39" s="249">
        <f t="shared" ref="F39:F52" si="8">SUM(D39:E39)</f>
        <v>0</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3535"/>
    </row>
    <row r="40" spans="2:20">
      <c r="B40" s="254"/>
      <c r="C40" s="255" t="s">
        <v>140</v>
      </c>
      <c r="D40" s="256">
        <v>0</v>
      </c>
      <c r="E40" s="256"/>
      <c r="F40" s="249">
        <f t="shared" si="8"/>
        <v>0</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3535"/>
    </row>
    <row r="41" spans="2:20">
      <c r="B41" s="254"/>
      <c r="C41" s="255" t="s">
        <v>141</v>
      </c>
      <c r="D41" s="256">
        <v>0</v>
      </c>
      <c r="E41" s="256"/>
      <c r="F41" s="249">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3535"/>
    </row>
    <row r="42" spans="2:20" ht="13.5" thickBot="1">
      <c r="B42" s="254"/>
      <c r="C42" s="255" t="s">
        <v>142</v>
      </c>
      <c r="D42" s="256">
        <v>0</v>
      </c>
      <c r="E42" s="256"/>
      <c r="F42" s="249">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3535"/>
    </row>
    <row r="43" spans="2:20" ht="13.5" thickBot="1">
      <c r="B43" s="262">
        <v>0</v>
      </c>
      <c r="C43" s="236" t="s">
        <v>148</v>
      </c>
      <c r="D43" s="237">
        <f>SUM(D44:D47)</f>
        <v>0</v>
      </c>
      <c r="E43" s="237">
        <f>SUM(E44:E47)</f>
        <v>0</v>
      </c>
      <c r="F43" s="238">
        <f>D43+E43</f>
        <v>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3535"/>
    </row>
    <row r="44" spans="2:20">
      <c r="B44" s="254"/>
      <c r="C44" s="255" t="s">
        <v>139</v>
      </c>
      <c r="D44" s="256">
        <v>0</v>
      </c>
      <c r="E44" s="256"/>
      <c r="F44" s="249">
        <f t="shared" si="8"/>
        <v>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3535"/>
    </row>
    <row r="45" spans="2:20">
      <c r="B45" s="254"/>
      <c r="C45" s="255" t="s">
        <v>140</v>
      </c>
      <c r="D45" s="256">
        <v>0</v>
      </c>
      <c r="E45" s="256"/>
      <c r="F45" s="249">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3535"/>
    </row>
    <row r="46" spans="2:20">
      <c r="B46" s="254"/>
      <c r="C46" s="255" t="s">
        <v>141</v>
      </c>
      <c r="D46" s="256">
        <v>0</v>
      </c>
      <c r="E46" s="256"/>
      <c r="F46" s="249">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3535"/>
    </row>
    <row r="47" spans="2:20" ht="13.5" thickBot="1">
      <c r="B47" s="254"/>
      <c r="C47" s="255" t="s">
        <v>142</v>
      </c>
      <c r="D47" s="256">
        <v>0</v>
      </c>
      <c r="E47" s="256"/>
      <c r="F47" s="249">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3535"/>
    </row>
    <row r="48" spans="2:20" ht="13.5" thickBot="1">
      <c r="B48" s="262">
        <v>6565</v>
      </c>
      <c r="C48" s="236" t="s">
        <v>149</v>
      </c>
      <c r="D48" s="237">
        <f>SUM(D49:D52)</f>
        <v>0</v>
      </c>
      <c r="E48" s="237">
        <f>SUM(E49:E52)</f>
        <v>0</v>
      </c>
      <c r="F48" s="238">
        <f>D48+E48</f>
        <v>0</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3535"/>
    </row>
    <row r="49" spans="2:25">
      <c r="B49" s="254"/>
      <c r="C49" s="255" t="s">
        <v>139</v>
      </c>
      <c r="D49" s="256">
        <v>0</v>
      </c>
      <c r="E49" s="256"/>
      <c r="F49" s="249">
        <f t="shared" si="8"/>
        <v>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3535"/>
    </row>
    <row r="50" spans="2:25">
      <c r="B50" s="254"/>
      <c r="C50" s="255" t="s">
        <v>140</v>
      </c>
      <c r="D50" s="256">
        <v>0</v>
      </c>
      <c r="E50" s="256"/>
      <c r="F50" s="249">
        <f t="shared" si="8"/>
        <v>0</v>
      </c>
      <c r="I50" s="250" t="str">
        <f t="shared" si="1"/>
        <v>Measure 38</v>
      </c>
      <c r="J50" s="251"/>
      <c r="K50" s="252"/>
      <c r="L50" s="360">
        <f t="shared" si="2"/>
        <v>0</v>
      </c>
      <c r="M50" s="257">
        <v>0</v>
      </c>
      <c r="N50" s="257">
        <v>0</v>
      </c>
      <c r="O50" s="244">
        <f t="shared" si="4"/>
        <v>0</v>
      </c>
      <c r="P50" s="361">
        <f t="shared" si="9"/>
        <v>0</v>
      </c>
      <c r="Q50" s="361">
        <f t="shared" si="9"/>
        <v>0</v>
      </c>
      <c r="R50" s="362">
        <f t="shared" si="9"/>
        <v>0</v>
      </c>
      <c r="T50" s="3535"/>
    </row>
    <row r="51" spans="2:25">
      <c r="B51" s="254"/>
      <c r="C51" s="255" t="s">
        <v>141</v>
      </c>
      <c r="D51" s="256">
        <v>0</v>
      </c>
      <c r="E51" s="256"/>
      <c r="F51" s="249">
        <f t="shared" si="8"/>
        <v>0</v>
      </c>
      <c r="I51" s="250" t="str">
        <f t="shared" si="1"/>
        <v>Measure 39</v>
      </c>
      <c r="J51" s="251"/>
      <c r="K51" s="252"/>
      <c r="L51" s="360">
        <f t="shared" si="2"/>
        <v>0</v>
      </c>
      <c r="M51" s="257">
        <v>0</v>
      </c>
      <c r="N51" s="257">
        <v>0</v>
      </c>
      <c r="O51" s="244">
        <f t="shared" si="4"/>
        <v>0</v>
      </c>
      <c r="P51" s="361">
        <f t="shared" si="9"/>
        <v>0</v>
      </c>
      <c r="Q51" s="361">
        <f t="shared" si="9"/>
        <v>0</v>
      </c>
      <c r="R51" s="362">
        <f t="shared" si="9"/>
        <v>0</v>
      </c>
      <c r="T51" s="3535"/>
    </row>
    <row r="52" spans="2:25" ht="13.5" thickBot="1">
      <c r="B52" s="254"/>
      <c r="C52" s="255" t="s">
        <v>142</v>
      </c>
      <c r="D52" s="256">
        <v>0</v>
      </c>
      <c r="E52" s="256"/>
      <c r="F52" s="249">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3535"/>
    </row>
    <row r="53" spans="2:25" ht="13.5" thickBot="1">
      <c r="B53" s="262">
        <v>243821</v>
      </c>
      <c r="C53" s="236" t="s">
        <v>150</v>
      </c>
      <c r="D53" s="237">
        <f>T105</f>
        <v>0</v>
      </c>
      <c r="E53" s="237">
        <f>U105</f>
        <v>0</v>
      </c>
      <c r="F53" s="238">
        <f>V105</f>
        <v>0</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3535"/>
    </row>
    <row r="54" spans="2:25" ht="13.5" thickBot="1">
      <c r="B54" s="262">
        <v>0</v>
      </c>
      <c r="C54" s="236" t="s">
        <v>152</v>
      </c>
      <c r="D54" s="237">
        <v>0</v>
      </c>
      <c r="E54" s="237">
        <v>0</v>
      </c>
      <c r="F54" s="238">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3535"/>
    </row>
    <row r="55" spans="2:25">
      <c r="B55" s="263">
        <f>B13+B18+B23+B28+B33+B38+B43+B48+B53+B54</f>
        <v>361004</v>
      </c>
      <c r="C55" s="264" t="s">
        <v>153</v>
      </c>
      <c r="D55" s="263">
        <f>D13+D18+D23+D28+D33+D38+D43+D48+D53+D54</f>
        <v>0</v>
      </c>
      <c r="E55" s="263">
        <f>E13+E18+E23+E28+E33+E38+E43+E48+E53+E54</f>
        <v>0</v>
      </c>
      <c r="F55" s="263">
        <f>F13+F18+F23+F28+F33+F38+F43+F48+F53+F54</f>
        <v>0</v>
      </c>
      <c r="P55" s="365">
        <f>SUM(P13:P54)</f>
        <v>0</v>
      </c>
      <c r="Q55" s="365">
        <f>SUM(Q13:Q54)</f>
        <v>0</v>
      </c>
      <c r="R55" s="365">
        <f>SUM(R13:R54)</f>
        <v>0</v>
      </c>
      <c r="T55" s="4894"/>
    </row>
    <row r="56" spans="2:25">
      <c r="C56" s="264"/>
      <c r="D56" s="263"/>
      <c r="E56" s="263"/>
      <c r="F56" s="263"/>
    </row>
    <row r="57" spans="2:25">
      <c r="C57" s="264" t="s">
        <v>154</v>
      </c>
      <c r="D57" s="263">
        <f>D55-D53</f>
        <v>0</v>
      </c>
      <c r="E57" s="263">
        <f>E55-E53</f>
        <v>0</v>
      </c>
      <c r="F57" s="263">
        <f>F55-F53</f>
        <v>0</v>
      </c>
    </row>
    <row r="58" spans="2:25">
      <c r="C58" s="264" t="s">
        <v>155</v>
      </c>
      <c r="D58" s="266">
        <f>D53</f>
        <v>0</v>
      </c>
      <c r="E58" s="266">
        <f>E53</f>
        <v>0</v>
      </c>
      <c r="F58" s="266">
        <f>F53</f>
        <v>0</v>
      </c>
      <c r="G58" s="319" t="e">
        <f>F58/(F57+F58)</f>
        <v>#DIV/0!</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282" t="s">
        <v>368</v>
      </c>
      <c r="D63" s="257">
        <v>0</v>
      </c>
      <c r="E63" s="257" t="s">
        <v>559</v>
      </c>
      <c r="F63" s="282" t="s">
        <v>186</v>
      </c>
      <c r="G63" s="283"/>
      <c r="H63" s="283"/>
      <c r="I63" s="311">
        <v>0</v>
      </c>
      <c r="J63" s="257"/>
      <c r="K63" s="257"/>
      <c r="L63" s="3574"/>
      <c r="M63" s="3447" t="e">
        <f>Q63/O63</f>
        <v>#DIV/0!</v>
      </c>
      <c r="N63" s="3447" t="e">
        <f>R63/P63</f>
        <v>#DIV/0!</v>
      </c>
      <c r="O63" s="214">
        <f t="shared" ref="O63:O104" si="10">(($I63*$F$57)+$V63)/$S63</f>
        <v>0</v>
      </c>
      <c r="P63" s="214">
        <f t="shared" ref="P63:P104" si="11">(($I63*$F$57)+($G63*$O13))/$S63</f>
        <v>0</v>
      </c>
      <c r="Q63" s="214">
        <f>IF(K63=0, 0, (HLOOKUP(K63,'[1]G-CESTDWO'!$A$5:$G$35,J63+1,FALSE)*R13))</f>
        <v>0</v>
      </c>
      <c r="R63" s="214">
        <f>IF(K63=0, 0, (HLOOKUP(K63,'[1]G-CESTD'!$A$5:$G$35,J63+1,FALSE)*R13))</f>
        <v>0</v>
      </c>
      <c r="S63" s="279">
        <v>1.081</v>
      </c>
      <c r="T63" s="280">
        <f t="shared" ref="T63:T104" si="12">M13*$H63</f>
        <v>0</v>
      </c>
      <c r="U63" s="280">
        <f t="shared" ref="U63:U104" si="13">N13*$H63</f>
        <v>0</v>
      </c>
      <c r="V63" s="280">
        <f t="shared" ref="V63:V104" si="14">O13*$H63</f>
        <v>0</v>
      </c>
      <c r="W63" s="322" t="e">
        <f t="shared" ref="W63:W81" si="15">V63/(V63+(I63*F$57))</f>
        <v>#DIV/0!</v>
      </c>
      <c r="X63" s="322" t="e">
        <f t="shared" ref="X63:X81" si="16">(I63*((F$18*1.63)+F$28))/(V63+(I63*F$57))</f>
        <v>#DIV/0!</v>
      </c>
      <c r="Y63" s="322" t="e">
        <f t="shared" ref="Y63:Y81" si="17">(I63*F$38)/(V63+(I63*F$57))</f>
        <v>#DIV/0!</v>
      </c>
    </row>
    <row r="64" spans="2:25">
      <c r="B64" s="282"/>
      <c r="C64" s="282" t="s">
        <v>369</v>
      </c>
      <c r="D64" s="282">
        <v>0</v>
      </c>
      <c r="E64" s="282" t="s">
        <v>559</v>
      </c>
      <c r="F64" s="282" t="s">
        <v>186</v>
      </c>
      <c r="G64" s="283"/>
      <c r="H64" s="283"/>
      <c r="I64" s="311">
        <v>0</v>
      </c>
      <c r="J64" s="257"/>
      <c r="K64" s="257"/>
      <c r="L64" s="3574"/>
      <c r="M64" s="3447" t="e">
        <f t="shared" ref="M64:N104" si="18">Q64/O64</f>
        <v>#DIV/0!</v>
      </c>
      <c r="N64" s="3447" t="e">
        <f t="shared" si="18"/>
        <v>#DIV/0!</v>
      </c>
      <c r="O64" s="214">
        <f t="shared" si="10"/>
        <v>0</v>
      </c>
      <c r="P64" s="214">
        <f t="shared" si="11"/>
        <v>0</v>
      </c>
      <c r="Q64" s="214">
        <f>IF(K64=0, 0, (HLOOKUP(K64,'[1]G-CESTDWO'!$A$5:$G$35,J64+1,FALSE)*R14))</f>
        <v>0</v>
      </c>
      <c r="R64" s="214">
        <f>IF(K64=0, 0, (HLOOKUP(K64,'[1]G-CESTD'!$A$5:$G$35,J64+1,FALSE)*R14))</f>
        <v>0</v>
      </c>
      <c r="S64" s="279">
        <v>1.081</v>
      </c>
      <c r="T64" s="280">
        <f t="shared" si="12"/>
        <v>0</v>
      </c>
      <c r="U64" s="280">
        <f t="shared" si="13"/>
        <v>0</v>
      </c>
      <c r="V64" s="280">
        <f t="shared" si="14"/>
        <v>0</v>
      </c>
      <c r="W64" s="322" t="e">
        <f t="shared" si="15"/>
        <v>#DIV/0!</v>
      </c>
      <c r="X64" s="322" t="e">
        <f t="shared" si="16"/>
        <v>#DIV/0!</v>
      </c>
      <c r="Y64" s="322" t="e">
        <f t="shared" si="17"/>
        <v>#DIV/0!</v>
      </c>
    </row>
    <row r="65" spans="2:25">
      <c r="B65" s="282"/>
      <c r="C65" s="282" t="s">
        <v>370</v>
      </c>
      <c r="D65" s="257">
        <v>0</v>
      </c>
      <c r="E65" s="282" t="s">
        <v>559</v>
      </c>
      <c r="F65" s="282" t="s">
        <v>186</v>
      </c>
      <c r="G65" s="283"/>
      <c r="H65" s="283"/>
      <c r="I65" s="311">
        <v>0</v>
      </c>
      <c r="J65" s="257"/>
      <c r="K65" s="257"/>
      <c r="L65" s="3574"/>
      <c r="M65" s="3447" t="e">
        <f t="shared" si="18"/>
        <v>#DIV/0!</v>
      </c>
      <c r="N65" s="3447" t="e">
        <f t="shared" si="18"/>
        <v>#DIV/0!</v>
      </c>
      <c r="O65" s="214">
        <f t="shared" si="10"/>
        <v>0</v>
      </c>
      <c r="P65" s="214">
        <f t="shared" si="11"/>
        <v>0</v>
      </c>
      <c r="Q65" s="214">
        <f>IF(K65=0, 0, (HLOOKUP(K65,'[1]G-CESTDWO'!$A$5:$G$35,J65+1,FALSE)*R15))</f>
        <v>0</v>
      </c>
      <c r="R65" s="214">
        <f>IF(K65=0, 0, (HLOOKUP(K65,'[1]G-CESTD'!$A$5:$G$35,J65+1,FALSE)*R15))</f>
        <v>0</v>
      </c>
      <c r="S65" s="279">
        <v>1.081</v>
      </c>
      <c r="T65" s="280">
        <f t="shared" si="12"/>
        <v>0</v>
      </c>
      <c r="U65" s="280">
        <f t="shared" si="13"/>
        <v>0</v>
      </c>
      <c r="V65" s="280">
        <f t="shared" si="14"/>
        <v>0</v>
      </c>
      <c r="W65" s="322" t="e">
        <f t="shared" si="15"/>
        <v>#DIV/0!</v>
      </c>
      <c r="X65" s="322" t="e">
        <f t="shared" si="16"/>
        <v>#DIV/0!</v>
      </c>
      <c r="Y65" s="322" t="e">
        <f t="shared" si="17"/>
        <v>#DIV/0!</v>
      </c>
    </row>
    <row r="66" spans="2:25">
      <c r="B66" s="282"/>
      <c r="C66" s="282" t="s">
        <v>188</v>
      </c>
      <c r="D66" s="282">
        <v>0</v>
      </c>
      <c r="E66" s="282" t="s">
        <v>559</v>
      </c>
      <c r="F66" s="282" t="s">
        <v>186</v>
      </c>
      <c r="G66" s="283"/>
      <c r="H66" s="283"/>
      <c r="I66" s="311">
        <v>0</v>
      </c>
      <c r="J66" s="257"/>
      <c r="K66" s="257"/>
      <c r="L66" s="3574"/>
      <c r="M66" s="3447" t="e">
        <f t="shared" si="18"/>
        <v>#DIV/0!</v>
      </c>
      <c r="N66" s="3447" t="e">
        <f t="shared" si="18"/>
        <v>#DIV/0!</v>
      </c>
      <c r="O66" s="214">
        <f t="shared" si="10"/>
        <v>0</v>
      </c>
      <c r="P66" s="214">
        <f t="shared" si="11"/>
        <v>0</v>
      </c>
      <c r="Q66" s="214">
        <f>IF(K66=0, 0, (HLOOKUP(K66,'[1]G-CESTDWO'!$A$5:$G$35,J66+1,FALSE)*R16))</f>
        <v>0</v>
      </c>
      <c r="R66" s="214">
        <f>IF(K66=0, 0, (HLOOKUP(K66,'[1]G-CESTD'!$A$5:$G$35,J66+1,FALSE)*R16))</f>
        <v>0</v>
      </c>
      <c r="S66" s="279">
        <v>1.081</v>
      </c>
      <c r="T66" s="280">
        <f t="shared" si="12"/>
        <v>0</v>
      </c>
      <c r="U66" s="280">
        <f t="shared" si="13"/>
        <v>0</v>
      </c>
      <c r="V66" s="280">
        <f t="shared" si="14"/>
        <v>0</v>
      </c>
      <c r="W66" s="322" t="e">
        <f t="shared" si="15"/>
        <v>#DIV/0!</v>
      </c>
      <c r="X66" s="322" t="e">
        <f t="shared" si="16"/>
        <v>#DIV/0!</v>
      </c>
      <c r="Y66" s="322" t="e">
        <f t="shared" si="17"/>
        <v>#DIV/0!</v>
      </c>
    </row>
    <row r="67" spans="2:25">
      <c r="B67" s="282"/>
      <c r="C67" s="282" t="s">
        <v>189</v>
      </c>
      <c r="D67" s="257">
        <v>0</v>
      </c>
      <c r="E67" s="282" t="s">
        <v>559</v>
      </c>
      <c r="F67" s="282" t="s">
        <v>186</v>
      </c>
      <c r="G67" s="283"/>
      <c r="H67" s="283"/>
      <c r="I67" s="311">
        <v>0</v>
      </c>
      <c r="J67" s="257"/>
      <c r="K67" s="257"/>
      <c r="L67" s="3574"/>
      <c r="M67" s="3447" t="e">
        <f t="shared" si="18"/>
        <v>#DIV/0!</v>
      </c>
      <c r="N67" s="3447" t="e">
        <f t="shared" si="18"/>
        <v>#DIV/0!</v>
      </c>
      <c r="O67" s="214">
        <f t="shared" si="10"/>
        <v>0</v>
      </c>
      <c r="P67" s="214">
        <f t="shared" si="11"/>
        <v>0</v>
      </c>
      <c r="Q67" s="214">
        <f>IF(K67=0, 0, (HLOOKUP(K67,'[1]G-CESTDWO'!$A$5:$G$35,J67+1,FALSE)*R17))</f>
        <v>0</v>
      </c>
      <c r="R67" s="214">
        <f>IF(K67=0, 0, (HLOOKUP(K67,'[1]G-CESTD'!$A$5:$G$35,J67+1,FALSE)*R17))</f>
        <v>0</v>
      </c>
      <c r="S67" s="279">
        <v>1.081</v>
      </c>
      <c r="T67" s="280">
        <f t="shared" si="12"/>
        <v>0</v>
      </c>
      <c r="U67" s="280">
        <f t="shared" si="13"/>
        <v>0</v>
      </c>
      <c r="V67" s="280">
        <f t="shared" si="14"/>
        <v>0</v>
      </c>
      <c r="W67" s="322" t="e">
        <f t="shared" si="15"/>
        <v>#DIV/0!</v>
      </c>
      <c r="X67" s="322" t="e">
        <f t="shared" si="16"/>
        <v>#DIV/0!</v>
      </c>
      <c r="Y67" s="322" t="e">
        <f t="shared" si="17"/>
        <v>#DIV/0!</v>
      </c>
    </row>
    <row r="68" spans="2:25">
      <c r="B68" s="282"/>
      <c r="C68" s="282" t="s">
        <v>190</v>
      </c>
      <c r="D68" s="282">
        <v>0</v>
      </c>
      <c r="E68" s="282" t="s">
        <v>559</v>
      </c>
      <c r="F68" s="282" t="s">
        <v>186</v>
      </c>
      <c r="G68" s="283"/>
      <c r="H68" s="283"/>
      <c r="I68" s="311">
        <v>0</v>
      </c>
      <c r="J68" s="257"/>
      <c r="K68" s="257"/>
      <c r="L68" s="3574"/>
      <c r="M68" s="3447" t="e">
        <f t="shared" si="18"/>
        <v>#DIV/0!</v>
      </c>
      <c r="N68" s="3447" t="e">
        <f t="shared" si="18"/>
        <v>#DIV/0!</v>
      </c>
      <c r="O68" s="214">
        <f t="shared" si="10"/>
        <v>0</v>
      </c>
      <c r="P68" s="214">
        <f t="shared" si="11"/>
        <v>0</v>
      </c>
      <c r="Q68" s="214">
        <f>IF(K68=0, 0, (HLOOKUP(K68,'[1]G-CESTDWO'!$A$5:$G$35,J68+1,FALSE)*R18))</f>
        <v>0</v>
      </c>
      <c r="R68" s="214">
        <f>IF(K68=0, 0, (HLOOKUP(K68,'[1]G-CESTD'!$A$5:$G$35,J68+1,FALSE)*R18))</f>
        <v>0</v>
      </c>
      <c r="S68" s="279">
        <v>1.081</v>
      </c>
      <c r="T68" s="280">
        <f t="shared" si="12"/>
        <v>0</v>
      </c>
      <c r="U68" s="280">
        <f t="shared" si="13"/>
        <v>0</v>
      </c>
      <c r="V68" s="280">
        <f t="shared" si="14"/>
        <v>0</v>
      </c>
      <c r="W68" s="322" t="e">
        <f t="shared" si="15"/>
        <v>#DIV/0!</v>
      </c>
      <c r="X68" s="322" t="e">
        <f t="shared" si="16"/>
        <v>#DIV/0!</v>
      </c>
      <c r="Y68" s="322" t="e">
        <f t="shared" si="17"/>
        <v>#DIV/0!</v>
      </c>
    </row>
    <row r="69" spans="2:25">
      <c r="B69" s="282"/>
      <c r="C69" s="282" t="s">
        <v>191</v>
      </c>
      <c r="D69" s="257">
        <v>0</v>
      </c>
      <c r="E69" s="282" t="s">
        <v>559</v>
      </c>
      <c r="F69" s="282" t="s">
        <v>186</v>
      </c>
      <c r="G69" s="283"/>
      <c r="H69" s="283"/>
      <c r="I69" s="311">
        <v>0</v>
      </c>
      <c r="J69" s="257"/>
      <c r="K69" s="257"/>
      <c r="L69" s="3574"/>
      <c r="M69" s="3447" t="e">
        <f t="shared" si="18"/>
        <v>#DIV/0!</v>
      </c>
      <c r="N69" s="3447" t="e">
        <f t="shared" si="18"/>
        <v>#DIV/0!</v>
      </c>
      <c r="O69" s="214">
        <f t="shared" si="10"/>
        <v>0</v>
      </c>
      <c r="P69" s="214">
        <f t="shared" si="11"/>
        <v>0</v>
      </c>
      <c r="Q69" s="214">
        <f>IF(K69=0, 0, (HLOOKUP(K69,'[1]G-CESTDWO'!$A$5:$G$35,J69+1,FALSE)*R19))</f>
        <v>0</v>
      </c>
      <c r="R69" s="214">
        <f>IF(K69=0, 0, (HLOOKUP(K69,'[1]G-CESTD'!$A$5:$G$35,J69+1,FALSE)*R19))</f>
        <v>0</v>
      </c>
      <c r="S69" s="279">
        <v>1.081</v>
      </c>
      <c r="T69" s="280">
        <f t="shared" si="12"/>
        <v>0</v>
      </c>
      <c r="U69" s="280">
        <f t="shared" si="13"/>
        <v>0</v>
      </c>
      <c r="V69" s="280">
        <f t="shared" si="14"/>
        <v>0</v>
      </c>
      <c r="W69" s="322" t="e">
        <f t="shared" si="15"/>
        <v>#DIV/0!</v>
      </c>
      <c r="X69" s="322" t="e">
        <f t="shared" si="16"/>
        <v>#DIV/0!</v>
      </c>
      <c r="Y69" s="322" t="e">
        <f t="shared" si="17"/>
        <v>#DIV/0!</v>
      </c>
    </row>
    <row r="70" spans="2:25">
      <c r="B70" s="282"/>
      <c r="C70" s="282" t="s">
        <v>192</v>
      </c>
      <c r="D70" s="282">
        <v>0</v>
      </c>
      <c r="E70" s="282" t="s">
        <v>559</v>
      </c>
      <c r="F70" s="282" t="s">
        <v>186</v>
      </c>
      <c r="G70" s="283"/>
      <c r="H70" s="283"/>
      <c r="I70" s="311">
        <v>0</v>
      </c>
      <c r="J70" s="257"/>
      <c r="K70" s="257"/>
      <c r="L70" s="3574"/>
      <c r="M70" s="3447" t="e">
        <f t="shared" si="18"/>
        <v>#DIV/0!</v>
      </c>
      <c r="N70" s="3447" t="e">
        <f t="shared" si="18"/>
        <v>#DIV/0!</v>
      </c>
      <c r="O70" s="214">
        <f t="shared" si="10"/>
        <v>0</v>
      </c>
      <c r="P70" s="214">
        <f t="shared" si="11"/>
        <v>0</v>
      </c>
      <c r="Q70" s="214">
        <f>IF(K70=0, 0, (HLOOKUP(K70,'[1]G-CESTDWO'!$A$5:$G$35,J70+1,FALSE)*R20))</f>
        <v>0</v>
      </c>
      <c r="R70" s="214">
        <f>IF(K70=0, 0, (HLOOKUP(K70,'[1]G-CESTD'!$A$5:$G$35,J70+1,FALSE)*R20))</f>
        <v>0</v>
      </c>
      <c r="S70" s="279">
        <v>1.081</v>
      </c>
      <c r="T70" s="280">
        <f t="shared" si="12"/>
        <v>0</v>
      </c>
      <c r="U70" s="280">
        <f t="shared" si="13"/>
        <v>0</v>
      </c>
      <c r="V70" s="280">
        <f t="shared" si="14"/>
        <v>0</v>
      </c>
      <c r="W70" s="322" t="e">
        <f t="shared" si="15"/>
        <v>#DIV/0!</v>
      </c>
      <c r="X70" s="322" t="e">
        <f t="shared" si="16"/>
        <v>#DIV/0!</v>
      </c>
      <c r="Y70" s="322" t="e">
        <f t="shared" si="17"/>
        <v>#DIV/0!</v>
      </c>
    </row>
    <row r="71" spans="2:25">
      <c r="B71" s="282"/>
      <c r="C71" s="282" t="s">
        <v>193</v>
      </c>
      <c r="D71" s="257">
        <v>0</v>
      </c>
      <c r="E71" s="282" t="s">
        <v>559</v>
      </c>
      <c r="F71" s="282" t="s">
        <v>186</v>
      </c>
      <c r="G71" s="283"/>
      <c r="H71" s="283"/>
      <c r="I71" s="311">
        <v>0</v>
      </c>
      <c r="J71" s="257"/>
      <c r="K71" s="257"/>
      <c r="L71" s="3574"/>
      <c r="M71" s="3447" t="e">
        <f t="shared" si="18"/>
        <v>#DIV/0!</v>
      </c>
      <c r="N71" s="3447" t="e">
        <f t="shared" si="18"/>
        <v>#DIV/0!</v>
      </c>
      <c r="O71" s="214">
        <f t="shared" si="10"/>
        <v>0</v>
      </c>
      <c r="P71" s="214">
        <f t="shared" si="11"/>
        <v>0</v>
      </c>
      <c r="Q71" s="214">
        <f>IF(K71=0, 0, (HLOOKUP(K71,'[1]G-CESTDWO'!$A$5:$G$35,J71+1,FALSE)*R21))</f>
        <v>0</v>
      </c>
      <c r="R71" s="214">
        <f>IF(K71=0, 0, (HLOOKUP(K71,'[1]G-CESTD'!$A$5:$G$35,J71+1,FALSE)*R21))</f>
        <v>0</v>
      </c>
      <c r="S71" s="279">
        <v>1.081</v>
      </c>
      <c r="T71" s="280">
        <f t="shared" si="12"/>
        <v>0</v>
      </c>
      <c r="U71" s="280">
        <f t="shared" si="13"/>
        <v>0</v>
      </c>
      <c r="V71" s="280">
        <f t="shared" si="14"/>
        <v>0</v>
      </c>
      <c r="W71" s="322" t="e">
        <f t="shared" si="15"/>
        <v>#DIV/0!</v>
      </c>
      <c r="X71" s="322" t="e">
        <f t="shared" si="16"/>
        <v>#DIV/0!</v>
      </c>
      <c r="Y71" s="322" t="e">
        <f t="shared" si="17"/>
        <v>#DIV/0!</v>
      </c>
    </row>
    <row r="72" spans="2:25">
      <c r="B72" s="282"/>
      <c r="C72" s="282" t="s">
        <v>194</v>
      </c>
      <c r="D72" s="282">
        <v>0</v>
      </c>
      <c r="E72" s="282" t="s">
        <v>559</v>
      </c>
      <c r="F72" s="282" t="s">
        <v>186</v>
      </c>
      <c r="G72" s="283"/>
      <c r="H72" s="283"/>
      <c r="I72" s="311">
        <v>0</v>
      </c>
      <c r="J72" s="257"/>
      <c r="K72" s="257"/>
      <c r="L72" s="3574"/>
      <c r="M72" s="3447" t="e">
        <f t="shared" si="18"/>
        <v>#DIV/0!</v>
      </c>
      <c r="N72" s="3447" t="e">
        <f t="shared" si="18"/>
        <v>#DIV/0!</v>
      </c>
      <c r="O72" s="214">
        <f t="shared" si="10"/>
        <v>0</v>
      </c>
      <c r="P72" s="214">
        <f t="shared" si="11"/>
        <v>0</v>
      </c>
      <c r="Q72" s="214">
        <f>IF(K72=0, 0, (HLOOKUP(K72,'[1]G-CESTDWO'!$A$5:$G$35,J72+1,FALSE)*R22))</f>
        <v>0</v>
      </c>
      <c r="R72" s="214">
        <f>IF(K72=0, 0, (HLOOKUP(K72,'[1]G-CESTD'!$A$5:$G$35,J72+1,FALSE)*R22))</f>
        <v>0</v>
      </c>
      <c r="S72" s="279">
        <v>1.081</v>
      </c>
      <c r="T72" s="280">
        <f t="shared" si="12"/>
        <v>0</v>
      </c>
      <c r="U72" s="280">
        <f t="shared" si="13"/>
        <v>0</v>
      </c>
      <c r="V72" s="280">
        <f t="shared" si="14"/>
        <v>0</v>
      </c>
      <c r="W72" s="322" t="e">
        <f t="shared" si="15"/>
        <v>#DIV/0!</v>
      </c>
      <c r="X72" s="322" t="e">
        <f t="shared" si="16"/>
        <v>#DIV/0!</v>
      </c>
      <c r="Y72" s="322" t="e">
        <f t="shared" si="17"/>
        <v>#DIV/0!</v>
      </c>
    </row>
    <row r="73" spans="2:25">
      <c r="B73" s="282"/>
      <c r="C73" s="282" t="s">
        <v>195</v>
      </c>
      <c r="D73" s="257">
        <v>0</v>
      </c>
      <c r="E73" s="282" t="s">
        <v>559</v>
      </c>
      <c r="F73" s="282" t="s">
        <v>186</v>
      </c>
      <c r="G73" s="283"/>
      <c r="H73" s="283"/>
      <c r="I73" s="311">
        <v>0</v>
      </c>
      <c r="J73" s="257"/>
      <c r="K73" s="257"/>
      <c r="L73" s="3574"/>
      <c r="M73" s="3447" t="e">
        <f t="shared" si="18"/>
        <v>#DIV/0!</v>
      </c>
      <c r="N73" s="3447" t="e">
        <f t="shared" si="18"/>
        <v>#DIV/0!</v>
      </c>
      <c r="O73" s="214">
        <f t="shared" si="10"/>
        <v>0</v>
      </c>
      <c r="P73" s="214">
        <f t="shared" si="11"/>
        <v>0</v>
      </c>
      <c r="Q73" s="214">
        <f>IF(K73=0, 0, (HLOOKUP(K73,'[1]G-CESTDWO'!$A$5:$G$35,J73+1,FALSE)*R23))</f>
        <v>0</v>
      </c>
      <c r="R73" s="214">
        <f>IF(K73=0, 0, (HLOOKUP(K73,'[1]G-CESTD'!$A$5:$G$35,J73+1,FALSE)*R23))</f>
        <v>0</v>
      </c>
      <c r="S73" s="279">
        <v>1.081</v>
      </c>
      <c r="T73" s="280">
        <f t="shared" si="12"/>
        <v>0</v>
      </c>
      <c r="U73" s="280">
        <f t="shared" si="13"/>
        <v>0</v>
      </c>
      <c r="V73" s="280">
        <f t="shared" si="14"/>
        <v>0</v>
      </c>
      <c r="W73" s="322" t="e">
        <f t="shared" si="15"/>
        <v>#DIV/0!</v>
      </c>
      <c r="X73" s="322" t="e">
        <f t="shared" si="16"/>
        <v>#DIV/0!</v>
      </c>
      <c r="Y73" s="322" t="e">
        <f t="shared" si="17"/>
        <v>#DIV/0!</v>
      </c>
    </row>
    <row r="74" spans="2:25">
      <c r="B74" s="282"/>
      <c r="C74" s="282" t="s">
        <v>196</v>
      </c>
      <c r="D74" s="282">
        <v>0</v>
      </c>
      <c r="E74" s="282" t="s">
        <v>559</v>
      </c>
      <c r="F74" s="282" t="s">
        <v>186</v>
      </c>
      <c r="G74" s="283"/>
      <c r="H74" s="283"/>
      <c r="I74" s="311">
        <v>0</v>
      </c>
      <c r="J74" s="257"/>
      <c r="K74" s="257"/>
      <c r="L74" s="3574"/>
      <c r="M74" s="3447" t="e">
        <f t="shared" si="18"/>
        <v>#DIV/0!</v>
      </c>
      <c r="N74" s="3447" t="e">
        <f t="shared" si="18"/>
        <v>#DIV/0!</v>
      </c>
      <c r="O74" s="214">
        <f t="shared" si="10"/>
        <v>0</v>
      </c>
      <c r="P74" s="214">
        <f t="shared" si="11"/>
        <v>0</v>
      </c>
      <c r="Q74" s="214">
        <f>IF(K74=0, 0, (HLOOKUP(K74,'[1]G-CESTDWO'!$A$5:$G$35,J74+1,FALSE)*R24))</f>
        <v>0</v>
      </c>
      <c r="R74" s="214">
        <f>IF(K74=0, 0, (HLOOKUP(K74,'[1]G-CESTD'!$A$5:$G$35,J74+1,FALSE)*R24))</f>
        <v>0</v>
      </c>
      <c r="S74" s="279">
        <v>1.081</v>
      </c>
      <c r="T74" s="280">
        <f t="shared" si="12"/>
        <v>0</v>
      </c>
      <c r="U74" s="280">
        <f t="shared" si="13"/>
        <v>0</v>
      </c>
      <c r="V74" s="280">
        <f t="shared" si="14"/>
        <v>0</v>
      </c>
      <c r="W74" s="322" t="e">
        <f t="shared" si="15"/>
        <v>#DIV/0!</v>
      </c>
      <c r="X74" s="322" t="e">
        <f t="shared" si="16"/>
        <v>#DIV/0!</v>
      </c>
      <c r="Y74" s="322" t="e">
        <f t="shared" si="17"/>
        <v>#DIV/0!</v>
      </c>
    </row>
    <row r="75" spans="2:25">
      <c r="B75" s="282"/>
      <c r="C75" s="282" t="s">
        <v>197</v>
      </c>
      <c r="D75" s="257">
        <v>0</v>
      </c>
      <c r="E75" s="282" t="s">
        <v>559</v>
      </c>
      <c r="F75" s="282" t="s">
        <v>186</v>
      </c>
      <c r="G75" s="283"/>
      <c r="H75" s="283"/>
      <c r="I75" s="311">
        <v>0</v>
      </c>
      <c r="J75" s="257"/>
      <c r="K75" s="257"/>
      <c r="L75" s="3574"/>
      <c r="M75" s="3447" t="e">
        <f t="shared" si="18"/>
        <v>#DIV/0!</v>
      </c>
      <c r="N75" s="3447" t="e">
        <f t="shared" si="18"/>
        <v>#DIV/0!</v>
      </c>
      <c r="O75" s="214">
        <f t="shared" si="10"/>
        <v>0</v>
      </c>
      <c r="P75" s="214">
        <f t="shared" si="11"/>
        <v>0</v>
      </c>
      <c r="Q75" s="214">
        <f>IF(K75=0, 0, (HLOOKUP(K75,'[1]G-CESTDWO'!$A$5:$G$35,J75+1,FALSE)*R25))</f>
        <v>0</v>
      </c>
      <c r="R75" s="214">
        <f>IF(K75=0, 0, (HLOOKUP(K75,'[1]G-CESTD'!$A$5:$G$35,J75+1,FALSE)*R25))</f>
        <v>0</v>
      </c>
      <c r="S75" s="279">
        <v>1.081</v>
      </c>
      <c r="T75" s="280">
        <f t="shared" si="12"/>
        <v>0</v>
      </c>
      <c r="U75" s="280">
        <f t="shared" si="13"/>
        <v>0</v>
      </c>
      <c r="V75" s="280">
        <f t="shared" si="14"/>
        <v>0</v>
      </c>
      <c r="W75" s="322" t="e">
        <f t="shared" si="15"/>
        <v>#DIV/0!</v>
      </c>
      <c r="X75" s="322" t="e">
        <f t="shared" si="16"/>
        <v>#DIV/0!</v>
      </c>
      <c r="Y75" s="322" t="e">
        <f t="shared" si="17"/>
        <v>#DIV/0!</v>
      </c>
    </row>
    <row r="76" spans="2:25">
      <c r="B76" s="282"/>
      <c r="C76" s="282" t="s">
        <v>198</v>
      </c>
      <c r="D76" s="282">
        <v>0</v>
      </c>
      <c r="E76" s="282" t="s">
        <v>559</v>
      </c>
      <c r="F76" s="282" t="s">
        <v>186</v>
      </c>
      <c r="G76" s="283"/>
      <c r="H76" s="283"/>
      <c r="I76" s="311">
        <v>0</v>
      </c>
      <c r="J76" s="257"/>
      <c r="K76" s="257"/>
      <c r="L76" s="3574"/>
      <c r="M76" s="3447" t="e">
        <f t="shared" si="18"/>
        <v>#DIV/0!</v>
      </c>
      <c r="N76" s="3447" t="e">
        <f t="shared" si="18"/>
        <v>#DIV/0!</v>
      </c>
      <c r="O76" s="214">
        <f t="shared" si="10"/>
        <v>0</v>
      </c>
      <c r="P76" s="214">
        <f t="shared" si="11"/>
        <v>0</v>
      </c>
      <c r="Q76" s="214">
        <f>IF(K76=0, 0, (HLOOKUP(K76,'[1]G-CESTDWO'!$A$5:$G$35,J76+1,FALSE)*R26))</f>
        <v>0</v>
      </c>
      <c r="R76" s="214">
        <f>IF(K76=0, 0, (HLOOKUP(K76,'[1]G-CESTD'!$A$5:$G$35,J76+1,FALSE)*R26))</f>
        <v>0</v>
      </c>
      <c r="S76" s="279">
        <v>1.081</v>
      </c>
      <c r="T76" s="280">
        <f t="shared" si="12"/>
        <v>0</v>
      </c>
      <c r="U76" s="280">
        <f t="shared" si="13"/>
        <v>0</v>
      </c>
      <c r="V76" s="280">
        <f t="shared" si="14"/>
        <v>0</v>
      </c>
      <c r="W76" s="322" t="e">
        <f t="shared" si="15"/>
        <v>#DIV/0!</v>
      </c>
      <c r="X76" s="322" t="e">
        <f t="shared" si="16"/>
        <v>#DIV/0!</v>
      </c>
      <c r="Y76" s="322" t="e">
        <f t="shared" si="17"/>
        <v>#DIV/0!</v>
      </c>
    </row>
    <row r="77" spans="2:25">
      <c r="B77" s="282"/>
      <c r="C77" s="282" t="s">
        <v>199</v>
      </c>
      <c r="D77" s="257">
        <v>0</v>
      </c>
      <c r="E77" s="282" t="s">
        <v>559</v>
      </c>
      <c r="F77" s="282" t="s">
        <v>186</v>
      </c>
      <c r="G77" s="283"/>
      <c r="H77" s="283"/>
      <c r="I77" s="311">
        <v>0</v>
      </c>
      <c r="J77" s="257"/>
      <c r="K77" s="257"/>
      <c r="L77" s="3574"/>
      <c r="M77" s="3447" t="e">
        <f t="shared" si="18"/>
        <v>#DIV/0!</v>
      </c>
      <c r="N77" s="3447" t="e">
        <f t="shared" si="18"/>
        <v>#DIV/0!</v>
      </c>
      <c r="O77" s="214">
        <f t="shared" si="10"/>
        <v>0</v>
      </c>
      <c r="P77" s="214">
        <f t="shared" si="11"/>
        <v>0</v>
      </c>
      <c r="Q77" s="214">
        <f>IF(K77=0, 0, (HLOOKUP(K77,'[1]G-CESTDWO'!$A$5:$G$35,J77+1,FALSE)*R27))</f>
        <v>0</v>
      </c>
      <c r="R77" s="214">
        <f>IF(K77=0, 0, (HLOOKUP(K77,'[1]G-CESTD'!$A$5:$G$35,J77+1,FALSE)*R27))</f>
        <v>0</v>
      </c>
      <c r="S77" s="279">
        <v>1.081</v>
      </c>
      <c r="T77" s="280">
        <f t="shared" si="12"/>
        <v>0</v>
      </c>
      <c r="U77" s="280">
        <f t="shared" si="13"/>
        <v>0</v>
      </c>
      <c r="V77" s="280">
        <f t="shared" si="14"/>
        <v>0</v>
      </c>
      <c r="W77" s="322" t="e">
        <f t="shared" si="15"/>
        <v>#DIV/0!</v>
      </c>
      <c r="X77" s="322" t="e">
        <f t="shared" si="16"/>
        <v>#DIV/0!</v>
      </c>
      <c r="Y77" s="322" t="e">
        <f t="shared" si="17"/>
        <v>#DIV/0!</v>
      </c>
    </row>
    <row r="78" spans="2:25">
      <c r="B78" s="282"/>
      <c r="C78" s="282" t="s">
        <v>200</v>
      </c>
      <c r="D78" s="282">
        <v>0</v>
      </c>
      <c r="E78" s="282" t="s">
        <v>559</v>
      </c>
      <c r="F78" s="282" t="s">
        <v>186</v>
      </c>
      <c r="G78" s="283"/>
      <c r="H78" s="283"/>
      <c r="I78" s="311">
        <v>0</v>
      </c>
      <c r="J78" s="257"/>
      <c r="K78" s="257"/>
      <c r="L78" s="3574"/>
      <c r="M78" s="3447" t="e">
        <f t="shared" si="18"/>
        <v>#DIV/0!</v>
      </c>
      <c r="N78" s="3447" t="e">
        <f t="shared" si="18"/>
        <v>#DIV/0!</v>
      </c>
      <c r="O78" s="214">
        <f t="shared" si="10"/>
        <v>0</v>
      </c>
      <c r="P78" s="214">
        <f t="shared" si="11"/>
        <v>0</v>
      </c>
      <c r="Q78" s="214">
        <f>IF(K78=0, 0, (HLOOKUP(K78,'[1]G-CESTDWO'!$A$5:$G$35,J78+1,FALSE)*R28))</f>
        <v>0</v>
      </c>
      <c r="R78" s="214">
        <f>IF(K78=0, 0, (HLOOKUP(K78,'[1]G-CESTD'!$A$5:$G$35,J78+1,FALSE)*R28))</f>
        <v>0</v>
      </c>
      <c r="S78" s="279">
        <v>1.081</v>
      </c>
      <c r="T78" s="280">
        <f t="shared" si="12"/>
        <v>0</v>
      </c>
      <c r="U78" s="280">
        <f t="shared" si="13"/>
        <v>0</v>
      </c>
      <c r="V78" s="280">
        <f t="shared" si="14"/>
        <v>0</v>
      </c>
      <c r="W78" s="322" t="e">
        <f t="shared" si="15"/>
        <v>#DIV/0!</v>
      </c>
      <c r="X78" s="322" t="e">
        <f t="shared" si="16"/>
        <v>#DIV/0!</v>
      </c>
      <c r="Y78" s="322" t="e">
        <f t="shared" si="17"/>
        <v>#DIV/0!</v>
      </c>
    </row>
    <row r="79" spans="2:25">
      <c r="B79" s="282"/>
      <c r="C79" s="282" t="s">
        <v>201</v>
      </c>
      <c r="D79" s="257">
        <v>0</v>
      </c>
      <c r="E79" s="282" t="s">
        <v>559</v>
      </c>
      <c r="F79" s="282" t="s">
        <v>186</v>
      </c>
      <c r="G79" s="283"/>
      <c r="H79" s="283"/>
      <c r="I79" s="311">
        <v>0</v>
      </c>
      <c r="J79" s="257"/>
      <c r="K79" s="257"/>
      <c r="L79" s="3574"/>
      <c r="M79" s="3447" t="e">
        <f t="shared" si="18"/>
        <v>#DIV/0!</v>
      </c>
      <c r="N79" s="3447" t="e">
        <f t="shared" si="18"/>
        <v>#DIV/0!</v>
      </c>
      <c r="O79" s="214">
        <f t="shared" si="10"/>
        <v>0</v>
      </c>
      <c r="P79" s="214">
        <f t="shared" si="11"/>
        <v>0</v>
      </c>
      <c r="Q79" s="214">
        <f>IF(K79=0, 0, (HLOOKUP(K79,'[1]G-CESTDWO'!$A$5:$G$35,J79+1,FALSE)*R29))</f>
        <v>0</v>
      </c>
      <c r="R79" s="214">
        <f>IF(K79=0, 0, (HLOOKUP(K79,'[1]G-CESTD'!$A$5:$G$35,J79+1,FALSE)*R29))</f>
        <v>0</v>
      </c>
      <c r="S79" s="279">
        <v>1.081</v>
      </c>
      <c r="T79" s="280">
        <f t="shared" si="12"/>
        <v>0</v>
      </c>
      <c r="U79" s="280">
        <f t="shared" si="13"/>
        <v>0</v>
      </c>
      <c r="V79" s="280">
        <f t="shared" si="14"/>
        <v>0</v>
      </c>
      <c r="W79" s="322" t="e">
        <f t="shared" si="15"/>
        <v>#DIV/0!</v>
      </c>
      <c r="X79" s="322" t="e">
        <f t="shared" si="16"/>
        <v>#DIV/0!</v>
      </c>
      <c r="Y79" s="322" t="e">
        <f t="shared" si="17"/>
        <v>#DIV/0!</v>
      </c>
    </row>
    <row r="80" spans="2:25">
      <c r="B80" s="282"/>
      <c r="C80" s="282" t="s">
        <v>202</v>
      </c>
      <c r="D80" s="282">
        <v>0</v>
      </c>
      <c r="E80" s="282" t="s">
        <v>559</v>
      </c>
      <c r="F80" s="282" t="s">
        <v>186</v>
      </c>
      <c r="G80" s="283"/>
      <c r="H80" s="283"/>
      <c r="I80" s="311">
        <v>0</v>
      </c>
      <c r="J80" s="257"/>
      <c r="K80" s="257"/>
      <c r="L80" s="3574"/>
      <c r="M80" s="3447" t="e">
        <f t="shared" si="18"/>
        <v>#DIV/0!</v>
      </c>
      <c r="N80" s="3447" t="e">
        <f t="shared" si="18"/>
        <v>#DIV/0!</v>
      </c>
      <c r="O80" s="214">
        <f t="shared" si="10"/>
        <v>0</v>
      </c>
      <c r="P80" s="214">
        <f t="shared" si="11"/>
        <v>0</v>
      </c>
      <c r="Q80" s="214">
        <f>IF(K80=0, 0, (HLOOKUP(K80,'[1]G-CESTDWO'!$A$5:$G$35,J80+1,FALSE)*R30))</f>
        <v>0</v>
      </c>
      <c r="R80" s="214">
        <f>IF(K80=0, 0, (HLOOKUP(K80,'[1]G-CESTD'!$A$5:$G$35,J80+1,FALSE)*R30))</f>
        <v>0</v>
      </c>
      <c r="S80" s="279">
        <v>1.081</v>
      </c>
      <c r="T80" s="280">
        <f t="shared" si="12"/>
        <v>0</v>
      </c>
      <c r="U80" s="280">
        <f t="shared" si="13"/>
        <v>0</v>
      </c>
      <c r="V80" s="280">
        <f t="shared" si="14"/>
        <v>0</v>
      </c>
      <c r="W80" s="322" t="e">
        <f t="shared" si="15"/>
        <v>#DIV/0!</v>
      </c>
      <c r="X80" s="322" t="e">
        <f t="shared" si="16"/>
        <v>#DIV/0!</v>
      </c>
      <c r="Y80" s="322" t="e">
        <f t="shared" si="17"/>
        <v>#DIV/0!</v>
      </c>
    </row>
    <row r="81" spans="2:25">
      <c r="B81" s="282"/>
      <c r="C81" s="282" t="s">
        <v>203</v>
      </c>
      <c r="D81" s="282">
        <v>0</v>
      </c>
      <c r="E81" s="282" t="s">
        <v>559</v>
      </c>
      <c r="F81" s="282" t="s">
        <v>186</v>
      </c>
      <c r="G81" s="283"/>
      <c r="H81" s="283"/>
      <c r="I81" s="311">
        <v>0</v>
      </c>
      <c r="J81" s="257"/>
      <c r="K81" s="257"/>
      <c r="L81" s="3574"/>
      <c r="M81" s="3447" t="e">
        <f t="shared" si="18"/>
        <v>#DIV/0!</v>
      </c>
      <c r="N81" s="3447" t="e">
        <f t="shared" si="18"/>
        <v>#DIV/0!</v>
      </c>
      <c r="O81" s="214">
        <f t="shared" si="10"/>
        <v>0</v>
      </c>
      <c r="P81" s="214">
        <f t="shared" si="11"/>
        <v>0</v>
      </c>
      <c r="Q81" s="214">
        <f>IF(K81=0, 0, (HLOOKUP(K81,'[1]G-CESTDWO'!$A$5:$G$35,J81+1,FALSE)*R31))</f>
        <v>0</v>
      </c>
      <c r="R81" s="214">
        <f>IF(K81=0, 0, (HLOOKUP(K81,'[1]G-CESTD'!$A$5:$G$35,J81+1,FALSE)*R31))</f>
        <v>0</v>
      </c>
      <c r="S81" s="279">
        <v>1.081</v>
      </c>
      <c r="T81" s="280">
        <f t="shared" si="12"/>
        <v>0</v>
      </c>
      <c r="U81" s="280">
        <f t="shared" si="13"/>
        <v>0</v>
      </c>
      <c r="V81" s="280">
        <f t="shared" si="14"/>
        <v>0</v>
      </c>
      <c r="W81" s="322" t="e">
        <f t="shared" si="15"/>
        <v>#DIV/0!</v>
      </c>
      <c r="X81" s="322" t="e">
        <f t="shared" si="16"/>
        <v>#DIV/0!</v>
      </c>
      <c r="Y81" s="322" t="e">
        <f t="shared" si="17"/>
        <v>#DIV/0!</v>
      </c>
    </row>
    <row r="82" spans="2:25">
      <c r="B82" s="282"/>
      <c r="C82" s="282" t="s">
        <v>204</v>
      </c>
      <c r="D82" s="282">
        <v>0</v>
      </c>
      <c r="E82" s="282" t="s">
        <v>559</v>
      </c>
      <c r="F82" s="282" t="s">
        <v>186</v>
      </c>
      <c r="G82" s="283"/>
      <c r="H82" s="283"/>
      <c r="I82" s="311">
        <v>0</v>
      </c>
      <c r="J82" s="257"/>
      <c r="K82" s="257"/>
      <c r="L82" s="3574"/>
      <c r="M82" s="3447" t="e">
        <f t="shared" si="18"/>
        <v>#DIV/0!</v>
      </c>
      <c r="N82" s="3447" t="e">
        <f t="shared" si="18"/>
        <v>#DIV/0!</v>
      </c>
      <c r="O82" s="214">
        <f t="shared" si="10"/>
        <v>0</v>
      </c>
      <c r="P82" s="214">
        <f t="shared" si="11"/>
        <v>0</v>
      </c>
      <c r="Q82" s="214">
        <f>IF(K82=0, 0, (HLOOKUP(K82,'[1]G-CESTDWO'!$A$5:$G$35,J82+1,FALSE)*R32))</f>
        <v>0</v>
      </c>
      <c r="R82" s="214">
        <f>IF(K82=0, 0, (HLOOKUP(K82,'[1]G-CESTD'!$A$5:$G$35,J82+1,FALSE)*R32))</f>
        <v>0</v>
      </c>
      <c r="S82" s="279">
        <v>1.081</v>
      </c>
      <c r="T82" s="280">
        <f t="shared" si="12"/>
        <v>0</v>
      </c>
      <c r="U82" s="280">
        <f t="shared" si="13"/>
        <v>0</v>
      </c>
      <c r="V82" s="280">
        <f t="shared" si="14"/>
        <v>0</v>
      </c>
    </row>
    <row r="83" spans="2:25">
      <c r="B83" s="282"/>
      <c r="C83" s="282" t="s">
        <v>205</v>
      </c>
      <c r="D83" s="285">
        <v>0</v>
      </c>
      <c r="E83" s="282" t="s">
        <v>559</v>
      </c>
      <c r="F83" s="282" t="s">
        <v>186</v>
      </c>
      <c r="G83" s="283"/>
      <c r="H83" s="283"/>
      <c r="I83" s="311">
        <v>0</v>
      </c>
      <c r="J83" s="257"/>
      <c r="K83" s="257"/>
      <c r="L83" s="3574"/>
      <c r="M83" s="3447" t="e">
        <f t="shared" si="18"/>
        <v>#DIV/0!</v>
      </c>
      <c r="N83" s="3447" t="e">
        <f t="shared" si="18"/>
        <v>#DIV/0!</v>
      </c>
      <c r="O83" s="214">
        <f t="shared" si="10"/>
        <v>0</v>
      </c>
      <c r="P83" s="214">
        <f t="shared" si="11"/>
        <v>0</v>
      </c>
      <c r="Q83" s="214">
        <f>IF(K83=0, 0, (HLOOKUP(K83,'[1]G-CESTDWO'!$A$5:$G$35,J83+1,FALSE)*R33))</f>
        <v>0</v>
      </c>
      <c r="R83" s="214">
        <f>IF(K83=0, 0, (HLOOKUP(K83,'[1]G-CESTD'!$A$5:$G$35,J83+1,FALSE)*R33))</f>
        <v>0</v>
      </c>
      <c r="S83" s="279">
        <v>1.081</v>
      </c>
      <c r="T83" s="280">
        <f t="shared" si="12"/>
        <v>0</v>
      </c>
      <c r="U83" s="280">
        <f t="shared" si="13"/>
        <v>0</v>
      </c>
      <c r="V83" s="280">
        <f t="shared" si="14"/>
        <v>0</v>
      </c>
    </row>
    <row r="84" spans="2:25">
      <c r="B84" s="282"/>
      <c r="C84" s="282" t="s">
        <v>206</v>
      </c>
      <c r="D84" s="285">
        <v>0</v>
      </c>
      <c r="E84" s="282" t="s">
        <v>559</v>
      </c>
      <c r="F84" s="282" t="s">
        <v>186</v>
      </c>
      <c r="G84" s="283"/>
      <c r="H84" s="283"/>
      <c r="I84" s="311">
        <v>0</v>
      </c>
      <c r="J84" s="257"/>
      <c r="K84" s="257"/>
      <c r="L84" s="3574"/>
      <c r="M84" s="3447" t="e">
        <f t="shared" si="18"/>
        <v>#DIV/0!</v>
      </c>
      <c r="N84" s="3447" t="e">
        <f t="shared" si="18"/>
        <v>#DIV/0!</v>
      </c>
      <c r="O84" s="214">
        <f t="shared" si="10"/>
        <v>0</v>
      </c>
      <c r="P84" s="214">
        <f t="shared" si="11"/>
        <v>0</v>
      </c>
      <c r="Q84" s="214">
        <f>IF(K84=0, 0, (HLOOKUP(K84,'[1]G-CESTDWO'!$A$5:$G$35,J84+1,FALSE)*R34))</f>
        <v>0</v>
      </c>
      <c r="R84" s="214">
        <f>IF(K84=0, 0, (HLOOKUP(K84,'[1]G-CESTD'!$A$5:$G$35,J84+1,FALSE)*R34))</f>
        <v>0</v>
      </c>
      <c r="S84" s="279">
        <v>1.081</v>
      </c>
      <c r="T84" s="280">
        <f t="shared" si="12"/>
        <v>0</v>
      </c>
      <c r="U84" s="280">
        <f t="shared" si="13"/>
        <v>0</v>
      </c>
      <c r="V84" s="280">
        <f t="shared" si="14"/>
        <v>0</v>
      </c>
    </row>
    <row r="85" spans="2:25">
      <c r="B85" s="282"/>
      <c r="C85" s="282" t="s">
        <v>207</v>
      </c>
      <c r="D85" s="285">
        <v>0</v>
      </c>
      <c r="E85" s="282" t="s">
        <v>559</v>
      </c>
      <c r="F85" s="282" t="s">
        <v>186</v>
      </c>
      <c r="G85" s="283"/>
      <c r="H85" s="283"/>
      <c r="I85" s="311">
        <v>0</v>
      </c>
      <c r="J85" s="257"/>
      <c r="K85" s="257"/>
      <c r="L85" s="3574"/>
      <c r="M85" s="3447" t="e">
        <f t="shared" si="18"/>
        <v>#DIV/0!</v>
      </c>
      <c r="N85" s="3447" t="e">
        <f t="shared" si="18"/>
        <v>#DIV/0!</v>
      </c>
      <c r="O85" s="214">
        <f t="shared" si="10"/>
        <v>0</v>
      </c>
      <c r="P85" s="214">
        <f t="shared" si="11"/>
        <v>0</v>
      </c>
      <c r="Q85" s="214">
        <f>IF(K85=0, 0, (HLOOKUP(K85,'[1]G-CESTDWO'!$A$5:$G$35,J85+1,FALSE)*R35))</f>
        <v>0</v>
      </c>
      <c r="R85" s="214">
        <f>IF(K85=0, 0, (HLOOKUP(K85,'[1]G-CESTD'!$A$5:$G$35,J85+1,FALSE)*R35))</f>
        <v>0</v>
      </c>
      <c r="S85" s="279">
        <v>1.081</v>
      </c>
      <c r="T85" s="280">
        <f t="shared" si="12"/>
        <v>0</v>
      </c>
      <c r="U85" s="280">
        <f t="shared" si="13"/>
        <v>0</v>
      </c>
      <c r="V85" s="280">
        <f t="shared" si="14"/>
        <v>0</v>
      </c>
    </row>
    <row r="86" spans="2:25">
      <c r="B86" s="282"/>
      <c r="C86" s="282" t="s">
        <v>208</v>
      </c>
      <c r="D86" s="285">
        <v>0</v>
      </c>
      <c r="E86" s="282" t="s">
        <v>559</v>
      </c>
      <c r="F86" s="282" t="s">
        <v>186</v>
      </c>
      <c r="G86" s="283"/>
      <c r="H86" s="283"/>
      <c r="I86" s="311">
        <v>0</v>
      </c>
      <c r="J86" s="257"/>
      <c r="K86" s="257"/>
      <c r="L86" s="3574"/>
      <c r="M86" s="3447" t="e">
        <f t="shared" si="18"/>
        <v>#DIV/0!</v>
      </c>
      <c r="N86" s="3447" t="e">
        <f t="shared" si="18"/>
        <v>#DIV/0!</v>
      </c>
      <c r="O86" s="214">
        <f t="shared" si="10"/>
        <v>0</v>
      </c>
      <c r="P86" s="214">
        <f t="shared" si="11"/>
        <v>0</v>
      </c>
      <c r="Q86" s="214">
        <f>IF(K86=0, 0, (HLOOKUP(K86,'[1]G-CESTDWO'!$A$5:$G$35,J86+1,FALSE)*R36))</f>
        <v>0</v>
      </c>
      <c r="R86" s="214">
        <f>IF(K86=0, 0, (HLOOKUP(K86,'[1]G-CESTD'!$A$5:$G$35,J86+1,FALSE)*R36))</f>
        <v>0</v>
      </c>
      <c r="S86" s="279">
        <v>1.081</v>
      </c>
      <c r="T86" s="280">
        <f t="shared" si="12"/>
        <v>0</v>
      </c>
      <c r="U86" s="280">
        <f t="shared" si="13"/>
        <v>0</v>
      </c>
      <c r="V86" s="280">
        <f t="shared" si="14"/>
        <v>0</v>
      </c>
    </row>
    <row r="87" spans="2:25">
      <c r="B87" s="282"/>
      <c r="C87" s="282" t="s">
        <v>209</v>
      </c>
      <c r="D87" s="285">
        <v>0</v>
      </c>
      <c r="E87" s="282" t="s">
        <v>559</v>
      </c>
      <c r="F87" s="282" t="s">
        <v>186</v>
      </c>
      <c r="G87" s="283"/>
      <c r="H87" s="283"/>
      <c r="I87" s="311">
        <v>0</v>
      </c>
      <c r="J87" s="257"/>
      <c r="K87" s="257"/>
      <c r="L87" s="3574"/>
      <c r="M87" s="3447" t="e">
        <f t="shared" si="18"/>
        <v>#DIV/0!</v>
      </c>
      <c r="N87" s="3447" t="e">
        <f t="shared" si="18"/>
        <v>#DIV/0!</v>
      </c>
      <c r="O87" s="214">
        <f t="shared" si="10"/>
        <v>0</v>
      </c>
      <c r="P87" s="214">
        <f t="shared" si="11"/>
        <v>0</v>
      </c>
      <c r="Q87" s="214">
        <f>IF(K87=0, 0, (HLOOKUP(K87,'[1]G-CESTDWO'!$A$5:$G$35,J87+1,FALSE)*R37))</f>
        <v>0</v>
      </c>
      <c r="R87" s="214">
        <f>IF(K87=0, 0, (HLOOKUP(K87,'[1]G-CESTD'!$A$5:$G$35,J87+1,FALSE)*R37))</f>
        <v>0</v>
      </c>
      <c r="S87" s="279">
        <v>1.081</v>
      </c>
      <c r="T87" s="280">
        <f t="shared" si="12"/>
        <v>0</v>
      </c>
      <c r="U87" s="280">
        <f t="shared" si="13"/>
        <v>0</v>
      </c>
      <c r="V87" s="280">
        <f t="shared" si="14"/>
        <v>0</v>
      </c>
    </row>
    <row r="88" spans="2:25">
      <c r="B88" s="282"/>
      <c r="C88" s="282" t="s">
        <v>210</v>
      </c>
      <c r="D88" s="285">
        <v>0</v>
      </c>
      <c r="E88" s="282" t="s">
        <v>559</v>
      </c>
      <c r="F88" s="282" t="s">
        <v>186</v>
      </c>
      <c r="G88" s="283"/>
      <c r="H88" s="283"/>
      <c r="I88" s="311">
        <v>0</v>
      </c>
      <c r="J88" s="257"/>
      <c r="K88" s="257"/>
      <c r="L88" s="3574"/>
      <c r="M88" s="3447" t="e">
        <f t="shared" si="18"/>
        <v>#DIV/0!</v>
      </c>
      <c r="N88" s="3447" t="e">
        <f t="shared" si="18"/>
        <v>#DIV/0!</v>
      </c>
      <c r="O88" s="214">
        <f t="shared" si="10"/>
        <v>0</v>
      </c>
      <c r="P88" s="214">
        <f t="shared" si="11"/>
        <v>0</v>
      </c>
      <c r="Q88" s="214">
        <f>IF(K88=0, 0, (HLOOKUP(K88,'[1]G-CESTDWO'!$A$5:$G$35,J88+1,FALSE)*R38))</f>
        <v>0</v>
      </c>
      <c r="R88" s="214">
        <f>IF(K88=0, 0, (HLOOKUP(K88,'[1]G-CESTD'!$A$5:$G$35,J88+1,FALSE)*R38))</f>
        <v>0</v>
      </c>
      <c r="S88" s="279">
        <v>1.081</v>
      </c>
      <c r="T88" s="280">
        <f t="shared" si="12"/>
        <v>0</v>
      </c>
      <c r="U88" s="280">
        <f t="shared" si="13"/>
        <v>0</v>
      </c>
      <c r="V88" s="280">
        <f t="shared" si="14"/>
        <v>0</v>
      </c>
    </row>
    <row r="89" spans="2:25">
      <c r="B89" s="282"/>
      <c r="C89" s="282" t="s">
        <v>211</v>
      </c>
      <c r="D89" s="285">
        <v>0</v>
      </c>
      <c r="E89" s="282" t="s">
        <v>559</v>
      </c>
      <c r="F89" s="282" t="s">
        <v>186</v>
      </c>
      <c r="G89" s="283"/>
      <c r="H89" s="283"/>
      <c r="I89" s="311">
        <v>0</v>
      </c>
      <c r="J89" s="257"/>
      <c r="K89" s="257"/>
      <c r="L89" s="3574"/>
      <c r="M89" s="3447" t="e">
        <f t="shared" si="18"/>
        <v>#DIV/0!</v>
      </c>
      <c r="N89" s="3447" t="e">
        <f t="shared" si="18"/>
        <v>#DIV/0!</v>
      </c>
      <c r="O89" s="214">
        <f t="shared" si="10"/>
        <v>0</v>
      </c>
      <c r="P89" s="214">
        <f t="shared" si="11"/>
        <v>0</v>
      </c>
      <c r="Q89" s="214">
        <f>IF(K89=0, 0, (HLOOKUP(K89,'[1]G-CESTDWO'!$A$5:$G$35,J89+1,FALSE)*R39))</f>
        <v>0</v>
      </c>
      <c r="R89" s="214">
        <f>IF(K89=0, 0, (HLOOKUP(K89,'[1]G-CESTD'!$A$5:$G$35,J89+1,FALSE)*R39))</f>
        <v>0</v>
      </c>
      <c r="S89" s="279">
        <v>1.081</v>
      </c>
      <c r="T89" s="280">
        <f t="shared" si="12"/>
        <v>0</v>
      </c>
      <c r="U89" s="280">
        <f t="shared" si="13"/>
        <v>0</v>
      </c>
      <c r="V89" s="280">
        <f t="shared" si="14"/>
        <v>0</v>
      </c>
    </row>
    <row r="90" spans="2:25">
      <c r="B90" s="282"/>
      <c r="C90" s="282" t="s">
        <v>212</v>
      </c>
      <c r="D90" s="285">
        <v>0</v>
      </c>
      <c r="E90" s="282" t="s">
        <v>559</v>
      </c>
      <c r="F90" s="282" t="s">
        <v>186</v>
      </c>
      <c r="G90" s="283"/>
      <c r="H90" s="283"/>
      <c r="I90" s="311">
        <v>0</v>
      </c>
      <c r="J90" s="257"/>
      <c r="K90" s="257"/>
      <c r="L90" s="3574"/>
      <c r="M90" s="3447" t="e">
        <f t="shared" si="18"/>
        <v>#DIV/0!</v>
      </c>
      <c r="N90" s="3447" t="e">
        <f t="shared" si="18"/>
        <v>#DIV/0!</v>
      </c>
      <c r="O90" s="214">
        <f t="shared" si="10"/>
        <v>0</v>
      </c>
      <c r="P90" s="214">
        <f t="shared" si="11"/>
        <v>0</v>
      </c>
      <c r="Q90" s="214">
        <f>IF(K90=0, 0, (HLOOKUP(K90,'[1]G-CESTDWO'!$A$5:$G$35,J90+1,FALSE)*R40))</f>
        <v>0</v>
      </c>
      <c r="R90" s="214">
        <f>IF(K90=0, 0, (HLOOKUP(K90,'[1]G-CESTD'!$A$5:$G$35,J90+1,FALSE)*R40))</f>
        <v>0</v>
      </c>
      <c r="S90" s="279">
        <v>1.081</v>
      </c>
      <c r="T90" s="280">
        <f t="shared" si="12"/>
        <v>0</v>
      </c>
      <c r="U90" s="280">
        <f t="shared" si="13"/>
        <v>0</v>
      </c>
      <c r="V90" s="280">
        <f t="shared" si="14"/>
        <v>0</v>
      </c>
    </row>
    <row r="91" spans="2:25">
      <c r="B91" s="282"/>
      <c r="C91" s="282" t="s">
        <v>213</v>
      </c>
      <c r="D91" s="285">
        <v>0</v>
      </c>
      <c r="E91" s="282" t="s">
        <v>559</v>
      </c>
      <c r="F91" s="282" t="s">
        <v>186</v>
      </c>
      <c r="G91" s="283"/>
      <c r="H91" s="283"/>
      <c r="I91" s="311">
        <v>0</v>
      </c>
      <c r="J91" s="257"/>
      <c r="K91" s="257"/>
      <c r="L91" s="3574"/>
      <c r="M91" s="3447" t="e">
        <f t="shared" si="18"/>
        <v>#DIV/0!</v>
      </c>
      <c r="N91" s="3447" t="e">
        <f t="shared" si="18"/>
        <v>#DIV/0!</v>
      </c>
      <c r="O91" s="214">
        <f t="shared" si="10"/>
        <v>0</v>
      </c>
      <c r="P91" s="214">
        <f t="shared" si="11"/>
        <v>0</v>
      </c>
      <c r="Q91" s="214">
        <f>IF(K91=0, 0, (HLOOKUP(K91,'[1]G-CESTDWO'!$A$5:$G$35,J91+1,FALSE)*R41))</f>
        <v>0</v>
      </c>
      <c r="R91" s="214">
        <f>IF(K91=0, 0, (HLOOKUP(K91,'[1]G-CESTD'!$A$5:$G$35,J91+1,FALSE)*R41))</f>
        <v>0</v>
      </c>
      <c r="S91" s="279">
        <v>1.081</v>
      </c>
      <c r="T91" s="280">
        <f t="shared" si="12"/>
        <v>0</v>
      </c>
      <c r="U91" s="280">
        <f t="shared" si="13"/>
        <v>0</v>
      </c>
      <c r="V91" s="280">
        <f t="shared" si="14"/>
        <v>0</v>
      </c>
    </row>
    <row r="92" spans="2:25">
      <c r="B92" s="282"/>
      <c r="C92" s="282" t="s">
        <v>214</v>
      </c>
      <c r="D92" s="285">
        <v>0</v>
      </c>
      <c r="E92" s="282" t="s">
        <v>559</v>
      </c>
      <c r="F92" s="282" t="s">
        <v>186</v>
      </c>
      <c r="G92" s="283"/>
      <c r="H92" s="283"/>
      <c r="I92" s="311">
        <v>0</v>
      </c>
      <c r="J92" s="257"/>
      <c r="K92" s="257"/>
      <c r="L92" s="3574"/>
      <c r="M92" s="3447" t="e">
        <f t="shared" si="18"/>
        <v>#DIV/0!</v>
      </c>
      <c r="N92" s="3447" t="e">
        <f t="shared" si="18"/>
        <v>#DIV/0!</v>
      </c>
      <c r="O92" s="214">
        <f t="shared" si="10"/>
        <v>0</v>
      </c>
      <c r="P92" s="214">
        <f t="shared" si="11"/>
        <v>0</v>
      </c>
      <c r="Q92" s="214">
        <f>IF(K92=0, 0, (HLOOKUP(K92,'[1]G-CESTDWO'!$A$5:$G$35,J92+1,FALSE)*R42))</f>
        <v>0</v>
      </c>
      <c r="R92" s="214">
        <f>IF(K92=0, 0, (HLOOKUP(K92,'[1]G-CESTD'!$A$5:$G$35,J92+1,FALSE)*R42))</f>
        <v>0</v>
      </c>
      <c r="S92" s="279">
        <v>1.081</v>
      </c>
      <c r="T92" s="280">
        <f t="shared" si="12"/>
        <v>0</v>
      </c>
      <c r="U92" s="280">
        <f t="shared" si="13"/>
        <v>0</v>
      </c>
      <c r="V92" s="280">
        <f t="shared" si="14"/>
        <v>0</v>
      </c>
    </row>
    <row r="93" spans="2:25">
      <c r="B93" s="282"/>
      <c r="C93" s="282" t="s">
        <v>215</v>
      </c>
      <c r="D93" s="285">
        <v>0</v>
      </c>
      <c r="E93" s="282" t="s">
        <v>559</v>
      </c>
      <c r="F93" s="282" t="s">
        <v>186</v>
      </c>
      <c r="G93" s="283"/>
      <c r="H93" s="283"/>
      <c r="I93" s="311">
        <v>0</v>
      </c>
      <c r="J93" s="257"/>
      <c r="K93" s="257"/>
      <c r="L93" s="3574"/>
      <c r="M93" s="3447" t="e">
        <f t="shared" si="18"/>
        <v>#DIV/0!</v>
      </c>
      <c r="N93" s="3447" t="e">
        <f t="shared" si="18"/>
        <v>#DIV/0!</v>
      </c>
      <c r="O93" s="214">
        <f t="shared" si="10"/>
        <v>0</v>
      </c>
      <c r="P93" s="214">
        <f t="shared" si="11"/>
        <v>0</v>
      </c>
      <c r="Q93" s="214">
        <f>IF(K93=0, 0, (HLOOKUP(K93,'[1]G-CESTDWO'!$A$5:$G$35,J93+1,FALSE)*R43))</f>
        <v>0</v>
      </c>
      <c r="R93" s="214">
        <f>IF(K93=0, 0, (HLOOKUP(K93,'[1]G-CESTD'!$A$5:$G$35,J93+1,FALSE)*R43))</f>
        <v>0</v>
      </c>
      <c r="S93" s="279">
        <v>1.081</v>
      </c>
      <c r="T93" s="280">
        <f t="shared" si="12"/>
        <v>0</v>
      </c>
      <c r="U93" s="280">
        <f t="shared" si="13"/>
        <v>0</v>
      </c>
      <c r="V93" s="280">
        <f t="shared" si="14"/>
        <v>0</v>
      </c>
    </row>
    <row r="94" spans="2:25">
      <c r="B94" s="282"/>
      <c r="C94" s="282" t="s">
        <v>216</v>
      </c>
      <c r="D94" s="285">
        <v>0</v>
      </c>
      <c r="E94" s="282" t="s">
        <v>559</v>
      </c>
      <c r="F94" s="282" t="s">
        <v>186</v>
      </c>
      <c r="G94" s="283"/>
      <c r="H94" s="283"/>
      <c r="I94" s="311">
        <v>0</v>
      </c>
      <c r="J94" s="257"/>
      <c r="K94" s="257"/>
      <c r="L94" s="3574"/>
      <c r="M94" s="3447" t="e">
        <f t="shared" si="18"/>
        <v>#DIV/0!</v>
      </c>
      <c r="N94" s="3447" t="e">
        <f t="shared" si="18"/>
        <v>#DIV/0!</v>
      </c>
      <c r="O94" s="214">
        <f t="shared" si="10"/>
        <v>0</v>
      </c>
      <c r="P94" s="214">
        <f t="shared" si="11"/>
        <v>0</v>
      </c>
      <c r="Q94" s="214">
        <f>IF(K94=0, 0, (HLOOKUP(K94,'[1]G-CESTDWO'!$A$5:$G$35,J94+1,FALSE)*R44))</f>
        <v>0</v>
      </c>
      <c r="R94" s="214">
        <f>IF(K94=0, 0, (HLOOKUP(K94,'[1]G-CESTD'!$A$5:$G$35,J94+1,FALSE)*R44))</f>
        <v>0</v>
      </c>
      <c r="S94" s="279">
        <v>1.081</v>
      </c>
      <c r="T94" s="280">
        <f t="shared" si="12"/>
        <v>0</v>
      </c>
      <c r="U94" s="280">
        <f t="shared" si="13"/>
        <v>0</v>
      </c>
      <c r="V94" s="280">
        <f t="shared" si="14"/>
        <v>0</v>
      </c>
    </row>
    <row r="95" spans="2:25">
      <c r="B95" s="282"/>
      <c r="C95" s="282" t="s">
        <v>217</v>
      </c>
      <c r="D95" s="285">
        <v>0</v>
      </c>
      <c r="E95" s="282" t="s">
        <v>559</v>
      </c>
      <c r="F95" s="282" t="s">
        <v>186</v>
      </c>
      <c r="G95" s="283"/>
      <c r="H95" s="283"/>
      <c r="I95" s="311">
        <v>0</v>
      </c>
      <c r="J95" s="257"/>
      <c r="K95" s="257"/>
      <c r="L95" s="3574"/>
      <c r="M95" s="3447" t="e">
        <f t="shared" si="18"/>
        <v>#DIV/0!</v>
      </c>
      <c r="N95" s="3447" t="e">
        <f t="shared" si="18"/>
        <v>#DIV/0!</v>
      </c>
      <c r="O95" s="214">
        <f t="shared" si="10"/>
        <v>0</v>
      </c>
      <c r="P95" s="214">
        <f t="shared" si="11"/>
        <v>0</v>
      </c>
      <c r="Q95" s="214">
        <f>IF(K95=0, 0, (HLOOKUP(K95,'[1]G-CESTDWO'!$A$5:$G$35,J95+1,FALSE)*R45))</f>
        <v>0</v>
      </c>
      <c r="R95" s="214">
        <f>IF(K95=0, 0, (HLOOKUP(K95,'[1]G-CESTD'!$A$5:$G$35,J95+1,FALSE)*R45))</f>
        <v>0</v>
      </c>
      <c r="S95" s="279">
        <v>1.081</v>
      </c>
      <c r="T95" s="280">
        <f t="shared" si="12"/>
        <v>0</v>
      </c>
      <c r="U95" s="280">
        <f t="shared" si="13"/>
        <v>0</v>
      </c>
      <c r="V95" s="280">
        <f t="shared" si="14"/>
        <v>0</v>
      </c>
    </row>
    <row r="96" spans="2:25">
      <c r="B96" s="282"/>
      <c r="C96" s="282" t="s">
        <v>218</v>
      </c>
      <c r="D96" s="285">
        <v>0</v>
      </c>
      <c r="E96" s="282" t="s">
        <v>559</v>
      </c>
      <c r="F96" s="282" t="s">
        <v>186</v>
      </c>
      <c r="G96" s="283"/>
      <c r="H96" s="283"/>
      <c r="I96" s="311">
        <v>0</v>
      </c>
      <c r="J96" s="257"/>
      <c r="K96" s="257"/>
      <c r="L96" s="3574"/>
      <c r="M96" s="3447" t="e">
        <f t="shared" si="18"/>
        <v>#DIV/0!</v>
      </c>
      <c r="N96" s="3447" t="e">
        <f t="shared" si="18"/>
        <v>#DIV/0!</v>
      </c>
      <c r="O96" s="214">
        <f t="shared" si="10"/>
        <v>0</v>
      </c>
      <c r="P96" s="214">
        <f t="shared" si="11"/>
        <v>0</v>
      </c>
      <c r="Q96" s="214">
        <f>IF(K96=0, 0, (HLOOKUP(K96,'[1]G-CESTDWO'!$A$5:$G$35,J96+1,FALSE)*R46))</f>
        <v>0</v>
      </c>
      <c r="R96" s="214">
        <f>IF(K96=0, 0, (HLOOKUP(K96,'[1]G-CESTD'!$A$5:$G$35,J96+1,FALSE)*R46))</f>
        <v>0</v>
      </c>
      <c r="S96" s="279">
        <v>1.081</v>
      </c>
      <c r="T96" s="280">
        <f t="shared" si="12"/>
        <v>0</v>
      </c>
      <c r="U96" s="280">
        <f t="shared" si="13"/>
        <v>0</v>
      </c>
      <c r="V96" s="280">
        <f t="shared" si="14"/>
        <v>0</v>
      </c>
    </row>
    <row r="97" spans="2:22">
      <c r="B97" s="282"/>
      <c r="C97" s="282" t="s">
        <v>219</v>
      </c>
      <c r="D97" s="285">
        <v>0</v>
      </c>
      <c r="E97" s="282" t="s">
        <v>559</v>
      </c>
      <c r="F97" s="282" t="s">
        <v>186</v>
      </c>
      <c r="G97" s="283"/>
      <c r="H97" s="283"/>
      <c r="I97" s="311">
        <v>0</v>
      </c>
      <c r="J97" s="257"/>
      <c r="K97" s="257"/>
      <c r="L97" s="3574"/>
      <c r="M97" s="3447" t="e">
        <f t="shared" si="18"/>
        <v>#DIV/0!</v>
      </c>
      <c r="N97" s="3447" t="e">
        <f t="shared" si="18"/>
        <v>#DIV/0!</v>
      </c>
      <c r="O97" s="214">
        <f t="shared" si="10"/>
        <v>0</v>
      </c>
      <c r="P97" s="214">
        <f t="shared" si="11"/>
        <v>0</v>
      </c>
      <c r="Q97" s="214">
        <f>IF(K97=0, 0, (HLOOKUP(K97,'[1]G-CESTDWO'!$A$5:$G$35,J97+1,FALSE)*R47))</f>
        <v>0</v>
      </c>
      <c r="R97" s="214">
        <f>IF(K97=0, 0, (HLOOKUP(K97,'[1]G-CESTD'!$A$5:$G$35,J97+1,FALSE)*R47))</f>
        <v>0</v>
      </c>
      <c r="S97" s="279">
        <v>1.081</v>
      </c>
      <c r="T97" s="280">
        <f t="shared" si="12"/>
        <v>0</v>
      </c>
      <c r="U97" s="280">
        <f t="shared" si="13"/>
        <v>0</v>
      </c>
      <c r="V97" s="280">
        <f t="shared" si="14"/>
        <v>0</v>
      </c>
    </row>
    <row r="98" spans="2:22">
      <c r="B98" s="282"/>
      <c r="C98" s="282" t="s">
        <v>220</v>
      </c>
      <c r="D98" s="285">
        <v>0</v>
      </c>
      <c r="E98" s="282" t="s">
        <v>559</v>
      </c>
      <c r="F98" s="282" t="s">
        <v>186</v>
      </c>
      <c r="G98" s="283"/>
      <c r="H98" s="283"/>
      <c r="I98" s="311">
        <v>0</v>
      </c>
      <c r="J98" s="257"/>
      <c r="K98" s="257"/>
      <c r="L98" s="3574"/>
      <c r="M98" s="3447" t="e">
        <f t="shared" si="18"/>
        <v>#DIV/0!</v>
      </c>
      <c r="N98" s="3447" t="e">
        <f t="shared" si="18"/>
        <v>#DIV/0!</v>
      </c>
      <c r="O98" s="214">
        <f t="shared" si="10"/>
        <v>0</v>
      </c>
      <c r="P98" s="214">
        <f t="shared" si="11"/>
        <v>0</v>
      </c>
      <c r="Q98" s="214">
        <f>IF(K98=0, 0, (HLOOKUP(K98,'[1]G-CESTDWO'!$A$5:$G$35,J98+1,FALSE)*R48))</f>
        <v>0</v>
      </c>
      <c r="R98" s="214">
        <f>IF(K98=0, 0, (HLOOKUP(K98,'[1]G-CESTD'!$A$5:$G$35,J98+1,FALSE)*R48))</f>
        <v>0</v>
      </c>
      <c r="S98" s="279">
        <v>1.081</v>
      </c>
      <c r="T98" s="280">
        <f t="shared" si="12"/>
        <v>0</v>
      </c>
      <c r="U98" s="280">
        <f t="shared" si="13"/>
        <v>0</v>
      </c>
      <c r="V98" s="280">
        <f t="shared" si="14"/>
        <v>0</v>
      </c>
    </row>
    <row r="99" spans="2:22">
      <c r="B99" s="282"/>
      <c r="C99" s="282" t="s">
        <v>221</v>
      </c>
      <c r="D99" s="285">
        <v>0</v>
      </c>
      <c r="E99" s="282" t="s">
        <v>559</v>
      </c>
      <c r="F99" s="282" t="s">
        <v>186</v>
      </c>
      <c r="G99" s="283"/>
      <c r="H99" s="283"/>
      <c r="I99" s="311">
        <v>0</v>
      </c>
      <c r="J99" s="257"/>
      <c r="K99" s="257"/>
      <c r="L99" s="3574"/>
      <c r="M99" s="3447" t="e">
        <f t="shared" si="18"/>
        <v>#DIV/0!</v>
      </c>
      <c r="N99" s="3447" t="e">
        <f t="shared" si="18"/>
        <v>#DIV/0!</v>
      </c>
      <c r="O99" s="214">
        <f t="shared" si="10"/>
        <v>0</v>
      </c>
      <c r="P99" s="214">
        <f t="shared" si="11"/>
        <v>0</v>
      </c>
      <c r="Q99" s="214">
        <f>IF(K99=0, 0, (HLOOKUP(K99,'[1]G-CESTDWO'!$A$5:$G$35,J99+1,FALSE)*R49))</f>
        <v>0</v>
      </c>
      <c r="R99" s="214">
        <f>IF(K99=0, 0, (HLOOKUP(K99,'[1]G-CESTD'!$A$5:$G$35,J99+1,FALSE)*R49))</f>
        <v>0</v>
      </c>
      <c r="S99" s="279">
        <v>1.081</v>
      </c>
      <c r="T99" s="280">
        <f t="shared" si="12"/>
        <v>0</v>
      </c>
      <c r="U99" s="280">
        <f t="shared" si="13"/>
        <v>0</v>
      </c>
      <c r="V99" s="280">
        <f t="shared" si="14"/>
        <v>0</v>
      </c>
    </row>
    <row r="100" spans="2:22">
      <c r="B100" s="282"/>
      <c r="C100" s="282" t="s">
        <v>222</v>
      </c>
      <c r="D100" s="285">
        <v>0</v>
      </c>
      <c r="E100" s="282" t="s">
        <v>559</v>
      </c>
      <c r="F100" s="282" t="s">
        <v>186</v>
      </c>
      <c r="G100" s="283"/>
      <c r="H100" s="283"/>
      <c r="I100" s="311">
        <v>0</v>
      </c>
      <c r="J100" s="257"/>
      <c r="K100" s="257"/>
      <c r="L100" s="3574"/>
      <c r="M100" s="3447" t="e">
        <f t="shared" si="18"/>
        <v>#DIV/0!</v>
      </c>
      <c r="N100" s="3447" t="e">
        <f t="shared" si="18"/>
        <v>#DIV/0!</v>
      </c>
      <c r="O100" s="214">
        <f t="shared" si="10"/>
        <v>0</v>
      </c>
      <c r="P100" s="214">
        <f t="shared" si="11"/>
        <v>0</v>
      </c>
      <c r="Q100" s="214">
        <f>IF(K100=0, 0, (HLOOKUP(K100,'[1]G-CESTDWO'!$A$5:$G$35,J100+1,FALSE)*R50))</f>
        <v>0</v>
      </c>
      <c r="R100" s="214">
        <f>IF(K100=0, 0, (HLOOKUP(K100,'[1]G-CESTD'!$A$5:$G$35,J100+1,FALSE)*R50))</f>
        <v>0</v>
      </c>
      <c r="S100" s="279">
        <v>1.081</v>
      </c>
      <c r="T100" s="280">
        <f t="shared" si="12"/>
        <v>0</v>
      </c>
      <c r="U100" s="280">
        <f t="shared" si="13"/>
        <v>0</v>
      </c>
      <c r="V100" s="280">
        <f t="shared" si="14"/>
        <v>0</v>
      </c>
    </row>
    <row r="101" spans="2:22">
      <c r="B101" s="282"/>
      <c r="C101" s="282" t="s">
        <v>223</v>
      </c>
      <c r="D101" s="285">
        <v>0</v>
      </c>
      <c r="E101" s="282" t="s">
        <v>559</v>
      </c>
      <c r="F101" s="282" t="s">
        <v>186</v>
      </c>
      <c r="G101" s="283"/>
      <c r="H101" s="283"/>
      <c r="I101" s="311">
        <v>0</v>
      </c>
      <c r="J101" s="257"/>
      <c r="K101" s="257"/>
      <c r="L101" s="3574"/>
      <c r="M101" s="3447" t="e">
        <f t="shared" si="18"/>
        <v>#DIV/0!</v>
      </c>
      <c r="N101" s="3447" t="e">
        <f t="shared" si="18"/>
        <v>#DIV/0!</v>
      </c>
      <c r="O101" s="214">
        <f t="shared" si="10"/>
        <v>0</v>
      </c>
      <c r="P101" s="214">
        <f t="shared" si="11"/>
        <v>0</v>
      </c>
      <c r="Q101" s="214">
        <f>IF(K101=0, 0, (HLOOKUP(K101,'[1]G-CESTDWO'!$A$5:$G$35,J101+1,FALSE)*R51))</f>
        <v>0</v>
      </c>
      <c r="R101" s="214">
        <f>IF(K101=0, 0, (HLOOKUP(K101,'[1]G-CESTD'!$A$5:$G$35,J101+1,FALSE)*R51))</f>
        <v>0</v>
      </c>
      <c r="S101" s="279">
        <v>1.081</v>
      </c>
      <c r="T101" s="280">
        <f t="shared" si="12"/>
        <v>0</v>
      </c>
      <c r="U101" s="280">
        <f t="shared" si="13"/>
        <v>0</v>
      </c>
      <c r="V101" s="280">
        <f t="shared" si="14"/>
        <v>0</v>
      </c>
    </row>
    <row r="102" spans="2:22">
      <c r="B102" s="282"/>
      <c r="C102" s="282" t="s">
        <v>224</v>
      </c>
      <c r="D102" s="285">
        <v>0</v>
      </c>
      <c r="E102" s="282" t="s">
        <v>559</v>
      </c>
      <c r="F102" s="282" t="s">
        <v>186</v>
      </c>
      <c r="G102" s="283"/>
      <c r="H102" s="283"/>
      <c r="I102" s="311">
        <v>0</v>
      </c>
      <c r="J102" s="257"/>
      <c r="K102" s="257"/>
      <c r="L102" s="3574"/>
      <c r="M102" s="3447" t="e">
        <f t="shared" si="18"/>
        <v>#DIV/0!</v>
      </c>
      <c r="N102" s="3447" t="e">
        <f t="shared" si="18"/>
        <v>#DIV/0!</v>
      </c>
      <c r="O102" s="214">
        <f t="shared" si="10"/>
        <v>0</v>
      </c>
      <c r="P102" s="214">
        <f t="shared" si="11"/>
        <v>0</v>
      </c>
      <c r="Q102" s="214">
        <f>IF(K102=0, 0, (HLOOKUP(K102,'[1]G-CESTDWO'!$A$5:$G$35,J102+1,FALSE)*R52))</f>
        <v>0</v>
      </c>
      <c r="R102" s="214">
        <f>IF(K102=0, 0, (HLOOKUP(K102,'[1]G-CESTD'!$A$5:$G$35,J102+1,FALSE)*R52))</f>
        <v>0</v>
      </c>
      <c r="S102" s="279">
        <v>1.081</v>
      </c>
      <c r="T102" s="280">
        <f t="shared" si="12"/>
        <v>0</v>
      </c>
      <c r="U102" s="280">
        <f t="shared" si="13"/>
        <v>0</v>
      </c>
      <c r="V102" s="280">
        <f t="shared" si="14"/>
        <v>0</v>
      </c>
    </row>
    <row r="103" spans="2:22">
      <c r="B103" s="282"/>
      <c r="C103" s="282" t="s">
        <v>225</v>
      </c>
      <c r="D103" s="285">
        <v>0</v>
      </c>
      <c r="E103" s="282" t="s">
        <v>559</v>
      </c>
      <c r="F103" s="282" t="s">
        <v>186</v>
      </c>
      <c r="G103" s="283"/>
      <c r="H103" s="283"/>
      <c r="I103" s="311">
        <v>0</v>
      </c>
      <c r="J103" s="257"/>
      <c r="K103" s="257"/>
      <c r="L103" s="3574"/>
      <c r="M103" s="3447" t="e">
        <f t="shared" si="18"/>
        <v>#DIV/0!</v>
      </c>
      <c r="N103" s="3447" t="e">
        <f t="shared" si="18"/>
        <v>#DIV/0!</v>
      </c>
      <c r="O103" s="214">
        <f t="shared" si="10"/>
        <v>0</v>
      </c>
      <c r="P103" s="214">
        <f t="shared" si="11"/>
        <v>0</v>
      </c>
      <c r="Q103" s="214">
        <f>IF(K103=0, 0, (HLOOKUP(K103,'[1]G-CESTDWO'!$A$5:$G$35,J103+1,FALSE)*R53))</f>
        <v>0</v>
      </c>
      <c r="R103" s="214">
        <f>IF(K103=0, 0, (HLOOKUP(K103,'[1]G-CESTD'!$A$5:$G$35,J103+1,FALSE)*R53))</f>
        <v>0</v>
      </c>
      <c r="S103" s="279">
        <v>1.081</v>
      </c>
      <c r="T103" s="280">
        <f t="shared" si="12"/>
        <v>0</v>
      </c>
      <c r="U103" s="280">
        <f t="shared" si="13"/>
        <v>0</v>
      </c>
      <c r="V103" s="280">
        <f t="shared" si="14"/>
        <v>0</v>
      </c>
    </row>
    <row r="104" spans="2:22" ht="13.5" thickBot="1">
      <c r="B104" s="282"/>
      <c r="C104" s="282" t="s">
        <v>226</v>
      </c>
      <c r="D104" s="285">
        <v>0</v>
      </c>
      <c r="E104" s="282" t="s">
        <v>559</v>
      </c>
      <c r="F104" s="282" t="s">
        <v>186</v>
      </c>
      <c r="G104" s="283"/>
      <c r="H104" s="283"/>
      <c r="I104" s="311">
        <v>0</v>
      </c>
      <c r="J104" s="257"/>
      <c r="K104" s="257"/>
      <c r="L104" s="3574"/>
      <c r="M104" s="3447" t="e">
        <f t="shared" si="18"/>
        <v>#DIV/0!</v>
      </c>
      <c r="N104" s="3447" t="e">
        <f t="shared" si="18"/>
        <v>#DIV/0!</v>
      </c>
      <c r="O104" s="214">
        <f t="shared" si="10"/>
        <v>0</v>
      </c>
      <c r="P104" s="214">
        <f t="shared" si="11"/>
        <v>0</v>
      </c>
      <c r="Q104" s="214">
        <f>IF(K104=0, 0, (HLOOKUP(K104,'[1]G-CESTDWO'!$A$5:$G$35,J104+1,FALSE)*R54))</f>
        <v>0</v>
      </c>
      <c r="R104" s="214">
        <f>IF(K104=0, 0, (HLOOKUP(K104,'[1]G-CESTD'!$A$5:$G$35,J104+1,FALSE)*R54))</f>
        <v>0</v>
      </c>
      <c r="S104" s="279">
        <v>1.081</v>
      </c>
      <c r="T104" s="280">
        <f t="shared" si="12"/>
        <v>0</v>
      </c>
      <c r="U104" s="280">
        <f t="shared" si="13"/>
        <v>0</v>
      </c>
      <c r="V104" s="280">
        <f t="shared" si="14"/>
        <v>0</v>
      </c>
    </row>
    <row r="105" spans="2:22" ht="13.5" thickBot="1">
      <c r="G105" s="286">
        <f>SUMPRODUCT(G63:G104,O13:O54)</f>
        <v>0</v>
      </c>
      <c r="H105" s="287">
        <f>V105</f>
        <v>0</v>
      </c>
      <c r="I105" s="288">
        <f>SUM(I63:I104)</f>
        <v>0</v>
      </c>
      <c r="J105" s="289" t="e">
        <f>ROUND(SUMPRODUCT(J63:J104,R13:R54)/R55,0)</f>
        <v>#DIV/0!</v>
      </c>
      <c r="K105" s="264"/>
      <c r="L105" s="3580"/>
      <c r="M105" s="3448" t="e">
        <f>Q105/O105</f>
        <v>#DIV/0!</v>
      </c>
      <c r="N105" s="3449" t="e">
        <f>R105/P105</f>
        <v>#DIV/0!</v>
      </c>
      <c r="O105" s="297">
        <f>SUM(O63:O104)</f>
        <v>0</v>
      </c>
      <c r="P105" s="297">
        <f>SUM(P63:P104)</f>
        <v>0</v>
      </c>
      <c r="Q105" s="297">
        <f>SUM(Q63:Q104)</f>
        <v>0</v>
      </c>
      <c r="R105" s="297">
        <f>SUM(R63:R104)</f>
        <v>0</v>
      </c>
      <c r="S105" s="293">
        <v>1.081</v>
      </c>
      <c r="T105" s="294">
        <f>SUM(T63:T104)</f>
        <v>0</v>
      </c>
      <c r="U105" s="294">
        <f>SUM(U63:U104)</f>
        <v>0</v>
      </c>
      <c r="V105" s="294">
        <f>SUM(V63:V104)</f>
        <v>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17" top="0.34" bottom="0.3"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7" right="0.17" top="0.34" bottom="0.3" header="0.3" footer="0.3"/>
  <pageSetup paperSize="17" scale="53" orientation="landscape" r:id="rId2"/>
  <ignoredErrors>
    <ignoredError sqref="F33 F18 F23 F38 F43 F48" formula="1"/>
  </ignoredErrors>
  <drawing r:id="rId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sheetPr enableFormatConditionsCalculation="0">
    <tabColor theme="7" tint="0.59999389629810485"/>
    <pageSetUpPr fitToPage="1"/>
  </sheetPr>
  <dimension ref="A1:X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7109375" style="3064" customWidth="1"/>
    <col min="2" max="2" width="19.28515625" customWidth="1"/>
    <col min="3" max="3" width="36.42578125" customWidth="1"/>
    <col min="4" max="4" width="15.85546875" style="19" customWidth="1"/>
    <col min="5" max="5" width="15.85546875" customWidth="1"/>
    <col min="6" max="6" width="17.71093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9.7109375" bestFit="1" customWidth="1"/>
    <col min="17" max="17" width="16.140625" customWidth="1"/>
    <col min="18" max="18" width="16.7109375" bestFit="1" customWidth="1"/>
    <col min="19" max="19" width="15.42578125" bestFit="1" customWidth="1"/>
    <col min="20" max="20" width="20.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2.42578125" bestFit="1" customWidth="1"/>
    <col min="262" max="262" width="17.71093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9.7109375" bestFit="1" customWidth="1"/>
    <col min="273" max="273" width="16.140625" customWidth="1"/>
    <col min="274" max="274" width="16.7109375" bestFit="1" customWidth="1"/>
    <col min="275" max="275" width="15.42578125" bestFit="1" customWidth="1"/>
    <col min="276" max="276" width="20.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2.42578125" bestFit="1" customWidth="1"/>
    <col min="518" max="518" width="17.71093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9.7109375" bestFit="1" customWidth="1"/>
    <col min="529" max="529" width="16.140625" customWidth="1"/>
    <col min="530" max="530" width="16.7109375" bestFit="1" customWidth="1"/>
    <col min="531" max="531" width="15.42578125" bestFit="1" customWidth="1"/>
    <col min="532" max="532" width="20.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2.42578125" bestFit="1" customWidth="1"/>
    <col min="774" max="774" width="17.71093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9.7109375" bestFit="1" customWidth="1"/>
    <col min="785" max="785" width="16.140625" customWidth="1"/>
    <col min="786" max="786" width="16.7109375" bestFit="1" customWidth="1"/>
    <col min="787" max="787" width="15.42578125" bestFit="1" customWidth="1"/>
    <col min="788" max="788" width="20.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2.42578125" bestFit="1" customWidth="1"/>
    <col min="1030" max="1030" width="17.71093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9.7109375" bestFit="1" customWidth="1"/>
    <col min="1041" max="1041" width="16.140625" customWidth="1"/>
    <col min="1042" max="1042" width="16.7109375" bestFit="1" customWidth="1"/>
    <col min="1043" max="1043" width="15.42578125" bestFit="1" customWidth="1"/>
    <col min="1044" max="1044" width="20.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2.42578125" bestFit="1" customWidth="1"/>
    <col min="1286" max="1286" width="17.71093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9.7109375" bestFit="1" customWidth="1"/>
    <col min="1297" max="1297" width="16.140625" customWidth="1"/>
    <col min="1298" max="1298" width="16.7109375" bestFit="1" customWidth="1"/>
    <col min="1299" max="1299" width="15.42578125" bestFit="1" customWidth="1"/>
    <col min="1300" max="1300" width="20.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2.42578125" bestFit="1" customWidth="1"/>
    <col min="1542" max="1542" width="17.71093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9.7109375" bestFit="1" customWidth="1"/>
    <col min="1553" max="1553" width="16.140625" customWidth="1"/>
    <col min="1554" max="1554" width="16.7109375" bestFit="1" customWidth="1"/>
    <col min="1555" max="1555" width="15.42578125" bestFit="1" customWidth="1"/>
    <col min="1556" max="1556" width="20.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2.42578125" bestFit="1" customWidth="1"/>
    <col min="1798" max="1798" width="17.71093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9.7109375" bestFit="1" customWidth="1"/>
    <col min="1809" max="1809" width="16.140625" customWidth="1"/>
    <col min="1810" max="1810" width="16.7109375" bestFit="1" customWidth="1"/>
    <col min="1811" max="1811" width="15.42578125" bestFit="1" customWidth="1"/>
    <col min="1812" max="1812" width="20.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2.42578125" bestFit="1" customWidth="1"/>
    <col min="2054" max="2054" width="17.71093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9.7109375" bestFit="1" customWidth="1"/>
    <col min="2065" max="2065" width="16.140625" customWidth="1"/>
    <col min="2066" max="2066" width="16.7109375" bestFit="1" customWidth="1"/>
    <col min="2067" max="2067" width="15.42578125" bestFit="1" customWidth="1"/>
    <col min="2068" max="2068" width="20.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2.42578125" bestFit="1" customWidth="1"/>
    <col min="2310" max="2310" width="17.71093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9.7109375" bestFit="1" customWidth="1"/>
    <col min="2321" max="2321" width="16.140625" customWidth="1"/>
    <col min="2322" max="2322" width="16.7109375" bestFit="1" customWidth="1"/>
    <col min="2323" max="2323" width="15.42578125" bestFit="1" customWidth="1"/>
    <col min="2324" max="2324" width="20.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2.42578125" bestFit="1" customWidth="1"/>
    <col min="2566" max="2566" width="17.71093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9.7109375" bestFit="1" customWidth="1"/>
    <col min="2577" max="2577" width="16.140625" customWidth="1"/>
    <col min="2578" max="2578" width="16.7109375" bestFit="1" customWidth="1"/>
    <col min="2579" max="2579" width="15.42578125" bestFit="1" customWidth="1"/>
    <col min="2580" max="2580" width="20.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2.42578125" bestFit="1" customWidth="1"/>
    <col min="2822" max="2822" width="17.71093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9.7109375" bestFit="1" customWidth="1"/>
    <col min="2833" max="2833" width="16.140625" customWidth="1"/>
    <col min="2834" max="2834" width="16.7109375" bestFit="1" customWidth="1"/>
    <col min="2835" max="2835" width="15.42578125" bestFit="1" customWidth="1"/>
    <col min="2836" max="2836" width="20.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2.42578125" bestFit="1" customWidth="1"/>
    <col min="3078" max="3078" width="17.71093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9.7109375" bestFit="1" customWidth="1"/>
    <col min="3089" max="3089" width="16.140625" customWidth="1"/>
    <col min="3090" max="3090" width="16.7109375" bestFit="1" customWidth="1"/>
    <col min="3091" max="3091" width="15.42578125" bestFit="1" customWidth="1"/>
    <col min="3092" max="3092" width="20.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2.42578125" bestFit="1" customWidth="1"/>
    <col min="3334" max="3334" width="17.71093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9.7109375" bestFit="1" customWidth="1"/>
    <col min="3345" max="3345" width="16.140625" customWidth="1"/>
    <col min="3346" max="3346" width="16.7109375" bestFit="1" customWidth="1"/>
    <col min="3347" max="3347" width="15.42578125" bestFit="1" customWidth="1"/>
    <col min="3348" max="3348" width="20.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2.42578125" bestFit="1" customWidth="1"/>
    <col min="3590" max="3590" width="17.71093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9.7109375" bestFit="1" customWidth="1"/>
    <col min="3601" max="3601" width="16.140625" customWidth="1"/>
    <col min="3602" max="3602" width="16.7109375" bestFit="1" customWidth="1"/>
    <col min="3603" max="3603" width="15.42578125" bestFit="1" customWidth="1"/>
    <col min="3604" max="3604" width="20.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2.42578125" bestFit="1" customWidth="1"/>
    <col min="3846" max="3846" width="17.71093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9.7109375" bestFit="1" customWidth="1"/>
    <col min="3857" max="3857" width="16.140625" customWidth="1"/>
    <col min="3858" max="3858" width="16.7109375" bestFit="1" customWidth="1"/>
    <col min="3859" max="3859" width="15.42578125" bestFit="1" customWidth="1"/>
    <col min="3860" max="3860" width="20.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2.42578125" bestFit="1" customWidth="1"/>
    <col min="4102" max="4102" width="17.71093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9.7109375" bestFit="1" customWidth="1"/>
    <col min="4113" max="4113" width="16.140625" customWidth="1"/>
    <col min="4114" max="4114" width="16.7109375" bestFit="1" customWidth="1"/>
    <col min="4115" max="4115" width="15.42578125" bestFit="1" customWidth="1"/>
    <col min="4116" max="4116" width="20.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2.42578125" bestFit="1" customWidth="1"/>
    <col min="4358" max="4358" width="17.71093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9.7109375" bestFit="1" customWidth="1"/>
    <col min="4369" max="4369" width="16.140625" customWidth="1"/>
    <col min="4370" max="4370" width="16.7109375" bestFit="1" customWidth="1"/>
    <col min="4371" max="4371" width="15.42578125" bestFit="1" customWidth="1"/>
    <col min="4372" max="4372" width="20.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2.42578125" bestFit="1" customWidth="1"/>
    <col min="4614" max="4614" width="17.71093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9.7109375" bestFit="1" customWidth="1"/>
    <col min="4625" max="4625" width="16.140625" customWidth="1"/>
    <col min="4626" max="4626" width="16.7109375" bestFit="1" customWidth="1"/>
    <col min="4627" max="4627" width="15.42578125" bestFit="1" customWidth="1"/>
    <col min="4628" max="4628" width="20.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2.42578125" bestFit="1" customWidth="1"/>
    <col min="4870" max="4870" width="17.71093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9.7109375" bestFit="1" customWidth="1"/>
    <col min="4881" max="4881" width="16.140625" customWidth="1"/>
    <col min="4882" max="4882" width="16.7109375" bestFit="1" customWidth="1"/>
    <col min="4883" max="4883" width="15.42578125" bestFit="1" customWidth="1"/>
    <col min="4884" max="4884" width="20.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2.42578125" bestFit="1" customWidth="1"/>
    <col min="5126" max="5126" width="17.71093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9.7109375" bestFit="1" customWidth="1"/>
    <col min="5137" max="5137" width="16.140625" customWidth="1"/>
    <col min="5138" max="5138" width="16.7109375" bestFit="1" customWidth="1"/>
    <col min="5139" max="5139" width="15.42578125" bestFit="1" customWidth="1"/>
    <col min="5140" max="5140" width="20.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2.42578125" bestFit="1" customWidth="1"/>
    <col min="5382" max="5382" width="17.71093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9.7109375" bestFit="1" customWidth="1"/>
    <col min="5393" max="5393" width="16.140625" customWidth="1"/>
    <col min="5394" max="5394" width="16.7109375" bestFit="1" customWidth="1"/>
    <col min="5395" max="5395" width="15.42578125" bestFit="1" customWidth="1"/>
    <col min="5396" max="5396" width="20.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2.42578125" bestFit="1" customWidth="1"/>
    <col min="5638" max="5638" width="17.71093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9.7109375" bestFit="1" customWidth="1"/>
    <col min="5649" max="5649" width="16.140625" customWidth="1"/>
    <col min="5650" max="5650" width="16.7109375" bestFit="1" customWidth="1"/>
    <col min="5651" max="5651" width="15.42578125" bestFit="1" customWidth="1"/>
    <col min="5652" max="5652" width="20.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2.42578125" bestFit="1" customWidth="1"/>
    <col min="5894" max="5894" width="17.71093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9.7109375" bestFit="1" customWidth="1"/>
    <col min="5905" max="5905" width="16.140625" customWidth="1"/>
    <col min="5906" max="5906" width="16.7109375" bestFit="1" customWidth="1"/>
    <col min="5907" max="5907" width="15.42578125" bestFit="1" customWidth="1"/>
    <col min="5908" max="5908" width="20.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2.42578125" bestFit="1" customWidth="1"/>
    <col min="6150" max="6150" width="17.71093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9.7109375" bestFit="1" customWidth="1"/>
    <col min="6161" max="6161" width="16.140625" customWidth="1"/>
    <col min="6162" max="6162" width="16.7109375" bestFit="1" customWidth="1"/>
    <col min="6163" max="6163" width="15.42578125" bestFit="1" customWidth="1"/>
    <col min="6164" max="6164" width="20.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2.42578125" bestFit="1" customWidth="1"/>
    <col min="6406" max="6406" width="17.71093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9.7109375" bestFit="1" customWidth="1"/>
    <col min="6417" max="6417" width="16.140625" customWidth="1"/>
    <col min="6418" max="6418" width="16.7109375" bestFit="1" customWidth="1"/>
    <col min="6419" max="6419" width="15.42578125" bestFit="1" customWidth="1"/>
    <col min="6420" max="6420" width="20.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2.42578125" bestFit="1" customWidth="1"/>
    <col min="6662" max="6662" width="17.71093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9.7109375" bestFit="1" customWidth="1"/>
    <col min="6673" max="6673" width="16.140625" customWidth="1"/>
    <col min="6674" max="6674" width="16.7109375" bestFit="1" customWidth="1"/>
    <col min="6675" max="6675" width="15.42578125" bestFit="1" customWidth="1"/>
    <col min="6676" max="6676" width="20.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2.42578125" bestFit="1" customWidth="1"/>
    <col min="6918" max="6918" width="17.71093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9.7109375" bestFit="1" customWidth="1"/>
    <col min="6929" max="6929" width="16.140625" customWidth="1"/>
    <col min="6930" max="6930" width="16.7109375" bestFit="1" customWidth="1"/>
    <col min="6931" max="6931" width="15.42578125" bestFit="1" customWidth="1"/>
    <col min="6932" max="6932" width="20.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2.42578125" bestFit="1" customWidth="1"/>
    <col min="7174" max="7174" width="17.71093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9.7109375" bestFit="1" customWidth="1"/>
    <col min="7185" max="7185" width="16.140625" customWidth="1"/>
    <col min="7186" max="7186" width="16.7109375" bestFit="1" customWidth="1"/>
    <col min="7187" max="7187" width="15.42578125" bestFit="1" customWidth="1"/>
    <col min="7188" max="7188" width="20.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2.42578125" bestFit="1" customWidth="1"/>
    <col min="7430" max="7430" width="17.71093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9.7109375" bestFit="1" customWidth="1"/>
    <col min="7441" max="7441" width="16.140625" customWidth="1"/>
    <col min="7442" max="7442" width="16.7109375" bestFit="1" customWidth="1"/>
    <col min="7443" max="7443" width="15.42578125" bestFit="1" customWidth="1"/>
    <col min="7444" max="7444" width="20.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2.42578125" bestFit="1" customWidth="1"/>
    <col min="7686" max="7686" width="17.71093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9.7109375" bestFit="1" customWidth="1"/>
    <col min="7697" max="7697" width="16.140625" customWidth="1"/>
    <col min="7698" max="7698" width="16.7109375" bestFit="1" customWidth="1"/>
    <col min="7699" max="7699" width="15.42578125" bestFit="1" customWidth="1"/>
    <col min="7700" max="7700" width="20.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2.42578125" bestFit="1" customWidth="1"/>
    <col min="7942" max="7942" width="17.71093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9.7109375" bestFit="1" customWidth="1"/>
    <col min="7953" max="7953" width="16.140625" customWidth="1"/>
    <col min="7954" max="7954" width="16.7109375" bestFit="1" customWidth="1"/>
    <col min="7955" max="7955" width="15.42578125" bestFit="1" customWidth="1"/>
    <col min="7956" max="7956" width="20.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2.42578125" bestFit="1" customWidth="1"/>
    <col min="8198" max="8198" width="17.71093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9.7109375" bestFit="1" customWidth="1"/>
    <col min="8209" max="8209" width="16.140625" customWidth="1"/>
    <col min="8210" max="8210" width="16.7109375" bestFit="1" customWidth="1"/>
    <col min="8211" max="8211" width="15.42578125" bestFit="1" customWidth="1"/>
    <col min="8212" max="8212" width="20.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2.42578125" bestFit="1" customWidth="1"/>
    <col min="8454" max="8454" width="17.71093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9.7109375" bestFit="1" customWidth="1"/>
    <col min="8465" max="8465" width="16.140625" customWidth="1"/>
    <col min="8466" max="8466" width="16.7109375" bestFit="1" customWidth="1"/>
    <col min="8467" max="8467" width="15.42578125" bestFit="1" customWidth="1"/>
    <col min="8468" max="8468" width="20.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2.42578125" bestFit="1" customWidth="1"/>
    <col min="8710" max="8710" width="17.71093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9.7109375" bestFit="1" customWidth="1"/>
    <col min="8721" max="8721" width="16.140625" customWidth="1"/>
    <col min="8722" max="8722" width="16.7109375" bestFit="1" customWidth="1"/>
    <col min="8723" max="8723" width="15.42578125" bestFit="1" customWidth="1"/>
    <col min="8724" max="8724" width="20.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2.42578125" bestFit="1" customWidth="1"/>
    <col min="8966" max="8966" width="17.71093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9.7109375" bestFit="1" customWidth="1"/>
    <col min="8977" max="8977" width="16.140625" customWidth="1"/>
    <col min="8978" max="8978" width="16.7109375" bestFit="1" customWidth="1"/>
    <col min="8979" max="8979" width="15.42578125" bestFit="1" customWidth="1"/>
    <col min="8980" max="8980" width="20.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2.42578125" bestFit="1" customWidth="1"/>
    <col min="9222" max="9222" width="17.71093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9.7109375" bestFit="1" customWidth="1"/>
    <col min="9233" max="9233" width="16.140625" customWidth="1"/>
    <col min="9234" max="9234" width="16.7109375" bestFit="1" customWidth="1"/>
    <col min="9235" max="9235" width="15.42578125" bestFit="1" customWidth="1"/>
    <col min="9236" max="9236" width="20.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2.42578125" bestFit="1" customWidth="1"/>
    <col min="9478" max="9478" width="17.71093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9.7109375" bestFit="1" customWidth="1"/>
    <col min="9489" max="9489" width="16.140625" customWidth="1"/>
    <col min="9490" max="9490" width="16.7109375" bestFit="1" customWidth="1"/>
    <col min="9491" max="9491" width="15.42578125" bestFit="1" customWidth="1"/>
    <col min="9492" max="9492" width="20.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2.42578125" bestFit="1" customWidth="1"/>
    <col min="9734" max="9734" width="17.71093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9.7109375" bestFit="1" customWidth="1"/>
    <col min="9745" max="9745" width="16.140625" customWidth="1"/>
    <col min="9746" max="9746" width="16.7109375" bestFit="1" customWidth="1"/>
    <col min="9747" max="9747" width="15.42578125" bestFit="1" customWidth="1"/>
    <col min="9748" max="9748" width="20.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2.42578125" bestFit="1" customWidth="1"/>
    <col min="9990" max="9990" width="17.71093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9.7109375" bestFit="1" customWidth="1"/>
    <col min="10001" max="10001" width="16.140625" customWidth="1"/>
    <col min="10002" max="10002" width="16.7109375" bestFit="1" customWidth="1"/>
    <col min="10003" max="10003" width="15.42578125" bestFit="1" customWidth="1"/>
    <col min="10004" max="10004" width="20.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2.42578125" bestFit="1" customWidth="1"/>
    <col min="10246" max="10246" width="17.71093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9.7109375" bestFit="1" customWidth="1"/>
    <col min="10257" max="10257" width="16.140625" customWidth="1"/>
    <col min="10258" max="10258" width="16.7109375" bestFit="1" customWidth="1"/>
    <col min="10259" max="10259" width="15.42578125" bestFit="1" customWidth="1"/>
    <col min="10260" max="10260" width="20.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2.42578125" bestFit="1" customWidth="1"/>
    <col min="10502" max="10502" width="17.71093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9.7109375" bestFit="1" customWidth="1"/>
    <col min="10513" max="10513" width="16.140625" customWidth="1"/>
    <col min="10514" max="10514" width="16.7109375" bestFit="1" customWidth="1"/>
    <col min="10515" max="10515" width="15.42578125" bestFit="1" customWidth="1"/>
    <col min="10516" max="10516" width="20.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2.42578125" bestFit="1" customWidth="1"/>
    <col min="10758" max="10758" width="17.71093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9.7109375" bestFit="1" customWidth="1"/>
    <col min="10769" max="10769" width="16.140625" customWidth="1"/>
    <col min="10770" max="10770" width="16.7109375" bestFit="1" customWidth="1"/>
    <col min="10771" max="10771" width="15.42578125" bestFit="1" customWidth="1"/>
    <col min="10772" max="10772" width="20.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2.42578125" bestFit="1" customWidth="1"/>
    <col min="11014" max="11014" width="17.71093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9.7109375" bestFit="1" customWidth="1"/>
    <col min="11025" max="11025" width="16.140625" customWidth="1"/>
    <col min="11026" max="11026" width="16.7109375" bestFit="1" customWidth="1"/>
    <col min="11027" max="11027" width="15.42578125" bestFit="1" customWidth="1"/>
    <col min="11028" max="11028" width="20.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2.42578125" bestFit="1" customWidth="1"/>
    <col min="11270" max="11270" width="17.71093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9.7109375" bestFit="1" customWidth="1"/>
    <col min="11281" max="11281" width="16.140625" customWidth="1"/>
    <col min="11282" max="11282" width="16.7109375" bestFit="1" customWidth="1"/>
    <col min="11283" max="11283" width="15.42578125" bestFit="1" customWidth="1"/>
    <col min="11284" max="11284" width="20.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2.42578125" bestFit="1" customWidth="1"/>
    <col min="11526" max="11526" width="17.71093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9.7109375" bestFit="1" customWidth="1"/>
    <col min="11537" max="11537" width="16.140625" customWidth="1"/>
    <col min="11538" max="11538" width="16.7109375" bestFit="1" customWidth="1"/>
    <col min="11539" max="11539" width="15.42578125" bestFit="1" customWidth="1"/>
    <col min="11540" max="11540" width="20.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2.42578125" bestFit="1" customWidth="1"/>
    <col min="11782" max="11782" width="17.71093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9.7109375" bestFit="1" customWidth="1"/>
    <col min="11793" max="11793" width="16.140625" customWidth="1"/>
    <col min="11794" max="11794" width="16.7109375" bestFit="1" customWidth="1"/>
    <col min="11795" max="11795" width="15.42578125" bestFit="1" customWidth="1"/>
    <col min="11796" max="11796" width="20.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2.42578125" bestFit="1" customWidth="1"/>
    <col min="12038" max="12038" width="17.71093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9.7109375" bestFit="1" customWidth="1"/>
    <col min="12049" max="12049" width="16.140625" customWidth="1"/>
    <col min="12050" max="12050" width="16.7109375" bestFit="1" customWidth="1"/>
    <col min="12051" max="12051" width="15.42578125" bestFit="1" customWidth="1"/>
    <col min="12052" max="12052" width="20.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2.42578125" bestFit="1" customWidth="1"/>
    <col min="12294" max="12294" width="17.71093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9.7109375" bestFit="1" customWidth="1"/>
    <col min="12305" max="12305" width="16.140625" customWidth="1"/>
    <col min="12306" max="12306" width="16.7109375" bestFit="1" customWidth="1"/>
    <col min="12307" max="12307" width="15.42578125" bestFit="1" customWidth="1"/>
    <col min="12308" max="12308" width="20.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2.42578125" bestFit="1" customWidth="1"/>
    <col min="12550" max="12550" width="17.71093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9.7109375" bestFit="1" customWidth="1"/>
    <col min="12561" max="12561" width="16.140625" customWidth="1"/>
    <col min="12562" max="12562" width="16.7109375" bestFit="1" customWidth="1"/>
    <col min="12563" max="12563" width="15.42578125" bestFit="1" customWidth="1"/>
    <col min="12564" max="12564" width="20.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2.42578125" bestFit="1" customWidth="1"/>
    <col min="12806" max="12806" width="17.71093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9.7109375" bestFit="1" customWidth="1"/>
    <col min="12817" max="12817" width="16.140625" customWidth="1"/>
    <col min="12818" max="12818" width="16.7109375" bestFit="1" customWidth="1"/>
    <col min="12819" max="12819" width="15.42578125" bestFit="1" customWidth="1"/>
    <col min="12820" max="12820" width="20.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2.42578125" bestFit="1" customWidth="1"/>
    <col min="13062" max="13062" width="17.71093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9.7109375" bestFit="1" customWidth="1"/>
    <col min="13073" max="13073" width="16.140625" customWidth="1"/>
    <col min="13074" max="13074" width="16.7109375" bestFit="1" customWidth="1"/>
    <col min="13075" max="13075" width="15.42578125" bestFit="1" customWidth="1"/>
    <col min="13076" max="13076" width="20.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2.42578125" bestFit="1" customWidth="1"/>
    <col min="13318" max="13318" width="17.71093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9.7109375" bestFit="1" customWidth="1"/>
    <col min="13329" max="13329" width="16.140625" customWidth="1"/>
    <col min="13330" max="13330" width="16.7109375" bestFit="1" customWidth="1"/>
    <col min="13331" max="13331" width="15.42578125" bestFit="1" customWidth="1"/>
    <col min="13332" max="13332" width="20.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2.42578125" bestFit="1" customWidth="1"/>
    <col min="13574" max="13574" width="17.71093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9.7109375" bestFit="1" customWidth="1"/>
    <col min="13585" max="13585" width="16.140625" customWidth="1"/>
    <col min="13586" max="13586" width="16.7109375" bestFit="1" customWidth="1"/>
    <col min="13587" max="13587" width="15.42578125" bestFit="1" customWidth="1"/>
    <col min="13588" max="13588" width="20.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2.42578125" bestFit="1" customWidth="1"/>
    <col min="13830" max="13830" width="17.71093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9.7109375" bestFit="1" customWidth="1"/>
    <col min="13841" max="13841" width="16.140625" customWidth="1"/>
    <col min="13842" max="13842" width="16.7109375" bestFit="1" customWidth="1"/>
    <col min="13843" max="13843" width="15.42578125" bestFit="1" customWidth="1"/>
    <col min="13844" max="13844" width="20.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2.42578125" bestFit="1" customWidth="1"/>
    <col min="14086" max="14086" width="17.71093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9.7109375" bestFit="1" customWidth="1"/>
    <col min="14097" max="14097" width="16.140625" customWidth="1"/>
    <col min="14098" max="14098" width="16.7109375" bestFit="1" customWidth="1"/>
    <col min="14099" max="14099" width="15.42578125" bestFit="1" customWidth="1"/>
    <col min="14100" max="14100" width="20.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2.42578125" bestFit="1" customWidth="1"/>
    <col min="14342" max="14342" width="17.71093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9.7109375" bestFit="1" customWidth="1"/>
    <col min="14353" max="14353" width="16.140625" customWidth="1"/>
    <col min="14354" max="14354" width="16.7109375" bestFit="1" customWidth="1"/>
    <col min="14355" max="14355" width="15.42578125" bestFit="1" customWidth="1"/>
    <col min="14356" max="14356" width="20.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2.42578125" bestFit="1" customWidth="1"/>
    <col min="14598" max="14598" width="17.71093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9.7109375" bestFit="1" customWidth="1"/>
    <col min="14609" max="14609" width="16.140625" customWidth="1"/>
    <col min="14610" max="14610" width="16.7109375" bestFit="1" customWidth="1"/>
    <col min="14611" max="14611" width="15.42578125" bestFit="1" customWidth="1"/>
    <col min="14612" max="14612" width="20.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2.42578125" bestFit="1" customWidth="1"/>
    <col min="14854" max="14854" width="17.71093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9.7109375" bestFit="1" customWidth="1"/>
    <col min="14865" max="14865" width="16.140625" customWidth="1"/>
    <col min="14866" max="14866" width="16.7109375" bestFit="1" customWidth="1"/>
    <col min="14867" max="14867" width="15.42578125" bestFit="1" customWidth="1"/>
    <col min="14868" max="14868" width="20.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2.42578125" bestFit="1" customWidth="1"/>
    <col min="15110" max="15110" width="17.71093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9.7109375" bestFit="1" customWidth="1"/>
    <col min="15121" max="15121" width="16.140625" customWidth="1"/>
    <col min="15122" max="15122" width="16.7109375" bestFit="1" customWidth="1"/>
    <col min="15123" max="15123" width="15.42578125" bestFit="1" customWidth="1"/>
    <col min="15124" max="15124" width="20.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2.42578125" bestFit="1" customWidth="1"/>
    <col min="15366" max="15366" width="17.71093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9.7109375" bestFit="1" customWidth="1"/>
    <col min="15377" max="15377" width="16.140625" customWidth="1"/>
    <col min="15378" max="15378" width="16.7109375" bestFit="1" customWidth="1"/>
    <col min="15379" max="15379" width="15.42578125" bestFit="1" customWidth="1"/>
    <col min="15380" max="15380" width="20.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2.42578125" bestFit="1" customWidth="1"/>
    <col min="15622" max="15622" width="17.71093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9.7109375" bestFit="1" customWidth="1"/>
    <col min="15633" max="15633" width="16.140625" customWidth="1"/>
    <col min="15634" max="15634" width="16.7109375" bestFit="1" customWidth="1"/>
    <col min="15635" max="15635" width="15.42578125" bestFit="1" customWidth="1"/>
    <col min="15636" max="15636" width="20.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2.42578125" bestFit="1" customWidth="1"/>
    <col min="15878" max="15878" width="17.71093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9.7109375" bestFit="1" customWidth="1"/>
    <col min="15889" max="15889" width="16.140625" customWidth="1"/>
    <col min="15890" max="15890" width="16.7109375" bestFit="1" customWidth="1"/>
    <col min="15891" max="15891" width="15.42578125" bestFit="1" customWidth="1"/>
    <col min="15892" max="15892" width="20.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2.42578125" bestFit="1" customWidth="1"/>
    <col min="16134" max="16134" width="17.71093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9.7109375" bestFit="1" customWidth="1"/>
    <col min="16145" max="16145" width="16.140625" customWidth="1"/>
    <col min="16146" max="16146" width="16.7109375" bestFit="1" customWidth="1"/>
    <col min="16147" max="16147" width="15.42578125" bestFit="1" customWidth="1"/>
    <col min="16148" max="16148" width="20.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 customHeight="1" thickBot="1">
      <c r="B1" s="3461"/>
      <c r="F1" s="198"/>
      <c r="G1" s="198">
        <f>C3</f>
        <v>18230636</v>
      </c>
      <c r="H1" s="198" t="str">
        <f>C4</f>
        <v>SF Existing Water Heat - Gas</v>
      </c>
      <c r="I1" s="198"/>
    </row>
    <row r="2" spans="2:22" ht="16.5" thickBot="1">
      <c r="B2" s="198" t="s">
        <v>109</v>
      </c>
      <c r="C2" s="199" t="s">
        <v>574</v>
      </c>
      <c r="G2" s="200" t="s">
        <v>8</v>
      </c>
      <c r="Q2" s="5133" t="s">
        <v>556</v>
      </c>
      <c r="R2" s="5133"/>
      <c r="S2" s="5124" t="s">
        <v>110</v>
      </c>
      <c r="T2" s="5125"/>
      <c r="U2" s="5126"/>
      <c r="V2" s="5118" t="s">
        <v>111</v>
      </c>
    </row>
    <row r="3" spans="2:22" ht="16.5" thickBot="1">
      <c r="B3" s="199" t="s">
        <v>6</v>
      </c>
      <c r="C3" s="199">
        <v>18230636</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579</v>
      </c>
      <c r="F4" s="198">
        <v>2011</v>
      </c>
      <c r="G4" s="206">
        <f>B13</f>
        <v>91095</v>
      </c>
      <c r="H4" s="207">
        <f>B18</f>
        <v>6918</v>
      </c>
      <c r="I4" s="207">
        <f>B23</f>
        <v>61749</v>
      </c>
      <c r="J4" s="207">
        <f>B28</f>
        <v>24000</v>
      </c>
      <c r="K4" s="207">
        <f>B33</f>
        <v>1200</v>
      </c>
      <c r="L4" s="207">
        <f>B38</f>
        <v>12000</v>
      </c>
      <c r="M4" s="207">
        <f>B43</f>
        <v>2400</v>
      </c>
      <c r="N4" s="207">
        <f>B48</f>
        <v>12000</v>
      </c>
      <c r="O4" s="207">
        <f>B53</f>
        <v>454200</v>
      </c>
      <c r="P4" s="207">
        <f>B54</f>
        <v>0</v>
      </c>
      <c r="Q4" s="209">
        <f>B55</f>
        <v>665562</v>
      </c>
      <c r="R4" s="355">
        <f>T55</f>
        <v>0</v>
      </c>
      <c r="S4" s="316">
        <f>O4/Q4</f>
        <v>0.68243078781541011</v>
      </c>
      <c r="T4" s="316">
        <f>(J4+(H4*1.63))/Q4</f>
        <v>5.3002334868877725E-2</v>
      </c>
      <c r="U4" s="316">
        <f>L4/Q4</f>
        <v>1.8029875503709648E-2</v>
      </c>
      <c r="V4" s="212" t="e">
        <f>Q4/R4</f>
        <v>#DIV/0!</v>
      </c>
    </row>
    <row r="5" spans="2:22" ht="16.5" thickBot="1">
      <c r="B5" s="198" t="s">
        <v>33</v>
      </c>
      <c r="C5" s="2192" t="s">
        <v>1191</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P55</f>
        <v>0</v>
      </c>
      <c r="S5" s="317" t="e">
        <f>O5/Q5</f>
        <v>#DIV/0!</v>
      </c>
      <c r="T5" s="317" t="e">
        <f>(J5+(H5*1.63))/Q5</f>
        <v>#DIV/0!</v>
      </c>
      <c r="U5" s="317" t="e">
        <f>L5/Q5</f>
        <v>#DIV/0!</v>
      </c>
      <c r="V5" s="218" t="e">
        <f>Q5/R5</f>
        <v>#DIV/0!</v>
      </c>
    </row>
    <row r="6" spans="2:22" s="3532" customFormat="1" ht="16.5" thickBot="1">
      <c r="B6" s="3536"/>
      <c r="D6" s="3533"/>
      <c r="F6" s="4249" t="s">
        <v>1168</v>
      </c>
      <c r="G6" s="3547">
        <v>0</v>
      </c>
      <c r="H6" s="3548">
        <v>0</v>
      </c>
      <c r="I6" s="3548">
        <v>0</v>
      </c>
      <c r="J6" s="3548">
        <v>0</v>
      </c>
      <c r="K6" s="3548">
        <v>0</v>
      </c>
      <c r="L6" s="3548">
        <v>0</v>
      </c>
      <c r="M6" s="3548">
        <v>0</v>
      </c>
      <c r="N6" s="3548">
        <v>0</v>
      </c>
      <c r="O6" s="3548">
        <v>0</v>
      </c>
      <c r="P6" s="3548">
        <v>0</v>
      </c>
      <c r="Q6" s="3549">
        <v>0</v>
      </c>
      <c r="R6" s="3610">
        <v>0</v>
      </c>
      <c r="S6" s="3637" t="e">
        <v>#DIV/0!</v>
      </c>
      <c r="T6" s="3637" t="e">
        <v>#DIV/0!</v>
      </c>
      <c r="U6" s="3637" t="e">
        <v>#DIV/0!</v>
      </c>
      <c r="V6" s="3498" t="e">
        <v>#DIV/0!</v>
      </c>
    </row>
    <row r="7" spans="2:22" ht="16.5" thickBot="1">
      <c r="C7" s="3536" t="s">
        <v>229</v>
      </c>
      <c r="F7" s="4281" t="s">
        <v>1169</v>
      </c>
      <c r="G7" s="4195">
        <f>E13</f>
        <v>0</v>
      </c>
      <c r="H7" s="4196">
        <f>E18</f>
        <v>0</v>
      </c>
      <c r="I7" s="4196">
        <f>E23</f>
        <v>0</v>
      </c>
      <c r="J7" s="4196">
        <f>E28</f>
        <v>0</v>
      </c>
      <c r="K7" s="4196">
        <f>E33</f>
        <v>0</v>
      </c>
      <c r="L7" s="4196">
        <f>E38</f>
        <v>0</v>
      </c>
      <c r="M7" s="4196">
        <f>E43</f>
        <v>0</v>
      </c>
      <c r="N7" s="4196">
        <f>E48</f>
        <v>0</v>
      </c>
      <c r="O7" s="4196">
        <f>E53</f>
        <v>0</v>
      </c>
      <c r="P7" s="4196">
        <f>E54</f>
        <v>0</v>
      </c>
      <c r="Q7" s="4197">
        <f>SUM(G7:P7)</f>
        <v>0</v>
      </c>
      <c r="R7" s="4198">
        <f>Q55</f>
        <v>0</v>
      </c>
      <c r="S7" s="317" t="e">
        <f>O7/Q7</f>
        <v>#DIV/0!</v>
      </c>
      <c r="T7" s="317" t="e">
        <f>(J7+(H7*1.63))/Q7</f>
        <v>#DIV/0!</v>
      </c>
      <c r="U7" s="317" t="e">
        <f>L7/Q7</f>
        <v>#DIV/0!</v>
      </c>
      <c r="V7" s="218" t="e">
        <f>Q7/R7</f>
        <v>#DIV/0!</v>
      </c>
    </row>
    <row r="8" spans="2:22" ht="16.5" thickBot="1">
      <c r="C8" s="220" t="s">
        <v>230</v>
      </c>
      <c r="F8" s="3611" t="s">
        <v>1175</v>
      </c>
      <c r="G8" s="357">
        <f>SUM(G5:G7)</f>
        <v>0</v>
      </c>
      <c r="H8" s="357">
        <f t="shared" ref="H8:P8" si="0">SUM(H5:H7)</f>
        <v>0</v>
      </c>
      <c r="I8" s="357">
        <f t="shared" si="0"/>
        <v>0</v>
      </c>
      <c r="J8" s="357">
        <f t="shared" si="0"/>
        <v>0</v>
      </c>
      <c r="K8" s="357">
        <f t="shared" si="0"/>
        <v>0</v>
      </c>
      <c r="L8" s="357">
        <f t="shared" si="0"/>
        <v>0</v>
      </c>
      <c r="M8" s="357">
        <f t="shared" si="0"/>
        <v>0</v>
      </c>
      <c r="N8" s="357">
        <f t="shared" si="0"/>
        <v>0</v>
      </c>
      <c r="O8" s="357">
        <f t="shared" si="0"/>
        <v>0</v>
      </c>
      <c r="P8" s="357">
        <f t="shared" si="0"/>
        <v>0</v>
      </c>
      <c r="Q8" s="358">
        <f>SUM(G8:P8)</f>
        <v>0</v>
      </c>
      <c r="R8" s="359">
        <f>R55</f>
        <v>0</v>
      </c>
      <c r="S8" s="317" t="e">
        <f>O8/Q8</f>
        <v>#DIV/0!</v>
      </c>
      <c r="T8" s="317" t="e">
        <f>(J8+(H8*1.63))/Q8</f>
        <v>#DIV/0!</v>
      </c>
      <c r="U8" s="317" t="e">
        <f>L8/Q8</f>
        <v>#DIV/0!</v>
      </c>
      <c r="V8" s="218" t="e">
        <f>Q8/R8</f>
        <v>#DIV/0!</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c r="U11" s="3535"/>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c r="U12" s="3535"/>
    </row>
    <row r="13" spans="2:22" ht="13.5" thickBot="1">
      <c r="B13" s="262">
        <v>91095</v>
      </c>
      <c r="C13" s="236" t="s">
        <v>138</v>
      </c>
      <c r="D13" s="237">
        <f>SUM(D14:D17)</f>
        <v>0</v>
      </c>
      <c r="E13" s="237">
        <f>SUM(E14:E17)</f>
        <v>0</v>
      </c>
      <c r="F13" s="238">
        <f>D13+E13</f>
        <v>0</v>
      </c>
      <c r="H13" s="132"/>
      <c r="I13" s="239" t="str">
        <f t="shared" ref="I13:I54" si="1">C63</f>
        <v>Tier 1 Energy Star Tankless Water Heater  (&gt;= 0.82 EF)</v>
      </c>
      <c r="J13" s="240"/>
      <c r="K13" s="241"/>
      <c r="L13" s="360">
        <f t="shared" ref="L13:L54" si="2">D63</f>
        <v>74</v>
      </c>
      <c r="M13" s="257">
        <v>0</v>
      </c>
      <c r="N13" s="257">
        <v>0</v>
      </c>
      <c r="O13" s="244">
        <f>M13+N13</f>
        <v>0</v>
      </c>
      <c r="P13" s="361">
        <f t="shared" ref="P13:R28" si="3">M13*$D63</f>
        <v>0</v>
      </c>
      <c r="Q13" s="361">
        <f t="shared" si="3"/>
        <v>0</v>
      </c>
      <c r="R13" s="362">
        <f t="shared" si="3"/>
        <v>0</v>
      </c>
      <c r="T13" s="4895"/>
      <c r="U13" s="3535"/>
    </row>
    <row r="14" spans="2:22">
      <c r="B14" s="247"/>
      <c r="C14" s="248" t="s">
        <v>139</v>
      </c>
      <c r="D14" s="249">
        <v>0</v>
      </c>
      <c r="E14" s="249">
        <v>0</v>
      </c>
      <c r="F14" s="249">
        <f>SUM(D14:E14)</f>
        <v>0</v>
      </c>
      <c r="H14" s="132"/>
      <c r="I14" s="250" t="str">
        <f t="shared" si="1"/>
        <v>Tier 2 Energy Star Tankless Water Heater  (&gt;= 0.90 EF)</v>
      </c>
      <c r="J14" s="251"/>
      <c r="K14" s="252"/>
      <c r="L14" s="360">
        <f t="shared" si="2"/>
        <v>93</v>
      </c>
      <c r="M14" s="257">
        <v>0</v>
      </c>
      <c r="N14" s="257">
        <v>0</v>
      </c>
      <c r="O14" s="244">
        <f t="shared" ref="O14:O54" si="4">M14+N14</f>
        <v>0</v>
      </c>
      <c r="P14" s="361">
        <f t="shared" si="3"/>
        <v>0</v>
      </c>
      <c r="Q14" s="361">
        <f t="shared" si="3"/>
        <v>0</v>
      </c>
      <c r="R14" s="362">
        <f t="shared" si="3"/>
        <v>0</v>
      </c>
      <c r="T14" s="4895"/>
      <c r="U14" s="3535"/>
    </row>
    <row r="15" spans="2:22">
      <c r="B15" s="254"/>
      <c r="C15" s="255" t="s">
        <v>140</v>
      </c>
      <c r="D15" s="256">
        <v>0</v>
      </c>
      <c r="E15" s="256"/>
      <c r="F15" s="249">
        <f t="shared" ref="F15:F25" si="5">SUM(D15:E15)</f>
        <v>0</v>
      </c>
      <c r="H15" s="132"/>
      <c r="I15" s="250" t="str">
        <f t="shared" si="1"/>
        <v>Energy Star Gas Water Heater  (&gt;= 0.67 EF)</v>
      </c>
      <c r="J15" s="251"/>
      <c r="K15" s="252"/>
      <c r="L15" s="360">
        <f t="shared" si="2"/>
        <v>24</v>
      </c>
      <c r="M15" s="257">
        <v>0</v>
      </c>
      <c r="N15" s="257">
        <v>0</v>
      </c>
      <c r="O15" s="244">
        <f t="shared" si="4"/>
        <v>0</v>
      </c>
      <c r="P15" s="361">
        <f t="shared" si="3"/>
        <v>0</v>
      </c>
      <c r="Q15" s="361">
        <f t="shared" si="3"/>
        <v>0</v>
      </c>
      <c r="R15" s="362">
        <f t="shared" si="3"/>
        <v>0</v>
      </c>
      <c r="T15" s="4895"/>
      <c r="U15" s="3535"/>
    </row>
    <row r="16" spans="2:22">
      <c r="B16" s="254"/>
      <c r="C16" s="255" t="s">
        <v>141</v>
      </c>
      <c r="D16" s="258">
        <v>0</v>
      </c>
      <c r="E16" s="258"/>
      <c r="F16" s="249">
        <f t="shared" si="5"/>
        <v>0</v>
      </c>
      <c r="H16" s="132"/>
      <c r="I16" s="250" t="str">
        <f t="shared" si="1"/>
        <v>Measure 4</v>
      </c>
      <c r="J16" s="251"/>
      <c r="K16" s="252"/>
      <c r="L16" s="360">
        <f t="shared" si="2"/>
        <v>0</v>
      </c>
      <c r="M16" s="257">
        <v>0</v>
      </c>
      <c r="N16" s="257">
        <v>0</v>
      </c>
      <c r="O16" s="244">
        <f t="shared" si="4"/>
        <v>0</v>
      </c>
      <c r="P16" s="361">
        <f t="shared" si="3"/>
        <v>0</v>
      </c>
      <c r="Q16" s="361">
        <f t="shared" si="3"/>
        <v>0</v>
      </c>
      <c r="R16" s="362">
        <f t="shared" si="3"/>
        <v>0</v>
      </c>
      <c r="T16" s="3535"/>
      <c r="U16" s="3535"/>
    </row>
    <row r="17" spans="2:21" ht="13.5" thickBot="1">
      <c r="B17" s="254"/>
      <c r="C17" s="255" t="s">
        <v>142</v>
      </c>
      <c r="D17" s="258">
        <v>0</v>
      </c>
      <c r="E17" s="258"/>
      <c r="F17" s="249">
        <f t="shared" si="5"/>
        <v>0</v>
      </c>
      <c r="H17" s="132"/>
      <c r="I17" s="250" t="str">
        <f t="shared" si="1"/>
        <v>Measure 5</v>
      </c>
      <c r="J17" s="251"/>
      <c r="K17" s="252"/>
      <c r="L17" s="360">
        <f t="shared" si="2"/>
        <v>0</v>
      </c>
      <c r="M17" s="257">
        <v>0</v>
      </c>
      <c r="N17" s="257">
        <v>0</v>
      </c>
      <c r="O17" s="244">
        <f t="shared" si="4"/>
        <v>0</v>
      </c>
      <c r="P17" s="361">
        <f t="shared" si="3"/>
        <v>0</v>
      </c>
      <c r="Q17" s="361">
        <f t="shared" si="3"/>
        <v>0</v>
      </c>
      <c r="R17" s="362">
        <f t="shared" si="3"/>
        <v>0</v>
      </c>
      <c r="T17" s="3535"/>
      <c r="U17" s="3535"/>
    </row>
    <row r="18" spans="2:21" ht="13.5" thickBot="1">
      <c r="B18" s="262">
        <v>6918</v>
      </c>
      <c r="C18" s="236" t="s">
        <v>143</v>
      </c>
      <c r="D18" s="237">
        <f>SUM(D19:D22)</f>
        <v>0</v>
      </c>
      <c r="E18" s="237">
        <f>SUM(E19:E22)</f>
        <v>0</v>
      </c>
      <c r="F18" s="238">
        <f>D18+E18</f>
        <v>0</v>
      </c>
      <c r="H18" s="132"/>
      <c r="I18" s="250" t="str">
        <f t="shared" si="1"/>
        <v>Measure 6</v>
      </c>
      <c r="J18" s="251"/>
      <c r="K18" s="252"/>
      <c r="L18" s="360">
        <f t="shared" si="2"/>
        <v>0</v>
      </c>
      <c r="M18" s="257">
        <v>0</v>
      </c>
      <c r="N18" s="257">
        <v>0</v>
      </c>
      <c r="O18" s="244">
        <f t="shared" si="4"/>
        <v>0</v>
      </c>
      <c r="P18" s="361">
        <f t="shared" si="3"/>
        <v>0</v>
      </c>
      <c r="Q18" s="361">
        <f t="shared" si="3"/>
        <v>0</v>
      </c>
      <c r="R18" s="362">
        <f t="shared" si="3"/>
        <v>0</v>
      </c>
      <c r="T18" s="3535"/>
      <c r="U18" s="3535"/>
    </row>
    <row r="19" spans="2:21">
      <c r="B19" s="247"/>
      <c r="C19" s="248" t="s">
        <v>139</v>
      </c>
      <c r="D19" s="249">
        <v>0</v>
      </c>
      <c r="E19" s="249">
        <v>0</v>
      </c>
      <c r="F19" s="249">
        <f t="shared" si="5"/>
        <v>0</v>
      </c>
      <c r="H19" s="132"/>
      <c r="I19" s="250" t="str">
        <f t="shared" si="1"/>
        <v>Measure 7</v>
      </c>
      <c r="J19" s="251"/>
      <c r="K19" s="252"/>
      <c r="L19" s="360">
        <f t="shared" si="2"/>
        <v>0</v>
      </c>
      <c r="M19" s="257">
        <v>0</v>
      </c>
      <c r="N19" s="257">
        <v>0</v>
      </c>
      <c r="O19" s="244">
        <f t="shared" si="4"/>
        <v>0</v>
      </c>
      <c r="P19" s="361">
        <f t="shared" si="3"/>
        <v>0</v>
      </c>
      <c r="Q19" s="361">
        <f t="shared" si="3"/>
        <v>0</v>
      </c>
      <c r="R19" s="362">
        <f t="shared" si="3"/>
        <v>0</v>
      </c>
      <c r="T19" s="3535"/>
      <c r="U19" s="3535"/>
    </row>
    <row r="20" spans="2:21">
      <c r="B20" s="254"/>
      <c r="C20" s="255" t="s">
        <v>140</v>
      </c>
      <c r="D20" s="256">
        <v>0</v>
      </c>
      <c r="E20" s="256"/>
      <c r="F20" s="249">
        <f t="shared" si="5"/>
        <v>0</v>
      </c>
      <c r="H20" s="132"/>
      <c r="I20" s="250" t="str">
        <f t="shared" si="1"/>
        <v>Measure 8</v>
      </c>
      <c r="J20" s="251"/>
      <c r="K20" s="252"/>
      <c r="L20" s="360">
        <f t="shared" si="2"/>
        <v>0</v>
      </c>
      <c r="M20" s="257">
        <v>0</v>
      </c>
      <c r="N20" s="257">
        <v>0</v>
      </c>
      <c r="O20" s="244">
        <f t="shared" si="4"/>
        <v>0</v>
      </c>
      <c r="P20" s="361">
        <f t="shared" si="3"/>
        <v>0</v>
      </c>
      <c r="Q20" s="361">
        <f t="shared" si="3"/>
        <v>0</v>
      </c>
      <c r="R20" s="362">
        <f t="shared" si="3"/>
        <v>0</v>
      </c>
      <c r="T20" s="3535"/>
      <c r="U20" s="3535"/>
    </row>
    <row r="21" spans="2:21">
      <c r="B21" s="254"/>
      <c r="C21" s="255" t="s">
        <v>141</v>
      </c>
      <c r="D21" s="258">
        <v>0</v>
      </c>
      <c r="E21" s="258"/>
      <c r="F21" s="249">
        <f t="shared" si="5"/>
        <v>0</v>
      </c>
      <c r="H21" s="132"/>
      <c r="I21" s="250" t="str">
        <f t="shared" si="1"/>
        <v>Measure 9</v>
      </c>
      <c r="J21" s="251"/>
      <c r="K21" s="252"/>
      <c r="L21" s="360">
        <f t="shared" si="2"/>
        <v>0</v>
      </c>
      <c r="M21" s="257">
        <v>0</v>
      </c>
      <c r="N21" s="257">
        <v>0</v>
      </c>
      <c r="O21" s="244">
        <f t="shared" si="4"/>
        <v>0</v>
      </c>
      <c r="P21" s="361">
        <f t="shared" si="3"/>
        <v>0</v>
      </c>
      <c r="Q21" s="361">
        <f t="shared" si="3"/>
        <v>0</v>
      </c>
      <c r="R21" s="362">
        <f t="shared" si="3"/>
        <v>0</v>
      </c>
      <c r="T21" s="3535"/>
      <c r="U21" s="3535"/>
    </row>
    <row r="22" spans="2:21" ht="13.5" thickBot="1">
      <c r="B22" s="254"/>
      <c r="C22" s="255" t="s">
        <v>142</v>
      </c>
      <c r="D22" s="258">
        <v>0</v>
      </c>
      <c r="E22" s="258"/>
      <c r="F22" s="249">
        <f t="shared" si="5"/>
        <v>0</v>
      </c>
      <c r="H22" s="132"/>
      <c r="I22" s="250" t="str">
        <f t="shared" si="1"/>
        <v>Measure 10</v>
      </c>
      <c r="J22" s="251"/>
      <c r="K22" s="252"/>
      <c r="L22" s="360">
        <f t="shared" si="2"/>
        <v>0</v>
      </c>
      <c r="M22" s="257">
        <v>0</v>
      </c>
      <c r="N22" s="257">
        <v>0</v>
      </c>
      <c r="O22" s="244">
        <f t="shared" si="4"/>
        <v>0</v>
      </c>
      <c r="P22" s="361">
        <f t="shared" si="3"/>
        <v>0</v>
      </c>
      <c r="Q22" s="361">
        <f t="shared" si="3"/>
        <v>0</v>
      </c>
      <c r="R22" s="362">
        <f t="shared" si="3"/>
        <v>0</v>
      </c>
      <c r="T22" s="3535"/>
      <c r="U22" s="3535"/>
    </row>
    <row r="23" spans="2:21" ht="13.5" thickBot="1">
      <c r="B23" s="262">
        <v>61749</v>
      </c>
      <c r="C23" s="236" t="s">
        <v>144</v>
      </c>
      <c r="D23" s="237">
        <f>SUM(D24:D27)</f>
        <v>0</v>
      </c>
      <c r="E23" s="237">
        <f>SUM(E24:E27)</f>
        <v>0</v>
      </c>
      <c r="F23" s="238">
        <f>D23+E23</f>
        <v>0</v>
      </c>
      <c r="G23" s="53"/>
      <c r="H23" s="132"/>
      <c r="I23" s="250" t="str">
        <f t="shared" si="1"/>
        <v>Measure 11</v>
      </c>
      <c r="J23" s="251"/>
      <c r="K23" s="252"/>
      <c r="L23" s="360">
        <f t="shared" si="2"/>
        <v>0</v>
      </c>
      <c r="M23" s="257">
        <v>0</v>
      </c>
      <c r="N23" s="257">
        <v>0</v>
      </c>
      <c r="O23" s="244">
        <f t="shared" si="4"/>
        <v>0</v>
      </c>
      <c r="P23" s="361">
        <f t="shared" si="3"/>
        <v>0</v>
      </c>
      <c r="Q23" s="361">
        <f t="shared" si="3"/>
        <v>0</v>
      </c>
      <c r="R23" s="362">
        <f t="shared" si="3"/>
        <v>0</v>
      </c>
      <c r="T23" s="3535"/>
      <c r="U23" s="3535"/>
    </row>
    <row r="24" spans="2:21">
      <c r="B24" s="247"/>
      <c r="C24" s="3566" t="s">
        <v>1434</v>
      </c>
      <c r="D24" s="249">
        <f>0.63*D13</f>
        <v>0</v>
      </c>
      <c r="E24" s="249">
        <f>0.707*E13</f>
        <v>0</v>
      </c>
      <c r="F24" s="249">
        <f t="shared" si="5"/>
        <v>0</v>
      </c>
      <c r="H24" s="132"/>
      <c r="I24" s="250" t="str">
        <f t="shared" si="1"/>
        <v>Measure 12</v>
      </c>
      <c r="J24" s="251"/>
      <c r="K24" s="252"/>
      <c r="L24" s="360">
        <f t="shared" si="2"/>
        <v>0</v>
      </c>
      <c r="M24" s="257">
        <v>0</v>
      </c>
      <c r="N24" s="257">
        <v>0</v>
      </c>
      <c r="O24" s="244">
        <f t="shared" si="4"/>
        <v>0</v>
      </c>
      <c r="P24" s="361">
        <f t="shared" si="3"/>
        <v>0</v>
      </c>
      <c r="Q24" s="361">
        <f t="shared" si="3"/>
        <v>0</v>
      </c>
      <c r="R24" s="362">
        <f t="shared" si="3"/>
        <v>0</v>
      </c>
      <c r="T24" s="3535"/>
      <c r="U24" s="3535"/>
    </row>
    <row r="25" spans="2:21">
      <c r="B25" s="247"/>
      <c r="C25" s="3566" t="s">
        <v>1435</v>
      </c>
      <c r="D25" s="256">
        <f>0.63*D18</f>
        <v>0</v>
      </c>
      <c r="E25" s="256">
        <f>0.707*E18</f>
        <v>0</v>
      </c>
      <c r="F25" s="249">
        <f t="shared" si="5"/>
        <v>0</v>
      </c>
      <c r="H25" s="132"/>
      <c r="I25" s="250" t="str">
        <f t="shared" si="1"/>
        <v>Measure 13</v>
      </c>
      <c r="J25" s="251"/>
      <c r="K25" s="252"/>
      <c r="L25" s="360">
        <f t="shared" si="2"/>
        <v>0</v>
      </c>
      <c r="M25" s="257">
        <v>0</v>
      </c>
      <c r="N25" s="257">
        <v>0</v>
      </c>
      <c r="O25" s="244">
        <f t="shared" si="4"/>
        <v>0</v>
      </c>
      <c r="P25" s="361">
        <f t="shared" si="3"/>
        <v>0</v>
      </c>
      <c r="Q25" s="361">
        <f t="shared" si="3"/>
        <v>0</v>
      </c>
      <c r="R25" s="362">
        <f t="shared" si="3"/>
        <v>0</v>
      </c>
      <c r="T25" s="3535"/>
      <c r="U25" s="3535"/>
    </row>
    <row r="26" spans="2:21">
      <c r="B26" s="254"/>
      <c r="C26" s="255"/>
      <c r="D26" s="258"/>
      <c r="E26" s="258"/>
      <c r="F26" s="258"/>
      <c r="H26" s="132"/>
      <c r="I26" s="250" t="str">
        <f t="shared" si="1"/>
        <v>Measure 14</v>
      </c>
      <c r="J26" s="251"/>
      <c r="K26" s="252"/>
      <c r="L26" s="360">
        <f t="shared" si="2"/>
        <v>0</v>
      </c>
      <c r="M26" s="257">
        <v>0</v>
      </c>
      <c r="N26" s="257">
        <v>0</v>
      </c>
      <c r="O26" s="244">
        <f t="shared" si="4"/>
        <v>0</v>
      </c>
      <c r="P26" s="361">
        <f t="shared" si="3"/>
        <v>0</v>
      </c>
      <c r="Q26" s="361">
        <f t="shared" si="3"/>
        <v>0</v>
      </c>
      <c r="R26" s="362">
        <f t="shared" si="3"/>
        <v>0</v>
      </c>
      <c r="T26" s="3535"/>
      <c r="U26" s="3535"/>
    </row>
    <row r="27" spans="2:21" ht="13.5" thickBot="1">
      <c r="B27" s="254"/>
      <c r="C27" s="255"/>
      <c r="D27" s="258"/>
      <c r="E27" s="258"/>
      <c r="F27" s="258"/>
      <c r="H27" s="132"/>
      <c r="I27" s="250" t="str">
        <f t="shared" si="1"/>
        <v>Measure 15</v>
      </c>
      <c r="J27" s="251"/>
      <c r="K27" s="252"/>
      <c r="L27" s="360">
        <f t="shared" si="2"/>
        <v>0</v>
      </c>
      <c r="M27" s="257">
        <v>0</v>
      </c>
      <c r="N27" s="257">
        <v>0</v>
      </c>
      <c r="O27" s="244">
        <f t="shared" si="4"/>
        <v>0</v>
      </c>
      <c r="P27" s="361">
        <f t="shared" si="3"/>
        <v>0</v>
      </c>
      <c r="Q27" s="361">
        <f t="shared" si="3"/>
        <v>0</v>
      </c>
      <c r="R27" s="362">
        <f t="shared" si="3"/>
        <v>0</v>
      </c>
      <c r="T27" s="3535"/>
      <c r="U27" s="3535"/>
    </row>
    <row r="28" spans="2:21" ht="13.5" thickBot="1">
      <c r="B28" s="262">
        <v>24000</v>
      </c>
      <c r="C28" s="236" t="s">
        <v>145</v>
      </c>
      <c r="D28" s="237">
        <f>SUM(D29:D32)</f>
        <v>0</v>
      </c>
      <c r="E28" s="237">
        <f>SUM(E29:E32)</f>
        <v>0</v>
      </c>
      <c r="F28" s="238">
        <f>D28+E28</f>
        <v>0</v>
      </c>
      <c r="H28" s="132"/>
      <c r="I28" s="250" t="str">
        <f t="shared" si="1"/>
        <v>Measure 16</v>
      </c>
      <c r="J28" s="251"/>
      <c r="K28" s="252"/>
      <c r="L28" s="360">
        <f t="shared" si="2"/>
        <v>0</v>
      </c>
      <c r="M28" s="257">
        <v>0</v>
      </c>
      <c r="N28" s="257">
        <v>0</v>
      </c>
      <c r="O28" s="244">
        <f t="shared" si="4"/>
        <v>0</v>
      </c>
      <c r="P28" s="361">
        <f t="shared" si="3"/>
        <v>0</v>
      </c>
      <c r="Q28" s="361">
        <f t="shared" si="3"/>
        <v>0</v>
      </c>
      <c r="R28" s="362">
        <f t="shared" si="3"/>
        <v>0</v>
      </c>
      <c r="T28" s="3535"/>
      <c r="U28" s="3535"/>
    </row>
    <row r="29" spans="2:21">
      <c r="B29" s="247"/>
      <c r="C29" s="248" t="s">
        <v>139</v>
      </c>
      <c r="D29" s="249">
        <v>0</v>
      </c>
      <c r="E29" s="249">
        <v>0</v>
      </c>
      <c r="F29" s="249">
        <f t="shared" ref="F29:F37" si="6">SUM(D29:E29)</f>
        <v>0</v>
      </c>
      <c r="H29" s="132"/>
      <c r="I29" s="250" t="str">
        <f t="shared" si="1"/>
        <v>Measure 17</v>
      </c>
      <c r="J29" s="251"/>
      <c r="K29" s="252"/>
      <c r="L29" s="360">
        <f t="shared" si="2"/>
        <v>0</v>
      </c>
      <c r="M29" s="257">
        <v>0</v>
      </c>
      <c r="N29" s="257">
        <v>0</v>
      </c>
      <c r="O29" s="244">
        <f t="shared" si="4"/>
        <v>0</v>
      </c>
      <c r="P29" s="361">
        <f t="shared" ref="P29:R44" si="7">M29*$D79</f>
        <v>0</v>
      </c>
      <c r="Q29" s="361">
        <f t="shared" si="7"/>
        <v>0</v>
      </c>
      <c r="R29" s="362">
        <f t="shared" si="7"/>
        <v>0</v>
      </c>
      <c r="T29" s="3535"/>
      <c r="U29" s="3535"/>
    </row>
    <row r="30" spans="2:21">
      <c r="B30" s="254"/>
      <c r="C30" s="255" t="s">
        <v>140</v>
      </c>
      <c r="D30" s="256">
        <v>0</v>
      </c>
      <c r="E30" s="256"/>
      <c r="F30" s="249">
        <f t="shared" si="6"/>
        <v>0</v>
      </c>
      <c r="H30" s="132"/>
      <c r="I30" s="250" t="str">
        <f t="shared" si="1"/>
        <v>Measure 18</v>
      </c>
      <c r="J30" s="251"/>
      <c r="K30" s="252"/>
      <c r="L30" s="360">
        <f t="shared" si="2"/>
        <v>0</v>
      </c>
      <c r="M30" s="257">
        <v>0</v>
      </c>
      <c r="N30" s="257">
        <v>0</v>
      </c>
      <c r="O30" s="244">
        <f t="shared" si="4"/>
        <v>0</v>
      </c>
      <c r="P30" s="361">
        <f t="shared" si="7"/>
        <v>0</v>
      </c>
      <c r="Q30" s="361">
        <f t="shared" si="7"/>
        <v>0</v>
      </c>
      <c r="R30" s="362">
        <f t="shared" si="7"/>
        <v>0</v>
      </c>
      <c r="T30" s="3535"/>
      <c r="U30" s="3535"/>
    </row>
    <row r="31" spans="2:21">
      <c r="B31" s="254"/>
      <c r="C31" s="255" t="s">
        <v>141</v>
      </c>
      <c r="D31" s="256">
        <v>0</v>
      </c>
      <c r="E31" s="256"/>
      <c r="F31" s="249">
        <f t="shared" si="6"/>
        <v>0</v>
      </c>
      <c r="H31" s="132"/>
      <c r="I31" s="250" t="str">
        <f t="shared" si="1"/>
        <v>Measure 19</v>
      </c>
      <c r="J31" s="251"/>
      <c r="K31" s="252"/>
      <c r="L31" s="360">
        <f t="shared" si="2"/>
        <v>0</v>
      </c>
      <c r="M31" s="257">
        <v>0</v>
      </c>
      <c r="N31" s="257">
        <v>0</v>
      </c>
      <c r="O31" s="244">
        <f t="shared" si="4"/>
        <v>0</v>
      </c>
      <c r="P31" s="361">
        <f t="shared" si="7"/>
        <v>0</v>
      </c>
      <c r="Q31" s="361">
        <f t="shared" si="7"/>
        <v>0</v>
      </c>
      <c r="R31" s="362">
        <f t="shared" si="7"/>
        <v>0</v>
      </c>
      <c r="T31" s="3535"/>
      <c r="U31" s="3535"/>
    </row>
    <row r="32" spans="2:21" ht="13.5" thickBot="1">
      <c r="B32" s="254"/>
      <c r="C32" s="255" t="s">
        <v>142</v>
      </c>
      <c r="D32" s="256">
        <v>0</v>
      </c>
      <c r="E32" s="256"/>
      <c r="F32" s="249">
        <f t="shared" si="6"/>
        <v>0</v>
      </c>
      <c r="H32" s="132"/>
      <c r="I32" s="250" t="str">
        <f t="shared" si="1"/>
        <v>Measure 20</v>
      </c>
      <c r="J32" s="251"/>
      <c r="K32" s="252"/>
      <c r="L32" s="360">
        <f t="shared" si="2"/>
        <v>0</v>
      </c>
      <c r="M32" s="257">
        <v>0</v>
      </c>
      <c r="N32" s="257">
        <v>0</v>
      </c>
      <c r="O32" s="244">
        <f t="shared" si="4"/>
        <v>0</v>
      </c>
      <c r="P32" s="361">
        <f t="shared" si="7"/>
        <v>0</v>
      </c>
      <c r="Q32" s="361">
        <f t="shared" si="7"/>
        <v>0</v>
      </c>
      <c r="R32" s="362">
        <f t="shared" si="7"/>
        <v>0</v>
      </c>
      <c r="T32" s="3535"/>
      <c r="U32" s="3535"/>
    </row>
    <row r="33" spans="2:21" ht="13.5" thickBot="1">
      <c r="B33" s="262">
        <v>1200</v>
      </c>
      <c r="C33" s="236" t="s">
        <v>146</v>
      </c>
      <c r="D33" s="237">
        <f>SUM(D34:D37)</f>
        <v>0</v>
      </c>
      <c r="E33" s="237">
        <f>SUM(E34:E37)</f>
        <v>0</v>
      </c>
      <c r="F33" s="238">
        <f>D33+E33</f>
        <v>0</v>
      </c>
      <c r="H33" s="132"/>
      <c r="I33" s="250" t="str">
        <f t="shared" si="1"/>
        <v>Measure 21</v>
      </c>
      <c r="J33" s="251"/>
      <c r="K33" s="252"/>
      <c r="L33" s="360">
        <f t="shared" si="2"/>
        <v>0</v>
      </c>
      <c r="M33" s="257">
        <v>0</v>
      </c>
      <c r="N33" s="257">
        <v>0</v>
      </c>
      <c r="O33" s="244">
        <f t="shared" si="4"/>
        <v>0</v>
      </c>
      <c r="P33" s="361">
        <f t="shared" si="7"/>
        <v>0</v>
      </c>
      <c r="Q33" s="361">
        <f t="shared" si="7"/>
        <v>0</v>
      </c>
      <c r="R33" s="362">
        <f t="shared" si="7"/>
        <v>0</v>
      </c>
      <c r="T33" s="3535"/>
      <c r="U33" s="3535"/>
    </row>
    <row r="34" spans="2:21">
      <c r="B34" s="254"/>
      <c r="C34" s="255" t="s">
        <v>139</v>
      </c>
      <c r="D34" s="256">
        <v>0</v>
      </c>
      <c r="E34" s="256">
        <v>0</v>
      </c>
      <c r="F34" s="249">
        <f t="shared" si="6"/>
        <v>0</v>
      </c>
      <c r="H34" s="132"/>
      <c r="I34" s="250" t="str">
        <f t="shared" si="1"/>
        <v>Measure 22</v>
      </c>
      <c r="J34" s="251"/>
      <c r="K34" s="252"/>
      <c r="L34" s="360">
        <f t="shared" si="2"/>
        <v>0</v>
      </c>
      <c r="M34" s="257">
        <v>0</v>
      </c>
      <c r="N34" s="257">
        <v>0</v>
      </c>
      <c r="O34" s="244">
        <f t="shared" si="4"/>
        <v>0</v>
      </c>
      <c r="P34" s="361">
        <f t="shared" si="7"/>
        <v>0</v>
      </c>
      <c r="Q34" s="361">
        <f t="shared" si="7"/>
        <v>0</v>
      </c>
      <c r="R34" s="362">
        <f t="shared" si="7"/>
        <v>0</v>
      </c>
      <c r="T34" s="3535"/>
      <c r="U34" s="3535"/>
    </row>
    <row r="35" spans="2:21">
      <c r="B35" s="254"/>
      <c r="C35" s="255" t="s">
        <v>140</v>
      </c>
      <c r="D35" s="256">
        <v>0</v>
      </c>
      <c r="E35" s="256"/>
      <c r="F35" s="249">
        <f t="shared" si="6"/>
        <v>0</v>
      </c>
      <c r="H35" s="132"/>
      <c r="I35" s="250" t="str">
        <f t="shared" si="1"/>
        <v>Measure 23</v>
      </c>
      <c r="J35" s="251"/>
      <c r="K35" s="252"/>
      <c r="L35" s="360">
        <f t="shared" si="2"/>
        <v>0</v>
      </c>
      <c r="M35" s="257">
        <v>0</v>
      </c>
      <c r="N35" s="257">
        <v>0</v>
      </c>
      <c r="O35" s="244">
        <f t="shared" si="4"/>
        <v>0</v>
      </c>
      <c r="P35" s="361">
        <f t="shared" si="7"/>
        <v>0</v>
      </c>
      <c r="Q35" s="361">
        <f t="shared" si="7"/>
        <v>0</v>
      </c>
      <c r="R35" s="362">
        <f t="shared" si="7"/>
        <v>0</v>
      </c>
      <c r="T35" s="3535"/>
      <c r="U35" s="3535"/>
    </row>
    <row r="36" spans="2:21">
      <c r="B36" s="254"/>
      <c r="C36" s="255" t="s">
        <v>141</v>
      </c>
      <c r="D36" s="256">
        <v>0</v>
      </c>
      <c r="E36" s="256"/>
      <c r="F36" s="249">
        <f t="shared" si="6"/>
        <v>0</v>
      </c>
      <c r="H36" s="132"/>
      <c r="I36" s="250" t="str">
        <f t="shared" si="1"/>
        <v>Measure 24</v>
      </c>
      <c r="J36" s="251"/>
      <c r="K36" s="252"/>
      <c r="L36" s="360">
        <f t="shared" si="2"/>
        <v>0</v>
      </c>
      <c r="M36" s="257">
        <v>0</v>
      </c>
      <c r="N36" s="257">
        <v>0</v>
      </c>
      <c r="O36" s="244">
        <f t="shared" si="4"/>
        <v>0</v>
      </c>
      <c r="P36" s="361">
        <f t="shared" si="7"/>
        <v>0</v>
      </c>
      <c r="Q36" s="361">
        <f t="shared" si="7"/>
        <v>0</v>
      </c>
      <c r="R36" s="362">
        <f t="shared" si="7"/>
        <v>0</v>
      </c>
      <c r="T36" s="3535"/>
      <c r="U36" s="3535"/>
    </row>
    <row r="37" spans="2:21" ht="13.5" thickBot="1">
      <c r="B37" s="254"/>
      <c r="C37" s="255" t="s">
        <v>142</v>
      </c>
      <c r="D37" s="256">
        <v>0</v>
      </c>
      <c r="E37" s="256"/>
      <c r="F37" s="249">
        <f t="shared" si="6"/>
        <v>0</v>
      </c>
      <c r="H37" s="132"/>
      <c r="I37" s="250" t="str">
        <f t="shared" si="1"/>
        <v>Measure 25</v>
      </c>
      <c r="J37" s="251"/>
      <c r="K37" s="252"/>
      <c r="L37" s="360">
        <f t="shared" si="2"/>
        <v>0</v>
      </c>
      <c r="M37" s="257">
        <v>0</v>
      </c>
      <c r="N37" s="257">
        <v>0</v>
      </c>
      <c r="O37" s="244">
        <f t="shared" si="4"/>
        <v>0</v>
      </c>
      <c r="P37" s="361">
        <f t="shared" si="7"/>
        <v>0</v>
      </c>
      <c r="Q37" s="361">
        <f t="shared" si="7"/>
        <v>0</v>
      </c>
      <c r="R37" s="362">
        <f t="shared" si="7"/>
        <v>0</v>
      </c>
      <c r="T37" s="3535"/>
      <c r="U37" s="3535"/>
    </row>
    <row r="38" spans="2:21" ht="13.5" thickBot="1">
      <c r="B38" s="262">
        <v>12000</v>
      </c>
      <c r="C38" s="236" t="s">
        <v>147</v>
      </c>
      <c r="D38" s="237">
        <f>SUM(D39:D42)</f>
        <v>0</v>
      </c>
      <c r="E38" s="237">
        <f>SUM(E39:E42)</f>
        <v>0</v>
      </c>
      <c r="F38" s="238">
        <f>D38+E38</f>
        <v>0</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3535"/>
      <c r="U38" s="3535"/>
    </row>
    <row r="39" spans="2:21">
      <c r="B39" s="254"/>
      <c r="C39" s="255" t="s">
        <v>139</v>
      </c>
      <c r="D39" s="256">
        <v>0</v>
      </c>
      <c r="E39" s="256">
        <v>0</v>
      </c>
      <c r="F39" s="249">
        <f t="shared" ref="F39:F52" si="8">SUM(D39:E39)</f>
        <v>0</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3535"/>
      <c r="U39" s="3535"/>
    </row>
    <row r="40" spans="2:21">
      <c r="B40" s="254"/>
      <c r="C40" s="255" t="s">
        <v>140</v>
      </c>
      <c r="D40" s="256">
        <v>0</v>
      </c>
      <c r="E40" s="256"/>
      <c r="F40" s="249">
        <f t="shared" si="8"/>
        <v>0</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3535"/>
      <c r="U40" s="3535"/>
    </row>
    <row r="41" spans="2:21">
      <c r="B41" s="254"/>
      <c r="C41" s="255" t="s">
        <v>141</v>
      </c>
      <c r="D41" s="256">
        <v>0</v>
      </c>
      <c r="E41" s="256"/>
      <c r="F41" s="249">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3535"/>
      <c r="U41" s="3535"/>
    </row>
    <row r="42" spans="2:21" ht="13.5" thickBot="1">
      <c r="B42" s="254"/>
      <c r="C42" s="255" t="s">
        <v>142</v>
      </c>
      <c r="D42" s="256">
        <v>0</v>
      </c>
      <c r="E42" s="256"/>
      <c r="F42" s="249">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3535"/>
      <c r="U42" s="3535"/>
    </row>
    <row r="43" spans="2:21" ht="13.5" thickBot="1">
      <c r="B43" s="262">
        <v>2400</v>
      </c>
      <c r="C43" s="236" t="s">
        <v>148</v>
      </c>
      <c r="D43" s="237">
        <f>SUM(D44:D47)</f>
        <v>0</v>
      </c>
      <c r="E43" s="237">
        <f>SUM(E44:E47)</f>
        <v>0</v>
      </c>
      <c r="F43" s="238">
        <f>D43+E43</f>
        <v>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3535"/>
      <c r="U43" s="3535"/>
    </row>
    <row r="44" spans="2:21">
      <c r="B44" s="254"/>
      <c r="C44" s="255" t="s">
        <v>139</v>
      </c>
      <c r="D44" s="256">
        <v>0</v>
      </c>
      <c r="E44" s="256">
        <v>0</v>
      </c>
      <c r="F44" s="249">
        <f t="shared" si="8"/>
        <v>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3535"/>
      <c r="U44" s="3535"/>
    </row>
    <row r="45" spans="2:21">
      <c r="B45" s="254"/>
      <c r="C45" s="255" t="s">
        <v>140</v>
      </c>
      <c r="D45" s="256">
        <v>0</v>
      </c>
      <c r="E45" s="256"/>
      <c r="F45" s="249">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3535"/>
      <c r="U45" s="3535"/>
    </row>
    <row r="46" spans="2:21">
      <c r="B46" s="254"/>
      <c r="C46" s="255" t="s">
        <v>141</v>
      </c>
      <c r="D46" s="256">
        <v>0</v>
      </c>
      <c r="E46" s="256"/>
      <c r="F46" s="249">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3535"/>
      <c r="U46" s="3535"/>
    </row>
    <row r="47" spans="2:21" ht="13.5" thickBot="1">
      <c r="B47" s="254"/>
      <c r="C47" s="255" t="s">
        <v>142</v>
      </c>
      <c r="D47" s="256">
        <v>0</v>
      </c>
      <c r="E47" s="256"/>
      <c r="F47" s="249">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3535"/>
      <c r="U47" s="3535"/>
    </row>
    <row r="48" spans="2:21" ht="13.5" thickBot="1">
      <c r="B48" s="262">
        <v>12000</v>
      </c>
      <c r="C48" s="236" t="s">
        <v>149</v>
      </c>
      <c r="D48" s="237">
        <f>SUM(D49:D52)</f>
        <v>0</v>
      </c>
      <c r="E48" s="237">
        <f>SUM(E49:E52)</f>
        <v>0</v>
      </c>
      <c r="F48" s="238">
        <f>D48+E48</f>
        <v>0</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3535"/>
      <c r="U48" s="3535"/>
    </row>
    <row r="49" spans="2:24">
      <c r="B49" s="254"/>
      <c r="C49" s="255" t="s">
        <v>139</v>
      </c>
      <c r="D49" s="256">
        <v>0</v>
      </c>
      <c r="E49" s="256">
        <v>0</v>
      </c>
      <c r="F49" s="249">
        <f t="shared" si="8"/>
        <v>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3535"/>
      <c r="U49" s="3535"/>
    </row>
    <row r="50" spans="2:24">
      <c r="B50" s="254"/>
      <c r="C50" s="255" t="s">
        <v>140</v>
      </c>
      <c r="D50" s="256">
        <v>0</v>
      </c>
      <c r="E50" s="256"/>
      <c r="F50" s="249">
        <f t="shared" si="8"/>
        <v>0</v>
      </c>
      <c r="I50" s="250" t="str">
        <f t="shared" si="1"/>
        <v>Measure 38</v>
      </c>
      <c r="J50" s="251"/>
      <c r="K50" s="252"/>
      <c r="L50" s="360">
        <f t="shared" si="2"/>
        <v>0</v>
      </c>
      <c r="M50" s="257">
        <v>0</v>
      </c>
      <c r="N50" s="257">
        <v>0</v>
      </c>
      <c r="O50" s="244">
        <f t="shared" si="4"/>
        <v>0</v>
      </c>
      <c r="P50" s="361">
        <f t="shared" si="9"/>
        <v>0</v>
      </c>
      <c r="Q50" s="361">
        <f t="shared" si="9"/>
        <v>0</v>
      </c>
      <c r="R50" s="362">
        <f t="shared" si="9"/>
        <v>0</v>
      </c>
      <c r="T50" s="3535"/>
      <c r="U50" s="3535"/>
    </row>
    <row r="51" spans="2:24">
      <c r="B51" s="254"/>
      <c r="C51" s="255" t="s">
        <v>141</v>
      </c>
      <c r="D51" s="256">
        <v>0</v>
      </c>
      <c r="E51" s="256"/>
      <c r="F51" s="249">
        <f t="shared" si="8"/>
        <v>0</v>
      </c>
      <c r="I51" s="250" t="str">
        <f t="shared" si="1"/>
        <v>Measure 39</v>
      </c>
      <c r="J51" s="251"/>
      <c r="K51" s="252"/>
      <c r="L51" s="360">
        <f t="shared" si="2"/>
        <v>0</v>
      </c>
      <c r="M51" s="257">
        <v>0</v>
      </c>
      <c r="N51" s="257">
        <v>0</v>
      </c>
      <c r="O51" s="244">
        <f t="shared" si="4"/>
        <v>0</v>
      </c>
      <c r="P51" s="361">
        <f t="shared" si="9"/>
        <v>0</v>
      </c>
      <c r="Q51" s="361">
        <f t="shared" si="9"/>
        <v>0</v>
      </c>
      <c r="R51" s="362">
        <f t="shared" si="9"/>
        <v>0</v>
      </c>
      <c r="T51" s="3535"/>
      <c r="U51" s="3535"/>
    </row>
    <row r="52" spans="2:24" ht="13.5" thickBot="1">
      <c r="B52" s="254"/>
      <c r="C52" s="255" t="s">
        <v>142</v>
      </c>
      <c r="D52" s="256">
        <v>0</v>
      </c>
      <c r="E52" s="256"/>
      <c r="F52" s="249">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3535"/>
      <c r="U52" s="3535"/>
    </row>
    <row r="53" spans="2:24" ht="13.5" thickBot="1">
      <c r="B53" s="262">
        <v>454200</v>
      </c>
      <c r="C53" s="236" t="s">
        <v>150</v>
      </c>
      <c r="D53" s="237">
        <f>S105</f>
        <v>0</v>
      </c>
      <c r="E53" s="237">
        <f>T105</f>
        <v>0</v>
      </c>
      <c r="F53" s="238">
        <f>U105</f>
        <v>0</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3535"/>
      <c r="U53" s="3535"/>
    </row>
    <row r="54" spans="2:24" ht="13.5" thickBot="1">
      <c r="B54" s="262">
        <v>0</v>
      </c>
      <c r="C54" s="236" t="s">
        <v>152</v>
      </c>
      <c r="D54" s="237">
        <v>0</v>
      </c>
      <c r="E54" s="237">
        <v>0</v>
      </c>
      <c r="F54" s="238">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3535"/>
      <c r="U54" s="3535"/>
    </row>
    <row r="55" spans="2:24">
      <c r="B55" s="263">
        <f>B13+B18+B23+B28+B33+B38+B43+B48+B53+B54</f>
        <v>665562</v>
      </c>
      <c r="C55" s="264" t="s">
        <v>153</v>
      </c>
      <c r="D55" s="263">
        <f>D13+D18+D23+D28+D33+D38+D43+D48+D53+D54</f>
        <v>0</v>
      </c>
      <c r="E55" s="263">
        <f>E13+E18+E23+E28+E33+E38+E43+E48+E53+E54</f>
        <v>0</v>
      </c>
      <c r="F55" s="263">
        <f>F13+F18+F23+F28+F33+F38+F43+F48+F53+F54</f>
        <v>0</v>
      </c>
      <c r="P55" s="365">
        <f>SUM(P13:P54)</f>
        <v>0</v>
      </c>
      <c r="Q55" s="365">
        <f>SUM(Q13:Q54)</f>
        <v>0</v>
      </c>
      <c r="R55" s="365">
        <f>SUM(R13:R54)</f>
        <v>0</v>
      </c>
      <c r="T55" s="4894"/>
      <c r="U55" s="3535"/>
    </row>
    <row r="56" spans="2:24">
      <c r="C56" s="264"/>
      <c r="D56" s="263"/>
      <c r="E56" s="263"/>
      <c r="F56" s="263"/>
    </row>
    <row r="57" spans="2:24">
      <c r="C57" s="264" t="s">
        <v>154</v>
      </c>
      <c r="D57" s="263">
        <f>D55-D53</f>
        <v>0</v>
      </c>
      <c r="E57" s="263">
        <f>E55-E53</f>
        <v>0</v>
      </c>
      <c r="F57" s="263">
        <f>F55-F53</f>
        <v>0</v>
      </c>
      <c r="I57" s="287">
        <f>I63*F$57</f>
        <v>0</v>
      </c>
    </row>
    <row r="58" spans="2:24">
      <c r="C58" s="264" t="s">
        <v>155</v>
      </c>
      <c r="D58" s="266">
        <f>D53</f>
        <v>0</v>
      </c>
      <c r="E58" s="266">
        <f>E53</f>
        <v>0</v>
      </c>
      <c r="F58" s="266">
        <f>F53</f>
        <v>0</v>
      </c>
      <c r="G58" s="319" t="e">
        <f>F58/(F57+F58)</f>
        <v>#DIV/0!</v>
      </c>
      <c r="H58" s="268" t="s">
        <v>156</v>
      </c>
      <c r="I58" s="287">
        <f>I64*F$57</f>
        <v>0</v>
      </c>
    </row>
    <row r="59" spans="2:24" ht="13.5" thickBot="1">
      <c r="I59" s="287">
        <f>I65*F$57</f>
        <v>0</v>
      </c>
    </row>
    <row r="60" spans="2:24" ht="16.5" thickBot="1">
      <c r="B60" s="269" t="s">
        <v>157</v>
      </c>
      <c r="C60" s="270"/>
      <c r="D60" s="5130" t="s">
        <v>158</v>
      </c>
      <c r="E60" s="5131"/>
      <c r="F60" s="5131"/>
      <c r="G60" s="5131"/>
      <c r="H60" s="5131"/>
      <c r="K60" s="271"/>
    </row>
    <row r="61" spans="2:24"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4" ht="13.5" thickBot="1">
      <c r="B62" s="272" t="s">
        <v>162</v>
      </c>
      <c r="C62" s="273" t="s">
        <v>129</v>
      </c>
      <c r="D62" s="273" t="s">
        <v>130</v>
      </c>
      <c r="E62" s="273" t="s">
        <v>163</v>
      </c>
      <c r="F62" s="273" t="s">
        <v>164</v>
      </c>
      <c r="G62" s="273" t="s">
        <v>165</v>
      </c>
      <c r="H62" s="273" t="s">
        <v>166</v>
      </c>
      <c r="I62" s="273" t="s">
        <v>167</v>
      </c>
      <c r="J62" s="273" t="s">
        <v>168</v>
      </c>
      <c r="K62" s="274" t="s">
        <v>169</v>
      </c>
      <c r="L62" s="275" t="s">
        <v>170</v>
      </c>
      <c r="M62" s="276" t="s">
        <v>171</v>
      </c>
      <c r="N62" s="276" t="s">
        <v>172</v>
      </c>
      <c r="O62" s="276" t="s">
        <v>173</v>
      </c>
      <c r="P62" s="277" t="s">
        <v>174</v>
      </c>
      <c r="Q62" s="277" t="s">
        <v>175</v>
      </c>
      <c r="R62" s="277" t="s">
        <v>176</v>
      </c>
      <c r="S62" s="204" t="s">
        <v>177</v>
      </c>
      <c r="T62" s="204" t="s">
        <v>178</v>
      </c>
      <c r="U62" s="205" t="s">
        <v>179</v>
      </c>
      <c r="V62" s="204" t="s">
        <v>115</v>
      </c>
      <c r="W62" s="204" t="s">
        <v>12</v>
      </c>
      <c r="X62" s="205" t="s">
        <v>116</v>
      </c>
    </row>
    <row r="63" spans="2:24">
      <c r="B63" s="282">
        <v>77</v>
      </c>
      <c r="C63" s="282" t="s">
        <v>576</v>
      </c>
      <c r="D63" s="282">
        <v>74</v>
      </c>
      <c r="E63" s="282" t="s">
        <v>559</v>
      </c>
      <c r="F63" s="282" t="s">
        <v>186</v>
      </c>
      <c r="G63" s="283">
        <v>750</v>
      </c>
      <c r="H63" s="283">
        <v>150</v>
      </c>
      <c r="I63" s="311">
        <v>0.37880000000000003</v>
      </c>
      <c r="J63" s="257">
        <v>20</v>
      </c>
      <c r="K63" s="257" t="s">
        <v>233</v>
      </c>
      <c r="L63" s="3447" t="e">
        <f>P63/N63</f>
        <v>#DIV/0!</v>
      </c>
      <c r="M63" s="3447" t="e">
        <f>Q63/O63</f>
        <v>#DIV/0!</v>
      </c>
      <c r="N63" s="214">
        <f>(($I63*$F$57)+$U63)/$R63</f>
        <v>0</v>
      </c>
      <c r="O63" s="214">
        <f>(($I63*$F$57)+($G63*$O13))/$R63</f>
        <v>0</v>
      </c>
      <c r="P63" s="214">
        <f>IF(K63=0, 0, (HLOOKUP(K63,'[1]G-CESTD'!$A$5:$G$35,J63+1,FALSE)*R13))</f>
        <v>0</v>
      </c>
      <c r="Q63" s="214">
        <f>IF(K63=0, 0, (HLOOKUP(K63,'[1]G-CESTD'!$A$5:$G$35,J63+1,FALSE)*R13))</f>
        <v>0</v>
      </c>
      <c r="R63" s="279">
        <v>1.081</v>
      </c>
      <c r="S63" s="280">
        <f t="shared" ref="S63:U78" si="10">M13*$H63</f>
        <v>0</v>
      </c>
      <c r="T63" s="280">
        <f t="shared" si="10"/>
        <v>0</v>
      </c>
      <c r="U63" s="280">
        <f t="shared" si="10"/>
        <v>0</v>
      </c>
      <c r="V63" s="322" t="e">
        <f>U63/(U63+(I63*F$57))</f>
        <v>#DIV/0!</v>
      </c>
      <c r="W63" s="322" t="e">
        <f t="shared" ref="W63:W81" si="11">(I63*((F$18*1.63)+F$28))/(U63+(I63*F$57))</f>
        <v>#DIV/0!</v>
      </c>
      <c r="X63" s="322" t="e">
        <f>(I63*F$38)/(U63+(I63*F$57))</f>
        <v>#DIV/0!</v>
      </c>
    </row>
    <row r="64" spans="2:24">
      <c r="B64" s="282">
        <v>78</v>
      </c>
      <c r="C64" s="282" t="s">
        <v>577</v>
      </c>
      <c r="D64" s="282">
        <v>93</v>
      </c>
      <c r="E64" s="282" t="s">
        <v>559</v>
      </c>
      <c r="F64" s="282" t="s">
        <v>186</v>
      </c>
      <c r="G64" s="283">
        <v>923</v>
      </c>
      <c r="H64" s="283">
        <v>200</v>
      </c>
      <c r="I64" s="311">
        <v>0.45229999999999998</v>
      </c>
      <c r="J64" s="257">
        <v>20</v>
      </c>
      <c r="K64" s="257" t="s">
        <v>233</v>
      </c>
      <c r="L64" s="3447" t="e">
        <f t="shared" ref="L64:M104" si="12">P64/N64</f>
        <v>#DIV/0!</v>
      </c>
      <c r="M64" s="3447" t="e">
        <f t="shared" si="12"/>
        <v>#DIV/0!</v>
      </c>
      <c r="N64" s="214">
        <f t="shared" ref="N64:N104" si="13">(($I64*$F$57)+$U64)/$R64</f>
        <v>0</v>
      </c>
      <c r="O64" s="214">
        <f t="shared" ref="O64:O104" si="14">(($I64*$F$57)+($G64*$O14))/$R64</f>
        <v>0</v>
      </c>
      <c r="P64" s="214">
        <f>IF(K64=0, 0, (HLOOKUP(K64,'[1]G-CESTD'!$A$5:$G$35,J64+1,FALSE)*R14))</f>
        <v>0</v>
      </c>
      <c r="Q64" s="214">
        <f>IF(K64=0, 0, (HLOOKUP(K64,'[1]G-CESTD'!$A$5:$G$35,J64+1,FALSE)*R14))</f>
        <v>0</v>
      </c>
      <c r="R64" s="279">
        <v>1.081</v>
      </c>
      <c r="S64" s="280">
        <f t="shared" si="10"/>
        <v>0</v>
      </c>
      <c r="T64" s="280">
        <f t="shared" si="10"/>
        <v>0</v>
      </c>
      <c r="U64" s="280">
        <f t="shared" si="10"/>
        <v>0</v>
      </c>
      <c r="V64" s="322" t="e">
        <f t="shared" ref="V64:V81" si="15">U64/(U64+(I64*F$57))</f>
        <v>#DIV/0!</v>
      </c>
      <c r="W64" s="322" t="e">
        <f t="shared" si="11"/>
        <v>#DIV/0!</v>
      </c>
      <c r="X64" s="322" t="e">
        <f t="shared" ref="X64:X81" si="16">(I64*F$38)/(U64+(I64*F$57))</f>
        <v>#DIV/0!</v>
      </c>
    </row>
    <row r="65" spans="2:24">
      <c r="B65" s="282">
        <v>557</v>
      </c>
      <c r="C65" s="282" t="s">
        <v>578</v>
      </c>
      <c r="D65" s="282">
        <v>24</v>
      </c>
      <c r="E65" s="282" t="s">
        <v>559</v>
      </c>
      <c r="F65" s="282" t="s">
        <v>186</v>
      </c>
      <c r="G65" s="283">
        <v>158</v>
      </c>
      <c r="H65" s="283">
        <v>100</v>
      </c>
      <c r="I65" s="311">
        <v>0.16889999999999999</v>
      </c>
      <c r="J65" s="257">
        <v>13</v>
      </c>
      <c r="K65" s="257" t="s">
        <v>233</v>
      </c>
      <c r="L65" s="3447" t="e">
        <f t="shared" si="12"/>
        <v>#DIV/0!</v>
      </c>
      <c r="M65" s="3447" t="e">
        <f t="shared" si="12"/>
        <v>#DIV/0!</v>
      </c>
      <c r="N65" s="214">
        <f t="shared" si="13"/>
        <v>0</v>
      </c>
      <c r="O65" s="214">
        <f t="shared" si="14"/>
        <v>0</v>
      </c>
      <c r="P65" s="214">
        <f>IF(K65=0, 0, (HLOOKUP(K65,'[1]G-CESTD'!$A$5:$G$35,J65+1,FALSE)*R15))</f>
        <v>0</v>
      </c>
      <c r="Q65" s="214">
        <f>IF(K65=0, 0, (HLOOKUP(K65,'[1]G-CESTD'!$A$5:$G$35,J65+1,FALSE)*R15))</f>
        <v>0</v>
      </c>
      <c r="R65" s="279">
        <v>1.081</v>
      </c>
      <c r="S65" s="280">
        <f t="shared" si="10"/>
        <v>0</v>
      </c>
      <c r="T65" s="280">
        <f t="shared" si="10"/>
        <v>0</v>
      </c>
      <c r="U65" s="280">
        <f t="shared" si="10"/>
        <v>0</v>
      </c>
      <c r="V65" s="322" t="e">
        <f t="shared" si="15"/>
        <v>#DIV/0!</v>
      </c>
      <c r="W65" s="322" t="e">
        <f t="shared" si="11"/>
        <v>#DIV/0!</v>
      </c>
      <c r="X65" s="322" t="e">
        <f t="shared" si="16"/>
        <v>#DIV/0!</v>
      </c>
    </row>
    <row r="66" spans="2:24">
      <c r="B66" s="282"/>
      <c r="C66" s="282" t="s">
        <v>188</v>
      </c>
      <c r="D66" s="282">
        <v>0</v>
      </c>
      <c r="E66" s="282" t="s">
        <v>559</v>
      </c>
      <c r="F66" s="282" t="s">
        <v>186</v>
      </c>
      <c r="G66" s="283"/>
      <c r="H66" s="283"/>
      <c r="I66" s="311">
        <v>0</v>
      </c>
      <c r="J66" s="257"/>
      <c r="K66" s="257"/>
      <c r="L66" s="3447" t="e">
        <f t="shared" si="12"/>
        <v>#DIV/0!</v>
      </c>
      <c r="M66" s="3447" t="e">
        <f t="shared" si="12"/>
        <v>#DIV/0!</v>
      </c>
      <c r="N66" s="214">
        <f t="shared" si="13"/>
        <v>0</v>
      </c>
      <c r="O66" s="214">
        <f t="shared" si="14"/>
        <v>0</v>
      </c>
      <c r="P66" s="214">
        <f>IF(K66=0, 0, (HLOOKUP(K66,'[1]G-CESTDWO'!$A$5:$G$35,J66+1,FALSE)*R16))</f>
        <v>0</v>
      </c>
      <c r="Q66" s="214">
        <f>IF(K66=0, 0, (HLOOKUP(K66,'[1]G-CESTD'!$A$5:$G$35,J66+1,FALSE)*R16))</f>
        <v>0</v>
      </c>
      <c r="R66" s="279">
        <v>1.081</v>
      </c>
      <c r="S66" s="280">
        <f t="shared" si="10"/>
        <v>0</v>
      </c>
      <c r="T66" s="280">
        <f t="shared" si="10"/>
        <v>0</v>
      </c>
      <c r="U66" s="280">
        <f t="shared" si="10"/>
        <v>0</v>
      </c>
      <c r="V66" s="322" t="e">
        <f t="shared" si="15"/>
        <v>#DIV/0!</v>
      </c>
      <c r="W66" s="322" t="e">
        <f t="shared" si="11"/>
        <v>#DIV/0!</v>
      </c>
      <c r="X66" s="322" t="e">
        <f t="shared" si="16"/>
        <v>#DIV/0!</v>
      </c>
    </row>
    <row r="67" spans="2:24">
      <c r="B67" s="282"/>
      <c r="C67" s="282" t="s">
        <v>189</v>
      </c>
      <c r="D67" s="257">
        <v>0</v>
      </c>
      <c r="E67" s="282" t="s">
        <v>559</v>
      </c>
      <c r="F67" s="282" t="s">
        <v>186</v>
      </c>
      <c r="G67" s="283"/>
      <c r="H67" s="283"/>
      <c r="I67" s="311">
        <v>0</v>
      </c>
      <c r="J67" s="257"/>
      <c r="K67" s="257"/>
      <c r="L67" s="3447" t="e">
        <f t="shared" si="12"/>
        <v>#DIV/0!</v>
      </c>
      <c r="M67" s="3447" t="e">
        <f t="shared" si="12"/>
        <v>#DIV/0!</v>
      </c>
      <c r="N67" s="214">
        <f t="shared" si="13"/>
        <v>0</v>
      </c>
      <c r="O67" s="214">
        <f t="shared" si="14"/>
        <v>0</v>
      </c>
      <c r="P67" s="214">
        <f>IF(K67=0, 0, (HLOOKUP(K67,'[1]G-CESTDWO'!$A$5:$G$35,J67+1,FALSE)*R17))</f>
        <v>0</v>
      </c>
      <c r="Q67" s="214">
        <f>IF(K67=0, 0, (HLOOKUP(K67,'[1]G-CESTD'!$A$5:$G$35,J67+1,FALSE)*R17))</f>
        <v>0</v>
      </c>
      <c r="R67" s="279">
        <v>1.081</v>
      </c>
      <c r="S67" s="280">
        <f t="shared" si="10"/>
        <v>0</v>
      </c>
      <c r="T67" s="280">
        <f t="shared" si="10"/>
        <v>0</v>
      </c>
      <c r="U67" s="280">
        <f t="shared" si="10"/>
        <v>0</v>
      </c>
      <c r="V67" s="322" t="e">
        <f t="shared" si="15"/>
        <v>#DIV/0!</v>
      </c>
      <c r="W67" s="322" t="e">
        <f t="shared" si="11"/>
        <v>#DIV/0!</v>
      </c>
      <c r="X67" s="322" t="e">
        <f t="shared" si="16"/>
        <v>#DIV/0!</v>
      </c>
    </row>
    <row r="68" spans="2:24">
      <c r="B68" s="282"/>
      <c r="C68" s="282" t="s">
        <v>190</v>
      </c>
      <c r="D68" s="282">
        <v>0</v>
      </c>
      <c r="E68" s="282" t="s">
        <v>559</v>
      </c>
      <c r="F68" s="282" t="s">
        <v>186</v>
      </c>
      <c r="G68" s="283"/>
      <c r="H68" s="283"/>
      <c r="I68" s="311">
        <v>0</v>
      </c>
      <c r="J68" s="257"/>
      <c r="K68" s="257"/>
      <c r="L68" s="3447" t="e">
        <f t="shared" si="12"/>
        <v>#DIV/0!</v>
      </c>
      <c r="M68" s="3447" t="e">
        <f t="shared" si="12"/>
        <v>#DIV/0!</v>
      </c>
      <c r="N68" s="214">
        <f t="shared" si="13"/>
        <v>0</v>
      </c>
      <c r="O68" s="214">
        <f t="shared" si="14"/>
        <v>0</v>
      </c>
      <c r="P68" s="214">
        <f>IF(K68=0, 0, (HLOOKUP(K68,'[1]G-CESTDWO'!$A$5:$G$35,J68+1,FALSE)*R18))</f>
        <v>0</v>
      </c>
      <c r="Q68" s="214">
        <f>IF(K68=0, 0, (HLOOKUP(K68,'[1]G-CESTD'!$A$5:$G$35,J68+1,FALSE)*R18))</f>
        <v>0</v>
      </c>
      <c r="R68" s="279">
        <v>1.081</v>
      </c>
      <c r="S68" s="280">
        <f t="shared" si="10"/>
        <v>0</v>
      </c>
      <c r="T68" s="280">
        <f t="shared" si="10"/>
        <v>0</v>
      </c>
      <c r="U68" s="280">
        <f t="shared" si="10"/>
        <v>0</v>
      </c>
      <c r="V68" s="322" t="e">
        <f t="shared" si="15"/>
        <v>#DIV/0!</v>
      </c>
      <c r="W68" s="322" t="e">
        <f t="shared" si="11"/>
        <v>#DIV/0!</v>
      </c>
      <c r="X68" s="322" t="e">
        <f t="shared" si="16"/>
        <v>#DIV/0!</v>
      </c>
    </row>
    <row r="69" spans="2:24">
      <c r="B69" s="282"/>
      <c r="C69" s="282" t="s">
        <v>191</v>
      </c>
      <c r="D69" s="257">
        <v>0</v>
      </c>
      <c r="E69" s="282" t="s">
        <v>559</v>
      </c>
      <c r="F69" s="282" t="s">
        <v>186</v>
      </c>
      <c r="G69" s="283"/>
      <c r="H69" s="283"/>
      <c r="I69" s="311">
        <v>0</v>
      </c>
      <c r="J69" s="257"/>
      <c r="K69" s="257"/>
      <c r="L69" s="3447" t="e">
        <f t="shared" si="12"/>
        <v>#DIV/0!</v>
      </c>
      <c r="M69" s="3447" t="e">
        <f t="shared" si="12"/>
        <v>#DIV/0!</v>
      </c>
      <c r="N69" s="214">
        <f t="shared" si="13"/>
        <v>0</v>
      </c>
      <c r="O69" s="214">
        <f t="shared" si="14"/>
        <v>0</v>
      </c>
      <c r="P69" s="214">
        <f>IF(K69=0, 0, (HLOOKUP(K69,'[1]G-CESTDWO'!$A$5:$G$35,J69+1,FALSE)*R19))</f>
        <v>0</v>
      </c>
      <c r="Q69" s="214">
        <f>IF(K69=0, 0, (HLOOKUP(K69,'[1]G-CESTD'!$A$5:$G$35,J69+1,FALSE)*R19))</f>
        <v>0</v>
      </c>
      <c r="R69" s="279">
        <v>1.081</v>
      </c>
      <c r="S69" s="280">
        <f t="shared" si="10"/>
        <v>0</v>
      </c>
      <c r="T69" s="280">
        <f t="shared" si="10"/>
        <v>0</v>
      </c>
      <c r="U69" s="280">
        <f t="shared" si="10"/>
        <v>0</v>
      </c>
      <c r="V69" s="322" t="e">
        <f t="shared" si="15"/>
        <v>#DIV/0!</v>
      </c>
      <c r="W69" s="322" t="e">
        <f t="shared" si="11"/>
        <v>#DIV/0!</v>
      </c>
      <c r="X69" s="322" t="e">
        <f t="shared" si="16"/>
        <v>#DIV/0!</v>
      </c>
    </row>
    <row r="70" spans="2:24">
      <c r="B70" s="282"/>
      <c r="C70" s="282" t="s">
        <v>192</v>
      </c>
      <c r="D70" s="282">
        <v>0</v>
      </c>
      <c r="E70" s="282" t="s">
        <v>559</v>
      </c>
      <c r="F70" s="282" t="s">
        <v>186</v>
      </c>
      <c r="G70" s="283"/>
      <c r="H70" s="283"/>
      <c r="I70" s="311">
        <v>0</v>
      </c>
      <c r="J70" s="257"/>
      <c r="K70" s="257"/>
      <c r="L70" s="3447" t="e">
        <f t="shared" si="12"/>
        <v>#DIV/0!</v>
      </c>
      <c r="M70" s="3447" t="e">
        <f t="shared" si="12"/>
        <v>#DIV/0!</v>
      </c>
      <c r="N70" s="214">
        <f t="shared" si="13"/>
        <v>0</v>
      </c>
      <c r="O70" s="214">
        <f t="shared" si="14"/>
        <v>0</v>
      </c>
      <c r="P70" s="214">
        <f>IF(K70=0, 0, (HLOOKUP(K70,'[1]G-CESTDWO'!$A$5:$G$35,J70+1,FALSE)*R20))</f>
        <v>0</v>
      </c>
      <c r="Q70" s="214">
        <f>IF(K70=0, 0, (HLOOKUP(K70,'[1]G-CESTD'!$A$5:$G$35,J70+1,FALSE)*R20))</f>
        <v>0</v>
      </c>
      <c r="R70" s="279">
        <v>1.081</v>
      </c>
      <c r="S70" s="280">
        <f t="shared" si="10"/>
        <v>0</v>
      </c>
      <c r="T70" s="280">
        <f t="shared" si="10"/>
        <v>0</v>
      </c>
      <c r="U70" s="280">
        <f t="shared" si="10"/>
        <v>0</v>
      </c>
      <c r="V70" s="322" t="e">
        <f t="shared" si="15"/>
        <v>#DIV/0!</v>
      </c>
      <c r="W70" s="322" t="e">
        <f t="shared" si="11"/>
        <v>#DIV/0!</v>
      </c>
      <c r="X70" s="322" t="e">
        <f t="shared" si="16"/>
        <v>#DIV/0!</v>
      </c>
    </row>
    <row r="71" spans="2:24">
      <c r="B71" s="282"/>
      <c r="C71" s="282" t="s">
        <v>193</v>
      </c>
      <c r="D71" s="257">
        <v>0</v>
      </c>
      <c r="E71" s="282" t="s">
        <v>559</v>
      </c>
      <c r="F71" s="282" t="s">
        <v>186</v>
      </c>
      <c r="G71" s="283"/>
      <c r="H71" s="283"/>
      <c r="I71" s="311">
        <v>0</v>
      </c>
      <c r="J71" s="257"/>
      <c r="K71" s="257"/>
      <c r="L71" s="3447" t="e">
        <f t="shared" si="12"/>
        <v>#DIV/0!</v>
      </c>
      <c r="M71" s="3447" t="e">
        <f t="shared" si="12"/>
        <v>#DIV/0!</v>
      </c>
      <c r="N71" s="214">
        <f t="shared" si="13"/>
        <v>0</v>
      </c>
      <c r="O71" s="214">
        <f t="shared" si="14"/>
        <v>0</v>
      </c>
      <c r="P71" s="214">
        <f>IF(K71=0, 0, (HLOOKUP(K71,'[1]G-CESTDWO'!$A$5:$G$35,J71+1,FALSE)*R21))</f>
        <v>0</v>
      </c>
      <c r="Q71" s="214">
        <f>IF(K71=0, 0, (HLOOKUP(K71,'[1]G-CESTD'!$A$5:$G$35,J71+1,FALSE)*R21))</f>
        <v>0</v>
      </c>
      <c r="R71" s="279">
        <v>1.081</v>
      </c>
      <c r="S71" s="280">
        <f t="shared" si="10"/>
        <v>0</v>
      </c>
      <c r="T71" s="280">
        <f t="shared" si="10"/>
        <v>0</v>
      </c>
      <c r="U71" s="280">
        <f t="shared" si="10"/>
        <v>0</v>
      </c>
      <c r="V71" s="322" t="e">
        <f t="shared" si="15"/>
        <v>#DIV/0!</v>
      </c>
      <c r="W71" s="322" t="e">
        <f t="shared" si="11"/>
        <v>#DIV/0!</v>
      </c>
      <c r="X71" s="322" t="e">
        <f t="shared" si="16"/>
        <v>#DIV/0!</v>
      </c>
    </row>
    <row r="72" spans="2:24">
      <c r="B72" s="282"/>
      <c r="C72" s="282" t="s">
        <v>194</v>
      </c>
      <c r="D72" s="282">
        <v>0</v>
      </c>
      <c r="E72" s="282" t="s">
        <v>559</v>
      </c>
      <c r="F72" s="282" t="s">
        <v>186</v>
      </c>
      <c r="G72" s="283"/>
      <c r="H72" s="283"/>
      <c r="I72" s="311">
        <v>0</v>
      </c>
      <c r="J72" s="257"/>
      <c r="K72" s="257"/>
      <c r="L72" s="3447" t="e">
        <f t="shared" si="12"/>
        <v>#DIV/0!</v>
      </c>
      <c r="M72" s="3447" t="e">
        <f t="shared" si="12"/>
        <v>#DIV/0!</v>
      </c>
      <c r="N72" s="214">
        <f t="shared" si="13"/>
        <v>0</v>
      </c>
      <c r="O72" s="214">
        <f t="shared" si="14"/>
        <v>0</v>
      </c>
      <c r="P72" s="214">
        <f>IF(K72=0, 0, (HLOOKUP(K72,'[1]G-CESTDWO'!$A$5:$G$35,J72+1,FALSE)*R22))</f>
        <v>0</v>
      </c>
      <c r="Q72" s="214">
        <f>IF(K72=0, 0, (HLOOKUP(K72,'[1]G-CESTD'!$A$5:$G$35,J72+1,FALSE)*R22))</f>
        <v>0</v>
      </c>
      <c r="R72" s="279">
        <v>1.081</v>
      </c>
      <c r="S72" s="280">
        <f t="shared" si="10"/>
        <v>0</v>
      </c>
      <c r="T72" s="280">
        <f t="shared" si="10"/>
        <v>0</v>
      </c>
      <c r="U72" s="280">
        <f t="shared" si="10"/>
        <v>0</v>
      </c>
      <c r="V72" s="322" t="e">
        <f t="shared" si="15"/>
        <v>#DIV/0!</v>
      </c>
      <c r="W72" s="322" t="e">
        <f t="shared" si="11"/>
        <v>#DIV/0!</v>
      </c>
      <c r="X72" s="322" t="e">
        <f t="shared" si="16"/>
        <v>#DIV/0!</v>
      </c>
    </row>
    <row r="73" spans="2:24">
      <c r="B73" s="282"/>
      <c r="C73" s="282" t="s">
        <v>195</v>
      </c>
      <c r="D73" s="257">
        <v>0</v>
      </c>
      <c r="E73" s="282" t="s">
        <v>559</v>
      </c>
      <c r="F73" s="282" t="s">
        <v>186</v>
      </c>
      <c r="G73" s="283"/>
      <c r="H73" s="283"/>
      <c r="I73" s="311">
        <v>0</v>
      </c>
      <c r="J73" s="257"/>
      <c r="K73" s="257"/>
      <c r="L73" s="3447" t="e">
        <f t="shared" si="12"/>
        <v>#DIV/0!</v>
      </c>
      <c r="M73" s="3447" t="e">
        <f t="shared" si="12"/>
        <v>#DIV/0!</v>
      </c>
      <c r="N73" s="214">
        <f t="shared" si="13"/>
        <v>0</v>
      </c>
      <c r="O73" s="214">
        <f t="shared" si="14"/>
        <v>0</v>
      </c>
      <c r="P73" s="214">
        <f>IF(K73=0, 0, (HLOOKUP(K73,'[1]G-CESTDWO'!$A$5:$G$35,J73+1,FALSE)*R23))</f>
        <v>0</v>
      </c>
      <c r="Q73" s="214">
        <f>IF(K73=0, 0, (HLOOKUP(K73,'[1]G-CESTD'!$A$5:$G$35,J73+1,FALSE)*R23))</f>
        <v>0</v>
      </c>
      <c r="R73" s="279">
        <v>1.081</v>
      </c>
      <c r="S73" s="280">
        <f t="shared" si="10"/>
        <v>0</v>
      </c>
      <c r="T73" s="280">
        <f t="shared" si="10"/>
        <v>0</v>
      </c>
      <c r="U73" s="280">
        <f t="shared" si="10"/>
        <v>0</v>
      </c>
      <c r="V73" s="322" t="e">
        <f t="shared" si="15"/>
        <v>#DIV/0!</v>
      </c>
      <c r="W73" s="322" t="e">
        <f t="shared" si="11"/>
        <v>#DIV/0!</v>
      </c>
      <c r="X73" s="322" t="e">
        <f t="shared" si="16"/>
        <v>#DIV/0!</v>
      </c>
    </row>
    <row r="74" spans="2:24">
      <c r="B74" s="282"/>
      <c r="C74" s="282" t="s">
        <v>196</v>
      </c>
      <c r="D74" s="282">
        <v>0</v>
      </c>
      <c r="E74" s="282" t="s">
        <v>559</v>
      </c>
      <c r="F74" s="282" t="s">
        <v>186</v>
      </c>
      <c r="G74" s="283"/>
      <c r="H74" s="283"/>
      <c r="I74" s="311">
        <v>0</v>
      </c>
      <c r="J74" s="257"/>
      <c r="K74" s="257"/>
      <c r="L74" s="3447" t="e">
        <f t="shared" si="12"/>
        <v>#DIV/0!</v>
      </c>
      <c r="M74" s="3447" t="e">
        <f t="shared" si="12"/>
        <v>#DIV/0!</v>
      </c>
      <c r="N74" s="214">
        <f t="shared" si="13"/>
        <v>0</v>
      </c>
      <c r="O74" s="214">
        <f t="shared" si="14"/>
        <v>0</v>
      </c>
      <c r="P74" s="214">
        <f>IF(K74=0, 0, (HLOOKUP(K74,'[1]G-CESTDWO'!$A$5:$G$35,J74+1,FALSE)*R24))</f>
        <v>0</v>
      </c>
      <c r="Q74" s="214">
        <f>IF(K74=0, 0, (HLOOKUP(K74,'[1]G-CESTD'!$A$5:$G$35,J74+1,FALSE)*R24))</f>
        <v>0</v>
      </c>
      <c r="R74" s="279">
        <v>1.081</v>
      </c>
      <c r="S74" s="280">
        <f t="shared" si="10"/>
        <v>0</v>
      </c>
      <c r="T74" s="280">
        <f t="shared" si="10"/>
        <v>0</v>
      </c>
      <c r="U74" s="280">
        <f t="shared" si="10"/>
        <v>0</v>
      </c>
      <c r="V74" s="322" t="e">
        <f t="shared" si="15"/>
        <v>#DIV/0!</v>
      </c>
      <c r="W74" s="322" t="e">
        <f t="shared" si="11"/>
        <v>#DIV/0!</v>
      </c>
      <c r="X74" s="322" t="e">
        <f t="shared" si="16"/>
        <v>#DIV/0!</v>
      </c>
    </row>
    <row r="75" spans="2:24">
      <c r="B75" s="282"/>
      <c r="C75" s="282" t="s">
        <v>197</v>
      </c>
      <c r="D75" s="257">
        <v>0</v>
      </c>
      <c r="E75" s="282" t="s">
        <v>559</v>
      </c>
      <c r="F75" s="282" t="s">
        <v>186</v>
      </c>
      <c r="G75" s="283"/>
      <c r="H75" s="283"/>
      <c r="I75" s="311">
        <v>0</v>
      </c>
      <c r="J75" s="257"/>
      <c r="K75" s="257"/>
      <c r="L75" s="3447" t="e">
        <f t="shared" si="12"/>
        <v>#DIV/0!</v>
      </c>
      <c r="M75" s="3447" t="e">
        <f t="shared" si="12"/>
        <v>#DIV/0!</v>
      </c>
      <c r="N75" s="214">
        <f t="shared" si="13"/>
        <v>0</v>
      </c>
      <c r="O75" s="214">
        <f t="shared" si="14"/>
        <v>0</v>
      </c>
      <c r="P75" s="214">
        <f>IF(K75=0, 0, (HLOOKUP(K75,'[1]G-CESTDWO'!$A$5:$G$35,J75+1,FALSE)*R25))</f>
        <v>0</v>
      </c>
      <c r="Q75" s="214">
        <f>IF(K75=0, 0, (HLOOKUP(K75,'[1]G-CESTD'!$A$5:$G$35,J75+1,FALSE)*R25))</f>
        <v>0</v>
      </c>
      <c r="R75" s="279">
        <v>1.081</v>
      </c>
      <c r="S75" s="280">
        <f t="shared" si="10"/>
        <v>0</v>
      </c>
      <c r="T75" s="280">
        <f t="shared" si="10"/>
        <v>0</v>
      </c>
      <c r="U75" s="280">
        <f t="shared" si="10"/>
        <v>0</v>
      </c>
      <c r="V75" s="322" t="e">
        <f t="shared" si="15"/>
        <v>#DIV/0!</v>
      </c>
      <c r="W75" s="322" t="e">
        <f t="shared" si="11"/>
        <v>#DIV/0!</v>
      </c>
      <c r="X75" s="322" t="e">
        <f t="shared" si="16"/>
        <v>#DIV/0!</v>
      </c>
    </row>
    <row r="76" spans="2:24">
      <c r="B76" s="282"/>
      <c r="C76" s="282" t="s">
        <v>198</v>
      </c>
      <c r="D76" s="282">
        <v>0</v>
      </c>
      <c r="E76" s="282" t="s">
        <v>559</v>
      </c>
      <c r="F76" s="282" t="s">
        <v>186</v>
      </c>
      <c r="G76" s="283"/>
      <c r="H76" s="283"/>
      <c r="I76" s="311">
        <v>0</v>
      </c>
      <c r="J76" s="257"/>
      <c r="K76" s="257"/>
      <c r="L76" s="3447" t="e">
        <f t="shared" si="12"/>
        <v>#DIV/0!</v>
      </c>
      <c r="M76" s="3447" t="e">
        <f t="shared" si="12"/>
        <v>#DIV/0!</v>
      </c>
      <c r="N76" s="214">
        <f t="shared" si="13"/>
        <v>0</v>
      </c>
      <c r="O76" s="214">
        <f t="shared" si="14"/>
        <v>0</v>
      </c>
      <c r="P76" s="214">
        <f>IF(K76=0, 0, (HLOOKUP(K76,'[1]G-CESTDWO'!$A$5:$G$35,J76+1,FALSE)*R26))</f>
        <v>0</v>
      </c>
      <c r="Q76" s="214">
        <f>IF(K76=0, 0, (HLOOKUP(K76,'[1]G-CESTD'!$A$5:$G$35,J76+1,FALSE)*R26))</f>
        <v>0</v>
      </c>
      <c r="R76" s="279">
        <v>1.081</v>
      </c>
      <c r="S76" s="280">
        <f t="shared" si="10"/>
        <v>0</v>
      </c>
      <c r="T76" s="280">
        <f t="shared" si="10"/>
        <v>0</v>
      </c>
      <c r="U76" s="280">
        <f t="shared" si="10"/>
        <v>0</v>
      </c>
      <c r="V76" s="322" t="e">
        <f t="shared" si="15"/>
        <v>#DIV/0!</v>
      </c>
      <c r="W76" s="322" t="e">
        <f t="shared" si="11"/>
        <v>#DIV/0!</v>
      </c>
      <c r="X76" s="322" t="e">
        <f t="shared" si="16"/>
        <v>#DIV/0!</v>
      </c>
    </row>
    <row r="77" spans="2:24">
      <c r="B77" s="282"/>
      <c r="C77" s="282" t="s">
        <v>199</v>
      </c>
      <c r="D77" s="257">
        <v>0</v>
      </c>
      <c r="E77" s="282" t="s">
        <v>559</v>
      </c>
      <c r="F77" s="282" t="s">
        <v>186</v>
      </c>
      <c r="G77" s="283"/>
      <c r="H77" s="283"/>
      <c r="I77" s="311">
        <v>0</v>
      </c>
      <c r="J77" s="257"/>
      <c r="K77" s="257"/>
      <c r="L77" s="3447" t="e">
        <f t="shared" si="12"/>
        <v>#DIV/0!</v>
      </c>
      <c r="M77" s="3447" t="e">
        <f t="shared" si="12"/>
        <v>#DIV/0!</v>
      </c>
      <c r="N77" s="214">
        <f t="shared" si="13"/>
        <v>0</v>
      </c>
      <c r="O77" s="214">
        <f t="shared" si="14"/>
        <v>0</v>
      </c>
      <c r="P77" s="214">
        <f>IF(K77=0, 0, (HLOOKUP(K77,'[1]G-CESTDWO'!$A$5:$G$35,J77+1,FALSE)*R27))</f>
        <v>0</v>
      </c>
      <c r="Q77" s="214">
        <f>IF(K77=0, 0, (HLOOKUP(K77,'[1]G-CESTD'!$A$5:$G$35,J77+1,FALSE)*R27))</f>
        <v>0</v>
      </c>
      <c r="R77" s="279">
        <v>1.081</v>
      </c>
      <c r="S77" s="280">
        <f t="shared" si="10"/>
        <v>0</v>
      </c>
      <c r="T77" s="280">
        <f t="shared" si="10"/>
        <v>0</v>
      </c>
      <c r="U77" s="280">
        <f t="shared" si="10"/>
        <v>0</v>
      </c>
      <c r="V77" s="322" t="e">
        <f t="shared" si="15"/>
        <v>#DIV/0!</v>
      </c>
      <c r="W77" s="322" t="e">
        <f t="shared" si="11"/>
        <v>#DIV/0!</v>
      </c>
      <c r="X77" s="322" t="e">
        <f t="shared" si="16"/>
        <v>#DIV/0!</v>
      </c>
    </row>
    <row r="78" spans="2:24">
      <c r="B78" s="282"/>
      <c r="C78" s="282" t="s">
        <v>200</v>
      </c>
      <c r="D78" s="282">
        <v>0</v>
      </c>
      <c r="E78" s="282" t="s">
        <v>559</v>
      </c>
      <c r="F78" s="282" t="s">
        <v>186</v>
      </c>
      <c r="G78" s="283"/>
      <c r="H78" s="283"/>
      <c r="I78" s="311">
        <v>0</v>
      </c>
      <c r="J78" s="257"/>
      <c r="K78" s="257"/>
      <c r="L78" s="3447" t="e">
        <f t="shared" si="12"/>
        <v>#DIV/0!</v>
      </c>
      <c r="M78" s="3447" t="e">
        <f t="shared" si="12"/>
        <v>#DIV/0!</v>
      </c>
      <c r="N78" s="214">
        <f t="shared" si="13"/>
        <v>0</v>
      </c>
      <c r="O78" s="214">
        <f t="shared" si="14"/>
        <v>0</v>
      </c>
      <c r="P78" s="214">
        <f>IF(K78=0, 0, (HLOOKUP(K78,'[1]G-CESTDWO'!$A$5:$G$35,J78+1,FALSE)*R28))</f>
        <v>0</v>
      </c>
      <c r="Q78" s="214">
        <f>IF(K78=0, 0, (HLOOKUP(K78,'[1]G-CESTD'!$A$5:$G$35,J78+1,FALSE)*R28))</f>
        <v>0</v>
      </c>
      <c r="R78" s="279">
        <v>1.081</v>
      </c>
      <c r="S78" s="280">
        <f t="shared" si="10"/>
        <v>0</v>
      </c>
      <c r="T78" s="280">
        <f t="shared" si="10"/>
        <v>0</v>
      </c>
      <c r="U78" s="280">
        <f t="shared" si="10"/>
        <v>0</v>
      </c>
      <c r="V78" s="322" t="e">
        <f t="shared" si="15"/>
        <v>#DIV/0!</v>
      </c>
      <c r="W78" s="322" t="e">
        <f t="shared" si="11"/>
        <v>#DIV/0!</v>
      </c>
      <c r="X78" s="322" t="e">
        <f t="shared" si="16"/>
        <v>#DIV/0!</v>
      </c>
    </row>
    <row r="79" spans="2:24">
      <c r="B79" s="282"/>
      <c r="C79" s="282" t="s">
        <v>201</v>
      </c>
      <c r="D79" s="257">
        <v>0</v>
      </c>
      <c r="E79" s="282" t="s">
        <v>559</v>
      </c>
      <c r="F79" s="282" t="s">
        <v>186</v>
      </c>
      <c r="G79" s="283"/>
      <c r="H79" s="283"/>
      <c r="I79" s="311">
        <v>0</v>
      </c>
      <c r="J79" s="257"/>
      <c r="K79" s="257"/>
      <c r="L79" s="3447" t="e">
        <f t="shared" si="12"/>
        <v>#DIV/0!</v>
      </c>
      <c r="M79" s="3447" t="e">
        <f t="shared" si="12"/>
        <v>#DIV/0!</v>
      </c>
      <c r="N79" s="214">
        <f t="shared" si="13"/>
        <v>0</v>
      </c>
      <c r="O79" s="214">
        <f t="shared" si="14"/>
        <v>0</v>
      </c>
      <c r="P79" s="214">
        <f>IF(K79=0, 0, (HLOOKUP(K79,'[1]G-CESTDWO'!$A$5:$G$35,J79+1,FALSE)*R29))</f>
        <v>0</v>
      </c>
      <c r="Q79" s="214">
        <f>IF(K79=0, 0, (HLOOKUP(K79,'[1]G-CESTD'!$A$5:$G$35,J79+1,FALSE)*R29))</f>
        <v>0</v>
      </c>
      <c r="R79" s="279">
        <v>1.081</v>
      </c>
      <c r="S79" s="280">
        <f t="shared" ref="S79:U104" si="17">M29*$H79</f>
        <v>0</v>
      </c>
      <c r="T79" s="280">
        <f t="shared" si="17"/>
        <v>0</v>
      </c>
      <c r="U79" s="280">
        <f t="shared" si="17"/>
        <v>0</v>
      </c>
      <c r="V79" s="322" t="e">
        <f t="shared" si="15"/>
        <v>#DIV/0!</v>
      </c>
      <c r="W79" s="322" t="e">
        <f t="shared" si="11"/>
        <v>#DIV/0!</v>
      </c>
      <c r="X79" s="322" t="e">
        <f t="shared" si="16"/>
        <v>#DIV/0!</v>
      </c>
    </row>
    <row r="80" spans="2:24">
      <c r="B80" s="282"/>
      <c r="C80" s="282" t="s">
        <v>202</v>
      </c>
      <c r="D80" s="282">
        <v>0</v>
      </c>
      <c r="E80" s="282" t="s">
        <v>559</v>
      </c>
      <c r="F80" s="282" t="s">
        <v>186</v>
      </c>
      <c r="G80" s="283"/>
      <c r="H80" s="283"/>
      <c r="I80" s="311">
        <v>0</v>
      </c>
      <c r="J80" s="257"/>
      <c r="K80" s="257"/>
      <c r="L80" s="3447" t="e">
        <f t="shared" si="12"/>
        <v>#DIV/0!</v>
      </c>
      <c r="M80" s="3447" t="e">
        <f t="shared" si="12"/>
        <v>#DIV/0!</v>
      </c>
      <c r="N80" s="214">
        <f t="shared" si="13"/>
        <v>0</v>
      </c>
      <c r="O80" s="214">
        <f t="shared" si="14"/>
        <v>0</v>
      </c>
      <c r="P80" s="214">
        <f>IF(K80=0, 0, (HLOOKUP(K80,'[1]G-CESTDWO'!$A$5:$G$35,J80+1,FALSE)*R30))</f>
        <v>0</v>
      </c>
      <c r="Q80" s="214">
        <f>IF(K80=0, 0, (HLOOKUP(K80,'[1]G-CESTD'!$A$5:$G$35,J80+1,FALSE)*R30))</f>
        <v>0</v>
      </c>
      <c r="R80" s="279">
        <v>1.081</v>
      </c>
      <c r="S80" s="280">
        <f t="shared" si="17"/>
        <v>0</v>
      </c>
      <c r="T80" s="280">
        <f t="shared" si="17"/>
        <v>0</v>
      </c>
      <c r="U80" s="280">
        <f t="shared" si="17"/>
        <v>0</v>
      </c>
      <c r="V80" s="322" t="e">
        <f t="shared" si="15"/>
        <v>#DIV/0!</v>
      </c>
      <c r="W80" s="322" t="e">
        <f t="shared" si="11"/>
        <v>#DIV/0!</v>
      </c>
      <c r="X80" s="322" t="e">
        <f t="shared" si="16"/>
        <v>#DIV/0!</v>
      </c>
    </row>
    <row r="81" spans="2:24">
      <c r="B81" s="282"/>
      <c r="C81" s="282" t="s">
        <v>203</v>
      </c>
      <c r="D81" s="282">
        <v>0</v>
      </c>
      <c r="E81" s="282" t="s">
        <v>559</v>
      </c>
      <c r="F81" s="282" t="s">
        <v>186</v>
      </c>
      <c r="G81" s="283"/>
      <c r="H81" s="283"/>
      <c r="I81" s="311">
        <v>0</v>
      </c>
      <c r="J81" s="257"/>
      <c r="K81" s="257"/>
      <c r="L81" s="3447" t="e">
        <f t="shared" si="12"/>
        <v>#DIV/0!</v>
      </c>
      <c r="M81" s="3447" t="e">
        <f t="shared" si="12"/>
        <v>#DIV/0!</v>
      </c>
      <c r="N81" s="214">
        <f t="shared" si="13"/>
        <v>0</v>
      </c>
      <c r="O81" s="214">
        <f t="shared" si="14"/>
        <v>0</v>
      </c>
      <c r="P81" s="214">
        <f>IF(K81=0, 0, (HLOOKUP(K81,'[1]G-CESTDWO'!$A$5:$G$35,J81+1,FALSE)*R31))</f>
        <v>0</v>
      </c>
      <c r="Q81" s="214">
        <f>IF(K81=0, 0, (HLOOKUP(K81,'[1]G-CESTD'!$A$5:$G$35,J81+1,FALSE)*R31))</f>
        <v>0</v>
      </c>
      <c r="R81" s="279">
        <v>1.081</v>
      </c>
      <c r="S81" s="280">
        <f t="shared" si="17"/>
        <v>0</v>
      </c>
      <c r="T81" s="280">
        <f t="shared" si="17"/>
        <v>0</v>
      </c>
      <c r="U81" s="280">
        <f t="shared" si="17"/>
        <v>0</v>
      </c>
      <c r="V81" s="322" t="e">
        <f t="shared" si="15"/>
        <v>#DIV/0!</v>
      </c>
      <c r="W81" s="322" t="e">
        <f t="shared" si="11"/>
        <v>#DIV/0!</v>
      </c>
      <c r="X81" s="322" t="e">
        <f t="shared" si="16"/>
        <v>#DIV/0!</v>
      </c>
    </row>
    <row r="82" spans="2:24">
      <c r="B82" s="282"/>
      <c r="C82" s="282" t="s">
        <v>204</v>
      </c>
      <c r="D82" s="282">
        <v>0</v>
      </c>
      <c r="E82" s="282" t="s">
        <v>559</v>
      </c>
      <c r="F82" s="282" t="s">
        <v>186</v>
      </c>
      <c r="G82" s="283"/>
      <c r="H82" s="283"/>
      <c r="I82" s="311">
        <v>0</v>
      </c>
      <c r="J82" s="257"/>
      <c r="K82" s="257"/>
      <c r="L82" s="3447" t="e">
        <f t="shared" si="12"/>
        <v>#DIV/0!</v>
      </c>
      <c r="M82" s="3447" t="e">
        <f t="shared" si="12"/>
        <v>#DIV/0!</v>
      </c>
      <c r="N82" s="214">
        <f t="shared" si="13"/>
        <v>0</v>
      </c>
      <c r="O82" s="214">
        <f t="shared" si="14"/>
        <v>0</v>
      </c>
      <c r="P82" s="214">
        <f>IF(K82=0, 0, (HLOOKUP(K82,'[1]G-CESTDWO'!$A$5:$G$35,J82+1,FALSE)*R32))</f>
        <v>0</v>
      </c>
      <c r="Q82" s="214">
        <f>IF(K82=0, 0, (HLOOKUP(K82,'[1]G-CESTD'!$A$5:$G$35,J82+1,FALSE)*R32))</f>
        <v>0</v>
      </c>
      <c r="R82" s="279">
        <v>1.081</v>
      </c>
      <c r="S82" s="280">
        <f t="shared" si="17"/>
        <v>0</v>
      </c>
      <c r="T82" s="280">
        <f t="shared" si="17"/>
        <v>0</v>
      </c>
      <c r="U82" s="280">
        <f t="shared" si="17"/>
        <v>0</v>
      </c>
    </row>
    <row r="83" spans="2:24">
      <c r="B83" s="282"/>
      <c r="C83" s="282" t="s">
        <v>205</v>
      </c>
      <c r="D83" s="285">
        <v>0</v>
      </c>
      <c r="E83" s="282" t="s">
        <v>559</v>
      </c>
      <c r="F83" s="282" t="s">
        <v>186</v>
      </c>
      <c r="G83" s="283"/>
      <c r="H83" s="283"/>
      <c r="I83" s="311">
        <v>0</v>
      </c>
      <c r="J83" s="257"/>
      <c r="K83" s="257"/>
      <c r="L83" s="3447" t="e">
        <f t="shared" si="12"/>
        <v>#DIV/0!</v>
      </c>
      <c r="M83" s="3447" t="e">
        <f t="shared" si="12"/>
        <v>#DIV/0!</v>
      </c>
      <c r="N83" s="214">
        <f t="shared" si="13"/>
        <v>0</v>
      </c>
      <c r="O83" s="214">
        <f t="shared" si="14"/>
        <v>0</v>
      </c>
      <c r="P83" s="214">
        <f>IF(K83=0, 0, (HLOOKUP(K83,'[1]G-CESTDWO'!$A$5:$G$35,J83+1,FALSE)*R33))</f>
        <v>0</v>
      </c>
      <c r="Q83" s="214">
        <f>IF(K83=0, 0, (HLOOKUP(K83,'[1]G-CESTD'!$A$5:$G$35,J83+1,FALSE)*R33))</f>
        <v>0</v>
      </c>
      <c r="R83" s="279">
        <v>1.081</v>
      </c>
      <c r="S83" s="280">
        <f t="shared" si="17"/>
        <v>0</v>
      </c>
      <c r="T83" s="280">
        <f t="shared" si="17"/>
        <v>0</v>
      </c>
      <c r="U83" s="280">
        <f t="shared" si="17"/>
        <v>0</v>
      </c>
    </row>
    <row r="84" spans="2:24">
      <c r="B84" s="282"/>
      <c r="C84" s="282" t="s">
        <v>206</v>
      </c>
      <c r="D84" s="285">
        <v>0</v>
      </c>
      <c r="E84" s="282" t="s">
        <v>559</v>
      </c>
      <c r="F84" s="282" t="s">
        <v>186</v>
      </c>
      <c r="G84" s="283"/>
      <c r="H84" s="283"/>
      <c r="I84" s="311">
        <v>0</v>
      </c>
      <c r="J84" s="257"/>
      <c r="K84" s="257"/>
      <c r="L84" s="3447" t="e">
        <f t="shared" si="12"/>
        <v>#DIV/0!</v>
      </c>
      <c r="M84" s="3447" t="e">
        <f t="shared" si="12"/>
        <v>#DIV/0!</v>
      </c>
      <c r="N84" s="214">
        <f t="shared" si="13"/>
        <v>0</v>
      </c>
      <c r="O84" s="214">
        <f t="shared" si="14"/>
        <v>0</v>
      </c>
      <c r="P84" s="214">
        <f>IF(K84=0, 0, (HLOOKUP(K84,'[1]G-CESTDWO'!$A$5:$G$35,J84+1,FALSE)*R34))</f>
        <v>0</v>
      </c>
      <c r="Q84" s="214">
        <f>IF(K84=0, 0, (HLOOKUP(K84,'[1]G-CESTD'!$A$5:$G$35,J84+1,FALSE)*R34))</f>
        <v>0</v>
      </c>
      <c r="R84" s="279">
        <v>1.081</v>
      </c>
      <c r="S84" s="280">
        <f t="shared" si="17"/>
        <v>0</v>
      </c>
      <c r="T84" s="280">
        <f t="shared" si="17"/>
        <v>0</v>
      </c>
      <c r="U84" s="280">
        <f t="shared" si="17"/>
        <v>0</v>
      </c>
    </row>
    <row r="85" spans="2:24">
      <c r="B85" s="282"/>
      <c r="C85" s="282" t="s">
        <v>207</v>
      </c>
      <c r="D85" s="285">
        <v>0</v>
      </c>
      <c r="E85" s="282" t="s">
        <v>559</v>
      </c>
      <c r="F85" s="282" t="s">
        <v>186</v>
      </c>
      <c r="G85" s="283"/>
      <c r="H85" s="283"/>
      <c r="I85" s="311">
        <v>0</v>
      </c>
      <c r="J85" s="257"/>
      <c r="K85" s="257"/>
      <c r="L85" s="3447" t="e">
        <f t="shared" si="12"/>
        <v>#DIV/0!</v>
      </c>
      <c r="M85" s="3447" t="e">
        <f t="shared" si="12"/>
        <v>#DIV/0!</v>
      </c>
      <c r="N85" s="214">
        <f t="shared" si="13"/>
        <v>0</v>
      </c>
      <c r="O85" s="214">
        <f t="shared" si="14"/>
        <v>0</v>
      </c>
      <c r="P85" s="214">
        <f>IF(K85=0, 0, (HLOOKUP(K85,'[1]G-CESTDWO'!$A$5:$G$35,J85+1,FALSE)*R35))</f>
        <v>0</v>
      </c>
      <c r="Q85" s="214">
        <f>IF(K85=0, 0, (HLOOKUP(K85,'[1]G-CESTD'!$A$5:$G$35,J85+1,FALSE)*R35))</f>
        <v>0</v>
      </c>
      <c r="R85" s="279">
        <v>1.081</v>
      </c>
      <c r="S85" s="280">
        <f t="shared" si="17"/>
        <v>0</v>
      </c>
      <c r="T85" s="280">
        <f t="shared" si="17"/>
        <v>0</v>
      </c>
      <c r="U85" s="280">
        <f t="shared" si="17"/>
        <v>0</v>
      </c>
    </row>
    <row r="86" spans="2:24">
      <c r="B86" s="282"/>
      <c r="C86" s="282" t="s">
        <v>208</v>
      </c>
      <c r="D86" s="285">
        <v>0</v>
      </c>
      <c r="E86" s="282" t="s">
        <v>559</v>
      </c>
      <c r="F86" s="282" t="s">
        <v>186</v>
      </c>
      <c r="G86" s="283"/>
      <c r="H86" s="283"/>
      <c r="I86" s="311">
        <v>0</v>
      </c>
      <c r="J86" s="257"/>
      <c r="K86" s="257"/>
      <c r="L86" s="3447" t="e">
        <f t="shared" si="12"/>
        <v>#DIV/0!</v>
      </c>
      <c r="M86" s="3447" t="e">
        <f t="shared" si="12"/>
        <v>#DIV/0!</v>
      </c>
      <c r="N86" s="214">
        <f t="shared" si="13"/>
        <v>0</v>
      </c>
      <c r="O86" s="214">
        <f t="shared" si="14"/>
        <v>0</v>
      </c>
      <c r="P86" s="214">
        <f>IF(K86=0, 0, (HLOOKUP(K86,'[1]G-CESTDWO'!$A$5:$G$35,J86+1,FALSE)*R36))</f>
        <v>0</v>
      </c>
      <c r="Q86" s="214">
        <f>IF(K86=0, 0, (HLOOKUP(K86,'[1]G-CESTD'!$A$5:$G$35,J86+1,FALSE)*R36))</f>
        <v>0</v>
      </c>
      <c r="R86" s="279">
        <v>1.081</v>
      </c>
      <c r="S86" s="280">
        <f t="shared" si="17"/>
        <v>0</v>
      </c>
      <c r="T86" s="280">
        <f t="shared" si="17"/>
        <v>0</v>
      </c>
      <c r="U86" s="280">
        <f t="shared" si="17"/>
        <v>0</v>
      </c>
    </row>
    <row r="87" spans="2:24">
      <c r="B87" s="282"/>
      <c r="C87" s="282" t="s">
        <v>209</v>
      </c>
      <c r="D87" s="285">
        <v>0</v>
      </c>
      <c r="E87" s="282" t="s">
        <v>559</v>
      </c>
      <c r="F87" s="282" t="s">
        <v>186</v>
      </c>
      <c r="G87" s="283"/>
      <c r="H87" s="283"/>
      <c r="I87" s="311">
        <v>0</v>
      </c>
      <c r="J87" s="257"/>
      <c r="K87" s="257"/>
      <c r="L87" s="3447" t="e">
        <f t="shared" si="12"/>
        <v>#DIV/0!</v>
      </c>
      <c r="M87" s="3447" t="e">
        <f t="shared" si="12"/>
        <v>#DIV/0!</v>
      </c>
      <c r="N87" s="214">
        <f t="shared" si="13"/>
        <v>0</v>
      </c>
      <c r="O87" s="214">
        <f t="shared" si="14"/>
        <v>0</v>
      </c>
      <c r="P87" s="214">
        <f>IF(K87=0, 0, (HLOOKUP(K87,'[1]G-CESTDWO'!$A$5:$G$35,J87+1,FALSE)*R37))</f>
        <v>0</v>
      </c>
      <c r="Q87" s="214">
        <f>IF(K87=0, 0, (HLOOKUP(K87,'[1]G-CESTD'!$A$5:$G$35,J87+1,FALSE)*R37))</f>
        <v>0</v>
      </c>
      <c r="R87" s="279">
        <v>1.081</v>
      </c>
      <c r="S87" s="280">
        <f t="shared" si="17"/>
        <v>0</v>
      </c>
      <c r="T87" s="280">
        <f t="shared" si="17"/>
        <v>0</v>
      </c>
      <c r="U87" s="280">
        <f t="shared" si="17"/>
        <v>0</v>
      </c>
    </row>
    <row r="88" spans="2:24">
      <c r="B88" s="282"/>
      <c r="C88" s="282" t="s">
        <v>210</v>
      </c>
      <c r="D88" s="285">
        <v>0</v>
      </c>
      <c r="E88" s="282" t="s">
        <v>559</v>
      </c>
      <c r="F88" s="282" t="s">
        <v>186</v>
      </c>
      <c r="G88" s="283"/>
      <c r="H88" s="283"/>
      <c r="I88" s="311">
        <v>0</v>
      </c>
      <c r="J88" s="257"/>
      <c r="K88" s="257"/>
      <c r="L88" s="3447" t="e">
        <f t="shared" si="12"/>
        <v>#DIV/0!</v>
      </c>
      <c r="M88" s="3447" t="e">
        <f t="shared" si="12"/>
        <v>#DIV/0!</v>
      </c>
      <c r="N88" s="214">
        <f t="shared" si="13"/>
        <v>0</v>
      </c>
      <c r="O88" s="214">
        <f t="shared" si="14"/>
        <v>0</v>
      </c>
      <c r="P88" s="214">
        <f>IF(K88=0, 0, (HLOOKUP(K88,'[1]G-CESTDWO'!$A$5:$G$35,J88+1,FALSE)*R38))</f>
        <v>0</v>
      </c>
      <c r="Q88" s="214">
        <f>IF(K88=0, 0, (HLOOKUP(K88,'[1]G-CESTD'!$A$5:$G$35,J88+1,FALSE)*R38))</f>
        <v>0</v>
      </c>
      <c r="R88" s="279">
        <v>1.081</v>
      </c>
      <c r="S88" s="280">
        <f t="shared" si="17"/>
        <v>0</v>
      </c>
      <c r="T88" s="280">
        <f t="shared" si="17"/>
        <v>0</v>
      </c>
      <c r="U88" s="280">
        <f t="shared" si="17"/>
        <v>0</v>
      </c>
    </row>
    <row r="89" spans="2:24">
      <c r="B89" s="282"/>
      <c r="C89" s="282" t="s">
        <v>211</v>
      </c>
      <c r="D89" s="285">
        <v>0</v>
      </c>
      <c r="E89" s="282" t="s">
        <v>559</v>
      </c>
      <c r="F89" s="282" t="s">
        <v>186</v>
      </c>
      <c r="G89" s="283"/>
      <c r="H89" s="283"/>
      <c r="I89" s="311">
        <v>0</v>
      </c>
      <c r="J89" s="257"/>
      <c r="K89" s="257"/>
      <c r="L89" s="3447" t="e">
        <f t="shared" si="12"/>
        <v>#DIV/0!</v>
      </c>
      <c r="M89" s="3447" t="e">
        <f t="shared" si="12"/>
        <v>#DIV/0!</v>
      </c>
      <c r="N89" s="214">
        <f t="shared" si="13"/>
        <v>0</v>
      </c>
      <c r="O89" s="214">
        <f t="shared" si="14"/>
        <v>0</v>
      </c>
      <c r="P89" s="214">
        <f>IF(K89=0, 0, (HLOOKUP(K89,'[1]G-CESTDWO'!$A$5:$G$35,J89+1,FALSE)*R39))</f>
        <v>0</v>
      </c>
      <c r="Q89" s="214">
        <f>IF(K89=0, 0, (HLOOKUP(K89,'[1]G-CESTD'!$A$5:$G$35,J89+1,FALSE)*R39))</f>
        <v>0</v>
      </c>
      <c r="R89" s="279">
        <v>1.081</v>
      </c>
      <c r="S89" s="280">
        <f t="shared" si="17"/>
        <v>0</v>
      </c>
      <c r="T89" s="280">
        <f t="shared" si="17"/>
        <v>0</v>
      </c>
      <c r="U89" s="280">
        <f t="shared" si="17"/>
        <v>0</v>
      </c>
    </row>
    <row r="90" spans="2:24">
      <c r="B90" s="282"/>
      <c r="C90" s="282" t="s">
        <v>212</v>
      </c>
      <c r="D90" s="285">
        <v>0</v>
      </c>
      <c r="E90" s="282" t="s">
        <v>559</v>
      </c>
      <c r="F90" s="282" t="s">
        <v>186</v>
      </c>
      <c r="G90" s="283"/>
      <c r="H90" s="283"/>
      <c r="I90" s="311">
        <v>0</v>
      </c>
      <c r="J90" s="257"/>
      <c r="K90" s="257"/>
      <c r="L90" s="3447" t="e">
        <f t="shared" si="12"/>
        <v>#DIV/0!</v>
      </c>
      <c r="M90" s="3447" t="e">
        <f t="shared" si="12"/>
        <v>#DIV/0!</v>
      </c>
      <c r="N90" s="214">
        <f t="shared" si="13"/>
        <v>0</v>
      </c>
      <c r="O90" s="214">
        <f t="shared" si="14"/>
        <v>0</v>
      </c>
      <c r="P90" s="214">
        <f>IF(K90=0, 0, (HLOOKUP(K90,'[1]G-CESTDWO'!$A$5:$G$35,J90+1,FALSE)*R40))</f>
        <v>0</v>
      </c>
      <c r="Q90" s="214">
        <f>IF(K90=0, 0, (HLOOKUP(K90,'[1]G-CESTD'!$A$5:$G$35,J90+1,FALSE)*R40))</f>
        <v>0</v>
      </c>
      <c r="R90" s="279">
        <v>1.081</v>
      </c>
      <c r="S90" s="280">
        <f t="shared" si="17"/>
        <v>0</v>
      </c>
      <c r="T90" s="280">
        <f t="shared" si="17"/>
        <v>0</v>
      </c>
      <c r="U90" s="280">
        <f t="shared" si="17"/>
        <v>0</v>
      </c>
    </row>
    <row r="91" spans="2:24">
      <c r="B91" s="282"/>
      <c r="C91" s="282" t="s">
        <v>213</v>
      </c>
      <c r="D91" s="285">
        <v>0</v>
      </c>
      <c r="E91" s="282" t="s">
        <v>559</v>
      </c>
      <c r="F91" s="282" t="s">
        <v>186</v>
      </c>
      <c r="G91" s="283"/>
      <c r="H91" s="283"/>
      <c r="I91" s="311">
        <v>0</v>
      </c>
      <c r="J91" s="257"/>
      <c r="K91" s="257"/>
      <c r="L91" s="3447" t="e">
        <f t="shared" si="12"/>
        <v>#DIV/0!</v>
      </c>
      <c r="M91" s="3447" t="e">
        <f t="shared" si="12"/>
        <v>#DIV/0!</v>
      </c>
      <c r="N91" s="214">
        <f t="shared" si="13"/>
        <v>0</v>
      </c>
      <c r="O91" s="214">
        <f t="shared" si="14"/>
        <v>0</v>
      </c>
      <c r="P91" s="214">
        <f>IF(K91=0, 0, (HLOOKUP(K91,'[1]G-CESTDWO'!$A$5:$G$35,J91+1,FALSE)*R41))</f>
        <v>0</v>
      </c>
      <c r="Q91" s="214">
        <f>IF(K91=0, 0, (HLOOKUP(K91,'[1]G-CESTD'!$A$5:$G$35,J91+1,FALSE)*R41))</f>
        <v>0</v>
      </c>
      <c r="R91" s="279">
        <v>1.081</v>
      </c>
      <c r="S91" s="280">
        <f t="shared" si="17"/>
        <v>0</v>
      </c>
      <c r="T91" s="280">
        <f t="shared" si="17"/>
        <v>0</v>
      </c>
      <c r="U91" s="280">
        <f t="shared" si="17"/>
        <v>0</v>
      </c>
    </row>
    <row r="92" spans="2:24">
      <c r="B92" s="282"/>
      <c r="C92" s="282" t="s">
        <v>214</v>
      </c>
      <c r="D92" s="285">
        <v>0</v>
      </c>
      <c r="E92" s="282" t="s">
        <v>559</v>
      </c>
      <c r="F92" s="282" t="s">
        <v>186</v>
      </c>
      <c r="G92" s="283"/>
      <c r="H92" s="283"/>
      <c r="I92" s="311">
        <v>0</v>
      </c>
      <c r="J92" s="257"/>
      <c r="K92" s="257"/>
      <c r="L92" s="3447" t="e">
        <f t="shared" si="12"/>
        <v>#DIV/0!</v>
      </c>
      <c r="M92" s="3447" t="e">
        <f t="shared" si="12"/>
        <v>#DIV/0!</v>
      </c>
      <c r="N92" s="214">
        <f t="shared" si="13"/>
        <v>0</v>
      </c>
      <c r="O92" s="214">
        <f t="shared" si="14"/>
        <v>0</v>
      </c>
      <c r="P92" s="214">
        <f>IF(K92=0, 0, (HLOOKUP(K92,'[1]G-CESTDWO'!$A$5:$G$35,J92+1,FALSE)*R42))</f>
        <v>0</v>
      </c>
      <c r="Q92" s="214">
        <f>IF(K92=0, 0, (HLOOKUP(K92,'[1]G-CESTD'!$A$5:$G$35,J92+1,FALSE)*R42))</f>
        <v>0</v>
      </c>
      <c r="R92" s="279">
        <v>1.081</v>
      </c>
      <c r="S92" s="280">
        <f t="shared" si="17"/>
        <v>0</v>
      </c>
      <c r="T92" s="280">
        <f t="shared" si="17"/>
        <v>0</v>
      </c>
      <c r="U92" s="280">
        <f t="shared" si="17"/>
        <v>0</v>
      </c>
    </row>
    <row r="93" spans="2:24">
      <c r="B93" s="282"/>
      <c r="C93" s="282" t="s">
        <v>215</v>
      </c>
      <c r="D93" s="285">
        <v>0</v>
      </c>
      <c r="E93" s="282" t="s">
        <v>559</v>
      </c>
      <c r="F93" s="282" t="s">
        <v>186</v>
      </c>
      <c r="G93" s="283"/>
      <c r="H93" s="283"/>
      <c r="I93" s="311">
        <v>0</v>
      </c>
      <c r="J93" s="257"/>
      <c r="K93" s="257"/>
      <c r="L93" s="3447" t="e">
        <f t="shared" si="12"/>
        <v>#DIV/0!</v>
      </c>
      <c r="M93" s="3447" t="e">
        <f t="shared" si="12"/>
        <v>#DIV/0!</v>
      </c>
      <c r="N93" s="214">
        <f t="shared" si="13"/>
        <v>0</v>
      </c>
      <c r="O93" s="214">
        <f t="shared" si="14"/>
        <v>0</v>
      </c>
      <c r="P93" s="214">
        <f>IF(K93=0, 0, (HLOOKUP(K93,'[1]G-CESTDWO'!$A$5:$G$35,J93+1,FALSE)*R43))</f>
        <v>0</v>
      </c>
      <c r="Q93" s="214">
        <f>IF(K93=0, 0, (HLOOKUP(K93,'[1]G-CESTD'!$A$5:$G$35,J93+1,FALSE)*R43))</f>
        <v>0</v>
      </c>
      <c r="R93" s="279">
        <v>1.081</v>
      </c>
      <c r="S93" s="280">
        <f t="shared" si="17"/>
        <v>0</v>
      </c>
      <c r="T93" s="280">
        <f t="shared" si="17"/>
        <v>0</v>
      </c>
      <c r="U93" s="280">
        <f t="shared" si="17"/>
        <v>0</v>
      </c>
    </row>
    <row r="94" spans="2:24">
      <c r="B94" s="282"/>
      <c r="C94" s="282" t="s">
        <v>216</v>
      </c>
      <c r="D94" s="285">
        <v>0</v>
      </c>
      <c r="E94" s="282" t="s">
        <v>559</v>
      </c>
      <c r="F94" s="282" t="s">
        <v>186</v>
      </c>
      <c r="G94" s="283"/>
      <c r="H94" s="283"/>
      <c r="I94" s="311">
        <v>0</v>
      </c>
      <c r="J94" s="257"/>
      <c r="K94" s="257"/>
      <c r="L94" s="3447" t="e">
        <f t="shared" si="12"/>
        <v>#DIV/0!</v>
      </c>
      <c r="M94" s="3447" t="e">
        <f t="shared" si="12"/>
        <v>#DIV/0!</v>
      </c>
      <c r="N94" s="214">
        <f t="shared" si="13"/>
        <v>0</v>
      </c>
      <c r="O94" s="214">
        <f t="shared" si="14"/>
        <v>0</v>
      </c>
      <c r="P94" s="214">
        <f>IF(K94=0, 0, (HLOOKUP(K94,'[1]G-CESTDWO'!$A$5:$G$35,J94+1,FALSE)*R44))</f>
        <v>0</v>
      </c>
      <c r="Q94" s="214">
        <f>IF(K94=0, 0, (HLOOKUP(K94,'[1]G-CESTD'!$A$5:$G$35,J94+1,FALSE)*R44))</f>
        <v>0</v>
      </c>
      <c r="R94" s="279">
        <v>1.081</v>
      </c>
      <c r="S94" s="280">
        <f t="shared" si="17"/>
        <v>0</v>
      </c>
      <c r="T94" s="280">
        <f t="shared" si="17"/>
        <v>0</v>
      </c>
      <c r="U94" s="280">
        <f t="shared" si="17"/>
        <v>0</v>
      </c>
    </row>
    <row r="95" spans="2:24">
      <c r="B95" s="282"/>
      <c r="C95" s="282" t="s">
        <v>217</v>
      </c>
      <c r="D95" s="285">
        <v>0</v>
      </c>
      <c r="E95" s="282" t="s">
        <v>559</v>
      </c>
      <c r="F95" s="282" t="s">
        <v>186</v>
      </c>
      <c r="G95" s="283"/>
      <c r="H95" s="283"/>
      <c r="I95" s="311">
        <v>0</v>
      </c>
      <c r="J95" s="257"/>
      <c r="K95" s="257"/>
      <c r="L95" s="3447" t="e">
        <f t="shared" si="12"/>
        <v>#DIV/0!</v>
      </c>
      <c r="M95" s="3447" t="e">
        <f t="shared" si="12"/>
        <v>#DIV/0!</v>
      </c>
      <c r="N95" s="214">
        <f t="shared" si="13"/>
        <v>0</v>
      </c>
      <c r="O95" s="214">
        <f t="shared" si="14"/>
        <v>0</v>
      </c>
      <c r="P95" s="214">
        <f>IF(K95=0, 0, (HLOOKUP(K95,'[1]G-CESTDWO'!$A$5:$G$35,J95+1,FALSE)*R45))</f>
        <v>0</v>
      </c>
      <c r="Q95" s="214">
        <f>IF(K95=0, 0, (HLOOKUP(K95,'[1]G-CESTD'!$A$5:$G$35,J95+1,FALSE)*R45))</f>
        <v>0</v>
      </c>
      <c r="R95" s="279">
        <v>1.081</v>
      </c>
      <c r="S95" s="280">
        <f t="shared" si="17"/>
        <v>0</v>
      </c>
      <c r="T95" s="280">
        <f t="shared" si="17"/>
        <v>0</v>
      </c>
      <c r="U95" s="280">
        <f t="shared" si="17"/>
        <v>0</v>
      </c>
    </row>
    <row r="96" spans="2:24">
      <c r="B96" s="282"/>
      <c r="C96" s="282" t="s">
        <v>218</v>
      </c>
      <c r="D96" s="285">
        <v>0</v>
      </c>
      <c r="E96" s="282" t="s">
        <v>559</v>
      </c>
      <c r="F96" s="282" t="s">
        <v>186</v>
      </c>
      <c r="G96" s="283"/>
      <c r="H96" s="283"/>
      <c r="I96" s="311">
        <v>0</v>
      </c>
      <c r="J96" s="257"/>
      <c r="K96" s="257"/>
      <c r="L96" s="3447" t="e">
        <f t="shared" si="12"/>
        <v>#DIV/0!</v>
      </c>
      <c r="M96" s="3447" t="e">
        <f t="shared" si="12"/>
        <v>#DIV/0!</v>
      </c>
      <c r="N96" s="214">
        <f t="shared" si="13"/>
        <v>0</v>
      </c>
      <c r="O96" s="214">
        <f t="shared" si="14"/>
        <v>0</v>
      </c>
      <c r="P96" s="214">
        <f>IF(K96=0, 0, (HLOOKUP(K96,'[1]G-CESTDWO'!$A$5:$G$35,J96+1,FALSE)*R46))</f>
        <v>0</v>
      </c>
      <c r="Q96" s="214">
        <f>IF(K96=0, 0, (HLOOKUP(K96,'[1]G-CESTD'!$A$5:$G$35,J96+1,FALSE)*R46))</f>
        <v>0</v>
      </c>
      <c r="R96" s="279">
        <v>1.081</v>
      </c>
      <c r="S96" s="280">
        <f t="shared" si="17"/>
        <v>0</v>
      </c>
      <c r="T96" s="280">
        <f t="shared" si="17"/>
        <v>0</v>
      </c>
      <c r="U96" s="280">
        <f t="shared" si="17"/>
        <v>0</v>
      </c>
    </row>
    <row r="97" spans="2:21">
      <c r="B97" s="282"/>
      <c r="C97" s="282" t="s">
        <v>219</v>
      </c>
      <c r="D97" s="285">
        <v>0</v>
      </c>
      <c r="E97" s="282" t="s">
        <v>559</v>
      </c>
      <c r="F97" s="282" t="s">
        <v>186</v>
      </c>
      <c r="G97" s="283"/>
      <c r="H97" s="283"/>
      <c r="I97" s="311">
        <v>0</v>
      </c>
      <c r="J97" s="257"/>
      <c r="K97" s="257"/>
      <c r="L97" s="3447" t="e">
        <f t="shared" si="12"/>
        <v>#DIV/0!</v>
      </c>
      <c r="M97" s="3447" t="e">
        <f t="shared" si="12"/>
        <v>#DIV/0!</v>
      </c>
      <c r="N97" s="214">
        <f t="shared" si="13"/>
        <v>0</v>
      </c>
      <c r="O97" s="214">
        <f t="shared" si="14"/>
        <v>0</v>
      </c>
      <c r="P97" s="214">
        <f>IF(K97=0, 0, (HLOOKUP(K97,'[1]G-CESTDWO'!$A$5:$G$35,J97+1,FALSE)*R47))</f>
        <v>0</v>
      </c>
      <c r="Q97" s="214">
        <f>IF(K97=0, 0, (HLOOKUP(K97,'[1]G-CESTD'!$A$5:$G$35,J97+1,FALSE)*R47))</f>
        <v>0</v>
      </c>
      <c r="R97" s="279">
        <v>1.081</v>
      </c>
      <c r="S97" s="280">
        <f t="shared" si="17"/>
        <v>0</v>
      </c>
      <c r="T97" s="280">
        <f t="shared" si="17"/>
        <v>0</v>
      </c>
      <c r="U97" s="280">
        <f t="shared" si="17"/>
        <v>0</v>
      </c>
    </row>
    <row r="98" spans="2:21">
      <c r="B98" s="282"/>
      <c r="C98" s="282" t="s">
        <v>220</v>
      </c>
      <c r="D98" s="285">
        <v>0</v>
      </c>
      <c r="E98" s="282" t="s">
        <v>559</v>
      </c>
      <c r="F98" s="282" t="s">
        <v>186</v>
      </c>
      <c r="G98" s="283"/>
      <c r="H98" s="283"/>
      <c r="I98" s="311">
        <v>0</v>
      </c>
      <c r="J98" s="257"/>
      <c r="K98" s="257"/>
      <c r="L98" s="3447" t="e">
        <f t="shared" si="12"/>
        <v>#DIV/0!</v>
      </c>
      <c r="M98" s="3447" t="e">
        <f t="shared" si="12"/>
        <v>#DIV/0!</v>
      </c>
      <c r="N98" s="214">
        <f t="shared" si="13"/>
        <v>0</v>
      </c>
      <c r="O98" s="214">
        <f t="shared" si="14"/>
        <v>0</v>
      </c>
      <c r="P98" s="214">
        <f>IF(K98=0, 0, (HLOOKUP(K98,'[1]G-CESTDWO'!$A$5:$G$35,J98+1,FALSE)*R48))</f>
        <v>0</v>
      </c>
      <c r="Q98" s="214">
        <f>IF(K98=0, 0, (HLOOKUP(K98,'[1]G-CESTD'!$A$5:$G$35,J98+1,FALSE)*R48))</f>
        <v>0</v>
      </c>
      <c r="R98" s="279">
        <v>1.081</v>
      </c>
      <c r="S98" s="280">
        <f t="shared" si="17"/>
        <v>0</v>
      </c>
      <c r="T98" s="280">
        <f t="shared" si="17"/>
        <v>0</v>
      </c>
      <c r="U98" s="280">
        <f t="shared" si="17"/>
        <v>0</v>
      </c>
    </row>
    <row r="99" spans="2:21">
      <c r="B99" s="282"/>
      <c r="C99" s="282" t="s">
        <v>221</v>
      </c>
      <c r="D99" s="285">
        <v>0</v>
      </c>
      <c r="E99" s="282" t="s">
        <v>559</v>
      </c>
      <c r="F99" s="282" t="s">
        <v>186</v>
      </c>
      <c r="G99" s="283"/>
      <c r="H99" s="283"/>
      <c r="I99" s="311">
        <v>0</v>
      </c>
      <c r="J99" s="257"/>
      <c r="K99" s="257"/>
      <c r="L99" s="3447" t="e">
        <f t="shared" si="12"/>
        <v>#DIV/0!</v>
      </c>
      <c r="M99" s="3447" t="e">
        <f t="shared" si="12"/>
        <v>#DIV/0!</v>
      </c>
      <c r="N99" s="214">
        <f t="shared" si="13"/>
        <v>0</v>
      </c>
      <c r="O99" s="214">
        <f t="shared" si="14"/>
        <v>0</v>
      </c>
      <c r="P99" s="214">
        <f>IF(K99=0, 0, (HLOOKUP(K99,'[1]G-CESTDWO'!$A$5:$G$35,J99+1,FALSE)*R49))</f>
        <v>0</v>
      </c>
      <c r="Q99" s="214">
        <f>IF(K99=0, 0, (HLOOKUP(K99,'[1]G-CESTD'!$A$5:$G$35,J99+1,FALSE)*R49))</f>
        <v>0</v>
      </c>
      <c r="R99" s="279">
        <v>1.081</v>
      </c>
      <c r="S99" s="280">
        <f t="shared" si="17"/>
        <v>0</v>
      </c>
      <c r="T99" s="280">
        <f t="shared" si="17"/>
        <v>0</v>
      </c>
      <c r="U99" s="280">
        <f t="shared" si="17"/>
        <v>0</v>
      </c>
    </row>
    <row r="100" spans="2:21">
      <c r="B100" s="282"/>
      <c r="C100" s="282" t="s">
        <v>222</v>
      </c>
      <c r="D100" s="285">
        <v>0</v>
      </c>
      <c r="E100" s="282" t="s">
        <v>559</v>
      </c>
      <c r="F100" s="282" t="s">
        <v>186</v>
      </c>
      <c r="G100" s="283"/>
      <c r="H100" s="283"/>
      <c r="I100" s="311">
        <v>0</v>
      </c>
      <c r="J100" s="257"/>
      <c r="K100" s="257"/>
      <c r="L100" s="3447" t="e">
        <f t="shared" si="12"/>
        <v>#DIV/0!</v>
      </c>
      <c r="M100" s="3447" t="e">
        <f t="shared" si="12"/>
        <v>#DIV/0!</v>
      </c>
      <c r="N100" s="214">
        <f t="shared" si="13"/>
        <v>0</v>
      </c>
      <c r="O100" s="214">
        <f t="shared" si="14"/>
        <v>0</v>
      </c>
      <c r="P100" s="214">
        <f>IF(K100=0, 0, (HLOOKUP(K100,'[1]G-CESTDWO'!$A$5:$G$35,J100+1,FALSE)*R50))</f>
        <v>0</v>
      </c>
      <c r="Q100" s="214">
        <f>IF(K100=0, 0, (HLOOKUP(K100,'[1]G-CESTD'!$A$5:$G$35,J100+1,FALSE)*R50))</f>
        <v>0</v>
      </c>
      <c r="R100" s="279">
        <v>1.081</v>
      </c>
      <c r="S100" s="280">
        <f t="shared" si="17"/>
        <v>0</v>
      </c>
      <c r="T100" s="280">
        <f t="shared" si="17"/>
        <v>0</v>
      </c>
      <c r="U100" s="280">
        <f t="shared" si="17"/>
        <v>0</v>
      </c>
    </row>
    <row r="101" spans="2:21">
      <c r="B101" s="282"/>
      <c r="C101" s="282" t="s">
        <v>223</v>
      </c>
      <c r="D101" s="285">
        <v>0</v>
      </c>
      <c r="E101" s="282" t="s">
        <v>559</v>
      </c>
      <c r="F101" s="282" t="s">
        <v>186</v>
      </c>
      <c r="G101" s="283"/>
      <c r="H101" s="283"/>
      <c r="I101" s="311">
        <v>0</v>
      </c>
      <c r="J101" s="257"/>
      <c r="K101" s="257"/>
      <c r="L101" s="3447" t="e">
        <f t="shared" si="12"/>
        <v>#DIV/0!</v>
      </c>
      <c r="M101" s="3447" t="e">
        <f t="shared" si="12"/>
        <v>#DIV/0!</v>
      </c>
      <c r="N101" s="214">
        <f t="shared" si="13"/>
        <v>0</v>
      </c>
      <c r="O101" s="214">
        <f t="shared" si="14"/>
        <v>0</v>
      </c>
      <c r="P101" s="214">
        <f>IF(K101=0, 0, (HLOOKUP(K101,'[1]G-CESTDWO'!$A$5:$G$35,J101+1,FALSE)*R51))</f>
        <v>0</v>
      </c>
      <c r="Q101" s="214">
        <f>IF(K101=0, 0, (HLOOKUP(K101,'[1]G-CESTD'!$A$5:$G$35,J101+1,FALSE)*R51))</f>
        <v>0</v>
      </c>
      <c r="R101" s="279">
        <v>1.081</v>
      </c>
      <c r="S101" s="280">
        <f t="shared" si="17"/>
        <v>0</v>
      </c>
      <c r="T101" s="280">
        <f t="shared" si="17"/>
        <v>0</v>
      </c>
      <c r="U101" s="280">
        <f t="shared" si="17"/>
        <v>0</v>
      </c>
    </row>
    <row r="102" spans="2:21">
      <c r="B102" s="282"/>
      <c r="C102" s="282" t="s">
        <v>224</v>
      </c>
      <c r="D102" s="285">
        <v>0</v>
      </c>
      <c r="E102" s="282" t="s">
        <v>559</v>
      </c>
      <c r="F102" s="282" t="s">
        <v>186</v>
      </c>
      <c r="G102" s="283"/>
      <c r="H102" s="283"/>
      <c r="I102" s="311">
        <v>0</v>
      </c>
      <c r="J102" s="257"/>
      <c r="K102" s="257"/>
      <c r="L102" s="3447" t="e">
        <f t="shared" si="12"/>
        <v>#DIV/0!</v>
      </c>
      <c r="M102" s="3447" t="e">
        <f t="shared" si="12"/>
        <v>#DIV/0!</v>
      </c>
      <c r="N102" s="214">
        <f t="shared" si="13"/>
        <v>0</v>
      </c>
      <c r="O102" s="214">
        <f t="shared" si="14"/>
        <v>0</v>
      </c>
      <c r="P102" s="214">
        <f>IF(K102=0, 0, (HLOOKUP(K102,'[1]G-CESTDWO'!$A$5:$G$35,J102+1,FALSE)*R52))</f>
        <v>0</v>
      </c>
      <c r="Q102" s="214">
        <f>IF(K102=0, 0, (HLOOKUP(K102,'[1]G-CESTD'!$A$5:$G$35,J102+1,FALSE)*R52))</f>
        <v>0</v>
      </c>
      <c r="R102" s="279">
        <v>1.081</v>
      </c>
      <c r="S102" s="280">
        <f t="shared" si="17"/>
        <v>0</v>
      </c>
      <c r="T102" s="280">
        <f t="shared" si="17"/>
        <v>0</v>
      </c>
      <c r="U102" s="280">
        <f t="shared" si="17"/>
        <v>0</v>
      </c>
    </row>
    <row r="103" spans="2:21">
      <c r="B103" s="282"/>
      <c r="C103" s="282" t="s">
        <v>225</v>
      </c>
      <c r="D103" s="285">
        <v>0</v>
      </c>
      <c r="E103" s="282" t="s">
        <v>559</v>
      </c>
      <c r="F103" s="282" t="s">
        <v>186</v>
      </c>
      <c r="G103" s="283"/>
      <c r="H103" s="283"/>
      <c r="I103" s="311">
        <v>0</v>
      </c>
      <c r="J103" s="257"/>
      <c r="K103" s="257"/>
      <c r="L103" s="3447" t="e">
        <f t="shared" si="12"/>
        <v>#DIV/0!</v>
      </c>
      <c r="M103" s="3447" t="e">
        <f t="shared" si="12"/>
        <v>#DIV/0!</v>
      </c>
      <c r="N103" s="214">
        <f t="shared" si="13"/>
        <v>0</v>
      </c>
      <c r="O103" s="214">
        <f t="shared" si="14"/>
        <v>0</v>
      </c>
      <c r="P103" s="214">
        <f>IF(K103=0, 0, (HLOOKUP(K103,'[1]G-CESTDWO'!$A$5:$G$35,J103+1,FALSE)*R53))</f>
        <v>0</v>
      </c>
      <c r="Q103" s="214">
        <f>IF(K103=0, 0, (HLOOKUP(K103,'[1]G-CESTD'!$A$5:$G$35,J103+1,FALSE)*R53))</f>
        <v>0</v>
      </c>
      <c r="R103" s="279">
        <v>1.081</v>
      </c>
      <c r="S103" s="280">
        <f t="shared" si="17"/>
        <v>0</v>
      </c>
      <c r="T103" s="280">
        <f t="shared" si="17"/>
        <v>0</v>
      </c>
      <c r="U103" s="280">
        <f t="shared" si="17"/>
        <v>0</v>
      </c>
    </row>
    <row r="104" spans="2:21" ht="13.5" thickBot="1">
      <c r="B104" s="282"/>
      <c r="C104" s="282" t="s">
        <v>226</v>
      </c>
      <c r="D104" s="285">
        <v>0</v>
      </c>
      <c r="E104" s="282" t="s">
        <v>559</v>
      </c>
      <c r="F104" s="282" t="s">
        <v>186</v>
      </c>
      <c r="G104" s="283"/>
      <c r="H104" s="283"/>
      <c r="I104" s="311">
        <v>0</v>
      </c>
      <c r="J104" s="257"/>
      <c r="K104" s="257"/>
      <c r="L104" s="3447" t="e">
        <f t="shared" si="12"/>
        <v>#DIV/0!</v>
      </c>
      <c r="M104" s="3447" t="e">
        <f t="shared" si="12"/>
        <v>#DIV/0!</v>
      </c>
      <c r="N104" s="214">
        <f t="shared" si="13"/>
        <v>0</v>
      </c>
      <c r="O104" s="214">
        <f t="shared" si="14"/>
        <v>0</v>
      </c>
      <c r="P104" s="214">
        <f>IF(K104=0, 0, (HLOOKUP(K104,'[1]G-CESTDWO'!$A$5:$G$35,J104+1,FALSE)*R54))</f>
        <v>0</v>
      </c>
      <c r="Q104" s="214">
        <f>IF(K104=0, 0, (HLOOKUP(K104,'[1]G-CESTD'!$A$5:$G$35,J104+1,FALSE)*R54))</f>
        <v>0</v>
      </c>
      <c r="R104" s="279">
        <v>1.081</v>
      </c>
      <c r="S104" s="280">
        <f t="shared" si="17"/>
        <v>0</v>
      </c>
      <c r="T104" s="280">
        <f t="shared" si="17"/>
        <v>0</v>
      </c>
      <c r="U104" s="280">
        <f t="shared" si="17"/>
        <v>0</v>
      </c>
    </row>
    <row r="105" spans="2:21" ht="13.5" thickBot="1">
      <c r="G105" s="286">
        <f>SUMPRODUCT(G63:G104,O13:O54)</f>
        <v>0</v>
      </c>
      <c r="H105" s="287">
        <f>U105</f>
        <v>0</v>
      </c>
      <c r="I105" s="288">
        <f>SUM(I63:I104)</f>
        <v>1</v>
      </c>
      <c r="J105" s="289"/>
      <c r="K105" s="264"/>
      <c r="L105" s="3448" t="e">
        <f>P105/N105</f>
        <v>#DIV/0!</v>
      </c>
      <c r="M105" s="3449" t="e">
        <f>Q105/O105</f>
        <v>#DIV/0!</v>
      </c>
      <c r="N105" s="297">
        <f>SUM(N63:N104)</f>
        <v>0</v>
      </c>
      <c r="O105" s="297">
        <f>SUM(O63:O104)</f>
        <v>0</v>
      </c>
      <c r="P105" s="297">
        <f>SUM(P63:P104)</f>
        <v>0</v>
      </c>
      <c r="Q105" s="297">
        <f>SUM(Q63:Q104)</f>
        <v>0</v>
      </c>
      <c r="R105" s="293">
        <v>1.081</v>
      </c>
      <c r="S105" s="294">
        <f>SUM(S63:S104)</f>
        <v>0</v>
      </c>
      <c r="T105" s="294">
        <f>SUM(T63:T104)</f>
        <v>0</v>
      </c>
      <c r="U105" s="294">
        <f>SUM(U63:U104)</f>
        <v>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 right="0.18" top="0.38" bottom="0.33"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 right="0.18" top="0.38" bottom="0.33" header="0.3" footer="0.3"/>
  <pageSetup paperSize="17" scale="52" orientation="landscape" r:id="rId2"/>
  <drawing r:id="rId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sheetPr enableFormatConditionsCalculation="0">
    <tabColor theme="7" tint="0.59999389629810485"/>
    <pageSetUpPr fitToPage="1"/>
  </sheetPr>
  <dimension ref="A1:Z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7109375" style="3064" customWidth="1"/>
    <col min="2" max="2" width="18.42578125" customWidth="1"/>
    <col min="3" max="3" width="37.28515625" customWidth="1"/>
    <col min="4" max="4" width="15.28515625" style="19" customWidth="1"/>
    <col min="5" max="5" width="15.28515625" customWidth="1"/>
    <col min="6" max="6" width="16.42578125" customWidth="1"/>
    <col min="7" max="7" width="13.42578125" customWidth="1"/>
    <col min="8" max="8" width="15.42578125" bestFit="1" customWidth="1"/>
    <col min="9" max="9" width="14.28515625" bestFit="1" customWidth="1"/>
    <col min="10" max="10" width="15.28515625" customWidth="1"/>
    <col min="11" max="11" width="15.85546875" customWidth="1"/>
    <col min="12" max="12" width="17.140625" bestFit="1" customWidth="1"/>
    <col min="13" max="13" width="12.7109375" customWidth="1"/>
    <col min="14" max="14" width="13.7109375" customWidth="1"/>
    <col min="15" max="15" width="14" bestFit="1" customWidth="1"/>
    <col min="16" max="18" width="19.28515625" bestFit="1" customWidth="1"/>
    <col min="19" max="19" width="20.42578125" bestFit="1" customWidth="1"/>
    <col min="20" max="20" width="20.710937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140625" bestFit="1" customWidth="1"/>
    <col min="259" max="259" width="43.85546875" customWidth="1"/>
    <col min="260" max="260" width="19.85546875" bestFit="1" customWidth="1"/>
    <col min="261" max="261" width="17.140625" bestFit="1" customWidth="1"/>
    <col min="262" max="262" width="18.85546875" bestFit="1" customWidth="1"/>
    <col min="263" max="263" width="13.42578125" customWidth="1"/>
    <col min="264" max="264" width="15.42578125" bestFit="1" customWidth="1"/>
    <col min="265" max="265" width="14.28515625" bestFit="1" customWidth="1"/>
    <col min="266" max="266" width="15.28515625" customWidth="1"/>
    <col min="267" max="267" width="15.85546875" customWidth="1"/>
    <col min="268" max="268" width="17.140625" bestFit="1" customWidth="1"/>
    <col min="269" max="269" width="12.7109375" customWidth="1"/>
    <col min="270" max="270" width="13.7109375" customWidth="1"/>
    <col min="271" max="271" width="14" bestFit="1" customWidth="1"/>
    <col min="272" max="274" width="19.28515625" bestFit="1" customWidth="1"/>
    <col min="275" max="275" width="20.42578125" bestFit="1" customWidth="1"/>
    <col min="276" max="276" width="20.710937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140625" bestFit="1" customWidth="1"/>
    <col min="515" max="515" width="43.85546875" customWidth="1"/>
    <col min="516" max="516" width="19.85546875" bestFit="1" customWidth="1"/>
    <col min="517" max="517" width="17.140625" bestFit="1" customWidth="1"/>
    <col min="518" max="518" width="18.85546875" bestFit="1" customWidth="1"/>
    <col min="519" max="519" width="13.42578125" customWidth="1"/>
    <col min="520" max="520" width="15.42578125" bestFit="1" customWidth="1"/>
    <col min="521" max="521" width="14.28515625" bestFit="1" customWidth="1"/>
    <col min="522" max="522" width="15.28515625" customWidth="1"/>
    <col min="523" max="523" width="15.85546875" customWidth="1"/>
    <col min="524" max="524" width="17.140625" bestFit="1" customWidth="1"/>
    <col min="525" max="525" width="12.7109375" customWidth="1"/>
    <col min="526" max="526" width="13.7109375" customWidth="1"/>
    <col min="527" max="527" width="14" bestFit="1" customWidth="1"/>
    <col min="528" max="530" width="19.28515625" bestFit="1" customWidth="1"/>
    <col min="531" max="531" width="20.42578125" bestFit="1" customWidth="1"/>
    <col min="532" max="532" width="20.710937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140625" bestFit="1" customWidth="1"/>
    <col min="771" max="771" width="43.85546875" customWidth="1"/>
    <col min="772" max="772" width="19.85546875" bestFit="1" customWidth="1"/>
    <col min="773" max="773" width="17.140625" bestFit="1" customWidth="1"/>
    <col min="774" max="774" width="18.85546875" bestFit="1" customWidth="1"/>
    <col min="775" max="775" width="13.42578125" customWidth="1"/>
    <col min="776" max="776" width="15.42578125" bestFit="1" customWidth="1"/>
    <col min="777" max="777" width="14.28515625" bestFit="1" customWidth="1"/>
    <col min="778" max="778" width="15.28515625" customWidth="1"/>
    <col min="779" max="779" width="15.85546875" customWidth="1"/>
    <col min="780" max="780" width="17.140625" bestFit="1" customWidth="1"/>
    <col min="781" max="781" width="12.7109375" customWidth="1"/>
    <col min="782" max="782" width="13.7109375" customWidth="1"/>
    <col min="783" max="783" width="14" bestFit="1" customWidth="1"/>
    <col min="784" max="786" width="19.28515625" bestFit="1" customWidth="1"/>
    <col min="787" max="787" width="20.42578125" bestFit="1" customWidth="1"/>
    <col min="788" max="788" width="20.710937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140625" bestFit="1" customWidth="1"/>
    <col min="1027" max="1027" width="43.85546875" customWidth="1"/>
    <col min="1028" max="1028" width="19.85546875" bestFit="1" customWidth="1"/>
    <col min="1029" max="1029" width="17.140625" bestFit="1" customWidth="1"/>
    <col min="1030" max="1030" width="18.85546875" bestFit="1" customWidth="1"/>
    <col min="1031" max="1031" width="13.42578125" customWidth="1"/>
    <col min="1032" max="1032" width="15.42578125" bestFit="1" customWidth="1"/>
    <col min="1033" max="1033" width="14.28515625" bestFit="1" customWidth="1"/>
    <col min="1034" max="1034" width="15.28515625" customWidth="1"/>
    <col min="1035" max="1035" width="15.85546875" customWidth="1"/>
    <col min="1036" max="1036" width="17.140625" bestFit="1" customWidth="1"/>
    <col min="1037" max="1037" width="12.7109375" customWidth="1"/>
    <col min="1038" max="1038" width="13.7109375" customWidth="1"/>
    <col min="1039" max="1039" width="14" bestFit="1" customWidth="1"/>
    <col min="1040" max="1042" width="19.28515625" bestFit="1" customWidth="1"/>
    <col min="1043" max="1043" width="20.42578125" bestFit="1" customWidth="1"/>
    <col min="1044" max="1044" width="20.710937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140625" bestFit="1" customWidth="1"/>
    <col min="1283" max="1283" width="43.85546875" customWidth="1"/>
    <col min="1284" max="1284" width="19.85546875" bestFit="1" customWidth="1"/>
    <col min="1285" max="1285" width="17.140625" bestFit="1" customWidth="1"/>
    <col min="1286" max="1286" width="18.85546875" bestFit="1" customWidth="1"/>
    <col min="1287" max="1287" width="13.42578125" customWidth="1"/>
    <col min="1288" max="1288" width="15.42578125" bestFit="1" customWidth="1"/>
    <col min="1289" max="1289" width="14.28515625" bestFit="1" customWidth="1"/>
    <col min="1290" max="1290" width="15.28515625" customWidth="1"/>
    <col min="1291" max="1291" width="15.85546875" customWidth="1"/>
    <col min="1292" max="1292" width="17.140625" bestFit="1" customWidth="1"/>
    <col min="1293" max="1293" width="12.7109375" customWidth="1"/>
    <col min="1294" max="1294" width="13.7109375" customWidth="1"/>
    <col min="1295" max="1295" width="14" bestFit="1" customWidth="1"/>
    <col min="1296" max="1298" width="19.28515625" bestFit="1" customWidth="1"/>
    <col min="1299" max="1299" width="20.42578125" bestFit="1" customWidth="1"/>
    <col min="1300" max="1300" width="20.710937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140625" bestFit="1" customWidth="1"/>
    <col min="1539" max="1539" width="43.85546875" customWidth="1"/>
    <col min="1540" max="1540" width="19.85546875" bestFit="1" customWidth="1"/>
    <col min="1541" max="1541" width="17.140625" bestFit="1" customWidth="1"/>
    <col min="1542" max="1542" width="18.85546875" bestFit="1" customWidth="1"/>
    <col min="1543" max="1543" width="13.42578125" customWidth="1"/>
    <col min="1544" max="1544" width="15.42578125" bestFit="1" customWidth="1"/>
    <col min="1545" max="1545" width="14.28515625" bestFit="1" customWidth="1"/>
    <col min="1546" max="1546" width="15.28515625" customWidth="1"/>
    <col min="1547" max="1547" width="15.85546875" customWidth="1"/>
    <col min="1548" max="1548" width="17.140625" bestFit="1" customWidth="1"/>
    <col min="1549" max="1549" width="12.7109375" customWidth="1"/>
    <col min="1550" max="1550" width="13.7109375" customWidth="1"/>
    <col min="1551" max="1551" width="14" bestFit="1" customWidth="1"/>
    <col min="1552" max="1554" width="19.28515625" bestFit="1" customWidth="1"/>
    <col min="1555" max="1555" width="20.42578125" bestFit="1" customWidth="1"/>
    <col min="1556" max="1556" width="20.710937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140625" bestFit="1" customWidth="1"/>
    <col min="1795" max="1795" width="43.85546875" customWidth="1"/>
    <col min="1796" max="1796" width="19.85546875" bestFit="1" customWidth="1"/>
    <col min="1797" max="1797" width="17.140625" bestFit="1" customWidth="1"/>
    <col min="1798" max="1798" width="18.85546875" bestFit="1" customWidth="1"/>
    <col min="1799" max="1799" width="13.42578125" customWidth="1"/>
    <col min="1800" max="1800" width="15.42578125" bestFit="1" customWidth="1"/>
    <col min="1801" max="1801" width="14.28515625" bestFit="1" customWidth="1"/>
    <col min="1802" max="1802" width="15.28515625" customWidth="1"/>
    <col min="1803" max="1803" width="15.85546875" customWidth="1"/>
    <col min="1804" max="1804" width="17.140625" bestFit="1" customWidth="1"/>
    <col min="1805" max="1805" width="12.7109375" customWidth="1"/>
    <col min="1806" max="1806" width="13.7109375" customWidth="1"/>
    <col min="1807" max="1807" width="14" bestFit="1" customWidth="1"/>
    <col min="1808" max="1810" width="19.28515625" bestFit="1" customWidth="1"/>
    <col min="1811" max="1811" width="20.42578125" bestFit="1" customWidth="1"/>
    <col min="1812" max="1812" width="20.710937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140625" bestFit="1" customWidth="1"/>
    <col min="2051" max="2051" width="43.85546875" customWidth="1"/>
    <col min="2052" max="2052" width="19.85546875" bestFit="1" customWidth="1"/>
    <col min="2053" max="2053" width="17.140625" bestFit="1" customWidth="1"/>
    <col min="2054" max="2054" width="18.85546875" bestFit="1" customWidth="1"/>
    <col min="2055" max="2055" width="13.42578125" customWidth="1"/>
    <col min="2056" max="2056" width="15.42578125" bestFit="1" customWidth="1"/>
    <col min="2057" max="2057" width="14.28515625" bestFit="1" customWidth="1"/>
    <col min="2058" max="2058" width="15.28515625" customWidth="1"/>
    <col min="2059" max="2059" width="15.85546875" customWidth="1"/>
    <col min="2060" max="2060" width="17.140625" bestFit="1" customWidth="1"/>
    <col min="2061" max="2061" width="12.7109375" customWidth="1"/>
    <col min="2062" max="2062" width="13.7109375" customWidth="1"/>
    <col min="2063" max="2063" width="14" bestFit="1" customWidth="1"/>
    <col min="2064" max="2066" width="19.28515625" bestFit="1" customWidth="1"/>
    <col min="2067" max="2067" width="20.42578125" bestFit="1" customWidth="1"/>
    <col min="2068" max="2068" width="20.710937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140625" bestFit="1" customWidth="1"/>
    <col min="2307" max="2307" width="43.85546875" customWidth="1"/>
    <col min="2308" max="2308" width="19.85546875" bestFit="1" customWidth="1"/>
    <col min="2309" max="2309" width="17.140625" bestFit="1" customWidth="1"/>
    <col min="2310" max="2310" width="18.85546875" bestFit="1" customWidth="1"/>
    <col min="2311" max="2311" width="13.42578125" customWidth="1"/>
    <col min="2312" max="2312" width="15.42578125" bestFit="1" customWidth="1"/>
    <col min="2313" max="2313" width="14.28515625" bestFit="1" customWidth="1"/>
    <col min="2314" max="2314" width="15.28515625" customWidth="1"/>
    <col min="2315" max="2315" width="15.85546875" customWidth="1"/>
    <col min="2316" max="2316" width="17.140625" bestFit="1" customWidth="1"/>
    <col min="2317" max="2317" width="12.7109375" customWidth="1"/>
    <col min="2318" max="2318" width="13.7109375" customWidth="1"/>
    <col min="2319" max="2319" width="14" bestFit="1" customWidth="1"/>
    <col min="2320" max="2322" width="19.28515625" bestFit="1" customWidth="1"/>
    <col min="2323" max="2323" width="20.42578125" bestFit="1" customWidth="1"/>
    <col min="2324" max="2324" width="20.710937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140625" bestFit="1" customWidth="1"/>
    <col min="2563" max="2563" width="43.85546875" customWidth="1"/>
    <col min="2564" max="2564" width="19.85546875" bestFit="1" customWidth="1"/>
    <col min="2565" max="2565" width="17.140625" bestFit="1" customWidth="1"/>
    <col min="2566" max="2566" width="18.85546875" bestFit="1" customWidth="1"/>
    <col min="2567" max="2567" width="13.42578125" customWidth="1"/>
    <col min="2568" max="2568" width="15.42578125" bestFit="1" customWidth="1"/>
    <col min="2569" max="2569" width="14.28515625" bestFit="1" customWidth="1"/>
    <col min="2570" max="2570" width="15.28515625" customWidth="1"/>
    <col min="2571" max="2571" width="15.85546875" customWidth="1"/>
    <col min="2572" max="2572" width="17.140625" bestFit="1" customWidth="1"/>
    <col min="2573" max="2573" width="12.7109375" customWidth="1"/>
    <col min="2574" max="2574" width="13.7109375" customWidth="1"/>
    <col min="2575" max="2575" width="14" bestFit="1" customWidth="1"/>
    <col min="2576" max="2578" width="19.28515625" bestFit="1" customWidth="1"/>
    <col min="2579" max="2579" width="20.42578125" bestFit="1" customWidth="1"/>
    <col min="2580" max="2580" width="20.710937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140625" bestFit="1" customWidth="1"/>
    <col min="2819" max="2819" width="43.85546875" customWidth="1"/>
    <col min="2820" max="2820" width="19.85546875" bestFit="1" customWidth="1"/>
    <col min="2821" max="2821" width="17.140625" bestFit="1" customWidth="1"/>
    <col min="2822" max="2822" width="18.85546875" bestFit="1" customWidth="1"/>
    <col min="2823" max="2823" width="13.42578125" customWidth="1"/>
    <col min="2824" max="2824" width="15.42578125" bestFit="1" customWidth="1"/>
    <col min="2825" max="2825" width="14.28515625" bestFit="1" customWidth="1"/>
    <col min="2826" max="2826" width="15.28515625" customWidth="1"/>
    <col min="2827" max="2827" width="15.85546875" customWidth="1"/>
    <col min="2828" max="2828" width="17.140625" bestFit="1" customWidth="1"/>
    <col min="2829" max="2829" width="12.7109375" customWidth="1"/>
    <col min="2830" max="2830" width="13.7109375" customWidth="1"/>
    <col min="2831" max="2831" width="14" bestFit="1" customWidth="1"/>
    <col min="2832" max="2834" width="19.28515625" bestFit="1" customWidth="1"/>
    <col min="2835" max="2835" width="20.42578125" bestFit="1" customWidth="1"/>
    <col min="2836" max="2836" width="20.710937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140625" bestFit="1" customWidth="1"/>
    <col min="3075" max="3075" width="43.85546875" customWidth="1"/>
    <col min="3076" max="3076" width="19.85546875" bestFit="1" customWidth="1"/>
    <col min="3077" max="3077" width="17.140625" bestFit="1" customWidth="1"/>
    <col min="3078" max="3078" width="18.85546875" bestFit="1" customWidth="1"/>
    <col min="3079" max="3079" width="13.42578125" customWidth="1"/>
    <col min="3080" max="3080" width="15.42578125" bestFit="1" customWidth="1"/>
    <col min="3081" max="3081" width="14.28515625" bestFit="1" customWidth="1"/>
    <col min="3082" max="3082" width="15.28515625" customWidth="1"/>
    <col min="3083" max="3083" width="15.85546875" customWidth="1"/>
    <col min="3084" max="3084" width="17.140625" bestFit="1" customWidth="1"/>
    <col min="3085" max="3085" width="12.7109375" customWidth="1"/>
    <col min="3086" max="3086" width="13.7109375" customWidth="1"/>
    <col min="3087" max="3087" width="14" bestFit="1" customWidth="1"/>
    <col min="3088" max="3090" width="19.28515625" bestFit="1" customWidth="1"/>
    <col min="3091" max="3091" width="20.42578125" bestFit="1" customWidth="1"/>
    <col min="3092" max="3092" width="20.710937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140625" bestFit="1" customWidth="1"/>
    <col min="3331" max="3331" width="43.85546875" customWidth="1"/>
    <col min="3332" max="3332" width="19.85546875" bestFit="1" customWidth="1"/>
    <col min="3333" max="3333" width="17.140625" bestFit="1" customWidth="1"/>
    <col min="3334" max="3334" width="18.85546875" bestFit="1" customWidth="1"/>
    <col min="3335" max="3335" width="13.42578125" customWidth="1"/>
    <col min="3336" max="3336" width="15.42578125" bestFit="1" customWidth="1"/>
    <col min="3337" max="3337" width="14.28515625" bestFit="1" customWidth="1"/>
    <col min="3338" max="3338" width="15.28515625" customWidth="1"/>
    <col min="3339" max="3339" width="15.85546875" customWidth="1"/>
    <col min="3340" max="3340" width="17.140625" bestFit="1" customWidth="1"/>
    <col min="3341" max="3341" width="12.7109375" customWidth="1"/>
    <col min="3342" max="3342" width="13.7109375" customWidth="1"/>
    <col min="3343" max="3343" width="14" bestFit="1" customWidth="1"/>
    <col min="3344" max="3346" width="19.28515625" bestFit="1" customWidth="1"/>
    <col min="3347" max="3347" width="20.42578125" bestFit="1" customWidth="1"/>
    <col min="3348" max="3348" width="20.710937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140625" bestFit="1" customWidth="1"/>
    <col min="3587" max="3587" width="43.85546875" customWidth="1"/>
    <col min="3588" max="3588" width="19.85546875" bestFit="1" customWidth="1"/>
    <col min="3589" max="3589" width="17.140625" bestFit="1" customWidth="1"/>
    <col min="3590" max="3590" width="18.85546875" bestFit="1" customWidth="1"/>
    <col min="3591" max="3591" width="13.42578125" customWidth="1"/>
    <col min="3592" max="3592" width="15.42578125" bestFit="1" customWidth="1"/>
    <col min="3593" max="3593" width="14.28515625" bestFit="1" customWidth="1"/>
    <col min="3594" max="3594" width="15.28515625" customWidth="1"/>
    <col min="3595" max="3595" width="15.85546875" customWidth="1"/>
    <col min="3596" max="3596" width="17.140625" bestFit="1" customWidth="1"/>
    <col min="3597" max="3597" width="12.7109375" customWidth="1"/>
    <col min="3598" max="3598" width="13.7109375" customWidth="1"/>
    <col min="3599" max="3599" width="14" bestFit="1" customWidth="1"/>
    <col min="3600" max="3602" width="19.28515625" bestFit="1" customWidth="1"/>
    <col min="3603" max="3603" width="20.42578125" bestFit="1" customWidth="1"/>
    <col min="3604" max="3604" width="20.710937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140625" bestFit="1" customWidth="1"/>
    <col min="3843" max="3843" width="43.85546875" customWidth="1"/>
    <col min="3844" max="3844" width="19.85546875" bestFit="1" customWidth="1"/>
    <col min="3845" max="3845" width="17.140625" bestFit="1" customWidth="1"/>
    <col min="3846" max="3846" width="18.85546875" bestFit="1" customWidth="1"/>
    <col min="3847" max="3847" width="13.42578125" customWidth="1"/>
    <col min="3848" max="3848" width="15.42578125" bestFit="1" customWidth="1"/>
    <col min="3849" max="3849" width="14.28515625" bestFit="1" customWidth="1"/>
    <col min="3850" max="3850" width="15.28515625" customWidth="1"/>
    <col min="3851" max="3851" width="15.85546875" customWidth="1"/>
    <col min="3852" max="3852" width="17.140625" bestFit="1" customWidth="1"/>
    <col min="3853" max="3853" width="12.7109375" customWidth="1"/>
    <col min="3854" max="3854" width="13.7109375" customWidth="1"/>
    <col min="3855" max="3855" width="14" bestFit="1" customWidth="1"/>
    <col min="3856" max="3858" width="19.28515625" bestFit="1" customWidth="1"/>
    <col min="3859" max="3859" width="20.42578125" bestFit="1" customWidth="1"/>
    <col min="3860" max="3860" width="20.710937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140625" bestFit="1" customWidth="1"/>
    <col min="4099" max="4099" width="43.85546875" customWidth="1"/>
    <col min="4100" max="4100" width="19.85546875" bestFit="1" customWidth="1"/>
    <col min="4101" max="4101" width="17.140625" bestFit="1" customWidth="1"/>
    <col min="4102" max="4102" width="18.85546875" bestFit="1" customWidth="1"/>
    <col min="4103" max="4103" width="13.42578125" customWidth="1"/>
    <col min="4104" max="4104" width="15.42578125" bestFit="1" customWidth="1"/>
    <col min="4105" max="4105" width="14.28515625" bestFit="1" customWidth="1"/>
    <col min="4106" max="4106" width="15.28515625" customWidth="1"/>
    <col min="4107" max="4107" width="15.85546875" customWidth="1"/>
    <col min="4108" max="4108" width="17.140625" bestFit="1" customWidth="1"/>
    <col min="4109" max="4109" width="12.7109375" customWidth="1"/>
    <col min="4110" max="4110" width="13.7109375" customWidth="1"/>
    <col min="4111" max="4111" width="14" bestFit="1" customWidth="1"/>
    <col min="4112" max="4114" width="19.28515625" bestFit="1" customWidth="1"/>
    <col min="4115" max="4115" width="20.42578125" bestFit="1" customWidth="1"/>
    <col min="4116" max="4116" width="20.710937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140625" bestFit="1" customWidth="1"/>
    <col min="4355" max="4355" width="43.85546875" customWidth="1"/>
    <col min="4356" max="4356" width="19.85546875" bestFit="1" customWidth="1"/>
    <col min="4357" max="4357" width="17.140625" bestFit="1" customWidth="1"/>
    <col min="4358" max="4358" width="18.85546875" bestFit="1" customWidth="1"/>
    <col min="4359" max="4359" width="13.42578125" customWidth="1"/>
    <col min="4360" max="4360" width="15.42578125" bestFit="1" customWidth="1"/>
    <col min="4361" max="4361" width="14.28515625" bestFit="1" customWidth="1"/>
    <col min="4362" max="4362" width="15.28515625" customWidth="1"/>
    <col min="4363" max="4363" width="15.85546875" customWidth="1"/>
    <col min="4364" max="4364" width="17.140625" bestFit="1" customWidth="1"/>
    <col min="4365" max="4365" width="12.7109375" customWidth="1"/>
    <col min="4366" max="4366" width="13.7109375" customWidth="1"/>
    <col min="4367" max="4367" width="14" bestFit="1" customWidth="1"/>
    <col min="4368" max="4370" width="19.28515625" bestFit="1" customWidth="1"/>
    <col min="4371" max="4371" width="20.42578125" bestFit="1" customWidth="1"/>
    <col min="4372" max="4372" width="20.710937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140625" bestFit="1" customWidth="1"/>
    <col min="4611" max="4611" width="43.85546875" customWidth="1"/>
    <col min="4612" max="4612" width="19.85546875" bestFit="1" customWidth="1"/>
    <col min="4613" max="4613" width="17.140625" bestFit="1" customWidth="1"/>
    <col min="4614" max="4614" width="18.85546875" bestFit="1" customWidth="1"/>
    <col min="4615" max="4615" width="13.42578125" customWidth="1"/>
    <col min="4616" max="4616" width="15.42578125" bestFit="1" customWidth="1"/>
    <col min="4617" max="4617" width="14.28515625" bestFit="1" customWidth="1"/>
    <col min="4618" max="4618" width="15.28515625" customWidth="1"/>
    <col min="4619" max="4619" width="15.85546875" customWidth="1"/>
    <col min="4620" max="4620" width="17.140625" bestFit="1" customWidth="1"/>
    <col min="4621" max="4621" width="12.7109375" customWidth="1"/>
    <col min="4622" max="4622" width="13.7109375" customWidth="1"/>
    <col min="4623" max="4623" width="14" bestFit="1" customWidth="1"/>
    <col min="4624" max="4626" width="19.28515625" bestFit="1" customWidth="1"/>
    <col min="4627" max="4627" width="20.42578125" bestFit="1" customWidth="1"/>
    <col min="4628" max="4628" width="20.710937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140625" bestFit="1" customWidth="1"/>
    <col min="4867" max="4867" width="43.85546875" customWidth="1"/>
    <col min="4868" max="4868" width="19.85546875" bestFit="1" customWidth="1"/>
    <col min="4869" max="4869" width="17.140625" bestFit="1" customWidth="1"/>
    <col min="4870" max="4870" width="18.85546875" bestFit="1" customWidth="1"/>
    <col min="4871" max="4871" width="13.42578125" customWidth="1"/>
    <col min="4872" max="4872" width="15.42578125" bestFit="1" customWidth="1"/>
    <col min="4873" max="4873" width="14.28515625" bestFit="1" customWidth="1"/>
    <col min="4874" max="4874" width="15.28515625" customWidth="1"/>
    <col min="4875" max="4875" width="15.85546875" customWidth="1"/>
    <col min="4876" max="4876" width="17.140625" bestFit="1" customWidth="1"/>
    <col min="4877" max="4877" width="12.7109375" customWidth="1"/>
    <col min="4878" max="4878" width="13.7109375" customWidth="1"/>
    <col min="4879" max="4879" width="14" bestFit="1" customWidth="1"/>
    <col min="4880" max="4882" width="19.28515625" bestFit="1" customWidth="1"/>
    <col min="4883" max="4883" width="20.42578125" bestFit="1" customWidth="1"/>
    <col min="4884" max="4884" width="20.710937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140625" bestFit="1" customWidth="1"/>
    <col min="5123" max="5123" width="43.85546875" customWidth="1"/>
    <col min="5124" max="5124" width="19.85546875" bestFit="1" customWidth="1"/>
    <col min="5125" max="5125" width="17.140625" bestFit="1" customWidth="1"/>
    <col min="5126" max="5126" width="18.85546875" bestFit="1" customWidth="1"/>
    <col min="5127" max="5127" width="13.42578125" customWidth="1"/>
    <col min="5128" max="5128" width="15.42578125" bestFit="1" customWidth="1"/>
    <col min="5129" max="5129" width="14.28515625" bestFit="1" customWidth="1"/>
    <col min="5130" max="5130" width="15.28515625" customWidth="1"/>
    <col min="5131" max="5131" width="15.85546875" customWidth="1"/>
    <col min="5132" max="5132" width="17.140625" bestFit="1" customWidth="1"/>
    <col min="5133" max="5133" width="12.7109375" customWidth="1"/>
    <col min="5134" max="5134" width="13.7109375" customWidth="1"/>
    <col min="5135" max="5135" width="14" bestFit="1" customWidth="1"/>
    <col min="5136" max="5138" width="19.28515625" bestFit="1" customWidth="1"/>
    <col min="5139" max="5139" width="20.42578125" bestFit="1" customWidth="1"/>
    <col min="5140" max="5140" width="20.710937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140625" bestFit="1" customWidth="1"/>
    <col min="5379" max="5379" width="43.85546875" customWidth="1"/>
    <col min="5380" max="5380" width="19.85546875" bestFit="1" customWidth="1"/>
    <col min="5381" max="5381" width="17.140625" bestFit="1" customWidth="1"/>
    <col min="5382" max="5382" width="18.85546875" bestFit="1" customWidth="1"/>
    <col min="5383" max="5383" width="13.42578125" customWidth="1"/>
    <col min="5384" max="5384" width="15.42578125" bestFit="1" customWidth="1"/>
    <col min="5385" max="5385" width="14.28515625" bestFit="1" customWidth="1"/>
    <col min="5386" max="5386" width="15.28515625" customWidth="1"/>
    <col min="5387" max="5387" width="15.85546875" customWidth="1"/>
    <col min="5388" max="5388" width="17.140625" bestFit="1" customWidth="1"/>
    <col min="5389" max="5389" width="12.7109375" customWidth="1"/>
    <col min="5390" max="5390" width="13.7109375" customWidth="1"/>
    <col min="5391" max="5391" width="14" bestFit="1" customWidth="1"/>
    <col min="5392" max="5394" width="19.28515625" bestFit="1" customWidth="1"/>
    <col min="5395" max="5395" width="20.42578125" bestFit="1" customWidth="1"/>
    <col min="5396" max="5396" width="20.710937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140625" bestFit="1" customWidth="1"/>
    <col min="5635" max="5635" width="43.85546875" customWidth="1"/>
    <col min="5636" max="5636" width="19.85546875" bestFit="1" customWidth="1"/>
    <col min="5637" max="5637" width="17.140625" bestFit="1" customWidth="1"/>
    <col min="5638" max="5638" width="18.85546875" bestFit="1" customWidth="1"/>
    <col min="5639" max="5639" width="13.42578125" customWidth="1"/>
    <col min="5640" max="5640" width="15.42578125" bestFit="1" customWidth="1"/>
    <col min="5641" max="5641" width="14.28515625" bestFit="1" customWidth="1"/>
    <col min="5642" max="5642" width="15.28515625" customWidth="1"/>
    <col min="5643" max="5643" width="15.85546875" customWidth="1"/>
    <col min="5644" max="5644" width="17.140625" bestFit="1" customWidth="1"/>
    <col min="5645" max="5645" width="12.7109375" customWidth="1"/>
    <col min="5646" max="5646" width="13.7109375" customWidth="1"/>
    <col min="5647" max="5647" width="14" bestFit="1" customWidth="1"/>
    <col min="5648" max="5650" width="19.28515625" bestFit="1" customWidth="1"/>
    <col min="5651" max="5651" width="20.42578125" bestFit="1" customWidth="1"/>
    <col min="5652" max="5652" width="20.710937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140625" bestFit="1" customWidth="1"/>
    <col min="5891" max="5891" width="43.85546875" customWidth="1"/>
    <col min="5892" max="5892" width="19.85546875" bestFit="1" customWidth="1"/>
    <col min="5893" max="5893" width="17.140625" bestFit="1" customWidth="1"/>
    <col min="5894" max="5894" width="18.85546875" bestFit="1" customWidth="1"/>
    <col min="5895" max="5895" width="13.42578125" customWidth="1"/>
    <col min="5896" max="5896" width="15.42578125" bestFit="1" customWidth="1"/>
    <col min="5897" max="5897" width="14.28515625" bestFit="1" customWidth="1"/>
    <col min="5898" max="5898" width="15.28515625" customWidth="1"/>
    <col min="5899" max="5899" width="15.85546875" customWidth="1"/>
    <col min="5900" max="5900" width="17.140625" bestFit="1" customWidth="1"/>
    <col min="5901" max="5901" width="12.7109375" customWidth="1"/>
    <col min="5902" max="5902" width="13.7109375" customWidth="1"/>
    <col min="5903" max="5903" width="14" bestFit="1" customWidth="1"/>
    <col min="5904" max="5906" width="19.28515625" bestFit="1" customWidth="1"/>
    <col min="5907" max="5907" width="20.42578125" bestFit="1" customWidth="1"/>
    <col min="5908" max="5908" width="20.710937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140625" bestFit="1" customWidth="1"/>
    <col min="6147" max="6147" width="43.85546875" customWidth="1"/>
    <col min="6148" max="6148" width="19.85546875" bestFit="1" customWidth="1"/>
    <col min="6149" max="6149" width="17.140625" bestFit="1" customWidth="1"/>
    <col min="6150" max="6150" width="18.85546875" bestFit="1" customWidth="1"/>
    <col min="6151" max="6151" width="13.42578125" customWidth="1"/>
    <col min="6152" max="6152" width="15.42578125" bestFit="1" customWidth="1"/>
    <col min="6153" max="6153" width="14.28515625" bestFit="1" customWidth="1"/>
    <col min="6154" max="6154" width="15.28515625" customWidth="1"/>
    <col min="6155" max="6155" width="15.85546875" customWidth="1"/>
    <col min="6156" max="6156" width="17.140625" bestFit="1" customWidth="1"/>
    <col min="6157" max="6157" width="12.7109375" customWidth="1"/>
    <col min="6158" max="6158" width="13.7109375" customWidth="1"/>
    <col min="6159" max="6159" width="14" bestFit="1" customWidth="1"/>
    <col min="6160" max="6162" width="19.28515625" bestFit="1" customWidth="1"/>
    <col min="6163" max="6163" width="20.42578125" bestFit="1" customWidth="1"/>
    <col min="6164" max="6164" width="20.710937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140625" bestFit="1" customWidth="1"/>
    <col min="6403" max="6403" width="43.85546875" customWidth="1"/>
    <col min="6404" max="6404" width="19.85546875" bestFit="1" customWidth="1"/>
    <col min="6405" max="6405" width="17.140625" bestFit="1" customWidth="1"/>
    <col min="6406" max="6406" width="18.85546875" bestFit="1" customWidth="1"/>
    <col min="6407" max="6407" width="13.42578125" customWidth="1"/>
    <col min="6408" max="6408" width="15.42578125" bestFit="1" customWidth="1"/>
    <col min="6409" max="6409" width="14.28515625" bestFit="1" customWidth="1"/>
    <col min="6410" max="6410" width="15.28515625" customWidth="1"/>
    <col min="6411" max="6411" width="15.85546875" customWidth="1"/>
    <col min="6412" max="6412" width="17.140625" bestFit="1" customWidth="1"/>
    <col min="6413" max="6413" width="12.7109375" customWidth="1"/>
    <col min="6414" max="6414" width="13.7109375" customWidth="1"/>
    <col min="6415" max="6415" width="14" bestFit="1" customWidth="1"/>
    <col min="6416" max="6418" width="19.28515625" bestFit="1" customWidth="1"/>
    <col min="6419" max="6419" width="20.42578125" bestFit="1" customWidth="1"/>
    <col min="6420" max="6420" width="20.710937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140625" bestFit="1" customWidth="1"/>
    <col min="6659" max="6659" width="43.85546875" customWidth="1"/>
    <col min="6660" max="6660" width="19.85546875" bestFit="1" customWidth="1"/>
    <col min="6661" max="6661" width="17.140625" bestFit="1" customWidth="1"/>
    <col min="6662" max="6662" width="18.85546875" bestFit="1" customWidth="1"/>
    <col min="6663" max="6663" width="13.42578125" customWidth="1"/>
    <col min="6664" max="6664" width="15.42578125" bestFit="1" customWidth="1"/>
    <col min="6665" max="6665" width="14.28515625" bestFit="1" customWidth="1"/>
    <col min="6666" max="6666" width="15.28515625" customWidth="1"/>
    <col min="6667" max="6667" width="15.85546875" customWidth="1"/>
    <col min="6668" max="6668" width="17.140625" bestFit="1" customWidth="1"/>
    <col min="6669" max="6669" width="12.7109375" customWidth="1"/>
    <col min="6670" max="6670" width="13.7109375" customWidth="1"/>
    <col min="6671" max="6671" width="14" bestFit="1" customWidth="1"/>
    <col min="6672" max="6674" width="19.28515625" bestFit="1" customWidth="1"/>
    <col min="6675" max="6675" width="20.42578125" bestFit="1" customWidth="1"/>
    <col min="6676" max="6676" width="20.710937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140625" bestFit="1" customWidth="1"/>
    <col min="6915" max="6915" width="43.85546875" customWidth="1"/>
    <col min="6916" max="6916" width="19.85546875" bestFit="1" customWidth="1"/>
    <col min="6917" max="6917" width="17.140625" bestFit="1" customWidth="1"/>
    <col min="6918" max="6918" width="18.85546875" bestFit="1" customWidth="1"/>
    <col min="6919" max="6919" width="13.42578125" customWidth="1"/>
    <col min="6920" max="6920" width="15.42578125" bestFit="1" customWidth="1"/>
    <col min="6921" max="6921" width="14.28515625" bestFit="1" customWidth="1"/>
    <col min="6922" max="6922" width="15.28515625" customWidth="1"/>
    <col min="6923" max="6923" width="15.85546875" customWidth="1"/>
    <col min="6924" max="6924" width="17.140625" bestFit="1" customWidth="1"/>
    <col min="6925" max="6925" width="12.7109375" customWidth="1"/>
    <col min="6926" max="6926" width="13.7109375" customWidth="1"/>
    <col min="6927" max="6927" width="14" bestFit="1" customWidth="1"/>
    <col min="6928" max="6930" width="19.28515625" bestFit="1" customWidth="1"/>
    <col min="6931" max="6931" width="20.42578125" bestFit="1" customWidth="1"/>
    <col min="6932" max="6932" width="20.710937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140625" bestFit="1" customWidth="1"/>
    <col min="7171" max="7171" width="43.85546875" customWidth="1"/>
    <col min="7172" max="7172" width="19.85546875" bestFit="1" customWidth="1"/>
    <col min="7173" max="7173" width="17.140625" bestFit="1" customWidth="1"/>
    <col min="7174" max="7174" width="18.85546875" bestFit="1" customWidth="1"/>
    <col min="7175" max="7175" width="13.42578125" customWidth="1"/>
    <col min="7176" max="7176" width="15.42578125" bestFit="1" customWidth="1"/>
    <col min="7177" max="7177" width="14.28515625" bestFit="1" customWidth="1"/>
    <col min="7178" max="7178" width="15.28515625" customWidth="1"/>
    <col min="7179" max="7179" width="15.85546875" customWidth="1"/>
    <col min="7180" max="7180" width="17.140625" bestFit="1" customWidth="1"/>
    <col min="7181" max="7181" width="12.7109375" customWidth="1"/>
    <col min="7182" max="7182" width="13.7109375" customWidth="1"/>
    <col min="7183" max="7183" width="14" bestFit="1" customWidth="1"/>
    <col min="7184" max="7186" width="19.28515625" bestFit="1" customWidth="1"/>
    <col min="7187" max="7187" width="20.42578125" bestFit="1" customWidth="1"/>
    <col min="7188" max="7188" width="20.710937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140625" bestFit="1" customWidth="1"/>
    <col min="7427" max="7427" width="43.85546875" customWidth="1"/>
    <col min="7428" max="7428" width="19.85546875" bestFit="1" customWidth="1"/>
    <col min="7429" max="7429" width="17.140625" bestFit="1" customWidth="1"/>
    <col min="7430" max="7430" width="18.85546875" bestFit="1" customWidth="1"/>
    <col min="7431" max="7431" width="13.42578125" customWidth="1"/>
    <col min="7432" max="7432" width="15.42578125" bestFit="1" customWidth="1"/>
    <col min="7433" max="7433" width="14.28515625" bestFit="1" customWidth="1"/>
    <col min="7434" max="7434" width="15.28515625" customWidth="1"/>
    <col min="7435" max="7435" width="15.85546875" customWidth="1"/>
    <col min="7436" max="7436" width="17.140625" bestFit="1" customWidth="1"/>
    <col min="7437" max="7437" width="12.7109375" customWidth="1"/>
    <col min="7438" max="7438" width="13.7109375" customWidth="1"/>
    <col min="7439" max="7439" width="14" bestFit="1" customWidth="1"/>
    <col min="7440" max="7442" width="19.28515625" bestFit="1" customWidth="1"/>
    <col min="7443" max="7443" width="20.42578125" bestFit="1" customWidth="1"/>
    <col min="7444" max="7444" width="20.710937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140625" bestFit="1" customWidth="1"/>
    <col min="7683" max="7683" width="43.85546875" customWidth="1"/>
    <col min="7684" max="7684" width="19.85546875" bestFit="1" customWidth="1"/>
    <col min="7685" max="7685" width="17.140625" bestFit="1" customWidth="1"/>
    <col min="7686" max="7686" width="18.85546875" bestFit="1" customWidth="1"/>
    <col min="7687" max="7687" width="13.42578125" customWidth="1"/>
    <col min="7688" max="7688" width="15.42578125" bestFit="1" customWidth="1"/>
    <col min="7689" max="7689" width="14.28515625" bestFit="1" customWidth="1"/>
    <col min="7690" max="7690" width="15.28515625" customWidth="1"/>
    <col min="7691" max="7691" width="15.85546875" customWidth="1"/>
    <col min="7692" max="7692" width="17.140625" bestFit="1" customWidth="1"/>
    <col min="7693" max="7693" width="12.7109375" customWidth="1"/>
    <col min="7694" max="7694" width="13.7109375" customWidth="1"/>
    <col min="7695" max="7695" width="14" bestFit="1" customWidth="1"/>
    <col min="7696" max="7698" width="19.28515625" bestFit="1" customWidth="1"/>
    <col min="7699" max="7699" width="20.42578125" bestFit="1" customWidth="1"/>
    <col min="7700" max="7700" width="20.710937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140625" bestFit="1" customWidth="1"/>
    <col min="7939" max="7939" width="43.85546875" customWidth="1"/>
    <col min="7940" max="7940" width="19.85546875" bestFit="1" customWidth="1"/>
    <col min="7941" max="7941" width="17.140625" bestFit="1" customWidth="1"/>
    <col min="7942" max="7942" width="18.85546875" bestFit="1" customWidth="1"/>
    <col min="7943" max="7943" width="13.42578125" customWidth="1"/>
    <col min="7944" max="7944" width="15.42578125" bestFit="1" customWidth="1"/>
    <col min="7945" max="7945" width="14.28515625" bestFit="1" customWidth="1"/>
    <col min="7946" max="7946" width="15.28515625" customWidth="1"/>
    <col min="7947" max="7947" width="15.85546875" customWidth="1"/>
    <col min="7948" max="7948" width="17.140625" bestFit="1" customWidth="1"/>
    <col min="7949" max="7949" width="12.7109375" customWidth="1"/>
    <col min="7950" max="7950" width="13.7109375" customWidth="1"/>
    <col min="7951" max="7951" width="14" bestFit="1" customWidth="1"/>
    <col min="7952" max="7954" width="19.28515625" bestFit="1" customWidth="1"/>
    <col min="7955" max="7955" width="20.42578125" bestFit="1" customWidth="1"/>
    <col min="7956" max="7956" width="20.710937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140625" bestFit="1" customWidth="1"/>
    <col min="8195" max="8195" width="43.85546875" customWidth="1"/>
    <col min="8196" max="8196" width="19.85546875" bestFit="1" customWidth="1"/>
    <col min="8197" max="8197" width="17.140625" bestFit="1" customWidth="1"/>
    <col min="8198" max="8198" width="18.85546875" bestFit="1" customWidth="1"/>
    <col min="8199" max="8199" width="13.42578125" customWidth="1"/>
    <col min="8200" max="8200" width="15.42578125" bestFit="1" customWidth="1"/>
    <col min="8201" max="8201" width="14.28515625" bestFit="1" customWidth="1"/>
    <col min="8202" max="8202" width="15.28515625" customWidth="1"/>
    <col min="8203" max="8203" width="15.85546875" customWidth="1"/>
    <col min="8204" max="8204" width="17.140625" bestFit="1" customWidth="1"/>
    <col min="8205" max="8205" width="12.7109375" customWidth="1"/>
    <col min="8206" max="8206" width="13.7109375" customWidth="1"/>
    <col min="8207" max="8207" width="14" bestFit="1" customWidth="1"/>
    <col min="8208" max="8210" width="19.28515625" bestFit="1" customWidth="1"/>
    <col min="8211" max="8211" width="20.42578125" bestFit="1" customWidth="1"/>
    <col min="8212" max="8212" width="20.710937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140625" bestFit="1" customWidth="1"/>
    <col min="8451" max="8451" width="43.85546875" customWidth="1"/>
    <col min="8452" max="8452" width="19.85546875" bestFit="1" customWidth="1"/>
    <col min="8453" max="8453" width="17.140625" bestFit="1" customWidth="1"/>
    <col min="8454" max="8454" width="18.85546875" bestFit="1" customWidth="1"/>
    <col min="8455" max="8455" width="13.42578125" customWidth="1"/>
    <col min="8456" max="8456" width="15.42578125" bestFit="1" customWidth="1"/>
    <col min="8457" max="8457" width="14.28515625" bestFit="1" customWidth="1"/>
    <col min="8458" max="8458" width="15.28515625" customWidth="1"/>
    <col min="8459" max="8459" width="15.85546875" customWidth="1"/>
    <col min="8460" max="8460" width="17.140625" bestFit="1" customWidth="1"/>
    <col min="8461" max="8461" width="12.7109375" customWidth="1"/>
    <col min="8462" max="8462" width="13.7109375" customWidth="1"/>
    <col min="8463" max="8463" width="14" bestFit="1" customWidth="1"/>
    <col min="8464" max="8466" width="19.28515625" bestFit="1" customWidth="1"/>
    <col min="8467" max="8467" width="20.42578125" bestFit="1" customWidth="1"/>
    <col min="8468" max="8468" width="20.710937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140625" bestFit="1" customWidth="1"/>
    <col min="8707" max="8707" width="43.85546875" customWidth="1"/>
    <col min="8708" max="8708" width="19.85546875" bestFit="1" customWidth="1"/>
    <col min="8709" max="8709" width="17.140625" bestFit="1" customWidth="1"/>
    <col min="8710" max="8710" width="18.85546875" bestFit="1" customWidth="1"/>
    <col min="8711" max="8711" width="13.42578125" customWidth="1"/>
    <col min="8712" max="8712" width="15.42578125" bestFit="1" customWidth="1"/>
    <col min="8713" max="8713" width="14.28515625" bestFit="1" customWidth="1"/>
    <col min="8714" max="8714" width="15.28515625" customWidth="1"/>
    <col min="8715" max="8715" width="15.85546875" customWidth="1"/>
    <col min="8716" max="8716" width="17.140625" bestFit="1" customWidth="1"/>
    <col min="8717" max="8717" width="12.7109375" customWidth="1"/>
    <col min="8718" max="8718" width="13.7109375" customWidth="1"/>
    <col min="8719" max="8719" width="14" bestFit="1" customWidth="1"/>
    <col min="8720" max="8722" width="19.28515625" bestFit="1" customWidth="1"/>
    <col min="8723" max="8723" width="20.42578125" bestFit="1" customWidth="1"/>
    <col min="8724" max="8724" width="20.710937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140625" bestFit="1" customWidth="1"/>
    <col min="8963" max="8963" width="43.85546875" customWidth="1"/>
    <col min="8964" max="8964" width="19.85546875" bestFit="1" customWidth="1"/>
    <col min="8965" max="8965" width="17.140625" bestFit="1" customWidth="1"/>
    <col min="8966" max="8966" width="18.85546875" bestFit="1" customWidth="1"/>
    <col min="8967" max="8967" width="13.42578125" customWidth="1"/>
    <col min="8968" max="8968" width="15.42578125" bestFit="1" customWidth="1"/>
    <col min="8969" max="8969" width="14.28515625" bestFit="1" customWidth="1"/>
    <col min="8970" max="8970" width="15.28515625" customWidth="1"/>
    <col min="8971" max="8971" width="15.85546875" customWidth="1"/>
    <col min="8972" max="8972" width="17.140625" bestFit="1" customWidth="1"/>
    <col min="8973" max="8973" width="12.7109375" customWidth="1"/>
    <col min="8974" max="8974" width="13.7109375" customWidth="1"/>
    <col min="8975" max="8975" width="14" bestFit="1" customWidth="1"/>
    <col min="8976" max="8978" width="19.28515625" bestFit="1" customWidth="1"/>
    <col min="8979" max="8979" width="20.42578125" bestFit="1" customWidth="1"/>
    <col min="8980" max="8980" width="20.710937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140625" bestFit="1" customWidth="1"/>
    <col min="9219" max="9219" width="43.85546875" customWidth="1"/>
    <col min="9220" max="9220" width="19.85546875" bestFit="1" customWidth="1"/>
    <col min="9221" max="9221" width="17.140625" bestFit="1" customWidth="1"/>
    <col min="9222" max="9222" width="18.85546875" bestFit="1" customWidth="1"/>
    <col min="9223" max="9223" width="13.42578125" customWidth="1"/>
    <col min="9224" max="9224" width="15.42578125" bestFit="1" customWidth="1"/>
    <col min="9225" max="9225" width="14.28515625" bestFit="1" customWidth="1"/>
    <col min="9226" max="9226" width="15.28515625" customWidth="1"/>
    <col min="9227" max="9227" width="15.85546875" customWidth="1"/>
    <col min="9228" max="9228" width="17.140625" bestFit="1" customWidth="1"/>
    <col min="9229" max="9229" width="12.7109375" customWidth="1"/>
    <col min="9230" max="9230" width="13.7109375" customWidth="1"/>
    <col min="9231" max="9231" width="14" bestFit="1" customWidth="1"/>
    <col min="9232" max="9234" width="19.28515625" bestFit="1" customWidth="1"/>
    <col min="9235" max="9235" width="20.42578125" bestFit="1" customWidth="1"/>
    <col min="9236" max="9236" width="20.710937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140625" bestFit="1" customWidth="1"/>
    <col min="9475" max="9475" width="43.85546875" customWidth="1"/>
    <col min="9476" max="9476" width="19.85546875" bestFit="1" customWidth="1"/>
    <col min="9477" max="9477" width="17.140625" bestFit="1" customWidth="1"/>
    <col min="9478" max="9478" width="18.85546875" bestFit="1" customWidth="1"/>
    <col min="9479" max="9479" width="13.42578125" customWidth="1"/>
    <col min="9480" max="9480" width="15.42578125" bestFit="1" customWidth="1"/>
    <col min="9481" max="9481" width="14.28515625" bestFit="1" customWidth="1"/>
    <col min="9482" max="9482" width="15.28515625" customWidth="1"/>
    <col min="9483" max="9483" width="15.85546875" customWidth="1"/>
    <col min="9484" max="9484" width="17.140625" bestFit="1" customWidth="1"/>
    <col min="9485" max="9485" width="12.7109375" customWidth="1"/>
    <col min="9486" max="9486" width="13.7109375" customWidth="1"/>
    <col min="9487" max="9487" width="14" bestFit="1" customWidth="1"/>
    <col min="9488" max="9490" width="19.28515625" bestFit="1" customWidth="1"/>
    <col min="9491" max="9491" width="20.42578125" bestFit="1" customWidth="1"/>
    <col min="9492" max="9492" width="20.710937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140625" bestFit="1" customWidth="1"/>
    <col min="9731" max="9731" width="43.85546875" customWidth="1"/>
    <col min="9732" max="9732" width="19.85546875" bestFit="1" customWidth="1"/>
    <col min="9733" max="9733" width="17.140625" bestFit="1" customWidth="1"/>
    <col min="9734" max="9734" width="18.85546875" bestFit="1" customWidth="1"/>
    <col min="9735" max="9735" width="13.42578125" customWidth="1"/>
    <col min="9736" max="9736" width="15.42578125" bestFit="1" customWidth="1"/>
    <col min="9737" max="9737" width="14.28515625" bestFit="1" customWidth="1"/>
    <col min="9738" max="9738" width="15.28515625" customWidth="1"/>
    <col min="9739" max="9739" width="15.85546875" customWidth="1"/>
    <col min="9740" max="9740" width="17.140625" bestFit="1" customWidth="1"/>
    <col min="9741" max="9741" width="12.7109375" customWidth="1"/>
    <col min="9742" max="9742" width="13.7109375" customWidth="1"/>
    <col min="9743" max="9743" width="14" bestFit="1" customWidth="1"/>
    <col min="9744" max="9746" width="19.28515625" bestFit="1" customWidth="1"/>
    <col min="9747" max="9747" width="20.42578125" bestFit="1" customWidth="1"/>
    <col min="9748" max="9748" width="20.710937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140625" bestFit="1" customWidth="1"/>
    <col min="9987" max="9987" width="43.85546875" customWidth="1"/>
    <col min="9988" max="9988" width="19.85546875" bestFit="1" customWidth="1"/>
    <col min="9989" max="9989" width="17.140625" bestFit="1" customWidth="1"/>
    <col min="9990" max="9990" width="18.85546875" bestFit="1" customWidth="1"/>
    <col min="9991" max="9991" width="13.42578125" customWidth="1"/>
    <col min="9992" max="9992" width="15.42578125" bestFit="1" customWidth="1"/>
    <col min="9993" max="9993" width="14.28515625" bestFit="1" customWidth="1"/>
    <col min="9994" max="9994" width="15.28515625" customWidth="1"/>
    <col min="9995" max="9995" width="15.85546875" customWidth="1"/>
    <col min="9996" max="9996" width="17.140625" bestFit="1" customWidth="1"/>
    <col min="9997" max="9997" width="12.7109375" customWidth="1"/>
    <col min="9998" max="9998" width="13.7109375" customWidth="1"/>
    <col min="9999" max="9999" width="14" bestFit="1" customWidth="1"/>
    <col min="10000" max="10002" width="19.28515625" bestFit="1" customWidth="1"/>
    <col min="10003" max="10003" width="20.42578125" bestFit="1" customWidth="1"/>
    <col min="10004" max="10004" width="20.710937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140625" bestFit="1" customWidth="1"/>
    <col min="10243" max="10243" width="43.85546875" customWidth="1"/>
    <col min="10244" max="10244" width="19.85546875" bestFit="1" customWidth="1"/>
    <col min="10245" max="10245" width="17.140625" bestFit="1" customWidth="1"/>
    <col min="10246" max="10246" width="18.85546875" bestFit="1" customWidth="1"/>
    <col min="10247" max="10247" width="13.42578125" customWidth="1"/>
    <col min="10248" max="10248" width="15.42578125" bestFit="1" customWidth="1"/>
    <col min="10249" max="10249" width="14.28515625" bestFit="1" customWidth="1"/>
    <col min="10250" max="10250" width="15.28515625" customWidth="1"/>
    <col min="10251" max="10251" width="15.85546875" customWidth="1"/>
    <col min="10252" max="10252" width="17.140625" bestFit="1" customWidth="1"/>
    <col min="10253" max="10253" width="12.7109375" customWidth="1"/>
    <col min="10254" max="10254" width="13.7109375" customWidth="1"/>
    <col min="10255" max="10255" width="14" bestFit="1" customWidth="1"/>
    <col min="10256" max="10258" width="19.28515625" bestFit="1" customWidth="1"/>
    <col min="10259" max="10259" width="20.42578125" bestFit="1" customWidth="1"/>
    <col min="10260" max="10260" width="20.710937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140625" bestFit="1" customWidth="1"/>
    <col min="10499" max="10499" width="43.85546875" customWidth="1"/>
    <col min="10500" max="10500" width="19.85546875" bestFit="1" customWidth="1"/>
    <col min="10501" max="10501" width="17.140625" bestFit="1" customWidth="1"/>
    <col min="10502" max="10502" width="18.85546875" bestFit="1" customWidth="1"/>
    <col min="10503" max="10503" width="13.42578125" customWidth="1"/>
    <col min="10504" max="10504" width="15.42578125" bestFit="1" customWidth="1"/>
    <col min="10505" max="10505" width="14.28515625" bestFit="1" customWidth="1"/>
    <col min="10506" max="10506" width="15.28515625" customWidth="1"/>
    <col min="10507" max="10507" width="15.85546875" customWidth="1"/>
    <col min="10508" max="10508" width="17.140625" bestFit="1" customWidth="1"/>
    <col min="10509" max="10509" width="12.7109375" customWidth="1"/>
    <col min="10510" max="10510" width="13.7109375" customWidth="1"/>
    <col min="10511" max="10511" width="14" bestFit="1" customWidth="1"/>
    <col min="10512" max="10514" width="19.28515625" bestFit="1" customWidth="1"/>
    <col min="10515" max="10515" width="20.42578125" bestFit="1" customWidth="1"/>
    <col min="10516" max="10516" width="20.710937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140625" bestFit="1" customWidth="1"/>
    <col min="10755" max="10755" width="43.85546875" customWidth="1"/>
    <col min="10756" max="10756" width="19.85546875" bestFit="1" customWidth="1"/>
    <col min="10757" max="10757" width="17.140625" bestFit="1" customWidth="1"/>
    <col min="10758" max="10758" width="18.85546875" bestFit="1" customWidth="1"/>
    <col min="10759" max="10759" width="13.42578125" customWidth="1"/>
    <col min="10760" max="10760" width="15.42578125" bestFit="1" customWidth="1"/>
    <col min="10761" max="10761" width="14.28515625" bestFit="1" customWidth="1"/>
    <col min="10762" max="10762" width="15.28515625" customWidth="1"/>
    <col min="10763" max="10763" width="15.85546875" customWidth="1"/>
    <col min="10764" max="10764" width="17.140625" bestFit="1" customWidth="1"/>
    <col min="10765" max="10765" width="12.7109375" customWidth="1"/>
    <col min="10766" max="10766" width="13.7109375" customWidth="1"/>
    <col min="10767" max="10767" width="14" bestFit="1" customWidth="1"/>
    <col min="10768" max="10770" width="19.28515625" bestFit="1" customWidth="1"/>
    <col min="10771" max="10771" width="20.42578125" bestFit="1" customWidth="1"/>
    <col min="10772" max="10772" width="20.710937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140625" bestFit="1" customWidth="1"/>
    <col min="11011" max="11011" width="43.85546875" customWidth="1"/>
    <col min="11012" max="11012" width="19.85546875" bestFit="1" customWidth="1"/>
    <col min="11013" max="11013" width="17.140625" bestFit="1" customWidth="1"/>
    <col min="11014" max="11014" width="18.85546875" bestFit="1" customWidth="1"/>
    <col min="11015" max="11015" width="13.42578125" customWidth="1"/>
    <col min="11016" max="11016" width="15.42578125" bestFit="1" customWidth="1"/>
    <col min="11017" max="11017" width="14.28515625" bestFit="1" customWidth="1"/>
    <col min="11018" max="11018" width="15.28515625" customWidth="1"/>
    <col min="11019" max="11019" width="15.85546875" customWidth="1"/>
    <col min="11020" max="11020" width="17.140625" bestFit="1" customWidth="1"/>
    <col min="11021" max="11021" width="12.7109375" customWidth="1"/>
    <col min="11022" max="11022" width="13.7109375" customWidth="1"/>
    <col min="11023" max="11023" width="14" bestFit="1" customWidth="1"/>
    <col min="11024" max="11026" width="19.28515625" bestFit="1" customWidth="1"/>
    <col min="11027" max="11027" width="20.42578125" bestFit="1" customWidth="1"/>
    <col min="11028" max="11028" width="20.710937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140625" bestFit="1" customWidth="1"/>
    <col min="11267" max="11267" width="43.85546875" customWidth="1"/>
    <col min="11268" max="11268" width="19.85546875" bestFit="1" customWidth="1"/>
    <col min="11269" max="11269" width="17.140625" bestFit="1" customWidth="1"/>
    <col min="11270" max="11270" width="18.85546875" bestFit="1" customWidth="1"/>
    <col min="11271" max="11271" width="13.42578125" customWidth="1"/>
    <col min="11272" max="11272" width="15.42578125" bestFit="1" customWidth="1"/>
    <col min="11273" max="11273" width="14.28515625" bestFit="1" customWidth="1"/>
    <col min="11274" max="11274" width="15.28515625" customWidth="1"/>
    <col min="11275" max="11275" width="15.85546875" customWidth="1"/>
    <col min="11276" max="11276" width="17.140625" bestFit="1" customWidth="1"/>
    <col min="11277" max="11277" width="12.7109375" customWidth="1"/>
    <col min="11278" max="11278" width="13.7109375" customWidth="1"/>
    <col min="11279" max="11279" width="14" bestFit="1" customWidth="1"/>
    <col min="11280" max="11282" width="19.28515625" bestFit="1" customWidth="1"/>
    <col min="11283" max="11283" width="20.42578125" bestFit="1" customWidth="1"/>
    <col min="11284" max="11284" width="20.710937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140625" bestFit="1" customWidth="1"/>
    <col min="11523" max="11523" width="43.85546875" customWidth="1"/>
    <col min="11524" max="11524" width="19.85546875" bestFit="1" customWidth="1"/>
    <col min="11525" max="11525" width="17.140625" bestFit="1" customWidth="1"/>
    <col min="11526" max="11526" width="18.85546875" bestFit="1" customWidth="1"/>
    <col min="11527" max="11527" width="13.42578125" customWidth="1"/>
    <col min="11528" max="11528" width="15.42578125" bestFit="1" customWidth="1"/>
    <col min="11529" max="11529" width="14.28515625" bestFit="1" customWidth="1"/>
    <col min="11530" max="11530" width="15.28515625" customWidth="1"/>
    <col min="11531" max="11531" width="15.85546875" customWidth="1"/>
    <col min="11532" max="11532" width="17.140625" bestFit="1" customWidth="1"/>
    <col min="11533" max="11533" width="12.7109375" customWidth="1"/>
    <col min="11534" max="11534" width="13.7109375" customWidth="1"/>
    <col min="11535" max="11535" width="14" bestFit="1" customWidth="1"/>
    <col min="11536" max="11538" width="19.28515625" bestFit="1" customWidth="1"/>
    <col min="11539" max="11539" width="20.42578125" bestFit="1" customWidth="1"/>
    <col min="11540" max="11540" width="20.710937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140625" bestFit="1" customWidth="1"/>
    <col min="11779" max="11779" width="43.85546875" customWidth="1"/>
    <col min="11780" max="11780" width="19.85546875" bestFit="1" customWidth="1"/>
    <col min="11781" max="11781" width="17.140625" bestFit="1" customWidth="1"/>
    <col min="11782" max="11782" width="18.85546875" bestFit="1" customWidth="1"/>
    <col min="11783" max="11783" width="13.42578125" customWidth="1"/>
    <col min="11784" max="11784" width="15.42578125" bestFit="1" customWidth="1"/>
    <col min="11785" max="11785" width="14.28515625" bestFit="1" customWidth="1"/>
    <col min="11786" max="11786" width="15.28515625" customWidth="1"/>
    <col min="11787" max="11787" width="15.85546875" customWidth="1"/>
    <col min="11788" max="11788" width="17.140625" bestFit="1" customWidth="1"/>
    <col min="11789" max="11789" width="12.7109375" customWidth="1"/>
    <col min="11790" max="11790" width="13.7109375" customWidth="1"/>
    <col min="11791" max="11791" width="14" bestFit="1" customWidth="1"/>
    <col min="11792" max="11794" width="19.28515625" bestFit="1" customWidth="1"/>
    <col min="11795" max="11795" width="20.42578125" bestFit="1" customWidth="1"/>
    <col min="11796" max="11796" width="20.710937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140625" bestFit="1" customWidth="1"/>
    <col min="12035" max="12035" width="43.85546875" customWidth="1"/>
    <col min="12036" max="12036" width="19.85546875" bestFit="1" customWidth="1"/>
    <col min="12037" max="12037" width="17.140625" bestFit="1" customWidth="1"/>
    <col min="12038" max="12038" width="18.85546875" bestFit="1" customWidth="1"/>
    <col min="12039" max="12039" width="13.42578125" customWidth="1"/>
    <col min="12040" max="12040" width="15.42578125" bestFit="1" customWidth="1"/>
    <col min="12041" max="12041" width="14.28515625" bestFit="1" customWidth="1"/>
    <col min="12042" max="12042" width="15.28515625" customWidth="1"/>
    <col min="12043" max="12043" width="15.85546875" customWidth="1"/>
    <col min="12044" max="12044" width="17.140625" bestFit="1" customWidth="1"/>
    <col min="12045" max="12045" width="12.7109375" customWidth="1"/>
    <col min="12046" max="12046" width="13.7109375" customWidth="1"/>
    <col min="12047" max="12047" width="14" bestFit="1" customWidth="1"/>
    <col min="12048" max="12050" width="19.28515625" bestFit="1" customWidth="1"/>
    <col min="12051" max="12051" width="20.42578125" bestFit="1" customWidth="1"/>
    <col min="12052" max="12052" width="20.710937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140625" bestFit="1" customWidth="1"/>
    <col min="12291" max="12291" width="43.85546875" customWidth="1"/>
    <col min="12292" max="12292" width="19.85546875" bestFit="1" customWidth="1"/>
    <col min="12293" max="12293" width="17.140625" bestFit="1" customWidth="1"/>
    <col min="12294" max="12294" width="18.85546875" bestFit="1" customWidth="1"/>
    <col min="12295" max="12295" width="13.42578125" customWidth="1"/>
    <col min="12296" max="12296" width="15.42578125" bestFit="1" customWidth="1"/>
    <col min="12297" max="12297" width="14.28515625" bestFit="1" customWidth="1"/>
    <col min="12298" max="12298" width="15.28515625" customWidth="1"/>
    <col min="12299" max="12299" width="15.85546875" customWidth="1"/>
    <col min="12300" max="12300" width="17.140625" bestFit="1" customWidth="1"/>
    <col min="12301" max="12301" width="12.7109375" customWidth="1"/>
    <col min="12302" max="12302" width="13.7109375" customWidth="1"/>
    <col min="12303" max="12303" width="14" bestFit="1" customWidth="1"/>
    <col min="12304" max="12306" width="19.28515625" bestFit="1" customWidth="1"/>
    <col min="12307" max="12307" width="20.42578125" bestFit="1" customWidth="1"/>
    <col min="12308" max="12308" width="20.710937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140625" bestFit="1" customWidth="1"/>
    <col min="12547" max="12547" width="43.85546875" customWidth="1"/>
    <col min="12548" max="12548" width="19.85546875" bestFit="1" customWidth="1"/>
    <col min="12549" max="12549" width="17.140625" bestFit="1" customWidth="1"/>
    <col min="12550" max="12550" width="18.85546875" bestFit="1" customWidth="1"/>
    <col min="12551" max="12551" width="13.42578125" customWidth="1"/>
    <col min="12552" max="12552" width="15.42578125" bestFit="1" customWidth="1"/>
    <col min="12553" max="12553" width="14.28515625" bestFit="1" customWidth="1"/>
    <col min="12554" max="12554" width="15.28515625" customWidth="1"/>
    <col min="12555" max="12555" width="15.85546875" customWidth="1"/>
    <col min="12556" max="12556" width="17.140625" bestFit="1" customWidth="1"/>
    <col min="12557" max="12557" width="12.7109375" customWidth="1"/>
    <col min="12558" max="12558" width="13.7109375" customWidth="1"/>
    <col min="12559" max="12559" width="14" bestFit="1" customWidth="1"/>
    <col min="12560" max="12562" width="19.28515625" bestFit="1" customWidth="1"/>
    <col min="12563" max="12563" width="20.42578125" bestFit="1" customWidth="1"/>
    <col min="12564" max="12564" width="20.710937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140625" bestFit="1" customWidth="1"/>
    <col min="12803" max="12803" width="43.85546875" customWidth="1"/>
    <col min="12804" max="12804" width="19.85546875" bestFit="1" customWidth="1"/>
    <col min="12805" max="12805" width="17.140625" bestFit="1" customWidth="1"/>
    <col min="12806" max="12806" width="18.85546875" bestFit="1" customWidth="1"/>
    <col min="12807" max="12807" width="13.42578125" customWidth="1"/>
    <col min="12808" max="12808" width="15.42578125" bestFit="1" customWidth="1"/>
    <col min="12809" max="12809" width="14.28515625" bestFit="1" customWidth="1"/>
    <col min="12810" max="12810" width="15.28515625" customWidth="1"/>
    <col min="12811" max="12811" width="15.85546875" customWidth="1"/>
    <col min="12812" max="12812" width="17.140625" bestFit="1" customWidth="1"/>
    <col min="12813" max="12813" width="12.7109375" customWidth="1"/>
    <col min="12814" max="12814" width="13.7109375" customWidth="1"/>
    <col min="12815" max="12815" width="14" bestFit="1" customWidth="1"/>
    <col min="12816" max="12818" width="19.28515625" bestFit="1" customWidth="1"/>
    <col min="12819" max="12819" width="20.42578125" bestFit="1" customWidth="1"/>
    <col min="12820" max="12820" width="20.710937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140625" bestFit="1" customWidth="1"/>
    <col min="13059" max="13059" width="43.85546875" customWidth="1"/>
    <col min="13060" max="13060" width="19.85546875" bestFit="1" customWidth="1"/>
    <col min="13061" max="13061" width="17.140625" bestFit="1" customWidth="1"/>
    <col min="13062" max="13062" width="18.85546875" bestFit="1" customWidth="1"/>
    <col min="13063" max="13063" width="13.42578125" customWidth="1"/>
    <col min="13064" max="13064" width="15.42578125" bestFit="1" customWidth="1"/>
    <col min="13065" max="13065" width="14.28515625" bestFit="1" customWidth="1"/>
    <col min="13066" max="13066" width="15.28515625" customWidth="1"/>
    <col min="13067" max="13067" width="15.85546875" customWidth="1"/>
    <col min="13068" max="13068" width="17.140625" bestFit="1" customWidth="1"/>
    <col min="13069" max="13069" width="12.7109375" customWidth="1"/>
    <col min="13070" max="13070" width="13.7109375" customWidth="1"/>
    <col min="13071" max="13071" width="14" bestFit="1" customWidth="1"/>
    <col min="13072" max="13074" width="19.28515625" bestFit="1" customWidth="1"/>
    <col min="13075" max="13075" width="20.42578125" bestFit="1" customWidth="1"/>
    <col min="13076" max="13076" width="20.710937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140625" bestFit="1" customWidth="1"/>
    <col min="13315" max="13315" width="43.85546875" customWidth="1"/>
    <col min="13316" max="13316" width="19.85546875" bestFit="1" customWidth="1"/>
    <col min="13317" max="13317" width="17.140625" bestFit="1" customWidth="1"/>
    <col min="13318" max="13318" width="18.85546875" bestFit="1" customWidth="1"/>
    <col min="13319" max="13319" width="13.42578125" customWidth="1"/>
    <col min="13320" max="13320" width="15.42578125" bestFit="1" customWidth="1"/>
    <col min="13321" max="13321" width="14.28515625" bestFit="1" customWidth="1"/>
    <col min="13322" max="13322" width="15.28515625" customWidth="1"/>
    <col min="13323" max="13323" width="15.85546875" customWidth="1"/>
    <col min="13324" max="13324" width="17.140625" bestFit="1" customWidth="1"/>
    <col min="13325" max="13325" width="12.7109375" customWidth="1"/>
    <col min="13326" max="13326" width="13.7109375" customWidth="1"/>
    <col min="13327" max="13327" width="14" bestFit="1" customWidth="1"/>
    <col min="13328" max="13330" width="19.28515625" bestFit="1" customWidth="1"/>
    <col min="13331" max="13331" width="20.42578125" bestFit="1" customWidth="1"/>
    <col min="13332" max="13332" width="20.710937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140625" bestFit="1" customWidth="1"/>
    <col min="13571" max="13571" width="43.85546875" customWidth="1"/>
    <col min="13572" max="13572" width="19.85546875" bestFit="1" customWidth="1"/>
    <col min="13573" max="13573" width="17.140625" bestFit="1" customWidth="1"/>
    <col min="13574" max="13574" width="18.85546875" bestFit="1" customWidth="1"/>
    <col min="13575" max="13575" width="13.42578125" customWidth="1"/>
    <col min="13576" max="13576" width="15.42578125" bestFit="1" customWidth="1"/>
    <col min="13577" max="13577" width="14.28515625" bestFit="1" customWidth="1"/>
    <col min="13578" max="13578" width="15.28515625" customWidth="1"/>
    <col min="13579" max="13579" width="15.85546875" customWidth="1"/>
    <col min="13580" max="13580" width="17.140625" bestFit="1" customWidth="1"/>
    <col min="13581" max="13581" width="12.7109375" customWidth="1"/>
    <col min="13582" max="13582" width="13.7109375" customWidth="1"/>
    <col min="13583" max="13583" width="14" bestFit="1" customWidth="1"/>
    <col min="13584" max="13586" width="19.28515625" bestFit="1" customWidth="1"/>
    <col min="13587" max="13587" width="20.42578125" bestFit="1" customWidth="1"/>
    <col min="13588" max="13588" width="20.710937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140625" bestFit="1" customWidth="1"/>
    <col min="13827" max="13827" width="43.85546875" customWidth="1"/>
    <col min="13828" max="13828" width="19.85546875" bestFit="1" customWidth="1"/>
    <col min="13829" max="13829" width="17.140625" bestFit="1" customWidth="1"/>
    <col min="13830" max="13830" width="18.85546875" bestFit="1" customWidth="1"/>
    <col min="13831" max="13831" width="13.42578125" customWidth="1"/>
    <col min="13832" max="13832" width="15.42578125" bestFit="1" customWidth="1"/>
    <col min="13833" max="13833" width="14.28515625" bestFit="1" customWidth="1"/>
    <col min="13834" max="13834" width="15.28515625" customWidth="1"/>
    <col min="13835" max="13835" width="15.85546875" customWidth="1"/>
    <col min="13836" max="13836" width="17.140625" bestFit="1" customWidth="1"/>
    <col min="13837" max="13837" width="12.7109375" customWidth="1"/>
    <col min="13838" max="13838" width="13.7109375" customWidth="1"/>
    <col min="13839" max="13839" width="14" bestFit="1" customWidth="1"/>
    <col min="13840" max="13842" width="19.28515625" bestFit="1" customWidth="1"/>
    <col min="13843" max="13843" width="20.42578125" bestFit="1" customWidth="1"/>
    <col min="13844" max="13844" width="20.710937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140625" bestFit="1" customWidth="1"/>
    <col min="14083" max="14083" width="43.85546875" customWidth="1"/>
    <col min="14084" max="14084" width="19.85546875" bestFit="1" customWidth="1"/>
    <col min="14085" max="14085" width="17.140625" bestFit="1" customWidth="1"/>
    <col min="14086" max="14086" width="18.85546875" bestFit="1" customWidth="1"/>
    <col min="14087" max="14087" width="13.42578125" customWidth="1"/>
    <col min="14088" max="14088" width="15.42578125" bestFit="1" customWidth="1"/>
    <col min="14089" max="14089" width="14.28515625" bestFit="1" customWidth="1"/>
    <col min="14090" max="14090" width="15.28515625" customWidth="1"/>
    <col min="14091" max="14091" width="15.85546875" customWidth="1"/>
    <col min="14092" max="14092" width="17.140625" bestFit="1" customWidth="1"/>
    <col min="14093" max="14093" width="12.7109375" customWidth="1"/>
    <col min="14094" max="14094" width="13.7109375" customWidth="1"/>
    <col min="14095" max="14095" width="14" bestFit="1" customWidth="1"/>
    <col min="14096" max="14098" width="19.28515625" bestFit="1" customWidth="1"/>
    <col min="14099" max="14099" width="20.42578125" bestFit="1" customWidth="1"/>
    <col min="14100" max="14100" width="20.710937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140625" bestFit="1" customWidth="1"/>
    <col min="14339" max="14339" width="43.85546875" customWidth="1"/>
    <col min="14340" max="14340" width="19.85546875" bestFit="1" customWidth="1"/>
    <col min="14341" max="14341" width="17.140625" bestFit="1" customWidth="1"/>
    <col min="14342" max="14342" width="18.85546875" bestFit="1" customWidth="1"/>
    <col min="14343" max="14343" width="13.42578125" customWidth="1"/>
    <col min="14344" max="14344" width="15.42578125" bestFit="1" customWidth="1"/>
    <col min="14345" max="14345" width="14.28515625" bestFit="1" customWidth="1"/>
    <col min="14346" max="14346" width="15.28515625" customWidth="1"/>
    <col min="14347" max="14347" width="15.85546875" customWidth="1"/>
    <col min="14348" max="14348" width="17.140625" bestFit="1" customWidth="1"/>
    <col min="14349" max="14349" width="12.7109375" customWidth="1"/>
    <col min="14350" max="14350" width="13.7109375" customWidth="1"/>
    <col min="14351" max="14351" width="14" bestFit="1" customWidth="1"/>
    <col min="14352" max="14354" width="19.28515625" bestFit="1" customWidth="1"/>
    <col min="14355" max="14355" width="20.42578125" bestFit="1" customWidth="1"/>
    <col min="14356" max="14356" width="20.710937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140625" bestFit="1" customWidth="1"/>
    <col min="14595" max="14595" width="43.85546875" customWidth="1"/>
    <col min="14596" max="14596" width="19.85546875" bestFit="1" customWidth="1"/>
    <col min="14597" max="14597" width="17.140625" bestFit="1" customWidth="1"/>
    <col min="14598" max="14598" width="18.85546875" bestFit="1" customWidth="1"/>
    <col min="14599" max="14599" width="13.42578125" customWidth="1"/>
    <col min="14600" max="14600" width="15.42578125" bestFit="1" customWidth="1"/>
    <col min="14601" max="14601" width="14.28515625" bestFit="1" customWidth="1"/>
    <col min="14602" max="14602" width="15.28515625" customWidth="1"/>
    <col min="14603" max="14603" width="15.85546875" customWidth="1"/>
    <col min="14604" max="14604" width="17.140625" bestFit="1" customWidth="1"/>
    <col min="14605" max="14605" width="12.7109375" customWidth="1"/>
    <col min="14606" max="14606" width="13.7109375" customWidth="1"/>
    <col min="14607" max="14607" width="14" bestFit="1" customWidth="1"/>
    <col min="14608" max="14610" width="19.28515625" bestFit="1" customWidth="1"/>
    <col min="14611" max="14611" width="20.42578125" bestFit="1" customWidth="1"/>
    <col min="14612" max="14612" width="20.710937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140625" bestFit="1" customWidth="1"/>
    <col min="14851" max="14851" width="43.85546875" customWidth="1"/>
    <col min="14852" max="14852" width="19.85546875" bestFit="1" customWidth="1"/>
    <col min="14853" max="14853" width="17.140625" bestFit="1" customWidth="1"/>
    <col min="14854" max="14854" width="18.85546875" bestFit="1" customWidth="1"/>
    <col min="14855" max="14855" width="13.42578125" customWidth="1"/>
    <col min="14856" max="14856" width="15.42578125" bestFit="1" customWidth="1"/>
    <col min="14857" max="14857" width="14.28515625" bestFit="1" customWidth="1"/>
    <col min="14858" max="14858" width="15.28515625" customWidth="1"/>
    <col min="14859" max="14859" width="15.85546875" customWidth="1"/>
    <col min="14860" max="14860" width="17.140625" bestFit="1" customWidth="1"/>
    <col min="14861" max="14861" width="12.7109375" customWidth="1"/>
    <col min="14862" max="14862" width="13.7109375" customWidth="1"/>
    <col min="14863" max="14863" width="14" bestFit="1" customWidth="1"/>
    <col min="14864" max="14866" width="19.28515625" bestFit="1" customWidth="1"/>
    <col min="14867" max="14867" width="20.42578125" bestFit="1" customWidth="1"/>
    <col min="14868" max="14868" width="20.710937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140625" bestFit="1" customWidth="1"/>
    <col min="15107" max="15107" width="43.85546875" customWidth="1"/>
    <col min="15108" max="15108" width="19.85546875" bestFit="1" customWidth="1"/>
    <col min="15109" max="15109" width="17.140625" bestFit="1" customWidth="1"/>
    <col min="15110" max="15110" width="18.85546875" bestFit="1" customWidth="1"/>
    <col min="15111" max="15111" width="13.42578125" customWidth="1"/>
    <col min="15112" max="15112" width="15.42578125" bestFit="1" customWidth="1"/>
    <col min="15113" max="15113" width="14.28515625" bestFit="1" customWidth="1"/>
    <col min="15114" max="15114" width="15.28515625" customWidth="1"/>
    <col min="15115" max="15115" width="15.85546875" customWidth="1"/>
    <col min="15116" max="15116" width="17.140625" bestFit="1" customWidth="1"/>
    <col min="15117" max="15117" width="12.7109375" customWidth="1"/>
    <col min="15118" max="15118" width="13.7109375" customWidth="1"/>
    <col min="15119" max="15119" width="14" bestFit="1" customWidth="1"/>
    <col min="15120" max="15122" width="19.28515625" bestFit="1" customWidth="1"/>
    <col min="15123" max="15123" width="20.42578125" bestFit="1" customWidth="1"/>
    <col min="15124" max="15124" width="20.710937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140625" bestFit="1" customWidth="1"/>
    <col min="15363" max="15363" width="43.85546875" customWidth="1"/>
    <col min="15364" max="15364" width="19.85546875" bestFit="1" customWidth="1"/>
    <col min="15365" max="15365" width="17.140625" bestFit="1" customWidth="1"/>
    <col min="15366" max="15366" width="18.85546875" bestFit="1" customWidth="1"/>
    <col min="15367" max="15367" width="13.42578125" customWidth="1"/>
    <col min="15368" max="15368" width="15.42578125" bestFit="1" customWidth="1"/>
    <col min="15369" max="15369" width="14.28515625" bestFit="1" customWidth="1"/>
    <col min="15370" max="15370" width="15.28515625" customWidth="1"/>
    <col min="15371" max="15371" width="15.85546875" customWidth="1"/>
    <col min="15372" max="15372" width="17.140625" bestFit="1" customWidth="1"/>
    <col min="15373" max="15373" width="12.7109375" customWidth="1"/>
    <col min="15374" max="15374" width="13.7109375" customWidth="1"/>
    <col min="15375" max="15375" width="14" bestFit="1" customWidth="1"/>
    <col min="15376" max="15378" width="19.28515625" bestFit="1" customWidth="1"/>
    <col min="15379" max="15379" width="20.42578125" bestFit="1" customWidth="1"/>
    <col min="15380" max="15380" width="20.710937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140625" bestFit="1" customWidth="1"/>
    <col min="15619" max="15619" width="43.85546875" customWidth="1"/>
    <col min="15620" max="15620" width="19.85546875" bestFit="1" customWidth="1"/>
    <col min="15621" max="15621" width="17.140625" bestFit="1" customWidth="1"/>
    <col min="15622" max="15622" width="18.85546875" bestFit="1" customWidth="1"/>
    <col min="15623" max="15623" width="13.42578125" customWidth="1"/>
    <col min="15624" max="15624" width="15.42578125" bestFit="1" customWidth="1"/>
    <col min="15625" max="15625" width="14.28515625" bestFit="1" customWidth="1"/>
    <col min="15626" max="15626" width="15.28515625" customWidth="1"/>
    <col min="15627" max="15627" width="15.85546875" customWidth="1"/>
    <col min="15628" max="15628" width="17.140625" bestFit="1" customWidth="1"/>
    <col min="15629" max="15629" width="12.7109375" customWidth="1"/>
    <col min="15630" max="15630" width="13.7109375" customWidth="1"/>
    <col min="15631" max="15631" width="14" bestFit="1" customWidth="1"/>
    <col min="15632" max="15634" width="19.28515625" bestFit="1" customWidth="1"/>
    <col min="15635" max="15635" width="20.42578125" bestFit="1" customWidth="1"/>
    <col min="15636" max="15636" width="20.710937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140625" bestFit="1" customWidth="1"/>
    <col min="15875" max="15875" width="43.85546875" customWidth="1"/>
    <col min="15876" max="15876" width="19.85546875" bestFit="1" customWidth="1"/>
    <col min="15877" max="15877" width="17.140625" bestFit="1" customWidth="1"/>
    <col min="15878" max="15878" width="18.85546875" bestFit="1" customWidth="1"/>
    <col min="15879" max="15879" width="13.42578125" customWidth="1"/>
    <col min="15880" max="15880" width="15.42578125" bestFit="1" customWidth="1"/>
    <col min="15881" max="15881" width="14.28515625" bestFit="1" customWidth="1"/>
    <col min="15882" max="15882" width="15.28515625" customWidth="1"/>
    <col min="15883" max="15883" width="15.85546875" customWidth="1"/>
    <col min="15884" max="15884" width="17.140625" bestFit="1" customWidth="1"/>
    <col min="15885" max="15885" width="12.7109375" customWidth="1"/>
    <col min="15886" max="15886" width="13.7109375" customWidth="1"/>
    <col min="15887" max="15887" width="14" bestFit="1" customWidth="1"/>
    <col min="15888" max="15890" width="19.28515625" bestFit="1" customWidth="1"/>
    <col min="15891" max="15891" width="20.42578125" bestFit="1" customWidth="1"/>
    <col min="15892" max="15892" width="20.710937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140625" bestFit="1" customWidth="1"/>
    <col min="16131" max="16131" width="43.85546875" customWidth="1"/>
    <col min="16132" max="16132" width="19.85546875" bestFit="1" customWidth="1"/>
    <col min="16133" max="16133" width="17.140625" bestFit="1" customWidth="1"/>
    <col min="16134" max="16134" width="18.85546875" bestFit="1" customWidth="1"/>
    <col min="16135" max="16135" width="13.42578125" customWidth="1"/>
    <col min="16136" max="16136" width="15.42578125" bestFit="1" customWidth="1"/>
    <col min="16137" max="16137" width="14.28515625" bestFit="1" customWidth="1"/>
    <col min="16138" max="16138" width="15.28515625" customWidth="1"/>
    <col min="16139" max="16139" width="15.85546875" customWidth="1"/>
    <col min="16140" max="16140" width="17.140625" bestFit="1" customWidth="1"/>
    <col min="16141" max="16141" width="12.7109375" customWidth="1"/>
    <col min="16142" max="16142" width="13.7109375" customWidth="1"/>
    <col min="16143" max="16143" width="14" bestFit="1" customWidth="1"/>
    <col min="16144" max="16146" width="19.28515625" bestFit="1" customWidth="1"/>
    <col min="16147" max="16147" width="20.42578125" bestFit="1" customWidth="1"/>
    <col min="16148" max="16148" width="20.710937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461"/>
      <c r="F1" s="198"/>
      <c r="G1" s="198">
        <f>C3</f>
        <v>18230637</v>
      </c>
      <c r="H1" s="198" t="str">
        <f>C4</f>
        <v>SF Existing Wx - Gas</v>
      </c>
      <c r="I1" s="198"/>
    </row>
    <row r="2" spans="2:22" ht="16.5" thickBot="1">
      <c r="B2" s="198" t="s">
        <v>109</v>
      </c>
      <c r="C2" s="199" t="s">
        <v>574</v>
      </c>
      <c r="G2" s="200" t="s">
        <v>8</v>
      </c>
      <c r="Q2" s="5133" t="s">
        <v>556</v>
      </c>
      <c r="R2" s="5133"/>
      <c r="S2" s="5124" t="s">
        <v>110</v>
      </c>
      <c r="T2" s="5125"/>
      <c r="U2" s="5126"/>
      <c r="V2" s="5118" t="s">
        <v>111</v>
      </c>
    </row>
    <row r="3" spans="2:22" ht="16.5" thickBot="1">
      <c r="B3" s="199" t="s">
        <v>6</v>
      </c>
      <c r="C3" s="199">
        <v>18230637</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586</v>
      </c>
      <c r="F4" s="198">
        <v>2011</v>
      </c>
      <c r="G4" s="206">
        <f>B13</f>
        <v>46121</v>
      </c>
      <c r="H4" s="207">
        <f>B18</f>
        <v>9224</v>
      </c>
      <c r="I4" s="207">
        <f>B23</f>
        <v>34867</v>
      </c>
      <c r="J4" s="207">
        <f>B28</f>
        <v>45000</v>
      </c>
      <c r="K4" s="207">
        <f>B33</f>
        <v>2940</v>
      </c>
      <c r="L4" s="207">
        <f>B38</f>
        <v>1451772</v>
      </c>
      <c r="M4" s="207">
        <f>B43</f>
        <v>2400</v>
      </c>
      <c r="N4" s="207">
        <f>B48</f>
        <v>16200</v>
      </c>
      <c r="O4" s="207">
        <f>B53</f>
        <v>2603178</v>
      </c>
      <c r="P4" s="207">
        <f>B54</f>
        <v>0</v>
      </c>
      <c r="Q4" s="209">
        <f>B55</f>
        <v>4211702</v>
      </c>
      <c r="R4" s="355">
        <f>T55</f>
        <v>0</v>
      </c>
      <c r="S4" s="316">
        <f>O4/Q4</f>
        <v>0.618082191000218</v>
      </c>
      <c r="T4" s="316">
        <f>(J4+(H4*1.63))/Q4</f>
        <v>1.4254360826098331E-2</v>
      </c>
      <c r="U4" s="316">
        <f>L4/Q4</f>
        <v>0.34469960125383992</v>
      </c>
      <c r="V4" s="212" t="e">
        <f>Q4/R4</f>
        <v>#DIV/0!</v>
      </c>
    </row>
    <row r="5" spans="2:22" ht="16.5" thickBot="1">
      <c r="B5" s="198" t="s">
        <v>33</v>
      </c>
      <c r="C5" s="4750" t="s">
        <v>1425</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P55</f>
        <v>0</v>
      </c>
      <c r="S5" s="317" t="e">
        <f>O5/Q5</f>
        <v>#DIV/0!</v>
      </c>
      <c r="T5" s="317" t="e">
        <f>(J5+(H5*1.63))/Q5</f>
        <v>#DIV/0!</v>
      </c>
      <c r="U5" s="317" t="e">
        <f>L5/Q5</f>
        <v>#DIV/0!</v>
      </c>
      <c r="V5" s="218" t="e">
        <f>Q5/R5</f>
        <v>#DIV/0!</v>
      </c>
    </row>
    <row r="6" spans="2:22" s="3532" customFormat="1" ht="16.5" thickBot="1">
      <c r="B6" s="3536"/>
      <c r="D6" s="3533"/>
      <c r="F6" s="4249" t="s">
        <v>1168</v>
      </c>
      <c r="G6" s="3547">
        <v>343509</v>
      </c>
      <c r="H6" s="3548">
        <v>18450</v>
      </c>
      <c r="I6" s="3548">
        <v>228034.17</v>
      </c>
      <c r="J6" s="3548">
        <v>45000</v>
      </c>
      <c r="K6" s="3548">
        <v>3000</v>
      </c>
      <c r="L6" s="3548">
        <v>72874</v>
      </c>
      <c r="M6" s="3548">
        <v>200000</v>
      </c>
      <c r="N6" s="3548">
        <v>16200</v>
      </c>
      <c r="O6" s="3548">
        <v>2135137.1799999997</v>
      </c>
      <c r="P6" s="3548">
        <v>0</v>
      </c>
      <c r="Q6" s="3549">
        <v>3062204.3499999996</v>
      </c>
      <c r="R6" s="3610">
        <v>546779.47400000005</v>
      </c>
      <c r="S6" s="3637">
        <v>0.69725496275256749</v>
      </c>
      <c r="T6" s="3637">
        <v>2.4516162678692562E-2</v>
      </c>
      <c r="U6" s="3637">
        <v>2.3797889255823181E-2</v>
      </c>
      <c r="V6" s="3498">
        <v>5.6004376455433649</v>
      </c>
    </row>
    <row r="7" spans="2:22" ht="16.5" thickBot="1">
      <c r="C7" s="198" t="s">
        <v>229</v>
      </c>
      <c r="F7" s="4281" t="s">
        <v>1169</v>
      </c>
      <c r="G7" s="4195">
        <f>E13</f>
        <v>46000</v>
      </c>
      <c r="H7" s="4196">
        <f>E18</f>
        <v>18450</v>
      </c>
      <c r="I7" s="4196">
        <f>E23</f>
        <v>45566.15</v>
      </c>
      <c r="J7" s="4196">
        <f>E28</f>
        <v>78000</v>
      </c>
      <c r="K7" s="4196">
        <f>E33</f>
        <v>2500</v>
      </c>
      <c r="L7" s="4196">
        <f>E38</f>
        <v>375000</v>
      </c>
      <c r="M7" s="4196">
        <f>E43</f>
        <v>0</v>
      </c>
      <c r="N7" s="4196">
        <f>E48</f>
        <v>16200</v>
      </c>
      <c r="O7" s="4196">
        <f>E53</f>
        <v>2340716</v>
      </c>
      <c r="P7" s="4196">
        <f>E54</f>
        <v>0</v>
      </c>
      <c r="Q7" s="4197">
        <f>SUM(G7:P7)</f>
        <v>2922432.15</v>
      </c>
      <c r="R7" s="4198">
        <f>Q55</f>
        <v>553235.17999999993</v>
      </c>
      <c r="S7" s="317">
        <f>O7/Q7</f>
        <v>0.80094793646449591</v>
      </c>
      <c r="T7" s="317">
        <f>(J7+(H7*1.63))/Q7</f>
        <v>3.6980670363895358E-2</v>
      </c>
      <c r="U7" s="317">
        <f>L7/Q7</f>
        <v>0.1283177780534614</v>
      </c>
      <c r="V7" s="218">
        <f>Q7/R7</f>
        <v>5.2824409141877062</v>
      </c>
    </row>
    <row r="8" spans="2:22" ht="16.5" thickBot="1">
      <c r="C8" s="220" t="s">
        <v>230</v>
      </c>
      <c r="F8" s="3611" t="s">
        <v>1175</v>
      </c>
      <c r="G8" s="357">
        <f>SUM(G5+G7)</f>
        <v>46000</v>
      </c>
      <c r="H8" s="3612">
        <f t="shared" ref="H8:R8" si="0">SUM(H5+H7)</f>
        <v>18450</v>
      </c>
      <c r="I8" s="3612">
        <f t="shared" si="0"/>
        <v>45566.15</v>
      </c>
      <c r="J8" s="3612">
        <f t="shared" si="0"/>
        <v>78000</v>
      </c>
      <c r="K8" s="3612">
        <f t="shared" si="0"/>
        <v>2500</v>
      </c>
      <c r="L8" s="3612">
        <f t="shared" si="0"/>
        <v>375000</v>
      </c>
      <c r="M8" s="3612">
        <f t="shared" si="0"/>
        <v>0</v>
      </c>
      <c r="N8" s="3612">
        <f t="shared" si="0"/>
        <v>16200</v>
      </c>
      <c r="O8" s="3612">
        <f t="shared" si="0"/>
        <v>2340716</v>
      </c>
      <c r="P8" s="3612">
        <f t="shared" si="0"/>
        <v>0</v>
      </c>
      <c r="Q8" s="3612">
        <f t="shared" si="0"/>
        <v>2922432.15</v>
      </c>
      <c r="R8" s="3610">
        <f t="shared" si="0"/>
        <v>553235.17999999993</v>
      </c>
      <c r="S8" s="317">
        <f>O8/Q8</f>
        <v>0.80094793646449591</v>
      </c>
      <c r="T8" s="317">
        <f>(J8+(H8*1.63))/Q8</f>
        <v>3.6980670363895358E-2</v>
      </c>
      <c r="U8" s="317">
        <f>L8/Q8</f>
        <v>0.1283177780534614</v>
      </c>
      <c r="V8" s="218">
        <f>Q8/R8</f>
        <v>5.2824409141877062</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35">
        <v>46121</v>
      </c>
      <c r="C13" s="236" t="s">
        <v>138</v>
      </c>
      <c r="D13" s="237">
        <f>SUM(D14:D17)</f>
        <v>0</v>
      </c>
      <c r="E13" s="4468">
        <f>SUM(E14:E17)</f>
        <v>46000</v>
      </c>
      <c r="F13" s="238">
        <f>D13+E13</f>
        <v>46000</v>
      </c>
      <c r="H13" s="132"/>
      <c r="I13" s="239" t="str">
        <f t="shared" ref="I13:I54" si="1">C63</f>
        <v>Attic Insulation R-0 to R-49 - Gas</v>
      </c>
      <c r="J13" s="240"/>
      <c r="K13" s="241"/>
      <c r="L13" s="360">
        <f t="shared" ref="L13:L54" si="2">D63</f>
        <v>0.11</v>
      </c>
      <c r="M13" s="3193">
        <v>0</v>
      </c>
      <c r="N13" s="4484">
        <v>2000000</v>
      </c>
      <c r="O13" s="244">
        <f>M13+N13</f>
        <v>2000000</v>
      </c>
      <c r="P13" s="361">
        <f t="shared" ref="P13:R28" si="3">M13*$D63</f>
        <v>0</v>
      </c>
      <c r="Q13" s="361">
        <f t="shared" si="3"/>
        <v>220000</v>
      </c>
      <c r="R13" s="362">
        <f t="shared" si="3"/>
        <v>220000</v>
      </c>
      <c r="S13" t="s">
        <v>7</v>
      </c>
      <c r="T13" s="4896"/>
    </row>
    <row r="14" spans="2:22">
      <c r="B14" s="247"/>
      <c r="C14" s="248" t="s">
        <v>139</v>
      </c>
      <c r="D14" s="249">
        <v>0</v>
      </c>
      <c r="E14" s="4447">
        <v>46000</v>
      </c>
      <c r="F14" s="249">
        <f>SUM(D14:E14)</f>
        <v>46000</v>
      </c>
      <c r="H14" s="132"/>
      <c r="I14" s="4475" t="str">
        <f t="shared" si="1"/>
        <v>Floor insulation R-0 to R-30 - Gas</v>
      </c>
      <c r="J14" s="4476"/>
      <c r="K14" s="4477"/>
      <c r="L14" s="4580">
        <f t="shared" si="2"/>
        <v>6.6000000000000003E-2</v>
      </c>
      <c r="M14" s="3193">
        <v>0</v>
      </c>
      <c r="N14" s="4484">
        <v>900000</v>
      </c>
      <c r="O14" s="244">
        <f t="shared" ref="O14:O54" si="4">M14+N14</f>
        <v>900000</v>
      </c>
      <c r="P14" s="361">
        <f t="shared" si="3"/>
        <v>0</v>
      </c>
      <c r="Q14" s="361">
        <f t="shared" si="3"/>
        <v>59400</v>
      </c>
      <c r="R14" s="362">
        <f t="shared" si="3"/>
        <v>59400</v>
      </c>
      <c r="T14" s="4896"/>
    </row>
    <row r="15" spans="2:22">
      <c r="B15" s="254"/>
      <c r="C15" s="255" t="s">
        <v>140</v>
      </c>
      <c r="D15" s="256">
        <v>0</v>
      </c>
      <c r="E15" s="256"/>
      <c r="F15" s="249">
        <f t="shared" ref="F15:F25" si="5">SUM(D15:E15)</f>
        <v>0</v>
      </c>
      <c r="H15" s="132"/>
      <c r="I15" s="4475" t="str">
        <f t="shared" si="1"/>
        <v>Wall Insulation R-0 to R-13 - Gas</v>
      </c>
      <c r="J15" s="4476"/>
      <c r="K15" s="4477"/>
      <c r="L15" s="4580">
        <f t="shared" si="2"/>
        <v>8.4000000000000005E-2</v>
      </c>
      <c r="M15" s="3193">
        <v>0</v>
      </c>
      <c r="N15" s="4484">
        <v>650000</v>
      </c>
      <c r="O15" s="244">
        <f t="shared" si="4"/>
        <v>650000</v>
      </c>
      <c r="P15" s="361">
        <f t="shared" si="3"/>
        <v>0</v>
      </c>
      <c r="Q15" s="361">
        <f t="shared" si="3"/>
        <v>54600</v>
      </c>
      <c r="R15" s="362">
        <f t="shared" si="3"/>
        <v>54600</v>
      </c>
      <c r="T15" s="4896"/>
    </row>
    <row r="16" spans="2:22">
      <c r="B16" s="254"/>
      <c r="C16" s="255" t="s">
        <v>141</v>
      </c>
      <c r="D16" s="258">
        <v>0</v>
      </c>
      <c r="E16" s="258"/>
      <c r="F16" s="249">
        <f t="shared" si="5"/>
        <v>0</v>
      </c>
      <c r="H16" s="132"/>
      <c r="I16" s="250" t="str">
        <f t="shared" si="1"/>
        <v>Duct Insulation FAF Gas R-2 to R-11</v>
      </c>
      <c r="J16" s="251"/>
      <c r="K16" s="252"/>
      <c r="L16" s="360">
        <f t="shared" si="2"/>
        <v>32</v>
      </c>
      <c r="M16" s="3193">
        <v>0</v>
      </c>
      <c r="N16" s="243">
        <v>0</v>
      </c>
      <c r="O16" s="244">
        <f t="shared" si="4"/>
        <v>0</v>
      </c>
      <c r="P16" s="361">
        <f t="shared" si="3"/>
        <v>0</v>
      </c>
      <c r="Q16" s="361">
        <f t="shared" si="3"/>
        <v>0</v>
      </c>
      <c r="R16" s="362">
        <f t="shared" si="3"/>
        <v>0</v>
      </c>
      <c r="T16" s="4896"/>
    </row>
    <row r="17" spans="2:20" ht="13.5" thickBot="1">
      <c r="B17" s="366"/>
      <c r="C17" s="255" t="s">
        <v>142</v>
      </c>
      <c r="D17" s="258">
        <v>0</v>
      </c>
      <c r="E17" s="258"/>
      <c r="F17" s="249">
        <f t="shared" si="5"/>
        <v>0</v>
      </c>
      <c r="H17" s="132"/>
      <c r="I17" s="4475" t="str">
        <f t="shared" si="1"/>
        <v>PTCS Duct Sealing -Gas</v>
      </c>
      <c r="J17" s="4476"/>
      <c r="K17" s="4477"/>
      <c r="L17" s="4580">
        <f t="shared" si="2"/>
        <v>58</v>
      </c>
      <c r="M17" s="3193">
        <v>0</v>
      </c>
      <c r="N17" s="4484">
        <v>1400</v>
      </c>
      <c r="O17" s="244">
        <f t="shared" si="4"/>
        <v>1400</v>
      </c>
      <c r="P17" s="361">
        <f t="shared" si="3"/>
        <v>0</v>
      </c>
      <c r="Q17" s="361">
        <f t="shared" si="3"/>
        <v>81200</v>
      </c>
      <c r="R17" s="362">
        <f t="shared" si="3"/>
        <v>81200</v>
      </c>
      <c r="T17" s="4896"/>
    </row>
    <row r="18" spans="2:20" ht="13.5" thickBot="1">
      <c r="B18" s="235">
        <v>9224</v>
      </c>
      <c r="C18" s="236" t="s">
        <v>143</v>
      </c>
      <c r="D18" s="237">
        <f>SUM(D19:D22)</f>
        <v>0</v>
      </c>
      <c r="E18" s="237">
        <f>SUM(E19:E22)</f>
        <v>18450</v>
      </c>
      <c r="F18" s="238">
        <f>D18+E18</f>
        <v>18450</v>
      </c>
      <c r="H18" s="132"/>
      <c r="I18" s="4475" t="str">
        <f t="shared" si="1"/>
        <v>Air Sealing CFM50 - Gas</v>
      </c>
      <c r="J18" s="4476"/>
      <c r="K18" s="4477"/>
      <c r="L18" s="4580">
        <f t="shared" si="2"/>
        <v>8.3000000000000004E-2</v>
      </c>
      <c r="M18" s="3193">
        <v>0</v>
      </c>
      <c r="N18" s="4484">
        <v>759460</v>
      </c>
      <c r="O18" s="244">
        <f t="shared" si="4"/>
        <v>759460</v>
      </c>
      <c r="P18" s="361">
        <f t="shared" si="3"/>
        <v>0</v>
      </c>
      <c r="Q18" s="361">
        <f t="shared" si="3"/>
        <v>63035.18</v>
      </c>
      <c r="R18" s="362">
        <f t="shared" si="3"/>
        <v>63035.18</v>
      </c>
      <c r="T18" s="4896"/>
    </row>
    <row r="19" spans="2:20">
      <c r="B19" s="247"/>
      <c r="C19" s="248" t="s">
        <v>139</v>
      </c>
      <c r="D19" s="249">
        <v>0</v>
      </c>
      <c r="E19" s="249">
        <v>18450</v>
      </c>
      <c r="F19" s="249">
        <f t="shared" si="5"/>
        <v>18450</v>
      </c>
      <c r="H19" s="132"/>
      <c r="I19" s="250" t="str">
        <f t="shared" si="1"/>
        <v>Home Performance with Energy Star</v>
      </c>
      <c r="J19" s="251"/>
      <c r="K19" s="252"/>
      <c r="L19" s="360">
        <f t="shared" si="2"/>
        <v>0</v>
      </c>
      <c r="M19" s="3193">
        <v>0</v>
      </c>
      <c r="N19" s="4484">
        <v>45</v>
      </c>
      <c r="O19" s="244">
        <f t="shared" si="4"/>
        <v>45</v>
      </c>
      <c r="P19" s="361">
        <f t="shared" si="3"/>
        <v>0</v>
      </c>
      <c r="Q19" s="361">
        <f t="shared" si="3"/>
        <v>0</v>
      </c>
      <c r="R19" s="362">
        <f t="shared" si="3"/>
        <v>0</v>
      </c>
      <c r="T19" s="3535"/>
    </row>
    <row r="20" spans="2:20">
      <c r="B20" s="254"/>
      <c r="C20" s="255" t="s">
        <v>140</v>
      </c>
      <c r="D20" s="256">
        <v>0</v>
      </c>
      <c r="E20" s="256"/>
      <c r="F20" s="249">
        <f t="shared" si="5"/>
        <v>0</v>
      </c>
      <c r="H20" s="132"/>
      <c r="I20" s="250" t="str">
        <f t="shared" si="1"/>
        <v>Attic Insulation R-19 to R-49 - Gas</v>
      </c>
      <c r="J20" s="251"/>
      <c r="K20" s="252"/>
      <c r="L20" s="360">
        <f t="shared" si="2"/>
        <v>3.3000000000000002E-2</v>
      </c>
      <c r="M20" s="3193">
        <v>0</v>
      </c>
      <c r="N20" s="4484">
        <v>0</v>
      </c>
      <c r="O20" s="244">
        <f t="shared" si="4"/>
        <v>0</v>
      </c>
      <c r="P20" s="361">
        <f t="shared" si="3"/>
        <v>0</v>
      </c>
      <c r="Q20" s="361">
        <f t="shared" si="3"/>
        <v>0</v>
      </c>
      <c r="R20" s="362">
        <f t="shared" si="3"/>
        <v>0</v>
      </c>
      <c r="T20" s="3535"/>
    </row>
    <row r="21" spans="2:20">
      <c r="B21" s="254"/>
      <c r="C21" s="255" t="s">
        <v>141</v>
      </c>
      <c r="D21" s="258">
        <v>0</v>
      </c>
      <c r="E21" s="258"/>
      <c r="F21" s="249">
        <f t="shared" si="5"/>
        <v>0</v>
      </c>
      <c r="H21" s="132"/>
      <c r="I21" s="250" t="str">
        <f t="shared" si="1"/>
        <v>Prescriptive Duct Sealing and Insulation - Gas</v>
      </c>
      <c r="J21" s="251"/>
      <c r="K21" s="252"/>
      <c r="L21" s="360">
        <f t="shared" si="2"/>
        <v>75</v>
      </c>
      <c r="M21" s="3193">
        <v>0</v>
      </c>
      <c r="N21" s="4484">
        <v>1000</v>
      </c>
      <c r="O21" s="244">
        <f t="shared" si="4"/>
        <v>1000</v>
      </c>
      <c r="P21" s="361">
        <f t="shared" si="3"/>
        <v>0</v>
      </c>
      <c r="Q21" s="361">
        <f t="shared" si="3"/>
        <v>75000</v>
      </c>
      <c r="R21" s="362">
        <f t="shared" si="3"/>
        <v>75000</v>
      </c>
      <c r="T21" s="3535"/>
    </row>
    <row r="22" spans="2:20" ht="13.5" thickBot="1">
      <c r="B22" s="254"/>
      <c r="C22" s="255" t="s">
        <v>142</v>
      </c>
      <c r="D22" s="258">
        <v>0</v>
      </c>
      <c r="E22" s="258"/>
      <c r="F22" s="249">
        <f t="shared" si="5"/>
        <v>0</v>
      </c>
      <c r="H22" s="132"/>
      <c r="I22" s="4475" t="str">
        <f t="shared" si="1"/>
        <v>CO Monitor</v>
      </c>
      <c r="J22" s="4476"/>
      <c r="K22" s="4477"/>
      <c r="L22" s="4580">
        <f t="shared" si="2"/>
        <v>0</v>
      </c>
      <c r="M22" s="257">
        <v>0</v>
      </c>
      <c r="N22" s="4484">
        <v>4151</v>
      </c>
      <c r="O22" s="244">
        <f t="shared" si="4"/>
        <v>4151</v>
      </c>
      <c r="P22" s="361">
        <f t="shared" si="3"/>
        <v>0</v>
      </c>
      <c r="Q22" s="361">
        <f t="shared" si="3"/>
        <v>0</v>
      </c>
      <c r="R22" s="362">
        <f t="shared" si="3"/>
        <v>0</v>
      </c>
      <c r="T22" s="3535"/>
    </row>
    <row r="23" spans="2:20" ht="13.5" thickBot="1">
      <c r="B23" s="235">
        <v>34867</v>
      </c>
      <c r="C23" s="236" t="s">
        <v>144</v>
      </c>
      <c r="D23" s="237">
        <f>SUM(D24:D27)</f>
        <v>0</v>
      </c>
      <c r="E23" s="237">
        <f>SUM(E24:E27)</f>
        <v>45566.15</v>
      </c>
      <c r="F23" s="238">
        <f>D23+E23</f>
        <v>45566.15</v>
      </c>
      <c r="G23" s="53"/>
      <c r="H23" s="132"/>
      <c r="I23" s="250" t="str">
        <f t="shared" si="1"/>
        <v>Measure 11</v>
      </c>
      <c r="J23" s="251"/>
      <c r="K23" s="252"/>
      <c r="L23" s="360">
        <f t="shared" si="2"/>
        <v>0</v>
      </c>
      <c r="M23" s="257">
        <v>0</v>
      </c>
      <c r="N23" s="257">
        <v>0</v>
      </c>
      <c r="O23" s="244">
        <f t="shared" si="4"/>
        <v>0</v>
      </c>
      <c r="P23" s="361">
        <f t="shared" si="3"/>
        <v>0</v>
      </c>
      <c r="Q23" s="361">
        <f t="shared" si="3"/>
        <v>0</v>
      </c>
      <c r="R23" s="362">
        <f t="shared" si="3"/>
        <v>0</v>
      </c>
      <c r="T23" s="3535"/>
    </row>
    <row r="24" spans="2:20">
      <c r="B24" s="247"/>
      <c r="C24" s="3566" t="s">
        <v>1434</v>
      </c>
      <c r="D24" s="249">
        <f>0.63*D13</f>
        <v>0</v>
      </c>
      <c r="E24" s="249">
        <f>0.707*E13</f>
        <v>32522</v>
      </c>
      <c r="F24" s="249">
        <f t="shared" si="5"/>
        <v>32522</v>
      </c>
      <c r="H24" s="132"/>
      <c r="I24" s="250" t="str">
        <f t="shared" si="1"/>
        <v>Measure 12</v>
      </c>
      <c r="J24" s="251"/>
      <c r="K24" s="252"/>
      <c r="L24" s="360">
        <f t="shared" si="2"/>
        <v>0</v>
      </c>
      <c r="M24" s="257">
        <v>0</v>
      </c>
      <c r="N24" s="257">
        <v>0</v>
      </c>
      <c r="O24" s="244">
        <f t="shared" si="4"/>
        <v>0</v>
      </c>
      <c r="P24" s="361">
        <f t="shared" si="3"/>
        <v>0</v>
      </c>
      <c r="Q24" s="361">
        <f t="shared" si="3"/>
        <v>0</v>
      </c>
      <c r="R24" s="362">
        <f t="shared" si="3"/>
        <v>0</v>
      </c>
      <c r="T24" s="3535"/>
    </row>
    <row r="25" spans="2:20">
      <c r="B25" s="247"/>
      <c r="C25" s="3566" t="s">
        <v>1435</v>
      </c>
      <c r="D25" s="256">
        <v>0</v>
      </c>
      <c r="E25" s="256">
        <f>0.707*E18</f>
        <v>13044.15</v>
      </c>
      <c r="F25" s="249">
        <f t="shared" si="5"/>
        <v>13044.15</v>
      </c>
      <c r="H25" s="132"/>
      <c r="I25" s="250" t="str">
        <f t="shared" si="1"/>
        <v>Measure 13</v>
      </c>
      <c r="J25" s="251"/>
      <c r="K25" s="252"/>
      <c r="L25" s="360">
        <f t="shared" si="2"/>
        <v>0</v>
      </c>
      <c r="M25" s="257">
        <v>0</v>
      </c>
      <c r="N25" s="257">
        <v>0</v>
      </c>
      <c r="O25" s="244">
        <f t="shared" si="4"/>
        <v>0</v>
      </c>
      <c r="P25" s="361">
        <f t="shared" si="3"/>
        <v>0</v>
      </c>
      <c r="Q25" s="361">
        <f t="shared" si="3"/>
        <v>0</v>
      </c>
      <c r="R25" s="362">
        <f t="shared" si="3"/>
        <v>0</v>
      </c>
      <c r="T25" s="3535"/>
    </row>
    <row r="26" spans="2:20">
      <c r="B26" s="254"/>
      <c r="C26" s="255"/>
      <c r="D26" s="258"/>
      <c r="E26" s="258"/>
      <c r="F26" s="258"/>
      <c r="H26" s="132"/>
      <c r="I26" s="250" t="str">
        <f t="shared" si="1"/>
        <v>Measure 14</v>
      </c>
      <c r="J26" s="251"/>
      <c r="K26" s="252"/>
      <c r="L26" s="360">
        <f t="shared" si="2"/>
        <v>0</v>
      </c>
      <c r="M26" s="257">
        <v>0</v>
      </c>
      <c r="N26" s="257">
        <v>0</v>
      </c>
      <c r="O26" s="244">
        <f t="shared" si="4"/>
        <v>0</v>
      </c>
      <c r="P26" s="361">
        <f t="shared" si="3"/>
        <v>0</v>
      </c>
      <c r="Q26" s="361">
        <f t="shared" si="3"/>
        <v>0</v>
      </c>
      <c r="R26" s="362">
        <f t="shared" si="3"/>
        <v>0</v>
      </c>
      <c r="T26" s="3535"/>
    </row>
    <row r="27" spans="2:20" ht="13.5" thickBot="1">
      <c r="B27" s="254"/>
      <c r="C27" s="255"/>
      <c r="D27" s="258"/>
      <c r="E27" s="258"/>
      <c r="F27" s="258"/>
      <c r="H27" s="132"/>
      <c r="I27" s="250" t="str">
        <f t="shared" si="1"/>
        <v>Measure 15</v>
      </c>
      <c r="J27" s="251"/>
      <c r="K27" s="252"/>
      <c r="L27" s="360">
        <f t="shared" si="2"/>
        <v>0</v>
      </c>
      <c r="M27" s="257">
        <v>0</v>
      </c>
      <c r="N27" s="257">
        <v>0</v>
      </c>
      <c r="O27" s="244">
        <f t="shared" si="4"/>
        <v>0</v>
      </c>
      <c r="P27" s="361">
        <f t="shared" si="3"/>
        <v>0</v>
      </c>
      <c r="Q27" s="361">
        <f t="shared" si="3"/>
        <v>0</v>
      </c>
      <c r="R27" s="362">
        <f t="shared" si="3"/>
        <v>0</v>
      </c>
      <c r="T27" s="3535"/>
    </row>
    <row r="28" spans="2:20" ht="13.5" thickBot="1">
      <c r="B28" s="235">
        <v>45000</v>
      </c>
      <c r="C28" s="236" t="s">
        <v>145</v>
      </c>
      <c r="D28" s="237">
        <f>SUM(D29:D32)</f>
        <v>0</v>
      </c>
      <c r="E28" s="4468">
        <f>SUM(E29:E32)</f>
        <v>78000</v>
      </c>
      <c r="F28" s="238">
        <f>D28+E28</f>
        <v>78000</v>
      </c>
      <c r="H28" s="132"/>
      <c r="I28" s="250" t="str">
        <f t="shared" si="1"/>
        <v>Measure 16</v>
      </c>
      <c r="J28" s="251"/>
      <c r="K28" s="252"/>
      <c r="L28" s="360">
        <f t="shared" si="2"/>
        <v>0</v>
      </c>
      <c r="M28" s="257">
        <v>0</v>
      </c>
      <c r="N28" s="257">
        <v>0</v>
      </c>
      <c r="O28" s="244">
        <f t="shared" si="4"/>
        <v>0</v>
      </c>
      <c r="P28" s="361">
        <f t="shared" si="3"/>
        <v>0</v>
      </c>
      <c r="Q28" s="361">
        <f t="shared" si="3"/>
        <v>0</v>
      </c>
      <c r="R28" s="362">
        <f t="shared" si="3"/>
        <v>0</v>
      </c>
      <c r="T28" s="3535"/>
    </row>
    <row r="29" spans="2:20">
      <c r="B29" s="247"/>
      <c r="C29" s="248" t="s">
        <v>139</v>
      </c>
      <c r="D29" s="249">
        <v>0</v>
      </c>
      <c r="E29" s="4447">
        <v>60000</v>
      </c>
      <c r="F29" s="249">
        <f t="shared" ref="F29:F37" si="6">SUM(D29:E29)</f>
        <v>60000</v>
      </c>
      <c r="H29" s="132"/>
      <c r="I29" s="250" t="str">
        <f t="shared" si="1"/>
        <v>Measure 17</v>
      </c>
      <c r="J29" s="251"/>
      <c r="K29" s="252"/>
      <c r="L29" s="360">
        <f t="shared" si="2"/>
        <v>0</v>
      </c>
      <c r="M29" s="257">
        <v>0</v>
      </c>
      <c r="N29" s="257">
        <v>0</v>
      </c>
      <c r="O29" s="244">
        <f t="shared" si="4"/>
        <v>0</v>
      </c>
      <c r="P29" s="361">
        <f t="shared" ref="P29:R44" si="7">M29*$D79</f>
        <v>0</v>
      </c>
      <c r="Q29" s="361">
        <f t="shared" si="7"/>
        <v>0</v>
      </c>
      <c r="R29" s="362">
        <f t="shared" si="7"/>
        <v>0</v>
      </c>
      <c r="T29" s="3535"/>
    </row>
    <row r="30" spans="2:20">
      <c r="B30" s="254"/>
      <c r="C30" s="3572" t="s">
        <v>1263</v>
      </c>
      <c r="D30" s="256">
        <v>0</v>
      </c>
      <c r="E30" s="4449">
        <v>18000</v>
      </c>
      <c r="F30" s="249">
        <f t="shared" si="6"/>
        <v>18000</v>
      </c>
      <c r="H30" s="132"/>
      <c r="I30" s="250" t="str">
        <f t="shared" si="1"/>
        <v>Measure 18</v>
      </c>
      <c r="J30" s="251"/>
      <c r="K30" s="252"/>
      <c r="L30" s="360">
        <f t="shared" si="2"/>
        <v>0</v>
      </c>
      <c r="M30" s="257">
        <v>0</v>
      </c>
      <c r="N30" s="257">
        <v>0</v>
      </c>
      <c r="O30" s="244">
        <f t="shared" si="4"/>
        <v>0</v>
      </c>
      <c r="P30" s="361">
        <f t="shared" si="7"/>
        <v>0</v>
      </c>
      <c r="Q30" s="361">
        <f t="shared" si="7"/>
        <v>0</v>
      </c>
      <c r="R30" s="362">
        <f t="shared" si="7"/>
        <v>0</v>
      </c>
      <c r="T30" s="3535"/>
    </row>
    <row r="31" spans="2:20">
      <c r="B31" s="254"/>
      <c r="C31" s="255" t="s">
        <v>141</v>
      </c>
      <c r="D31" s="256">
        <v>0</v>
      </c>
      <c r="E31" s="256"/>
      <c r="F31" s="249">
        <f t="shared" si="6"/>
        <v>0</v>
      </c>
      <c r="H31" s="132"/>
      <c r="I31" s="250" t="str">
        <f t="shared" si="1"/>
        <v>Measure 19</v>
      </c>
      <c r="J31" s="251"/>
      <c r="K31" s="252"/>
      <c r="L31" s="360">
        <f t="shared" si="2"/>
        <v>0</v>
      </c>
      <c r="M31" s="257">
        <v>0</v>
      </c>
      <c r="N31" s="257">
        <v>0</v>
      </c>
      <c r="O31" s="244">
        <f t="shared" si="4"/>
        <v>0</v>
      </c>
      <c r="P31" s="361">
        <f t="shared" si="7"/>
        <v>0</v>
      </c>
      <c r="Q31" s="361">
        <f t="shared" si="7"/>
        <v>0</v>
      </c>
      <c r="R31" s="362">
        <f t="shared" si="7"/>
        <v>0</v>
      </c>
      <c r="T31" s="3535"/>
    </row>
    <row r="32" spans="2:20" ht="13.5" thickBot="1">
      <c r="B32" s="254"/>
      <c r="C32" s="255" t="s">
        <v>142</v>
      </c>
      <c r="D32" s="256">
        <v>0</v>
      </c>
      <c r="E32" s="256"/>
      <c r="F32" s="249">
        <f t="shared" si="6"/>
        <v>0</v>
      </c>
      <c r="H32" s="132"/>
      <c r="I32" s="250" t="str">
        <f t="shared" si="1"/>
        <v>Measure 20</v>
      </c>
      <c r="J32" s="251"/>
      <c r="K32" s="252"/>
      <c r="L32" s="360">
        <f t="shared" si="2"/>
        <v>0</v>
      </c>
      <c r="M32" s="257">
        <v>0</v>
      </c>
      <c r="N32" s="257">
        <v>0</v>
      </c>
      <c r="O32" s="244">
        <f t="shared" si="4"/>
        <v>0</v>
      </c>
      <c r="P32" s="361">
        <f t="shared" si="7"/>
        <v>0</v>
      </c>
      <c r="Q32" s="361">
        <f t="shared" si="7"/>
        <v>0</v>
      </c>
      <c r="R32" s="362">
        <f t="shared" si="7"/>
        <v>0</v>
      </c>
      <c r="T32" s="3535"/>
    </row>
    <row r="33" spans="2:20" ht="13.5" thickBot="1">
      <c r="B33" s="235">
        <v>2940</v>
      </c>
      <c r="C33" s="236" t="s">
        <v>146</v>
      </c>
      <c r="D33" s="237">
        <f>SUM(D34:D37)</f>
        <v>0</v>
      </c>
      <c r="E33" s="4468">
        <f>SUM(E34:E37)</f>
        <v>2500</v>
      </c>
      <c r="F33" s="238">
        <f>D33+E33</f>
        <v>2500</v>
      </c>
      <c r="H33" s="132"/>
      <c r="I33" s="250" t="str">
        <f t="shared" si="1"/>
        <v>Measure 21</v>
      </c>
      <c r="J33" s="251"/>
      <c r="K33" s="252"/>
      <c r="L33" s="360">
        <f t="shared" si="2"/>
        <v>0</v>
      </c>
      <c r="M33" s="257">
        <v>0</v>
      </c>
      <c r="N33" s="257">
        <v>0</v>
      </c>
      <c r="O33" s="244">
        <f t="shared" si="4"/>
        <v>0</v>
      </c>
      <c r="P33" s="361">
        <f t="shared" si="7"/>
        <v>0</v>
      </c>
      <c r="Q33" s="361">
        <f t="shared" si="7"/>
        <v>0</v>
      </c>
      <c r="R33" s="362">
        <f t="shared" si="7"/>
        <v>0</v>
      </c>
      <c r="T33" s="3535"/>
    </row>
    <row r="34" spans="2:20">
      <c r="B34" s="254"/>
      <c r="C34" s="255" t="s">
        <v>139</v>
      </c>
      <c r="D34" s="256">
        <v>0</v>
      </c>
      <c r="E34" s="4449">
        <v>2500</v>
      </c>
      <c r="F34" s="249">
        <f t="shared" si="6"/>
        <v>2500</v>
      </c>
      <c r="H34" s="132"/>
      <c r="I34" s="250" t="str">
        <f t="shared" si="1"/>
        <v>Measure 22</v>
      </c>
      <c r="J34" s="251"/>
      <c r="K34" s="252"/>
      <c r="L34" s="360">
        <f t="shared" si="2"/>
        <v>0</v>
      </c>
      <c r="M34" s="257">
        <v>0</v>
      </c>
      <c r="N34" s="257">
        <v>0</v>
      </c>
      <c r="O34" s="244">
        <f t="shared" si="4"/>
        <v>0</v>
      </c>
      <c r="P34" s="361">
        <f t="shared" si="7"/>
        <v>0</v>
      </c>
      <c r="Q34" s="361">
        <f t="shared" si="7"/>
        <v>0</v>
      </c>
      <c r="R34" s="362">
        <f t="shared" si="7"/>
        <v>0</v>
      </c>
      <c r="T34" s="3535"/>
    </row>
    <row r="35" spans="2:20">
      <c r="B35" s="254"/>
      <c r="C35" s="255" t="s">
        <v>140</v>
      </c>
      <c r="D35" s="256">
        <v>0</v>
      </c>
      <c r="E35" s="256"/>
      <c r="F35" s="249">
        <f t="shared" si="6"/>
        <v>0</v>
      </c>
      <c r="H35" s="132"/>
      <c r="I35" s="250" t="str">
        <f t="shared" si="1"/>
        <v>Measure 23</v>
      </c>
      <c r="J35" s="251"/>
      <c r="K35" s="252"/>
      <c r="L35" s="360">
        <f t="shared" si="2"/>
        <v>0</v>
      </c>
      <c r="M35" s="257">
        <v>0</v>
      </c>
      <c r="N35" s="257">
        <v>0</v>
      </c>
      <c r="O35" s="244">
        <f t="shared" si="4"/>
        <v>0</v>
      </c>
      <c r="P35" s="361">
        <f t="shared" si="7"/>
        <v>0</v>
      </c>
      <c r="Q35" s="361">
        <f t="shared" si="7"/>
        <v>0</v>
      </c>
      <c r="R35" s="362">
        <f t="shared" si="7"/>
        <v>0</v>
      </c>
      <c r="T35" s="3535"/>
    </row>
    <row r="36" spans="2:20">
      <c r="B36" s="254"/>
      <c r="C36" s="255" t="s">
        <v>141</v>
      </c>
      <c r="D36" s="256">
        <v>0</v>
      </c>
      <c r="E36" s="256"/>
      <c r="F36" s="249">
        <f t="shared" si="6"/>
        <v>0</v>
      </c>
      <c r="H36" s="132"/>
      <c r="I36" s="250" t="str">
        <f t="shared" si="1"/>
        <v>Measure 24</v>
      </c>
      <c r="J36" s="251"/>
      <c r="K36" s="252"/>
      <c r="L36" s="360">
        <f t="shared" si="2"/>
        <v>0</v>
      </c>
      <c r="M36" s="257">
        <v>0</v>
      </c>
      <c r="N36" s="257">
        <v>0</v>
      </c>
      <c r="O36" s="244">
        <f t="shared" si="4"/>
        <v>0</v>
      </c>
      <c r="P36" s="361">
        <f t="shared" si="7"/>
        <v>0</v>
      </c>
      <c r="Q36" s="361">
        <f t="shared" si="7"/>
        <v>0</v>
      </c>
      <c r="R36" s="362">
        <f t="shared" si="7"/>
        <v>0</v>
      </c>
      <c r="T36" s="3535"/>
    </row>
    <row r="37" spans="2:20" ht="13.5" thickBot="1">
      <c r="B37" s="254"/>
      <c r="C37" s="255" t="s">
        <v>142</v>
      </c>
      <c r="D37" s="256">
        <v>0</v>
      </c>
      <c r="E37" s="256"/>
      <c r="F37" s="249">
        <f t="shared" si="6"/>
        <v>0</v>
      </c>
      <c r="H37" s="132"/>
      <c r="I37" s="250" t="str">
        <f t="shared" si="1"/>
        <v>Measure 25</v>
      </c>
      <c r="J37" s="251"/>
      <c r="K37" s="252"/>
      <c r="L37" s="360">
        <f t="shared" si="2"/>
        <v>0</v>
      </c>
      <c r="M37" s="257">
        <v>0</v>
      </c>
      <c r="N37" s="257">
        <v>0</v>
      </c>
      <c r="O37" s="244">
        <f t="shared" si="4"/>
        <v>0</v>
      </c>
      <c r="P37" s="361">
        <f t="shared" si="7"/>
        <v>0</v>
      </c>
      <c r="Q37" s="361">
        <f t="shared" si="7"/>
        <v>0</v>
      </c>
      <c r="R37" s="362">
        <f t="shared" si="7"/>
        <v>0</v>
      </c>
      <c r="T37" s="3535"/>
    </row>
    <row r="38" spans="2:20" ht="13.5" thickBot="1">
      <c r="B38" s="235">
        <v>1451772</v>
      </c>
      <c r="C38" s="236" t="s">
        <v>147</v>
      </c>
      <c r="D38" s="237">
        <f>SUM(D39:D42)</f>
        <v>0</v>
      </c>
      <c r="E38" s="4468">
        <f>SUM(E39:E42)</f>
        <v>375000</v>
      </c>
      <c r="F38" s="238">
        <f>D38+E38</f>
        <v>375000</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3535"/>
    </row>
    <row r="39" spans="2:20">
      <c r="B39" s="254"/>
      <c r="C39" s="255" t="s">
        <v>139</v>
      </c>
      <c r="D39" s="318">
        <v>0</v>
      </c>
      <c r="E39" s="4478">
        <v>375000</v>
      </c>
      <c r="F39" s="249">
        <f t="shared" ref="F39:F52" si="8">SUM(D39:E39)</f>
        <v>375000</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3535"/>
    </row>
    <row r="40" spans="2:20">
      <c r="B40" s="254"/>
      <c r="C40" s="255" t="s">
        <v>140</v>
      </c>
      <c r="D40" s="256">
        <v>0</v>
      </c>
      <c r="E40" s="256"/>
      <c r="F40" s="249">
        <f t="shared" si="8"/>
        <v>0</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3535"/>
    </row>
    <row r="41" spans="2:20">
      <c r="B41" s="254"/>
      <c r="C41" s="255" t="s">
        <v>141</v>
      </c>
      <c r="D41" s="256">
        <v>0</v>
      </c>
      <c r="E41" s="256"/>
      <c r="F41" s="249">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3535"/>
    </row>
    <row r="42" spans="2:20" ht="13.5" thickBot="1">
      <c r="B42" s="254"/>
      <c r="C42" s="255" t="s">
        <v>142</v>
      </c>
      <c r="D42" s="256">
        <v>0</v>
      </c>
      <c r="E42" s="256"/>
      <c r="F42" s="249">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3535"/>
    </row>
    <row r="43" spans="2:20" ht="13.5" thickBot="1">
      <c r="B43" s="235">
        <v>2400</v>
      </c>
      <c r="C43" s="236" t="s">
        <v>148</v>
      </c>
      <c r="D43" s="237">
        <f>SUM(D44:D47)</f>
        <v>0</v>
      </c>
      <c r="E43" s="4468">
        <f>SUM(E44:E47)</f>
        <v>0</v>
      </c>
      <c r="F43" s="238">
        <f>D43+E43</f>
        <v>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3535"/>
    </row>
    <row r="44" spans="2:20">
      <c r="B44" s="254"/>
      <c r="C44" s="255" t="s">
        <v>139</v>
      </c>
      <c r="D44" s="256">
        <v>0</v>
      </c>
      <c r="E44" s="4449">
        <v>0</v>
      </c>
      <c r="F44" s="249">
        <f t="shared" si="8"/>
        <v>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3535"/>
    </row>
    <row r="45" spans="2:20">
      <c r="B45" s="254"/>
      <c r="C45" s="255" t="s">
        <v>140</v>
      </c>
      <c r="D45" s="256">
        <v>0</v>
      </c>
      <c r="E45" s="256"/>
      <c r="F45" s="249">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3535"/>
    </row>
    <row r="46" spans="2:20">
      <c r="B46" s="254"/>
      <c r="C46" s="255" t="s">
        <v>141</v>
      </c>
      <c r="D46" s="256">
        <v>0</v>
      </c>
      <c r="E46" s="256"/>
      <c r="F46" s="249">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3535"/>
    </row>
    <row r="47" spans="2:20" ht="13.5" thickBot="1">
      <c r="B47" s="254"/>
      <c r="C47" s="255" t="s">
        <v>142</v>
      </c>
      <c r="D47" s="256">
        <v>0</v>
      </c>
      <c r="E47" s="256"/>
      <c r="F47" s="249">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3535"/>
    </row>
    <row r="48" spans="2:20" ht="13.5" thickBot="1">
      <c r="B48" s="235">
        <v>16200</v>
      </c>
      <c r="C48" s="236" t="s">
        <v>149</v>
      </c>
      <c r="D48" s="237">
        <f>SUM(D49:D52)</f>
        <v>0</v>
      </c>
      <c r="E48" s="237">
        <f>SUM(E49:E52)</f>
        <v>16200</v>
      </c>
      <c r="F48" s="238">
        <f>D48+E48</f>
        <v>16200</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3535"/>
    </row>
    <row r="49" spans="2:26">
      <c r="B49" s="254"/>
      <c r="C49" s="255" t="s">
        <v>139</v>
      </c>
      <c r="D49" s="256">
        <v>0</v>
      </c>
      <c r="E49" s="256">
        <v>16200</v>
      </c>
      <c r="F49" s="249">
        <f t="shared" si="8"/>
        <v>16200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3535"/>
    </row>
    <row r="50" spans="2:26">
      <c r="B50" s="254"/>
      <c r="C50" s="255" t="s">
        <v>140</v>
      </c>
      <c r="D50" s="256">
        <v>0</v>
      </c>
      <c r="E50" s="256"/>
      <c r="F50" s="249">
        <f t="shared" si="8"/>
        <v>0</v>
      </c>
      <c r="I50" s="250" t="str">
        <f t="shared" si="1"/>
        <v>Measure 38</v>
      </c>
      <c r="J50" s="251"/>
      <c r="K50" s="252"/>
      <c r="L50" s="360">
        <f t="shared" si="2"/>
        <v>0</v>
      </c>
      <c r="M50" s="257">
        <v>0</v>
      </c>
      <c r="N50" s="257">
        <v>0</v>
      </c>
      <c r="O50" s="244">
        <f t="shared" si="4"/>
        <v>0</v>
      </c>
      <c r="P50" s="361">
        <f t="shared" si="9"/>
        <v>0</v>
      </c>
      <c r="Q50" s="361">
        <f t="shared" si="9"/>
        <v>0</v>
      </c>
      <c r="R50" s="362">
        <f t="shared" si="9"/>
        <v>0</v>
      </c>
      <c r="T50" s="3535"/>
    </row>
    <row r="51" spans="2:26">
      <c r="B51" s="254"/>
      <c r="C51" s="255" t="s">
        <v>141</v>
      </c>
      <c r="D51" s="256">
        <v>0</v>
      </c>
      <c r="E51" s="256"/>
      <c r="F51" s="249">
        <f t="shared" si="8"/>
        <v>0</v>
      </c>
      <c r="I51" s="250" t="str">
        <f t="shared" si="1"/>
        <v>Measure 39</v>
      </c>
      <c r="J51" s="251"/>
      <c r="K51" s="252"/>
      <c r="L51" s="360">
        <f t="shared" si="2"/>
        <v>0</v>
      </c>
      <c r="M51" s="257">
        <v>0</v>
      </c>
      <c r="N51" s="257">
        <v>0</v>
      </c>
      <c r="O51" s="244">
        <f t="shared" si="4"/>
        <v>0</v>
      </c>
      <c r="P51" s="361">
        <f t="shared" si="9"/>
        <v>0</v>
      </c>
      <c r="Q51" s="361">
        <f t="shared" si="9"/>
        <v>0</v>
      </c>
      <c r="R51" s="362">
        <f t="shared" si="9"/>
        <v>0</v>
      </c>
      <c r="T51" s="3535"/>
    </row>
    <row r="52" spans="2:26" ht="13.5" thickBot="1">
      <c r="B52" s="254"/>
      <c r="C52" s="255" t="s">
        <v>142</v>
      </c>
      <c r="D52" s="256">
        <v>0</v>
      </c>
      <c r="E52" s="256"/>
      <c r="F52" s="249">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3535"/>
    </row>
    <row r="53" spans="2:26" ht="13.5" thickBot="1">
      <c r="B53" s="262">
        <v>2603178</v>
      </c>
      <c r="C53" s="236" t="s">
        <v>150</v>
      </c>
      <c r="D53" s="237">
        <f>T105</f>
        <v>0</v>
      </c>
      <c r="E53" s="237">
        <f>U105</f>
        <v>2340716</v>
      </c>
      <c r="F53" s="238">
        <f>V105</f>
        <v>2340716</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3535"/>
    </row>
    <row r="54" spans="2:26" ht="13.5" thickBot="1">
      <c r="B54" s="262">
        <v>0</v>
      </c>
      <c r="C54" s="236" t="s">
        <v>152</v>
      </c>
      <c r="D54" s="237">
        <v>0</v>
      </c>
      <c r="E54" s="237">
        <v>0</v>
      </c>
      <c r="F54" s="238">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3535"/>
    </row>
    <row r="55" spans="2:26">
      <c r="B55" s="263">
        <f>B13+B18+B23+B28+B33+B38+B43+B48+B53+B54</f>
        <v>4211702</v>
      </c>
      <c r="C55" s="264" t="s">
        <v>153</v>
      </c>
      <c r="D55" s="263">
        <f>D13+D18+D23+D28+D33+D38+D43+D48+D53+D54</f>
        <v>0</v>
      </c>
      <c r="E55" s="263">
        <f>E13+E18+E23+E28+E33+E38+E43+E48+E53+E54</f>
        <v>2922432.15</v>
      </c>
      <c r="F55" s="263">
        <f>F13+F18+F23+F28+F33+F38+F43+F48+F53+F54</f>
        <v>2922432.15</v>
      </c>
      <c r="P55" s="365">
        <f>SUM(P13:P54)</f>
        <v>0</v>
      </c>
      <c r="Q55" s="365">
        <f>SUM(Q13:Q54)</f>
        <v>553235.17999999993</v>
      </c>
      <c r="R55" s="365">
        <f>SUM(R13:R54)</f>
        <v>553235.17999999993</v>
      </c>
      <c r="T55" s="4894"/>
    </row>
    <row r="56" spans="2:26">
      <c r="C56" s="264"/>
      <c r="D56" s="263"/>
      <c r="E56" s="263"/>
      <c r="F56" s="263"/>
    </row>
    <row r="57" spans="2:26">
      <c r="C57" s="264" t="s">
        <v>154</v>
      </c>
      <c r="D57" s="263">
        <f>D55-D53</f>
        <v>0</v>
      </c>
      <c r="E57" s="263">
        <f>E55-E53</f>
        <v>581716.14999999991</v>
      </c>
      <c r="F57" s="263">
        <f>F55-F53</f>
        <v>581716.14999999991</v>
      </c>
    </row>
    <row r="58" spans="2:26">
      <c r="C58" s="264" t="s">
        <v>155</v>
      </c>
      <c r="D58" s="266">
        <f>D53</f>
        <v>0</v>
      </c>
      <c r="E58" s="266">
        <f>E53</f>
        <v>2340716</v>
      </c>
      <c r="F58" s="266">
        <f>F53</f>
        <v>2340716</v>
      </c>
      <c r="G58" s="319">
        <f>F58/(F57+F58)</f>
        <v>0.80094793646449591</v>
      </c>
      <c r="H58" s="268" t="s">
        <v>156</v>
      </c>
    </row>
    <row r="59" spans="2:26" ht="13.5" thickBot="1"/>
    <row r="60" spans="2:26" ht="16.5" thickBot="1">
      <c r="B60" s="269" t="s">
        <v>157</v>
      </c>
      <c r="C60" s="270"/>
      <c r="D60" s="5130" t="s">
        <v>158</v>
      </c>
      <c r="E60" s="5131"/>
      <c r="F60" s="5131"/>
      <c r="G60" s="5131"/>
      <c r="H60" s="5131"/>
      <c r="K60" s="271"/>
    </row>
    <row r="61" spans="2:26"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6"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6">
      <c r="B63" s="243">
        <v>48</v>
      </c>
      <c r="C63" s="243" t="s">
        <v>580</v>
      </c>
      <c r="D63" s="243">
        <v>0.11</v>
      </c>
      <c r="E63" s="243" t="s">
        <v>559</v>
      </c>
      <c r="F63" s="243" t="s">
        <v>257</v>
      </c>
      <c r="G63" s="313">
        <v>1.08</v>
      </c>
      <c r="H63" s="313">
        <v>0.22</v>
      </c>
      <c r="I63" s="3192">
        <v>0.47299999999999998</v>
      </c>
      <c r="J63" s="243">
        <v>30</v>
      </c>
      <c r="K63" s="243" t="s">
        <v>560</v>
      </c>
      <c r="L63" s="243"/>
      <c r="M63" s="278">
        <f t="shared" ref="M63:M69" si="10">Q63/O63</f>
        <v>3.7282244595207108</v>
      </c>
      <c r="N63" s="278">
        <f>((L63/S63)+R63)/P63</f>
        <v>1.0948994113080626</v>
      </c>
      <c r="O63" s="3548">
        <f t="shared" ref="O63:O72" si="11">(($I63*$F$57)+$V63)/$S63</f>
        <v>663406.06581632642</v>
      </c>
      <c r="P63" s="3548">
        <f t="shared" ref="P63:P72" si="12">(($I63*$F$57)+($G63*$O13))/$S63</f>
        <v>2258953.3756493507</v>
      </c>
      <c r="Q63" s="3548">
        <f>IF(K63=0, 0, (HLOOKUP(K63,'[3]G-CESTD'!$A$5:$G$35,J63+1,FALSE)*R13))</f>
        <v>2473326.7211708347</v>
      </c>
      <c r="R63" s="3548">
        <f>IF(K63=0, 0, (HLOOKUP(K63,'[3]G-CESTD'!$A$5:$G$35,J63+1,FALSE)*R13))</f>
        <v>2473326.7211708347</v>
      </c>
      <c r="S63" s="3592">
        <v>1.0780000000000001</v>
      </c>
      <c r="T63" s="4150">
        <f t="shared" ref="T63:U72" si="13">M13*$H63</f>
        <v>0</v>
      </c>
      <c r="U63" s="4150">
        <f t="shared" si="13"/>
        <v>440000</v>
      </c>
      <c r="V63" s="3190">
        <f>SUM(T63:U63)</f>
        <v>440000</v>
      </c>
      <c r="W63" s="322">
        <f t="shared" ref="W63:W81" si="14">V63/(V63+(I63*F$57))</f>
        <v>0.61525404475142131</v>
      </c>
      <c r="X63" s="322">
        <f t="shared" ref="X63:X81" si="15">(I63*((F$18*1.63)+F$28))/(V63+(I63*F$57))</f>
        <v>7.1479607355850919E-2</v>
      </c>
      <c r="Y63" s="322">
        <f t="shared" ref="Y63:Y81" si="16">(I63*F$38)/(V63+(I63*F$57))</f>
        <v>0.24802428679041671</v>
      </c>
      <c r="Z63" s="287">
        <f>I63*F$57</f>
        <v>275151.73894999997</v>
      </c>
    </row>
    <row r="64" spans="2:26">
      <c r="B64" s="323">
        <v>49</v>
      </c>
      <c r="C64" s="4469" t="s">
        <v>581</v>
      </c>
      <c r="D64" s="4469">
        <v>6.6000000000000003E-2</v>
      </c>
      <c r="E64" s="323" t="s">
        <v>559</v>
      </c>
      <c r="F64" s="323" t="s">
        <v>257</v>
      </c>
      <c r="G64" s="313">
        <v>1.37</v>
      </c>
      <c r="H64" s="313">
        <v>0.22</v>
      </c>
      <c r="I64" s="3192">
        <v>2.0799999999999999E-2</v>
      </c>
      <c r="J64" s="243">
        <v>30</v>
      </c>
      <c r="K64" s="243" t="s">
        <v>560</v>
      </c>
      <c r="L64" s="243"/>
      <c r="M64" s="278">
        <f t="shared" si="10"/>
        <v>3.426404175939862</v>
      </c>
      <c r="N64" s="278">
        <f t="shared" ref="N64:N72" si="17">((L64/S64)+R64)/P64</f>
        <v>0.57817577003909026</v>
      </c>
      <c r="O64" s="3548">
        <f t="shared" si="11"/>
        <v>194897.67710575138</v>
      </c>
      <c r="P64" s="3548">
        <f t="shared" si="12"/>
        <v>1155008.9943599259</v>
      </c>
      <c r="Q64" s="3548">
        <f>IF(K64=0, 0, (HLOOKUP(K64,'[3]G-CESTD'!$A$5:$G$35,J64+1,FALSE)*R14))</f>
        <v>667798.2147161254</v>
      </c>
      <c r="R64" s="3548">
        <f>IF(K64=0, 0, (HLOOKUP(K64,'[3]G-CESTD'!$A$5:$G$35,J64+1,FALSE)*R14))</f>
        <v>667798.2147161254</v>
      </c>
      <c r="S64" s="3592">
        <v>1.0780000000000001</v>
      </c>
      <c r="T64" s="4150">
        <f t="shared" si="13"/>
        <v>0</v>
      </c>
      <c r="U64" s="4150">
        <f t="shared" si="13"/>
        <v>198000</v>
      </c>
      <c r="V64" s="3662">
        <f t="shared" ref="V64:V104" si="18">SUM(T64:U64)</f>
        <v>198000</v>
      </c>
      <c r="W64" s="322">
        <f t="shared" si="14"/>
        <v>0.942409740923151</v>
      </c>
      <c r="X64" s="322">
        <f t="shared" si="15"/>
        <v>1.0699343424351967E-2</v>
      </c>
      <c r="Y64" s="322">
        <f t="shared" si="16"/>
        <v>3.7125232218184735E-2</v>
      </c>
      <c r="Z64" s="287">
        <f t="shared" ref="Z64:Z75" si="19">I64*F$57</f>
        <v>12099.695919999998</v>
      </c>
    </row>
    <row r="65" spans="2:26">
      <c r="B65" s="323">
        <v>51</v>
      </c>
      <c r="C65" s="4469" t="s">
        <v>1290</v>
      </c>
      <c r="D65" s="4469">
        <v>8.4000000000000005E-2</v>
      </c>
      <c r="E65" s="323" t="s">
        <v>559</v>
      </c>
      <c r="F65" s="323" t="s">
        <v>257</v>
      </c>
      <c r="G65" s="313">
        <v>0.97</v>
      </c>
      <c r="H65" s="313">
        <v>0.22</v>
      </c>
      <c r="I65" s="3192">
        <v>5.2200000000000003E-2</v>
      </c>
      <c r="J65" s="243">
        <v>30</v>
      </c>
      <c r="K65" s="243" t="s">
        <v>560</v>
      </c>
      <c r="L65" s="243"/>
      <c r="M65" s="278">
        <f t="shared" si="10"/>
        <v>3.8168696428491176</v>
      </c>
      <c r="N65" s="278">
        <f t="shared" si="17"/>
        <v>1.0012835408195357</v>
      </c>
      <c r="O65" s="3548">
        <f t="shared" si="11"/>
        <v>160821.50559369201</v>
      </c>
      <c r="P65" s="3548">
        <f t="shared" si="12"/>
        <v>613047.85067717987</v>
      </c>
      <c r="Q65" s="3548">
        <f>IF(K65=0, 0, (HLOOKUP(K65,'[3]G-CESTD'!$A$5:$G$35,J65+1,FALSE)*R15))</f>
        <v>613834.72261785262</v>
      </c>
      <c r="R65" s="3548">
        <f>IF(K65=0, 0, (HLOOKUP(K65,'[3]G-CESTD'!$A$5:$G$35,J65+1,FALSE)*R15))</f>
        <v>613834.72261785262</v>
      </c>
      <c r="S65" s="3592">
        <v>1.0780000000000001</v>
      </c>
      <c r="T65" s="4150">
        <f t="shared" si="13"/>
        <v>0</v>
      </c>
      <c r="U65" s="4150">
        <f t="shared" si="13"/>
        <v>143000</v>
      </c>
      <c r="V65" s="3662">
        <f t="shared" si="18"/>
        <v>143000</v>
      </c>
      <c r="W65" s="322">
        <f t="shared" si="14"/>
        <v>0.8248465324011548</v>
      </c>
      <c r="X65" s="322">
        <f t="shared" si="15"/>
        <v>3.2540695802486815E-2</v>
      </c>
      <c r="Y65" s="322">
        <f t="shared" si="16"/>
        <v>0.11291168441785039</v>
      </c>
      <c r="Z65" s="287">
        <f t="shared" si="19"/>
        <v>30365.583029999998</v>
      </c>
    </row>
    <row r="66" spans="2:26">
      <c r="B66" s="323">
        <v>53</v>
      </c>
      <c r="C66" s="323" t="s">
        <v>583</v>
      </c>
      <c r="D66" s="323">
        <v>32</v>
      </c>
      <c r="E66" s="323" t="s">
        <v>559</v>
      </c>
      <c r="F66" s="323" t="s">
        <v>232</v>
      </c>
      <c r="G66" s="313">
        <v>734.7</v>
      </c>
      <c r="H66" s="313">
        <v>200</v>
      </c>
      <c r="I66" s="3192">
        <f>Q16/Q55</f>
        <v>0</v>
      </c>
      <c r="J66" s="243">
        <v>30</v>
      </c>
      <c r="K66" s="243" t="s">
        <v>560</v>
      </c>
      <c r="L66" s="243"/>
      <c r="M66" s="278" t="e">
        <f t="shared" si="10"/>
        <v>#DIV/0!</v>
      </c>
      <c r="N66" s="278" t="e">
        <f t="shared" si="17"/>
        <v>#DIV/0!</v>
      </c>
      <c r="O66" s="3548">
        <f t="shared" si="11"/>
        <v>0</v>
      </c>
      <c r="P66" s="3548">
        <f t="shared" si="12"/>
        <v>0</v>
      </c>
      <c r="Q66" s="3548">
        <f>IF(K66=0, 0, (HLOOKUP(K66,'[3]G-CESTD'!$A$5:$G$35,J66+1,FALSE)*R16))</f>
        <v>0</v>
      </c>
      <c r="R66" s="3548">
        <f>IF(K66=0, 0, (HLOOKUP(K66,'[3]G-CESTD'!$A$5:$G$35,J66+1,FALSE)*R16))</f>
        <v>0</v>
      </c>
      <c r="S66" s="3592">
        <v>1.0780000000000001</v>
      </c>
      <c r="T66" s="4150">
        <f t="shared" si="13"/>
        <v>0</v>
      </c>
      <c r="U66" s="4150">
        <f t="shared" si="13"/>
        <v>0</v>
      </c>
      <c r="V66" s="3662">
        <f t="shared" si="18"/>
        <v>0</v>
      </c>
      <c r="W66" s="322" t="e">
        <f t="shared" si="14"/>
        <v>#DIV/0!</v>
      </c>
      <c r="X66" s="322" t="e">
        <f t="shared" si="15"/>
        <v>#DIV/0!</v>
      </c>
      <c r="Y66" s="322" t="e">
        <f t="shared" si="16"/>
        <v>#DIV/0!</v>
      </c>
      <c r="Z66" s="287">
        <f t="shared" si="19"/>
        <v>0</v>
      </c>
    </row>
    <row r="67" spans="2:26">
      <c r="B67" s="323">
        <v>55</v>
      </c>
      <c r="C67" s="4469" t="s">
        <v>584</v>
      </c>
      <c r="D67" s="4469">
        <v>58</v>
      </c>
      <c r="E67" s="323" t="s">
        <v>559</v>
      </c>
      <c r="F67" s="4469" t="s">
        <v>232</v>
      </c>
      <c r="G67" s="4483">
        <v>538</v>
      </c>
      <c r="H67" s="4483">
        <v>300</v>
      </c>
      <c r="I67" s="3192">
        <v>4.3499999999999997E-2</v>
      </c>
      <c r="J67" s="4484">
        <v>20</v>
      </c>
      <c r="K67" s="243" t="s">
        <v>560</v>
      </c>
      <c r="L67" s="243"/>
      <c r="M67" s="278">
        <f t="shared" si="10"/>
        <v>1.7502669656570746</v>
      </c>
      <c r="N67" s="278">
        <f t="shared" si="17"/>
        <v>1.0011526847527488</v>
      </c>
      <c r="O67" s="3548">
        <f t="shared" si="11"/>
        <v>413084.09325139143</v>
      </c>
      <c r="P67" s="3548">
        <f t="shared" si="12"/>
        <v>722175.00234230061</v>
      </c>
      <c r="Q67" s="3548">
        <f>IF(K67=0, 0, (HLOOKUP(K67,'[3]G-CESTD'!$A$5:$G$35,J67+1,FALSE)*R17))</f>
        <v>723007.4424563169</v>
      </c>
      <c r="R67" s="3548">
        <f>IF(K67=0, 0, (HLOOKUP(K67,'[3]G-CESTD'!$A$5:$G$35,J67+1,FALSE)*R17))</f>
        <v>723007.4424563169</v>
      </c>
      <c r="S67" s="3592">
        <v>1.0780000000000001</v>
      </c>
      <c r="T67" s="4150">
        <f t="shared" si="13"/>
        <v>0</v>
      </c>
      <c r="U67" s="4150">
        <f t="shared" si="13"/>
        <v>420000</v>
      </c>
      <c r="V67" s="3662">
        <f t="shared" si="18"/>
        <v>420000</v>
      </c>
      <c r="W67" s="322">
        <f t="shared" si="14"/>
        <v>0.94317451573542821</v>
      </c>
      <c r="X67" s="322">
        <f t="shared" si="15"/>
        <v>1.0557260570584467E-2</v>
      </c>
      <c r="Y67" s="322">
        <f t="shared" si="16"/>
        <v>3.6632224495081363E-2</v>
      </c>
      <c r="Z67" s="287">
        <f t="shared" si="19"/>
        <v>25304.652524999994</v>
      </c>
    </row>
    <row r="68" spans="2:26">
      <c r="B68" s="323">
        <v>57</v>
      </c>
      <c r="C68" s="4469" t="s">
        <v>1291</v>
      </c>
      <c r="D68" s="4469">
        <v>8.3000000000000004E-2</v>
      </c>
      <c r="E68" s="323" t="s">
        <v>559</v>
      </c>
      <c r="F68" s="4469" t="s">
        <v>1228</v>
      </c>
      <c r="G68" s="4483">
        <v>0.67</v>
      </c>
      <c r="H68" s="4579">
        <v>0.6</v>
      </c>
      <c r="I68" s="3192">
        <v>0.38600000000000001</v>
      </c>
      <c r="J68" s="243">
        <v>30</v>
      </c>
      <c r="K68" s="243" t="s">
        <v>560</v>
      </c>
      <c r="L68" s="243"/>
      <c r="M68" s="278">
        <f t="shared" si="10"/>
        <v>1.1230838180204246</v>
      </c>
      <c r="N68" s="278">
        <f t="shared" si="17"/>
        <v>1.0416723329190785</v>
      </c>
      <c r="O68" s="3548">
        <f t="shared" si="11"/>
        <v>631000.40250463807</v>
      </c>
      <c r="P68" s="3548">
        <f t="shared" si="12"/>
        <v>680315.98692022264</v>
      </c>
      <c r="Q68" s="3548">
        <f>IF(K68=0, 0, (HLOOKUP(K68,'[3]G-CESTD'!$A$5:$G$35,J68+1,FALSE)*R18))</f>
        <v>708666.34121733357</v>
      </c>
      <c r="R68" s="3548">
        <f>IF(K68=0, 0, (HLOOKUP(K68,'[3]G-CESTD'!$A$5:$G$35,J68+1,FALSE)*R18))</f>
        <v>708666.34121733357</v>
      </c>
      <c r="S68" s="3592">
        <v>1.0780000000000001</v>
      </c>
      <c r="T68" s="4150">
        <f t="shared" si="13"/>
        <v>0</v>
      </c>
      <c r="U68" s="4150">
        <f t="shared" si="13"/>
        <v>455676</v>
      </c>
      <c r="V68" s="3662">
        <f t="shared" si="18"/>
        <v>455676</v>
      </c>
      <c r="W68" s="322">
        <f t="shared" si="14"/>
        <v>0.66989657629153532</v>
      </c>
      <c r="X68" s="322">
        <f t="shared" si="15"/>
        <v>6.1327904274544834E-2</v>
      </c>
      <c r="Y68" s="322">
        <f t="shared" si="16"/>
        <v>0.21279929032514272</v>
      </c>
      <c r="Z68" s="287">
        <f t="shared" si="19"/>
        <v>224542.43389999997</v>
      </c>
    </row>
    <row r="69" spans="2:26">
      <c r="B69" s="323" t="s">
        <v>7</v>
      </c>
      <c r="C69" s="323" t="s">
        <v>356</v>
      </c>
      <c r="D69" s="323">
        <v>0</v>
      </c>
      <c r="E69" s="323" t="s">
        <v>559</v>
      </c>
      <c r="F69" s="323" t="s">
        <v>232</v>
      </c>
      <c r="G69" s="313">
        <v>600</v>
      </c>
      <c r="H69" s="313">
        <v>400</v>
      </c>
      <c r="I69" s="3192">
        <f>Q19/Q55</f>
        <v>0</v>
      </c>
      <c r="J69" s="243">
        <v>30</v>
      </c>
      <c r="K69" s="243" t="s">
        <v>560</v>
      </c>
      <c r="L69" s="243"/>
      <c r="M69" s="278">
        <f t="shared" si="10"/>
        <v>0</v>
      </c>
      <c r="N69" s="278">
        <f t="shared" si="17"/>
        <v>0</v>
      </c>
      <c r="O69" s="3548">
        <f t="shared" si="11"/>
        <v>16697.588126159553</v>
      </c>
      <c r="P69" s="3548">
        <f t="shared" si="12"/>
        <v>25046.382189239332</v>
      </c>
      <c r="Q69" s="3548">
        <f>IF(K69=0, 0, (HLOOKUP(K69,'[3]G-CESTD'!$A$5:$G$35,J69+1,FALSE)*R19))</f>
        <v>0</v>
      </c>
      <c r="R69" s="3548">
        <f>IF(K69=0, 0, (HLOOKUP(K69,'[3]G-CESTD'!$A$5:$G$35,J69+1,FALSE)*R19))</f>
        <v>0</v>
      </c>
      <c r="S69" s="3592">
        <v>1.0780000000000001</v>
      </c>
      <c r="T69" s="4150">
        <f t="shared" si="13"/>
        <v>0</v>
      </c>
      <c r="U69" s="4150">
        <f t="shared" si="13"/>
        <v>18000</v>
      </c>
      <c r="V69" s="3662">
        <f t="shared" si="18"/>
        <v>18000</v>
      </c>
      <c r="W69" s="322">
        <f t="shared" si="14"/>
        <v>1</v>
      </c>
      <c r="X69" s="322">
        <f t="shared" si="15"/>
        <v>0</v>
      </c>
      <c r="Y69" s="322">
        <f t="shared" si="16"/>
        <v>0</v>
      </c>
      <c r="Z69" s="287">
        <f t="shared" si="19"/>
        <v>0</v>
      </c>
    </row>
    <row r="70" spans="2:26">
      <c r="B70" s="323"/>
      <c r="C70" s="3593" t="s">
        <v>986</v>
      </c>
      <c r="D70" s="323">
        <v>3.3000000000000002E-2</v>
      </c>
      <c r="E70" s="323" t="s">
        <v>559</v>
      </c>
      <c r="F70" s="323" t="s">
        <v>257</v>
      </c>
      <c r="G70" s="313">
        <v>0.66</v>
      </c>
      <c r="H70" s="313">
        <v>0.11</v>
      </c>
      <c r="I70" s="3192">
        <f>Q20/Q55</f>
        <v>0</v>
      </c>
      <c r="J70" s="243">
        <v>30</v>
      </c>
      <c r="K70" s="243" t="s">
        <v>560</v>
      </c>
      <c r="L70" s="243"/>
      <c r="M70" s="278" t="e">
        <f>Q70/O70</f>
        <v>#DIV/0!</v>
      </c>
      <c r="N70" s="278" t="e">
        <f t="shared" si="17"/>
        <v>#DIV/0!</v>
      </c>
      <c r="O70" s="3548">
        <f t="shared" si="11"/>
        <v>0</v>
      </c>
      <c r="P70" s="3548">
        <f t="shared" si="12"/>
        <v>0</v>
      </c>
      <c r="Q70" s="3548">
        <f>IF(K70=0, 0, (HLOOKUP(K70,'[3]G-CESTD'!$A$5:$G$35,J70+1,FALSE)*R20))</f>
        <v>0</v>
      </c>
      <c r="R70" s="3548">
        <f>IF(K70=0, 0, (HLOOKUP(K70,'[3]G-CESTD'!$A$5:$G$35,J70+1,FALSE)*R20))</f>
        <v>0</v>
      </c>
      <c r="S70" s="3592">
        <v>1.0780000000000001</v>
      </c>
      <c r="T70" s="4150">
        <f t="shared" si="13"/>
        <v>0</v>
      </c>
      <c r="U70" s="4150">
        <f t="shared" si="13"/>
        <v>0</v>
      </c>
      <c r="V70" s="3662">
        <f t="shared" si="18"/>
        <v>0</v>
      </c>
      <c r="W70" s="322" t="e">
        <f t="shared" si="14"/>
        <v>#DIV/0!</v>
      </c>
      <c r="X70" s="322" t="e">
        <f t="shared" si="15"/>
        <v>#DIV/0!</v>
      </c>
      <c r="Y70" s="322" t="e">
        <f t="shared" si="16"/>
        <v>#DIV/0!</v>
      </c>
      <c r="Z70" s="287">
        <f t="shared" si="19"/>
        <v>0</v>
      </c>
    </row>
    <row r="71" spans="2:26">
      <c r="B71" s="323" t="s">
        <v>7</v>
      </c>
      <c r="C71" s="3593" t="s">
        <v>987</v>
      </c>
      <c r="D71" s="323">
        <v>75</v>
      </c>
      <c r="E71" s="323" t="s">
        <v>559</v>
      </c>
      <c r="F71" s="323" t="s">
        <v>232</v>
      </c>
      <c r="G71" s="313">
        <v>1000</v>
      </c>
      <c r="H71" s="313">
        <v>500</v>
      </c>
      <c r="I71" s="3192">
        <v>2.4500000000000001E-2</v>
      </c>
      <c r="J71" s="243">
        <v>20</v>
      </c>
      <c r="K71" s="243" t="s">
        <v>560</v>
      </c>
      <c r="L71" s="243"/>
      <c r="M71" s="278">
        <f t="shared" ref="M71:M72" si="20">Q71/O71</f>
        <v>1.3998797615311382</v>
      </c>
      <c r="N71" s="278">
        <f t="shared" si="17"/>
        <v>0.70977528133780665</v>
      </c>
      <c r="O71" s="3548">
        <f t="shared" si="11"/>
        <v>477042.71398423001</v>
      </c>
      <c r="P71" s="3548">
        <f t="shared" si="12"/>
        <v>940864.60637755087</v>
      </c>
      <c r="Q71" s="3548">
        <f>IF(K71=0, 0, (HLOOKUP(K71,'[3]G-CESTD'!$A$5:$G$35,J71+1,FALSE)*R21))</f>
        <v>667802.44069241092</v>
      </c>
      <c r="R71" s="3548">
        <f>IF(K71=0, 0, (HLOOKUP(K71,'[3]G-CESTD'!$A$5:$G$35,J71+1,FALSE)*R21))</f>
        <v>667802.44069241092</v>
      </c>
      <c r="S71" s="3592">
        <v>1.0780000000000001</v>
      </c>
      <c r="T71" s="4150">
        <f t="shared" si="13"/>
        <v>0</v>
      </c>
      <c r="U71" s="4150">
        <f t="shared" si="13"/>
        <v>500000</v>
      </c>
      <c r="V71" s="3662">
        <f t="shared" si="18"/>
        <v>500000</v>
      </c>
      <c r="W71" s="322">
        <f t="shared" si="14"/>
        <v>0.97228587461175198</v>
      </c>
      <c r="X71" s="322">
        <f t="shared" si="15"/>
        <v>5.1488385360228053E-3</v>
      </c>
      <c r="Y71" s="322">
        <f t="shared" si="16"/>
        <v>1.7865752945990944E-2</v>
      </c>
      <c r="Z71" s="287">
        <f t="shared" si="19"/>
        <v>14252.045674999998</v>
      </c>
    </row>
    <row r="72" spans="2:26">
      <c r="B72" s="323" t="s">
        <v>7</v>
      </c>
      <c r="C72" s="4469" t="s">
        <v>1292</v>
      </c>
      <c r="D72" s="4469">
        <v>0</v>
      </c>
      <c r="E72" s="4469" t="s">
        <v>559</v>
      </c>
      <c r="F72" s="4469" t="s">
        <v>232</v>
      </c>
      <c r="G72" s="4483">
        <v>40</v>
      </c>
      <c r="H72" s="4483">
        <v>40</v>
      </c>
      <c r="I72" s="3192">
        <f>Q22/Q55</f>
        <v>0</v>
      </c>
      <c r="J72" s="4469">
        <v>5</v>
      </c>
      <c r="K72" s="4484" t="s">
        <v>560</v>
      </c>
      <c r="L72" s="4446">
        <v>166040</v>
      </c>
      <c r="M72" s="278">
        <f t="shared" si="20"/>
        <v>0</v>
      </c>
      <c r="N72" s="278">
        <f t="shared" si="17"/>
        <v>1</v>
      </c>
      <c r="O72" s="3548">
        <f t="shared" si="11"/>
        <v>154025.97402597402</v>
      </c>
      <c r="P72" s="3548">
        <f t="shared" si="12"/>
        <v>154025.97402597402</v>
      </c>
      <c r="Q72" s="3548">
        <f>IF(K72=0, 0, (HLOOKUP(K72,'[3]G-CESTD'!$A$5:$G$35,J72+1,FALSE)*R22))</f>
        <v>0</v>
      </c>
      <c r="R72" s="3548">
        <f>IF(K72=0, 0, (HLOOKUP(K72,'[3]G-CESTD'!$A$5:$G$35,J72+1,FALSE)*R22))</f>
        <v>0</v>
      </c>
      <c r="S72" s="3592">
        <v>1.0780000000000001</v>
      </c>
      <c r="T72" s="4150">
        <f t="shared" si="13"/>
        <v>0</v>
      </c>
      <c r="U72" s="4150">
        <f t="shared" si="13"/>
        <v>166040</v>
      </c>
      <c r="V72" s="3662">
        <f t="shared" si="18"/>
        <v>166040</v>
      </c>
      <c r="W72" s="322">
        <f t="shared" si="14"/>
        <v>1</v>
      </c>
      <c r="X72" s="322">
        <f t="shared" si="15"/>
        <v>0</v>
      </c>
      <c r="Y72" s="322">
        <f t="shared" si="16"/>
        <v>0</v>
      </c>
      <c r="Z72" s="287">
        <f t="shared" si="19"/>
        <v>0</v>
      </c>
    </row>
    <row r="73" spans="2:26">
      <c r="B73" s="323" t="s">
        <v>7</v>
      </c>
      <c r="C73" s="282" t="s">
        <v>195</v>
      </c>
      <c r="D73" s="323">
        <v>0</v>
      </c>
      <c r="E73" s="323" t="s">
        <v>559</v>
      </c>
      <c r="F73" s="323" t="s">
        <v>232</v>
      </c>
      <c r="G73" s="313"/>
      <c r="H73" s="313"/>
      <c r="I73" s="367">
        <v>0</v>
      </c>
      <c r="J73" s="243"/>
      <c r="K73" s="243"/>
      <c r="L73" s="243"/>
      <c r="M73" s="3447" t="e">
        <f t="shared" ref="M73:N78" si="21">Q73/O73</f>
        <v>#DIV/0!</v>
      </c>
      <c r="N73" s="3447" t="e">
        <f t="shared" si="21"/>
        <v>#DIV/0!</v>
      </c>
      <c r="O73" s="214">
        <f t="shared" ref="O73:O104" si="22">(($I73*$F$57)+$V73)/$S73</f>
        <v>0</v>
      </c>
      <c r="P73" s="214">
        <f t="shared" ref="P73:P104" si="23">(($I73*$F$57)+($G73*$O23))/$S73</f>
        <v>0</v>
      </c>
      <c r="Q73" s="214">
        <f>IF(K73=0, 0, (HLOOKUP(K73,'[1]G-CESTD'!$A$5:$G$35,J73+1,FALSE)*R23))</f>
        <v>0</v>
      </c>
      <c r="R73" s="214">
        <f>IF(K73=0, 0, (HLOOKUP(K73,'[1]G-CESTD'!$A$5:$G$35,J73+1,FALSE)*R23))</f>
        <v>0</v>
      </c>
      <c r="S73" s="279">
        <v>1.081</v>
      </c>
      <c r="T73" s="280">
        <f t="shared" ref="T73:T104" si="24">M23*$H73</f>
        <v>0</v>
      </c>
      <c r="U73" s="280">
        <f t="shared" ref="U73:U104" si="25">N23*$H73</f>
        <v>0</v>
      </c>
      <c r="V73" s="3662">
        <f t="shared" si="18"/>
        <v>0</v>
      </c>
      <c r="W73" s="322" t="e">
        <f t="shared" si="14"/>
        <v>#DIV/0!</v>
      </c>
      <c r="X73" s="322" t="e">
        <f t="shared" si="15"/>
        <v>#DIV/0!</v>
      </c>
      <c r="Y73" s="322" t="e">
        <f t="shared" si="16"/>
        <v>#DIV/0!</v>
      </c>
      <c r="Z73" s="287">
        <f t="shared" si="19"/>
        <v>0</v>
      </c>
    </row>
    <row r="74" spans="2:26">
      <c r="B74" s="323" t="s">
        <v>7</v>
      </c>
      <c r="C74" s="282" t="s">
        <v>196</v>
      </c>
      <c r="D74" s="323">
        <v>0</v>
      </c>
      <c r="E74" s="323" t="s">
        <v>559</v>
      </c>
      <c r="F74" s="323" t="s">
        <v>232</v>
      </c>
      <c r="G74" s="313"/>
      <c r="H74" s="313"/>
      <c r="I74" s="367">
        <v>0</v>
      </c>
      <c r="J74" s="243"/>
      <c r="K74" s="243"/>
      <c r="L74" s="243"/>
      <c r="M74" s="3447" t="e">
        <f t="shared" si="21"/>
        <v>#DIV/0!</v>
      </c>
      <c r="N74" s="3447" t="e">
        <f t="shared" si="21"/>
        <v>#DIV/0!</v>
      </c>
      <c r="O74" s="214">
        <f t="shared" si="22"/>
        <v>0</v>
      </c>
      <c r="P74" s="214">
        <f t="shared" si="23"/>
        <v>0</v>
      </c>
      <c r="Q74" s="214">
        <f>IF(K74=0, 0, (HLOOKUP(K74,'[1]G-CESTD'!$A$5:$G$35,J74+1,FALSE)*R24))</f>
        <v>0</v>
      </c>
      <c r="R74" s="214">
        <f>IF(K74=0, 0, (HLOOKUP(K74,'[1]G-CESTD'!$A$5:$G$35,J74+1,FALSE)*R24))</f>
        <v>0</v>
      </c>
      <c r="S74" s="279">
        <v>1.081</v>
      </c>
      <c r="T74" s="280">
        <f t="shared" si="24"/>
        <v>0</v>
      </c>
      <c r="U74" s="280">
        <f t="shared" si="25"/>
        <v>0</v>
      </c>
      <c r="V74" s="3662">
        <f t="shared" si="18"/>
        <v>0</v>
      </c>
      <c r="W74" s="322" t="e">
        <f t="shared" si="14"/>
        <v>#DIV/0!</v>
      </c>
      <c r="X74" s="322" t="e">
        <f t="shared" si="15"/>
        <v>#DIV/0!</v>
      </c>
      <c r="Y74" s="322" t="e">
        <f t="shared" si="16"/>
        <v>#DIV/0!</v>
      </c>
      <c r="Z74" s="287">
        <f t="shared" si="19"/>
        <v>0</v>
      </c>
    </row>
    <row r="75" spans="2:26">
      <c r="B75" s="323"/>
      <c r="C75" s="282" t="s">
        <v>197</v>
      </c>
      <c r="D75" s="323">
        <v>0</v>
      </c>
      <c r="E75" s="323" t="s">
        <v>559</v>
      </c>
      <c r="F75" s="323" t="s">
        <v>186</v>
      </c>
      <c r="G75" s="313"/>
      <c r="H75" s="313"/>
      <c r="I75" s="367">
        <f>R25/R$8</f>
        <v>0</v>
      </c>
      <c r="J75" s="243"/>
      <c r="K75" s="243"/>
      <c r="L75" s="243"/>
      <c r="M75" s="3447" t="e">
        <f t="shared" si="21"/>
        <v>#DIV/0!</v>
      </c>
      <c r="N75" s="3447" t="e">
        <f t="shared" si="21"/>
        <v>#DIV/0!</v>
      </c>
      <c r="O75" s="214">
        <f t="shared" si="22"/>
        <v>0</v>
      </c>
      <c r="P75" s="214">
        <f t="shared" si="23"/>
        <v>0</v>
      </c>
      <c r="Q75" s="214">
        <f>IF(K75=0, 0, (HLOOKUP(K75,'[1]G-CESTD'!$A$5:$G$35,J75+1,FALSE)*R25))</f>
        <v>0</v>
      </c>
      <c r="R75" s="214">
        <f>IF(K75=0, 0, (HLOOKUP(K75,'[1]G-CESTD'!$A$5:$G$35,J75+1,FALSE)*R25))</f>
        <v>0</v>
      </c>
      <c r="S75" s="279">
        <v>1.081</v>
      </c>
      <c r="T75" s="280">
        <f t="shared" si="24"/>
        <v>0</v>
      </c>
      <c r="U75" s="280">
        <f t="shared" si="25"/>
        <v>0</v>
      </c>
      <c r="V75" s="3662">
        <f t="shared" si="18"/>
        <v>0</v>
      </c>
      <c r="W75" s="322" t="e">
        <f t="shared" si="14"/>
        <v>#DIV/0!</v>
      </c>
      <c r="X75" s="322" t="e">
        <f t="shared" si="15"/>
        <v>#DIV/0!</v>
      </c>
      <c r="Y75" s="322" t="e">
        <f t="shared" si="16"/>
        <v>#DIV/0!</v>
      </c>
      <c r="Z75" s="287">
        <f t="shared" si="19"/>
        <v>0</v>
      </c>
    </row>
    <row r="76" spans="2:26">
      <c r="B76" s="282"/>
      <c r="C76" s="282" t="s">
        <v>198</v>
      </c>
      <c r="D76" s="282">
        <v>0</v>
      </c>
      <c r="E76" s="282" t="s">
        <v>559</v>
      </c>
      <c r="F76" s="282" t="s">
        <v>186</v>
      </c>
      <c r="G76" s="313"/>
      <c r="H76" s="313"/>
      <c r="I76" s="336">
        <v>0</v>
      </c>
      <c r="J76" s="257"/>
      <c r="K76" s="257"/>
      <c r="L76" s="3574"/>
      <c r="M76" s="3447" t="e">
        <f t="shared" si="21"/>
        <v>#DIV/0!</v>
      </c>
      <c r="N76" s="3447" t="e">
        <f t="shared" si="21"/>
        <v>#DIV/0!</v>
      </c>
      <c r="O76" s="214">
        <f t="shared" si="22"/>
        <v>0</v>
      </c>
      <c r="P76" s="214">
        <f t="shared" si="23"/>
        <v>0</v>
      </c>
      <c r="Q76" s="214">
        <f>IF(K76=0, 0, (HLOOKUP(K76,'[1]G-CESTDWO'!$A$5:$G$35,J76+1,FALSE)*R26))</f>
        <v>0</v>
      </c>
      <c r="R76" s="214">
        <f>IF(K76=0, 0, (HLOOKUP(K76,'[1]G-CESTD'!$A$5:$G$35,J76+1,FALSE)*R26))</f>
        <v>0</v>
      </c>
      <c r="S76" s="279">
        <v>1.081</v>
      </c>
      <c r="T76" s="280">
        <f t="shared" si="24"/>
        <v>0</v>
      </c>
      <c r="U76" s="280">
        <f t="shared" si="25"/>
        <v>0</v>
      </c>
      <c r="V76" s="3662">
        <f t="shared" si="18"/>
        <v>0</v>
      </c>
      <c r="W76" s="322" t="e">
        <f t="shared" si="14"/>
        <v>#DIV/0!</v>
      </c>
      <c r="X76" s="322" t="e">
        <f t="shared" si="15"/>
        <v>#DIV/0!</v>
      </c>
      <c r="Y76" s="322" t="e">
        <f t="shared" si="16"/>
        <v>#DIV/0!</v>
      </c>
    </row>
    <row r="77" spans="2:26">
      <c r="B77" s="282"/>
      <c r="C77" s="282" t="s">
        <v>199</v>
      </c>
      <c r="D77" s="257">
        <v>0</v>
      </c>
      <c r="E77" s="282" t="s">
        <v>559</v>
      </c>
      <c r="F77" s="282" t="s">
        <v>186</v>
      </c>
      <c r="G77" s="283"/>
      <c r="H77" s="283"/>
      <c r="I77" s="311">
        <v>0</v>
      </c>
      <c r="J77" s="257"/>
      <c r="K77" s="257"/>
      <c r="L77" s="3574"/>
      <c r="M77" s="3447" t="e">
        <f t="shared" si="21"/>
        <v>#DIV/0!</v>
      </c>
      <c r="N77" s="3447" t="e">
        <f t="shared" si="21"/>
        <v>#DIV/0!</v>
      </c>
      <c r="O77" s="214">
        <f t="shared" si="22"/>
        <v>0</v>
      </c>
      <c r="P77" s="214">
        <f t="shared" si="23"/>
        <v>0</v>
      </c>
      <c r="Q77" s="214">
        <f>IF(K77=0, 0, (HLOOKUP(K77,'[1]G-CESTDWO'!$A$5:$G$35,J77+1,FALSE)*R27))</f>
        <v>0</v>
      </c>
      <c r="R77" s="214">
        <f>IF(K77=0, 0, (HLOOKUP(K77,'[1]G-CESTD'!$A$5:$G$35,J77+1,FALSE)*R27))</f>
        <v>0</v>
      </c>
      <c r="S77" s="279">
        <v>1.081</v>
      </c>
      <c r="T77" s="280">
        <f t="shared" si="24"/>
        <v>0</v>
      </c>
      <c r="U77" s="280">
        <f t="shared" si="25"/>
        <v>0</v>
      </c>
      <c r="V77" s="3662">
        <f t="shared" si="18"/>
        <v>0</v>
      </c>
      <c r="W77" s="322" t="e">
        <f t="shared" si="14"/>
        <v>#DIV/0!</v>
      </c>
      <c r="X77" s="322" t="e">
        <f t="shared" si="15"/>
        <v>#DIV/0!</v>
      </c>
      <c r="Y77" s="322" t="e">
        <f t="shared" si="16"/>
        <v>#DIV/0!</v>
      </c>
    </row>
    <row r="78" spans="2:26">
      <c r="B78" s="282"/>
      <c r="C78" s="282" t="s">
        <v>200</v>
      </c>
      <c r="D78" s="282">
        <v>0</v>
      </c>
      <c r="E78" s="282" t="s">
        <v>559</v>
      </c>
      <c r="F78" s="282" t="s">
        <v>186</v>
      </c>
      <c r="G78" s="283"/>
      <c r="H78" s="283"/>
      <c r="I78" s="311">
        <v>0</v>
      </c>
      <c r="J78" s="257"/>
      <c r="K78" s="257"/>
      <c r="L78" s="3574"/>
      <c r="M78" s="3447" t="e">
        <f t="shared" si="21"/>
        <v>#DIV/0!</v>
      </c>
      <c r="N78" s="3447" t="e">
        <f t="shared" si="21"/>
        <v>#DIV/0!</v>
      </c>
      <c r="O78" s="214">
        <f t="shared" si="22"/>
        <v>0</v>
      </c>
      <c r="P78" s="214">
        <f t="shared" si="23"/>
        <v>0</v>
      </c>
      <c r="Q78" s="214">
        <f>IF(K78=0, 0, (HLOOKUP(K78,'[1]G-CESTDWO'!$A$5:$G$35,J78+1,FALSE)*R28))</f>
        <v>0</v>
      </c>
      <c r="R78" s="214">
        <f>IF(K78=0, 0, (HLOOKUP(K78,'[1]G-CESTD'!$A$5:$G$35,J78+1,FALSE)*R28))</f>
        <v>0</v>
      </c>
      <c r="S78" s="279">
        <v>1.081</v>
      </c>
      <c r="T78" s="280">
        <f t="shared" si="24"/>
        <v>0</v>
      </c>
      <c r="U78" s="280">
        <f t="shared" si="25"/>
        <v>0</v>
      </c>
      <c r="V78" s="3662">
        <f t="shared" si="18"/>
        <v>0</v>
      </c>
      <c r="W78" s="322" t="e">
        <f t="shared" si="14"/>
        <v>#DIV/0!</v>
      </c>
      <c r="X78" s="322" t="e">
        <f t="shared" si="15"/>
        <v>#DIV/0!</v>
      </c>
      <c r="Y78" s="322" t="e">
        <f t="shared" si="16"/>
        <v>#DIV/0!</v>
      </c>
    </row>
    <row r="79" spans="2:26">
      <c r="B79" s="282"/>
      <c r="C79" s="282" t="s">
        <v>201</v>
      </c>
      <c r="D79" s="257">
        <v>0</v>
      </c>
      <c r="E79" s="282" t="s">
        <v>559</v>
      </c>
      <c r="F79" s="282" t="s">
        <v>186</v>
      </c>
      <c r="G79" s="283"/>
      <c r="H79" s="283"/>
      <c r="I79" s="311">
        <v>0</v>
      </c>
      <c r="J79" s="257"/>
      <c r="K79" s="257"/>
      <c r="L79" s="3574"/>
      <c r="M79" s="3447" t="e">
        <f t="shared" ref="M79:N104" si="26">Q79/O79</f>
        <v>#DIV/0!</v>
      </c>
      <c r="N79" s="3447" t="e">
        <f t="shared" si="26"/>
        <v>#DIV/0!</v>
      </c>
      <c r="O79" s="214">
        <f t="shared" si="22"/>
        <v>0</v>
      </c>
      <c r="P79" s="214">
        <f t="shared" si="23"/>
        <v>0</v>
      </c>
      <c r="Q79" s="214">
        <f>IF(K79=0, 0, (HLOOKUP(K79,'[1]G-CESTDWO'!$A$5:$G$35,J79+1,FALSE)*R29))</f>
        <v>0</v>
      </c>
      <c r="R79" s="214">
        <f>IF(K79=0, 0, (HLOOKUP(K79,'[1]G-CESTD'!$A$5:$G$35,J79+1,FALSE)*R29))</f>
        <v>0</v>
      </c>
      <c r="S79" s="279">
        <v>1.081</v>
      </c>
      <c r="T79" s="280">
        <f t="shared" si="24"/>
        <v>0</v>
      </c>
      <c r="U79" s="280">
        <f t="shared" si="25"/>
        <v>0</v>
      </c>
      <c r="V79" s="3662">
        <f t="shared" si="18"/>
        <v>0</v>
      </c>
      <c r="W79" s="322" t="e">
        <f t="shared" si="14"/>
        <v>#DIV/0!</v>
      </c>
      <c r="X79" s="322" t="e">
        <f t="shared" si="15"/>
        <v>#DIV/0!</v>
      </c>
      <c r="Y79" s="322" t="e">
        <f t="shared" si="16"/>
        <v>#DIV/0!</v>
      </c>
    </row>
    <row r="80" spans="2:26">
      <c r="B80" s="282"/>
      <c r="C80" s="282" t="s">
        <v>202</v>
      </c>
      <c r="D80" s="282">
        <v>0</v>
      </c>
      <c r="E80" s="282" t="s">
        <v>559</v>
      </c>
      <c r="F80" s="282" t="s">
        <v>186</v>
      </c>
      <c r="G80" s="283"/>
      <c r="H80" s="283"/>
      <c r="I80" s="311">
        <v>0</v>
      </c>
      <c r="J80" s="257"/>
      <c r="K80" s="257"/>
      <c r="L80" s="3574"/>
      <c r="M80" s="3447" t="e">
        <f t="shared" si="26"/>
        <v>#DIV/0!</v>
      </c>
      <c r="N80" s="3447" t="e">
        <f t="shared" si="26"/>
        <v>#DIV/0!</v>
      </c>
      <c r="O80" s="214">
        <f t="shared" si="22"/>
        <v>0</v>
      </c>
      <c r="P80" s="214">
        <f t="shared" si="23"/>
        <v>0</v>
      </c>
      <c r="Q80" s="214">
        <f>IF(K80=0, 0, (HLOOKUP(K80,'[1]G-CESTDWO'!$A$5:$G$35,J80+1,FALSE)*R30))</f>
        <v>0</v>
      </c>
      <c r="R80" s="214">
        <f>IF(K80=0, 0, (HLOOKUP(K80,'[1]G-CESTD'!$A$5:$G$35,J80+1,FALSE)*R30))</f>
        <v>0</v>
      </c>
      <c r="S80" s="279">
        <v>1.081</v>
      </c>
      <c r="T80" s="280">
        <f t="shared" si="24"/>
        <v>0</v>
      </c>
      <c r="U80" s="280">
        <f t="shared" si="25"/>
        <v>0</v>
      </c>
      <c r="V80" s="3662">
        <f t="shared" si="18"/>
        <v>0</v>
      </c>
      <c r="W80" s="322" t="e">
        <f t="shared" si="14"/>
        <v>#DIV/0!</v>
      </c>
      <c r="X80" s="322" t="e">
        <f t="shared" si="15"/>
        <v>#DIV/0!</v>
      </c>
      <c r="Y80" s="322" t="e">
        <f t="shared" si="16"/>
        <v>#DIV/0!</v>
      </c>
    </row>
    <row r="81" spans="2:25">
      <c r="B81" s="282"/>
      <c r="C81" s="282" t="s">
        <v>203</v>
      </c>
      <c r="D81" s="282">
        <v>0</v>
      </c>
      <c r="E81" s="282" t="s">
        <v>559</v>
      </c>
      <c r="F81" s="282" t="s">
        <v>186</v>
      </c>
      <c r="G81" s="283"/>
      <c r="H81" s="283"/>
      <c r="I81" s="311">
        <v>0</v>
      </c>
      <c r="J81" s="257"/>
      <c r="K81" s="257"/>
      <c r="L81" s="3574"/>
      <c r="M81" s="3447" t="e">
        <f t="shared" si="26"/>
        <v>#DIV/0!</v>
      </c>
      <c r="N81" s="3447" t="e">
        <f t="shared" si="26"/>
        <v>#DIV/0!</v>
      </c>
      <c r="O81" s="214">
        <f t="shared" si="22"/>
        <v>0</v>
      </c>
      <c r="P81" s="214">
        <f t="shared" si="23"/>
        <v>0</v>
      </c>
      <c r="Q81" s="214">
        <f>IF(K81=0, 0, (HLOOKUP(K81,'[1]G-CESTDWO'!$A$5:$G$35,J81+1,FALSE)*R31))</f>
        <v>0</v>
      </c>
      <c r="R81" s="214">
        <f>IF(K81=0, 0, (HLOOKUP(K81,'[1]G-CESTD'!$A$5:$G$35,J81+1,FALSE)*R31))</f>
        <v>0</v>
      </c>
      <c r="S81" s="279">
        <v>1.081</v>
      </c>
      <c r="T81" s="280">
        <f t="shared" si="24"/>
        <v>0</v>
      </c>
      <c r="U81" s="280">
        <f t="shared" si="25"/>
        <v>0</v>
      </c>
      <c r="V81" s="3662">
        <f t="shared" si="18"/>
        <v>0</v>
      </c>
      <c r="W81" s="322" t="e">
        <f t="shared" si="14"/>
        <v>#DIV/0!</v>
      </c>
      <c r="X81" s="322" t="e">
        <f t="shared" si="15"/>
        <v>#DIV/0!</v>
      </c>
      <c r="Y81" s="322" t="e">
        <f t="shared" si="16"/>
        <v>#DIV/0!</v>
      </c>
    </row>
    <row r="82" spans="2:25">
      <c r="B82" s="282"/>
      <c r="C82" s="282" t="s">
        <v>204</v>
      </c>
      <c r="D82" s="282">
        <v>0</v>
      </c>
      <c r="E82" s="282" t="s">
        <v>559</v>
      </c>
      <c r="F82" s="282" t="s">
        <v>186</v>
      </c>
      <c r="G82" s="283"/>
      <c r="H82" s="283"/>
      <c r="I82" s="311">
        <v>0</v>
      </c>
      <c r="J82" s="257"/>
      <c r="K82" s="257"/>
      <c r="L82" s="3574"/>
      <c r="M82" s="3447" t="e">
        <f t="shared" si="26"/>
        <v>#DIV/0!</v>
      </c>
      <c r="N82" s="3447" t="e">
        <f t="shared" si="26"/>
        <v>#DIV/0!</v>
      </c>
      <c r="O82" s="214">
        <f t="shared" si="22"/>
        <v>0</v>
      </c>
      <c r="P82" s="214">
        <f t="shared" si="23"/>
        <v>0</v>
      </c>
      <c r="Q82" s="214">
        <f>IF(K82=0, 0, (HLOOKUP(K82,'[1]G-CESTDWO'!$A$5:$G$35,J82+1,FALSE)*R32))</f>
        <v>0</v>
      </c>
      <c r="R82" s="214">
        <f>IF(K82=0, 0, (HLOOKUP(K82,'[1]G-CESTD'!$A$5:$G$35,J82+1,FALSE)*R32))</f>
        <v>0</v>
      </c>
      <c r="S82" s="279">
        <v>1.081</v>
      </c>
      <c r="T82" s="280">
        <f t="shared" si="24"/>
        <v>0</v>
      </c>
      <c r="U82" s="280">
        <f t="shared" si="25"/>
        <v>0</v>
      </c>
      <c r="V82" s="3662">
        <f t="shared" si="18"/>
        <v>0</v>
      </c>
    </row>
    <row r="83" spans="2:25">
      <c r="B83" s="282"/>
      <c r="C83" s="282" t="s">
        <v>205</v>
      </c>
      <c r="D83" s="285">
        <v>0</v>
      </c>
      <c r="E83" s="282" t="s">
        <v>559</v>
      </c>
      <c r="F83" s="282" t="s">
        <v>186</v>
      </c>
      <c r="G83" s="283"/>
      <c r="H83" s="283"/>
      <c r="I83" s="311">
        <v>0</v>
      </c>
      <c r="J83" s="257"/>
      <c r="K83" s="257"/>
      <c r="L83" s="3574"/>
      <c r="M83" s="3447" t="e">
        <f t="shared" si="26"/>
        <v>#DIV/0!</v>
      </c>
      <c r="N83" s="3447" t="e">
        <f t="shared" si="26"/>
        <v>#DIV/0!</v>
      </c>
      <c r="O83" s="214">
        <f t="shared" si="22"/>
        <v>0</v>
      </c>
      <c r="P83" s="214">
        <f t="shared" si="23"/>
        <v>0</v>
      </c>
      <c r="Q83" s="214">
        <f>IF(K83=0, 0, (HLOOKUP(K83,'[1]G-CESTDWO'!$A$5:$G$35,J83+1,FALSE)*R33))</f>
        <v>0</v>
      </c>
      <c r="R83" s="214">
        <f>IF(K83=0, 0, (HLOOKUP(K83,'[1]G-CESTD'!$A$5:$G$35,J83+1,FALSE)*R33))</f>
        <v>0</v>
      </c>
      <c r="S83" s="279">
        <v>1.081</v>
      </c>
      <c r="T83" s="280">
        <f t="shared" si="24"/>
        <v>0</v>
      </c>
      <c r="U83" s="280">
        <f t="shared" si="25"/>
        <v>0</v>
      </c>
      <c r="V83" s="3662">
        <f t="shared" si="18"/>
        <v>0</v>
      </c>
    </row>
    <row r="84" spans="2:25">
      <c r="B84" s="282"/>
      <c r="C84" s="282" t="s">
        <v>206</v>
      </c>
      <c r="D84" s="285">
        <v>0</v>
      </c>
      <c r="E84" s="282" t="s">
        <v>559</v>
      </c>
      <c r="F84" s="282" t="s">
        <v>186</v>
      </c>
      <c r="G84" s="283"/>
      <c r="H84" s="283"/>
      <c r="I84" s="311">
        <v>0</v>
      </c>
      <c r="J84" s="257"/>
      <c r="K84" s="257"/>
      <c r="L84" s="3574"/>
      <c r="M84" s="3447" t="e">
        <f t="shared" si="26"/>
        <v>#DIV/0!</v>
      </c>
      <c r="N84" s="3447" t="e">
        <f t="shared" si="26"/>
        <v>#DIV/0!</v>
      </c>
      <c r="O84" s="214">
        <f t="shared" si="22"/>
        <v>0</v>
      </c>
      <c r="P84" s="214">
        <f t="shared" si="23"/>
        <v>0</v>
      </c>
      <c r="Q84" s="214">
        <f>IF(K84=0, 0, (HLOOKUP(K84,'[1]G-CESTDWO'!$A$5:$G$35,J84+1,FALSE)*R34))</f>
        <v>0</v>
      </c>
      <c r="R84" s="214">
        <f>IF(K84=0, 0, (HLOOKUP(K84,'[1]G-CESTD'!$A$5:$G$35,J84+1,FALSE)*R34))</f>
        <v>0</v>
      </c>
      <c r="S84" s="279">
        <v>1.081</v>
      </c>
      <c r="T84" s="280">
        <f t="shared" si="24"/>
        <v>0</v>
      </c>
      <c r="U84" s="280">
        <f t="shared" si="25"/>
        <v>0</v>
      </c>
      <c r="V84" s="3662">
        <f t="shared" si="18"/>
        <v>0</v>
      </c>
    </row>
    <row r="85" spans="2:25">
      <c r="B85" s="282"/>
      <c r="C85" s="282" t="s">
        <v>207</v>
      </c>
      <c r="D85" s="285">
        <v>0</v>
      </c>
      <c r="E85" s="282" t="s">
        <v>559</v>
      </c>
      <c r="F85" s="282" t="s">
        <v>186</v>
      </c>
      <c r="G85" s="283"/>
      <c r="H85" s="283"/>
      <c r="I85" s="311">
        <v>0</v>
      </c>
      <c r="J85" s="257"/>
      <c r="K85" s="257"/>
      <c r="L85" s="3574"/>
      <c r="M85" s="3447" t="e">
        <f t="shared" si="26"/>
        <v>#DIV/0!</v>
      </c>
      <c r="N85" s="3447" t="e">
        <f t="shared" si="26"/>
        <v>#DIV/0!</v>
      </c>
      <c r="O85" s="214">
        <f t="shared" si="22"/>
        <v>0</v>
      </c>
      <c r="P85" s="214">
        <f t="shared" si="23"/>
        <v>0</v>
      </c>
      <c r="Q85" s="214">
        <f>IF(K85=0, 0, (HLOOKUP(K85,'[1]G-CESTDWO'!$A$5:$G$35,J85+1,FALSE)*R35))</f>
        <v>0</v>
      </c>
      <c r="R85" s="214">
        <f>IF(K85=0, 0, (HLOOKUP(K85,'[1]G-CESTD'!$A$5:$G$35,J85+1,FALSE)*R35))</f>
        <v>0</v>
      </c>
      <c r="S85" s="279">
        <v>1.081</v>
      </c>
      <c r="T85" s="280">
        <f t="shared" si="24"/>
        <v>0</v>
      </c>
      <c r="U85" s="280">
        <f t="shared" si="25"/>
        <v>0</v>
      </c>
      <c r="V85" s="3662">
        <f t="shared" si="18"/>
        <v>0</v>
      </c>
    </row>
    <row r="86" spans="2:25">
      <c r="B86" s="282"/>
      <c r="C86" s="282" t="s">
        <v>208</v>
      </c>
      <c r="D86" s="285">
        <v>0</v>
      </c>
      <c r="E86" s="282" t="s">
        <v>559</v>
      </c>
      <c r="F86" s="282" t="s">
        <v>186</v>
      </c>
      <c r="G86" s="283"/>
      <c r="H86" s="283"/>
      <c r="I86" s="311">
        <v>0</v>
      </c>
      <c r="J86" s="257"/>
      <c r="K86" s="257"/>
      <c r="L86" s="3574"/>
      <c r="M86" s="3447" t="e">
        <f t="shared" si="26"/>
        <v>#DIV/0!</v>
      </c>
      <c r="N86" s="3447" t="e">
        <f t="shared" si="26"/>
        <v>#DIV/0!</v>
      </c>
      <c r="O86" s="214">
        <f t="shared" si="22"/>
        <v>0</v>
      </c>
      <c r="P86" s="214">
        <f t="shared" si="23"/>
        <v>0</v>
      </c>
      <c r="Q86" s="214">
        <f>IF(K86=0, 0, (HLOOKUP(K86,'[1]G-CESTDWO'!$A$5:$G$35,J86+1,FALSE)*R36))</f>
        <v>0</v>
      </c>
      <c r="R86" s="214">
        <f>IF(K86=0, 0, (HLOOKUP(K86,'[1]G-CESTD'!$A$5:$G$35,J86+1,FALSE)*R36))</f>
        <v>0</v>
      </c>
      <c r="S86" s="279">
        <v>1.081</v>
      </c>
      <c r="T86" s="280">
        <f t="shared" si="24"/>
        <v>0</v>
      </c>
      <c r="U86" s="280">
        <f t="shared" si="25"/>
        <v>0</v>
      </c>
      <c r="V86" s="3662">
        <f t="shared" si="18"/>
        <v>0</v>
      </c>
    </row>
    <row r="87" spans="2:25">
      <c r="B87" s="282"/>
      <c r="C87" s="282" t="s">
        <v>209</v>
      </c>
      <c r="D87" s="285">
        <v>0</v>
      </c>
      <c r="E87" s="282" t="s">
        <v>559</v>
      </c>
      <c r="F87" s="282" t="s">
        <v>186</v>
      </c>
      <c r="G87" s="283"/>
      <c r="H87" s="283"/>
      <c r="I87" s="311">
        <v>0</v>
      </c>
      <c r="J87" s="257"/>
      <c r="K87" s="257"/>
      <c r="L87" s="3574"/>
      <c r="M87" s="3447" t="e">
        <f t="shared" si="26"/>
        <v>#DIV/0!</v>
      </c>
      <c r="N87" s="3447" t="e">
        <f t="shared" si="26"/>
        <v>#DIV/0!</v>
      </c>
      <c r="O87" s="214">
        <f t="shared" si="22"/>
        <v>0</v>
      </c>
      <c r="P87" s="214">
        <f t="shared" si="23"/>
        <v>0</v>
      </c>
      <c r="Q87" s="214">
        <f>IF(K87=0, 0, (HLOOKUP(K87,'[1]G-CESTDWO'!$A$5:$G$35,J87+1,FALSE)*R37))</f>
        <v>0</v>
      </c>
      <c r="R87" s="214">
        <f>IF(K87=0, 0, (HLOOKUP(K87,'[1]G-CESTD'!$A$5:$G$35,J87+1,FALSE)*R37))</f>
        <v>0</v>
      </c>
      <c r="S87" s="279">
        <v>1.081</v>
      </c>
      <c r="T87" s="280">
        <f t="shared" si="24"/>
        <v>0</v>
      </c>
      <c r="U87" s="280">
        <f t="shared" si="25"/>
        <v>0</v>
      </c>
      <c r="V87" s="3662">
        <f t="shared" si="18"/>
        <v>0</v>
      </c>
    </row>
    <row r="88" spans="2:25">
      <c r="B88" s="282"/>
      <c r="C88" s="282" t="s">
        <v>210</v>
      </c>
      <c r="D88" s="285">
        <v>0</v>
      </c>
      <c r="E88" s="282" t="s">
        <v>559</v>
      </c>
      <c r="F88" s="282" t="s">
        <v>186</v>
      </c>
      <c r="G88" s="283"/>
      <c r="H88" s="283"/>
      <c r="I88" s="311">
        <v>0</v>
      </c>
      <c r="J88" s="257"/>
      <c r="K88" s="257"/>
      <c r="L88" s="3574"/>
      <c r="M88" s="3447" t="e">
        <f t="shared" si="26"/>
        <v>#DIV/0!</v>
      </c>
      <c r="N88" s="3447" t="e">
        <f t="shared" si="26"/>
        <v>#DIV/0!</v>
      </c>
      <c r="O88" s="214">
        <f t="shared" si="22"/>
        <v>0</v>
      </c>
      <c r="P88" s="214">
        <f t="shared" si="23"/>
        <v>0</v>
      </c>
      <c r="Q88" s="214">
        <f>IF(K88=0, 0, (HLOOKUP(K88,'[1]G-CESTDWO'!$A$5:$G$35,J88+1,FALSE)*R38))</f>
        <v>0</v>
      </c>
      <c r="R88" s="214">
        <f>IF(K88=0, 0, (HLOOKUP(K88,'[1]G-CESTD'!$A$5:$G$35,J88+1,FALSE)*R38))</f>
        <v>0</v>
      </c>
      <c r="S88" s="279">
        <v>1.081</v>
      </c>
      <c r="T88" s="280">
        <f t="shared" si="24"/>
        <v>0</v>
      </c>
      <c r="U88" s="280">
        <f t="shared" si="25"/>
        <v>0</v>
      </c>
      <c r="V88" s="3662">
        <f t="shared" si="18"/>
        <v>0</v>
      </c>
    </row>
    <row r="89" spans="2:25">
      <c r="B89" s="282"/>
      <c r="C89" s="282" t="s">
        <v>211</v>
      </c>
      <c r="D89" s="285">
        <v>0</v>
      </c>
      <c r="E89" s="282" t="s">
        <v>559</v>
      </c>
      <c r="F89" s="282" t="s">
        <v>186</v>
      </c>
      <c r="G89" s="283"/>
      <c r="H89" s="283"/>
      <c r="I89" s="311">
        <v>0</v>
      </c>
      <c r="J89" s="257"/>
      <c r="K89" s="257"/>
      <c r="L89" s="3574"/>
      <c r="M89" s="3447" t="e">
        <f t="shared" si="26"/>
        <v>#DIV/0!</v>
      </c>
      <c r="N89" s="3447" t="e">
        <f t="shared" si="26"/>
        <v>#DIV/0!</v>
      </c>
      <c r="O89" s="214">
        <f t="shared" si="22"/>
        <v>0</v>
      </c>
      <c r="P89" s="214">
        <f t="shared" si="23"/>
        <v>0</v>
      </c>
      <c r="Q89" s="214">
        <f>IF(K89=0, 0, (HLOOKUP(K89,'[1]G-CESTDWO'!$A$5:$G$35,J89+1,FALSE)*R39))</f>
        <v>0</v>
      </c>
      <c r="R89" s="214">
        <f>IF(K89=0, 0, (HLOOKUP(K89,'[1]G-CESTD'!$A$5:$G$35,J89+1,FALSE)*R39))</f>
        <v>0</v>
      </c>
      <c r="S89" s="279">
        <v>1.081</v>
      </c>
      <c r="T89" s="280">
        <f t="shared" si="24"/>
        <v>0</v>
      </c>
      <c r="U89" s="280">
        <f t="shared" si="25"/>
        <v>0</v>
      </c>
      <c r="V89" s="3662">
        <f t="shared" si="18"/>
        <v>0</v>
      </c>
    </row>
    <row r="90" spans="2:25">
      <c r="B90" s="282"/>
      <c r="C90" s="282" t="s">
        <v>212</v>
      </c>
      <c r="D90" s="285">
        <v>0</v>
      </c>
      <c r="E90" s="282" t="s">
        <v>559</v>
      </c>
      <c r="F90" s="282" t="s">
        <v>186</v>
      </c>
      <c r="G90" s="283"/>
      <c r="H90" s="283"/>
      <c r="I90" s="311">
        <v>0</v>
      </c>
      <c r="J90" s="257"/>
      <c r="K90" s="257"/>
      <c r="L90" s="3574"/>
      <c r="M90" s="3447" t="e">
        <f t="shared" si="26"/>
        <v>#DIV/0!</v>
      </c>
      <c r="N90" s="3447" t="e">
        <f t="shared" si="26"/>
        <v>#DIV/0!</v>
      </c>
      <c r="O90" s="214">
        <f t="shared" si="22"/>
        <v>0</v>
      </c>
      <c r="P90" s="214">
        <f t="shared" si="23"/>
        <v>0</v>
      </c>
      <c r="Q90" s="214">
        <f>IF(K90=0, 0, (HLOOKUP(K90,'[1]G-CESTDWO'!$A$5:$G$35,J90+1,FALSE)*R40))</f>
        <v>0</v>
      </c>
      <c r="R90" s="214">
        <f>IF(K90=0, 0, (HLOOKUP(K90,'[1]G-CESTD'!$A$5:$G$35,J90+1,FALSE)*R40))</f>
        <v>0</v>
      </c>
      <c r="S90" s="279">
        <v>1.081</v>
      </c>
      <c r="T90" s="280">
        <f t="shared" si="24"/>
        <v>0</v>
      </c>
      <c r="U90" s="280">
        <f t="shared" si="25"/>
        <v>0</v>
      </c>
      <c r="V90" s="3662">
        <f t="shared" si="18"/>
        <v>0</v>
      </c>
    </row>
    <row r="91" spans="2:25">
      <c r="B91" s="282"/>
      <c r="C91" s="282" t="s">
        <v>213</v>
      </c>
      <c r="D91" s="285">
        <v>0</v>
      </c>
      <c r="E91" s="282" t="s">
        <v>559</v>
      </c>
      <c r="F91" s="282" t="s">
        <v>186</v>
      </c>
      <c r="G91" s="283"/>
      <c r="H91" s="283"/>
      <c r="I91" s="311">
        <v>0</v>
      </c>
      <c r="J91" s="257"/>
      <c r="K91" s="257"/>
      <c r="L91" s="3574"/>
      <c r="M91" s="3447" t="e">
        <f t="shared" si="26"/>
        <v>#DIV/0!</v>
      </c>
      <c r="N91" s="3447" t="e">
        <f t="shared" si="26"/>
        <v>#DIV/0!</v>
      </c>
      <c r="O91" s="214">
        <f t="shared" si="22"/>
        <v>0</v>
      </c>
      <c r="P91" s="214">
        <f t="shared" si="23"/>
        <v>0</v>
      </c>
      <c r="Q91" s="214">
        <f>IF(K91=0, 0, (HLOOKUP(K91,'[1]G-CESTDWO'!$A$5:$G$35,J91+1,FALSE)*R41))</f>
        <v>0</v>
      </c>
      <c r="R91" s="214">
        <f>IF(K91=0, 0, (HLOOKUP(K91,'[1]G-CESTD'!$A$5:$G$35,J91+1,FALSE)*R41))</f>
        <v>0</v>
      </c>
      <c r="S91" s="279">
        <v>1.081</v>
      </c>
      <c r="T91" s="280">
        <f t="shared" si="24"/>
        <v>0</v>
      </c>
      <c r="U91" s="280">
        <f t="shared" si="25"/>
        <v>0</v>
      </c>
      <c r="V91" s="3662">
        <f t="shared" si="18"/>
        <v>0</v>
      </c>
    </row>
    <row r="92" spans="2:25">
      <c r="B92" s="282"/>
      <c r="C92" s="282" t="s">
        <v>214</v>
      </c>
      <c r="D92" s="285">
        <v>0</v>
      </c>
      <c r="E92" s="282" t="s">
        <v>559</v>
      </c>
      <c r="F92" s="282" t="s">
        <v>186</v>
      </c>
      <c r="G92" s="283"/>
      <c r="H92" s="283"/>
      <c r="I92" s="311">
        <v>0</v>
      </c>
      <c r="J92" s="257"/>
      <c r="K92" s="257"/>
      <c r="L92" s="3574"/>
      <c r="M92" s="3447" t="e">
        <f t="shared" si="26"/>
        <v>#DIV/0!</v>
      </c>
      <c r="N92" s="3447" t="e">
        <f t="shared" si="26"/>
        <v>#DIV/0!</v>
      </c>
      <c r="O92" s="214">
        <f t="shared" si="22"/>
        <v>0</v>
      </c>
      <c r="P92" s="214">
        <f t="shared" si="23"/>
        <v>0</v>
      </c>
      <c r="Q92" s="214">
        <f>IF(K92=0, 0, (HLOOKUP(K92,'[1]G-CESTDWO'!$A$5:$G$35,J92+1,FALSE)*R42))</f>
        <v>0</v>
      </c>
      <c r="R92" s="214">
        <f>IF(K92=0, 0, (HLOOKUP(K92,'[1]G-CESTD'!$A$5:$G$35,J92+1,FALSE)*R42))</f>
        <v>0</v>
      </c>
      <c r="S92" s="279">
        <v>1.081</v>
      </c>
      <c r="T92" s="280">
        <f t="shared" si="24"/>
        <v>0</v>
      </c>
      <c r="U92" s="280">
        <f t="shared" si="25"/>
        <v>0</v>
      </c>
      <c r="V92" s="3662">
        <f t="shared" si="18"/>
        <v>0</v>
      </c>
    </row>
    <row r="93" spans="2:25">
      <c r="B93" s="282"/>
      <c r="C93" s="282" t="s">
        <v>215</v>
      </c>
      <c r="D93" s="285">
        <v>0</v>
      </c>
      <c r="E93" s="282" t="s">
        <v>559</v>
      </c>
      <c r="F93" s="282" t="s">
        <v>186</v>
      </c>
      <c r="G93" s="283"/>
      <c r="H93" s="283"/>
      <c r="I93" s="311">
        <v>0</v>
      </c>
      <c r="J93" s="257"/>
      <c r="K93" s="257"/>
      <c r="L93" s="3574"/>
      <c r="M93" s="3447" t="e">
        <f t="shared" si="26"/>
        <v>#DIV/0!</v>
      </c>
      <c r="N93" s="3447" t="e">
        <f t="shared" si="26"/>
        <v>#DIV/0!</v>
      </c>
      <c r="O93" s="214">
        <f t="shared" si="22"/>
        <v>0</v>
      </c>
      <c r="P93" s="214">
        <f t="shared" si="23"/>
        <v>0</v>
      </c>
      <c r="Q93" s="214">
        <f>IF(K93=0, 0, (HLOOKUP(K93,'[1]G-CESTDWO'!$A$5:$G$35,J93+1,FALSE)*R43))</f>
        <v>0</v>
      </c>
      <c r="R93" s="214">
        <f>IF(K93=0, 0, (HLOOKUP(K93,'[1]G-CESTD'!$A$5:$G$35,J93+1,FALSE)*R43))</f>
        <v>0</v>
      </c>
      <c r="S93" s="279">
        <v>1.081</v>
      </c>
      <c r="T93" s="280">
        <f t="shared" si="24"/>
        <v>0</v>
      </c>
      <c r="U93" s="280">
        <f t="shared" si="25"/>
        <v>0</v>
      </c>
      <c r="V93" s="3662">
        <f t="shared" si="18"/>
        <v>0</v>
      </c>
    </row>
    <row r="94" spans="2:25">
      <c r="B94" s="282"/>
      <c r="C94" s="282" t="s">
        <v>216</v>
      </c>
      <c r="D94" s="285">
        <v>0</v>
      </c>
      <c r="E94" s="282" t="s">
        <v>559</v>
      </c>
      <c r="F94" s="282" t="s">
        <v>186</v>
      </c>
      <c r="G94" s="283"/>
      <c r="H94" s="283"/>
      <c r="I94" s="311">
        <v>0</v>
      </c>
      <c r="J94" s="257"/>
      <c r="K94" s="257"/>
      <c r="L94" s="3574"/>
      <c r="M94" s="3447" t="e">
        <f t="shared" si="26"/>
        <v>#DIV/0!</v>
      </c>
      <c r="N94" s="3447" t="e">
        <f t="shared" si="26"/>
        <v>#DIV/0!</v>
      </c>
      <c r="O94" s="214">
        <f t="shared" si="22"/>
        <v>0</v>
      </c>
      <c r="P94" s="214">
        <f t="shared" si="23"/>
        <v>0</v>
      </c>
      <c r="Q94" s="214">
        <f>IF(K94=0, 0, (HLOOKUP(K94,'[1]G-CESTDWO'!$A$5:$G$35,J94+1,FALSE)*R44))</f>
        <v>0</v>
      </c>
      <c r="R94" s="214">
        <f>IF(K94=0, 0, (HLOOKUP(K94,'[1]G-CESTD'!$A$5:$G$35,J94+1,FALSE)*R44))</f>
        <v>0</v>
      </c>
      <c r="S94" s="279">
        <v>1.081</v>
      </c>
      <c r="T94" s="280">
        <f t="shared" si="24"/>
        <v>0</v>
      </c>
      <c r="U94" s="280">
        <f t="shared" si="25"/>
        <v>0</v>
      </c>
      <c r="V94" s="3662">
        <f t="shared" si="18"/>
        <v>0</v>
      </c>
    </row>
    <row r="95" spans="2:25">
      <c r="B95" s="282"/>
      <c r="C95" s="282" t="s">
        <v>217</v>
      </c>
      <c r="D95" s="285">
        <v>0</v>
      </c>
      <c r="E95" s="282" t="s">
        <v>559</v>
      </c>
      <c r="F95" s="282" t="s">
        <v>186</v>
      </c>
      <c r="G95" s="283"/>
      <c r="H95" s="283"/>
      <c r="I95" s="311">
        <v>0</v>
      </c>
      <c r="J95" s="257"/>
      <c r="K95" s="257"/>
      <c r="L95" s="3574"/>
      <c r="M95" s="3447" t="e">
        <f t="shared" si="26"/>
        <v>#DIV/0!</v>
      </c>
      <c r="N95" s="3447" t="e">
        <f t="shared" si="26"/>
        <v>#DIV/0!</v>
      </c>
      <c r="O95" s="214">
        <f t="shared" si="22"/>
        <v>0</v>
      </c>
      <c r="P95" s="214">
        <f t="shared" si="23"/>
        <v>0</v>
      </c>
      <c r="Q95" s="214">
        <f>IF(K95=0, 0, (HLOOKUP(K95,'[1]G-CESTDWO'!$A$5:$G$35,J95+1,FALSE)*R45))</f>
        <v>0</v>
      </c>
      <c r="R95" s="214">
        <f>IF(K95=0, 0, (HLOOKUP(K95,'[1]G-CESTD'!$A$5:$G$35,J95+1,FALSE)*R45))</f>
        <v>0</v>
      </c>
      <c r="S95" s="279">
        <v>1.081</v>
      </c>
      <c r="T95" s="280">
        <f t="shared" si="24"/>
        <v>0</v>
      </c>
      <c r="U95" s="280">
        <f t="shared" si="25"/>
        <v>0</v>
      </c>
      <c r="V95" s="3662">
        <f t="shared" si="18"/>
        <v>0</v>
      </c>
    </row>
    <row r="96" spans="2:25">
      <c r="B96" s="282"/>
      <c r="C96" s="282" t="s">
        <v>218</v>
      </c>
      <c r="D96" s="285">
        <v>0</v>
      </c>
      <c r="E96" s="282" t="s">
        <v>559</v>
      </c>
      <c r="F96" s="282" t="s">
        <v>186</v>
      </c>
      <c r="G96" s="283"/>
      <c r="H96" s="283"/>
      <c r="I96" s="311">
        <v>0</v>
      </c>
      <c r="J96" s="257"/>
      <c r="K96" s="257"/>
      <c r="L96" s="3574"/>
      <c r="M96" s="3447" t="e">
        <f t="shared" si="26"/>
        <v>#DIV/0!</v>
      </c>
      <c r="N96" s="3447" t="e">
        <f t="shared" si="26"/>
        <v>#DIV/0!</v>
      </c>
      <c r="O96" s="214">
        <f t="shared" si="22"/>
        <v>0</v>
      </c>
      <c r="P96" s="214">
        <f t="shared" si="23"/>
        <v>0</v>
      </c>
      <c r="Q96" s="214">
        <f>IF(K96=0, 0, (HLOOKUP(K96,'[1]G-CESTDWO'!$A$5:$G$35,J96+1,FALSE)*R46))</f>
        <v>0</v>
      </c>
      <c r="R96" s="214">
        <f>IF(K96=0, 0, (HLOOKUP(K96,'[1]G-CESTD'!$A$5:$G$35,J96+1,FALSE)*R46))</f>
        <v>0</v>
      </c>
      <c r="S96" s="279">
        <v>1.081</v>
      </c>
      <c r="T96" s="280">
        <f t="shared" si="24"/>
        <v>0</v>
      </c>
      <c r="U96" s="280">
        <f t="shared" si="25"/>
        <v>0</v>
      </c>
      <c r="V96" s="3662">
        <f t="shared" si="18"/>
        <v>0</v>
      </c>
    </row>
    <row r="97" spans="2:22">
      <c r="B97" s="282"/>
      <c r="C97" s="282" t="s">
        <v>219</v>
      </c>
      <c r="D97" s="285">
        <v>0</v>
      </c>
      <c r="E97" s="282" t="s">
        <v>559</v>
      </c>
      <c r="F97" s="282" t="s">
        <v>186</v>
      </c>
      <c r="G97" s="283"/>
      <c r="H97" s="283"/>
      <c r="I97" s="311">
        <v>0</v>
      </c>
      <c r="J97" s="257"/>
      <c r="K97" s="257"/>
      <c r="L97" s="3574"/>
      <c r="M97" s="3447" t="e">
        <f t="shared" si="26"/>
        <v>#DIV/0!</v>
      </c>
      <c r="N97" s="3447" t="e">
        <f t="shared" si="26"/>
        <v>#DIV/0!</v>
      </c>
      <c r="O97" s="214">
        <f t="shared" si="22"/>
        <v>0</v>
      </c>
      <c r="P97" s="214">
        <f t="shared" si="23"/>
        <v>0</v>
      </c>
      <c r="Q97" s="214">
        <f>IF(K97=0, 0, (HLOOKUP(K97,'[1]G-CESTDWO'!$A$5:$G$35,J97+1,FALSE)*R47))</f>
        <v>0</v>
      </c>
      <c r="R97" s="214">
        <f>IF(K97=0, 0, (HLOOKUP(K97,'[1]G-CESTD'!$A$5:$G$35,J97+1,FALSE)*R47))</f>
        <v>0</v>
      </c>
      <c r="S97" s="279">
        <v>1.081</v>
      </c>
      <c r="T97" s="280">
        <f t="shared" si="24"/>
        <v>0</v>
      </c>
      <c r="U97" s="280">
        <f t="shared" si="25"/>
        <v>0</v>
      </c>
      <c r="V97" s="3662">
        <f t="shared" si="18"/>
        <v>0</v>
      </c>
    </row>
    <row r="98" spans="2:22">
      <c r="B98" s="282"/>
      <c r="C98" s="282" t="s">
        <v>220</v>
      </c>
      <c r="D98" s="285">
        <v>0</v>
      </c>
      <c r="E98" s="282" t="s">
        <v>559</v>
      </c>
      <c r="F98" s="282" t="s">
        <v>186</v>
      </c>
      <c r="G98" s="283"/>
      <c r="H98" s="283"/>
      <c r="I98" s="311">
        <v>0</v>
      </c>
      <c r="J98" s="257"/>
      <c r="K98" s="257"/>
      <c r="L98" s="3574"/>
      <c r="M98" s="3447" t="e">
        <f t="shared" si="26"/>
        <v>#DIV/0!</v>
      </c>
      <c r="N98" s="3447" t="e">
        <f t="shared" si="26"/>
        <v>#DIV/0!</v>
      </c>
      <c r="O98" s="214">
        <f t="shared" si="22"/>
        <v>0</v>
      </c>
      <c r="P98" s="214">
        <f t="shared" si="23"/>
        <v>0</v>
      </c>
      <c r="Q98" s="214">
        <f>IF(K98=0, 0, (HLOOKUP(K98,'[1]G-CESTDWO'!$A$5:$G$35,J98+1,FALSE)*R48))</f>
        <v>0</v>
      </c>
      <c r="R98" s="214">
        <f>IF(K98=0, 0, (HLOOKUP(K98,'[1]G-CESTD'!$A$5:$G$35,J98+1,FALSE)*R48))</f>
        <v>0</v>
      </c>
      <c r="S98" s="279">
        <v>1.081</v>
      </c>
      <c r="T98" s="280">
        <f t="shared" si="24"/>
        <v>0</v>
      </c>
      <c r="U98" s="280">
        <f t="shared" si="25"/>
        <v>0</v>
      </c>
      <c r="V98" s="3662">
        <f t="shared" si="18"/>
        <v>0</v>
      </c>
    </row>
    <row r="99" spans="2:22">
      <c r="B99" s="282"/>
      <c r="C99" s="282" t="s">
        <v>221</v>
      </c>
      <c r="D99" s="285">
        <v>0</v>
      </c>
      <c r="E99" s="282" t="s">
        <v>559</v>
      </c>
      <c r="F99" s="282" t="s">
        <v>186</v>
      </c>
      <c r="G99" s="283"/>
      <c r="H99" s="283"/>
      <c r="I99" s="311">
        <v>0</v>
      </c>
      <c r="J99" s="257"/>
      <c r="K99" s="257"/>
      <c r="L99" s="3574"/>
      <c r="M99" s="3447" t="e">
        <f t="shared" si="26"/>
        <v>#DIV/0!</v>
      </c>
      <c r="N99" s="3447" t="e">
        <f t="shared" si="26"/>
        <v>#DIV/0!</v>
      </c>
      <c r="O99" s="214">
        <f t="shared" si="22"/>
        <v>0</v>
      </c>
      <c r="P99" s="214">
        <f t="shared" si="23"/>
        <v>0</v>
      </c>
      <c r="Q99" s="214">
        <f>IF(K99=0, 0, (HLOOKUP(K99,'[1]G-CESTDWO'!$A$5:$G$35,J99+1,FALSE)*R49))</f>
        <v>0</v>
      </c>
      <c r="R99" s="214">
        <f>IF(K99=0, 0, (HLOOKUP(K99,'[1]G-CESTD'!$A$5:$G$35,J99+1,FALSE)*R49))</f>
        <v>0</v>
      </c>
      <c r="S99" s="279">
        <v>1.081</v>
      </c>
      <c r="T99" s="280">
        <f t="shared" si="24"/>
        <v>0</v>
      </c>
      <c r="U99" s="280">
        <f t="shared" si="25"/>
        <v>0</v>
      </c>
      <c r="V99" s="3662">
        <f t="shared" si="18"/>
        <v>0</v>
      </c>
    </row>
    <row r="100" spans="2:22">
      <c r="B100" s="282"/>
      <c r="C100" s="282" t="s">
        <v>222</v>
      </c>
      <c r="D100" s="285">
        <v>0</v>
      </c>
      <c r="E100" s="282" t="s">
        <v>559</v>
      </c>
      <c r="F100" s="282" t="s">
        <v>186</v>
      </c>
      <c r="G100" s="283"/>
      <c r="H100" s="283"/>
      <c r="I100" s="311">
        <v>0</v>
      </c>
      <c r="J100" s="257"/>
      <c r="K100" s="257"/>
      <c r="L100" s="3574"/>
      <c r="M100" s="3447" t="e">
        <f t="shared" si="26"/>
        <v>#DIV/0!</v>
      </c>
      <c r="N100" s="3447" t="e">
        <f t="shared" si="26"/>
        <v>#DIV/0!</v>
      </c>
      <c r="O100" s="214">
        <f t="shared" si="22"/>
        <v>0</v>
      </c>
      <c r="P100" s="214">
        <f t="shared" si="23"/>
        <v>0</v>
      </c>
      <c r="Q100" s="214">
        <f>IF(K100=0, 0, (HLOOKUP(K100,'[1]G-CESTDWO'!$A$5:$G$35,J100+1,FALSE)*R50))</f>
        <v>0</v>
      </c>
      <c r="R100" s="214">
        <f>IF(K100=0, 0, (HLOOKUP(K100,'[1]G-CESTD'!$A$5:$G$35,J100+1,FALSE)*R50))</f>
        <v>0</v>
      </c>
      <c r="S100" s="279">
        <v>1.081</v>
      </c>
      <c r="T100" s="280">
        <f t="shared" si="24"/>
        <v>0</v>
      </c>
      <c r="U100" s="280">
        <f t="shared" si="25"/>
        <v>0</v>
      </c>
      <c r="V100" s="3662">
        <f t="shared" si="18"/>
        <v>0</v>
      </c>
    </row>
    <row r="101" spans="2:22">
      <c r="B101" s="282"/>
      <c r="C101" s="282" t="s">
        <v>223</v>
      </c>
      <c r="D101" s="285">
        <v>0</v>
      </c>
      <c r="E101" s="282" t="s">
        <v>559</v>
      </c>
      <c r="F101" s="282" t="s">
        <v>186</v>
      </c>
      <c r="G101" s="283"/>
      <c r="H101" s="283"/>
      <c r="I101" s="311">
        <v>0</v>
      </c>
      <c r="J101" s="257"/>
      <c r="K101" s="257"/>
      <c r="L101" s="3574"/>
      <c r="M101" s="3447" t="e">
        <f t="shared" si="26"/>
        <v>#DIV/0!</v>
      </c>
      <c r="N101" s="3447" t="e">
        <f t="shared" si="26"/>
        <v>#DIV/0!</v>
      </c>
      <c r="O101" s="214">
        <f t="shared" si="22"/>
        <v>0</v>
      </c>
      <c r="P101" s="214">
        <f t="shared" si="23"/>
        <v>0</v>
      </c>
      <c r="Q101" s="214">
        <f>IF(K101=0, 0, (HLOOKUP(K101,'[1]G-CESTDWO'!$A$5:$G$35,J101+1,FALSE)*R51))</f>
        <v>0</v>
      </c>
      <c r="R101" s="214">
        <f>IF(K101=0, 0, (HLOOKUP(K101,'[1]G-CESTD'!$A$5:$G$35,J101+1,FALSE)*R51))</f>
        <v>0</v>
      </c>
      <c r="S101" s="279">
        <v>1.081</v>
      </c>
      <c r="T101" s="280">
        <f t="shared" si="24"/>
        <v>0</v>
      </c>
      <c r="U101" s="280">
        <f t="shared" si="25"/>
        <v>0</v>
      </c>
      <c r="V101" s="3662">
        <f t="shared" si="18"/>
        <v>0</v>
      </c>
    </row>
    <row r="102" spans="2:22">
      <c r="B102" s="282"/>
      <c r="C102" s="282" t="s">
        <v>224</v>
      </c>
      <c r="D102" s="285">
        <v>0</v>
      </c>
      <c r="E102" s="282" t="s">
        <v>559</v>
      </c>
      <c r="F102" s="282" t="s">
        <v>186</v>
      </c>
      <c r="G102" s="283"/>
      <c r="H102" s="283"/>
      <c r="I102" s="311">
        <v>0</v>
      </c>
      <c r="J102" s="257"/>
      <c r="K102" s="257"/>
      <c r="L102" s="3574"/>
      <c r="M102" s="3447" t="e">
        <f t="shared" si="26"/>
        <v>#DIV/0!</v>
      </c>
      <c r="N102" s="3447" t="e">
        <f t="shared" si="26"/>
        <v>#DIV/0!</v>
      </c>
      <c r="O102" s="214">
        <f t="shared" si="22"/>
        <v>0</v>
      </c>
      <c r="P102" s="214">
        <f t="shared" si="23"/>
        <v>0</v>
      </c>
      <c r="Q102" s="214">
        <f>IF(K102=0, 0, (HLOOKUP(K102,'[1]G-CESTDWO'!$A$5:$G$35,J102+1,FALSE)*R52))</f>
        <v>0</v>
      </c>
      <c r="R102" s="214">
        <f>IF(K102=0, 0, (HLOOKUP(K102,'[1]G-CESTD'!$A$5:$G$35,J102+1,FALSE)*R52))</f>
        <v>0</v>
      </c>
      <c r="S102" s="279">
        <v>1.081</v>
      </c>
      <c r="T102" s="280">
        <f t="shared" si="24"/>
        <v>0</v>
      </c>
      <c r="U102" s="280">
        <f t="shared" si="25"/>
        <v>0</v>
      </c>
      <c r="V102" s="3662">
        <f t="shared" si="18"/>
        <v>0</v>
      </c>
    </row>
    <row r="103" spans="2:22">
      <c r="B103" s="282"/>
      <c r="C103" s="282" t="s">
        <v>225</v>
      </c>
      <c r="D103" s="285">
        <v>0</v>
      </c>
      <c r="E103" s="282" t="s">
        <v>559</v>
      </c>
      <c r="F103" s="282" t="s">
        <v>186</v>
      </c>
      <c r="G103" s="283"/>
      <c r="H103" s="283"/>
      <c r="I103" s="311">
        <v>0</v>
      </c>
      <c r="J103" s="257"/>
      <c r="K103" s="257"/>
      <c r="L103" s="3574"/>
      <c r="M103" s="3447" t="e">
        <f t="shared" si="26"/>
        <v>#DIV/0!</v>
      </c>
      <c r="N103" s="3447" t="e">
        <f t="shared" si="26"/>
        <v>#DIV/0!</v>
      </c>
      <c r="O103" s="214">
        <f t="shared" si="22"/>
        <v>0</v>
      </c>
      <c r="P103" s="214">
        <f t="shared" si="23"/>
        <v>0</v>
      </c>
      <c r="Q103" s="214">
        <f>IF(K103=0, 0, (HLOOKUP(K103,'[1]G-CESTDWO'!$A$5:$G$35,J103+1,FALSE)*R53))</f>
        <v>0</v>
      </c>
      <c r="R103" s="214">
        <f>IF(K103=0, 0, (HLOOKUP(K103,'[1]G-CESTD'!$A$5:$G$35,J103+1,FALSE)*R53))</f>
        <v>0</v>
      </c>
      <c r="S103" s="279">
        <v>1.081</v>
      </c>
      <c r="T103" s="280">
        <f t="shared" si="24"/>
        <v>0</v>
      </c>
      <c r="U103" s="280">
        <f t="shared" si="25"/>
        <v>0</v>
      </c>
      <c r="V103" s="3662">
        <f t="shared" si="18"/>
        <v>0</v>
      </c>
    </row>
    <row r="104" spans="2:22" ht="13.5" thickBot="1">
      <c r="B104" s="282"/>
      <c r="C104" s="282" t="s">
        <v>226</v>
      </c>
      <c r="D104" s="285">
        <v>0</v>
      </c>
      <c r="E104" s="282" t="s">
        <v>559</v>
      </c>
      <c r="F104" s="282" t="s">
        <v>186</v>
      </c>
      <c r="G104" s="283"/>
      <c r="H104" s="283"/>
      <c r="I104" s="311">
        <v>0</v>
      </c>
      <c r="J104" s="257"/>
      <c r="K104" s="257"/>
      <c r="L104" s="3574"/>
      <c r="M104" s="3447" t="e">
        <f t="shared" si="26"/>
        <v>#DIV/0!</v>
      </c>
      <c r="N104" s="3447" t="e">
        <f t="shared" si="26"/>
        <v>#DIV/0!</v>
      </c>
      <c r="O104" s="214">
        <f t="shared" si="22"/>
        <v>0</v>
      </c>
      <c r="P104" s="214">
        <f t="shared" si="23"/>
        <v>0</v>
      </c>
      <c r="Q104" s="214">
        <f>IF(K104=0, 0, (HLOOKUP(K104,'[1]G-CESTDWO'!$A$5:$G$35,J104+1,FALSE)*R54))</f>
        <v>0</v>
      </c>
      <c r="R104" s="214">
        <f>IF(K104=0, 0, (HLOOKUP(K104,'[1]G-CESTD'!$A$5:$G$35,J104+1,FALSE)*R54))</f>
        <v>0</v>
      </c>
      <c r="S104" s="279">
        <v>1.081</v>
      </c>
      <c r="T104" s="280">
        <f t="shared" si="24"/>
        <v>0</v>
      </c>
      <c r="U104" s="280">
        <f t="shared" si="25"/>
        <v>0</v>
      </c>
      <c r="V104" s="3662">
        <f t="shared" si="18"/>
        <v>0</v>
      </c>
    </row>
    <row r="105" spans="2:22" ht="13.5" thickBot="1">
      <c r="G105" s="286">
        <f>SUMPRODUCT(G63:G104,O13:O54)</f>
        <v>6478578.2000000002</v>
      </c>
      <c r="H105" s="287">
        <f>V105</f>
        <v>2340716</v>
      </c>
      <c r="I105" s="288">
        <f>SUM(I63:I104)</f>
        <v>0.99999999999999989</v>
      </c>
      <c r="J105" s="289">
        <f>ROUND(SUMPRODUCT(J63:J104,R13:R54)/R55,0)</f>
        <v>27</v>
      </c>
      <c r="K105" s="264"/>
      <c r="L105" s="3580"/>
      <c r="M105" s="3448">
        <f>Q105/O105</f>
        <v>2.1595306778071142</v>
      </c>
      <c r="N105" s="3449">
        <f>R105/P105</f>
        <v>0.89388367805583102</v>
      </c>
      <c r="O105" s="297">
        <f>SUM(O63:O104)</f>
        <v>2710976.0204081628</v>
      </c>
      <c r="P105" s="297">
        <f>SUM(P63:P104)</f>
        <v>6549438.1725417431</v>
      </c>
      <c r="Q105" s="297">
        <f>SUM(Q63:Q104)</f>
        <v>5854435.8828708734</v>
      </c>
      <c r="R105" s="297">
        <f>SUM(R63:R104)</f>
        <v>5854435.8828708734</v>
      </c>
      <c r="S105" s="293">
        <v>1.081</v>
      </c>
      <c r="T105" s="294">
        <f>SUM(T63:T104)</f>
        <v>0</v>
      </c>
      <c r="U105" s="294">
        <f>SUM(U63:U104)</f>
        <v>2340716</v>
      </c>
      <c r="V105" s="3662">
        <f t="shared" ref="V105" si="27">SUM(T105:U105)</f>
        <v>2340716</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 right="0.23" top="0.35" bottom="0.34" header="0.3" footer="0.3"/>
      <pageSetup paperSize="17" scale="50"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1"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 right="0.23" top="0.35" bottom="0.34" header="0.3" footer="0.3"/>
  <pageSetup paperSize="17" scale="50" orientation="landscape" r:id="rId2"/>
  <drawing r:id="rId3"/>
  <legacyDrawing r:id="rId4"/>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tabColor theme="8" tint="-0.249977111117893"/>
  </sheetPr>
  <dimension ref="B1:M107"/>
  <sheetViews>
    <sheetView showGridLines="0" tabSelected="1" topLeftCell="B1" zoomScaleNormal="100" workbookViewId="0">
      <pane xSplit="5" ySplit="4" topLeftCell="G5" activePane="bottomRight" state="frozen"/>
      <selection activeCell="B1" sqref="B1"/>
      <selection pane="topRight" activeCell="G1" sqref="G1"/>
      <selection pane="bottomLeft" activeCell="B5" sqref="B5"/>
      <selection pane="bottomRight" activeCell="G101" sqref="G101"/>
    </sheetView>
  </sheetViews>
  <sheetFormatPr defaultColWidth="9.140625" defaultRowHeight="12.75"/>
  <cols>
    <col min="1" max="1" width="5.85546875" customWidth="1"/>
    <col min="2" max="3" width="7" customWidth="1"/>
    <col min="4" max="4" width="6.28515625" customWidth="1"/>
    <col min="5" max="5" width="6.140625" customWidth="1"/>
    <col min="6" max="6" width="32" customWidth="1"/>
    <col min="7" max="7" width="14.7109375" customWidth="1"/>
    <col min="8" max="8" width="18.42578125" customWidth="1"/>
    <col min="9" max="9" width="19.140625" customWidth="1"/>
    <col min="10" max="10" width="16.85546875" customWidth="1"/>
    <col min="11" max="11" width="19.42578125" customWidth="1"/>
    <col min="12" max="12" width="9.140625" style="3531"/>
  </cols>
  <sheetData>
    <row r="1" spans="2:13" ht="22.5" customHeight="1">
      <c r="B1" s="2112"/>
      <c r="C1" s="2112"/>
      <c r="D1" s="4240" t="s">
        <v>1407</v>
      </c>
      <c r="E1" s="2114"/>
      <c r="F1" s="2114"/>
      <c r="G1" s="2112"/>
      <c r="H1" s="2112"/>
      <c r="I1" s="2200"/>
      <c r="J1" s="2173"/>
      <c r="K1" s="2173"/>
    </row>
    <row r="2" spans="2:13" s="3532" customFormat="1" ht="27.75" customHeight="1">
      <c r="D2" s="2113"/>
      <c r="E2" s="2114"/>
      <c r="F2" s="3532" t="s">
        <v>1165</v>
      </c>
      <c r="I2" s="2200"/>
      <c r="J2" s="2173"/>
      <c r="K2" s="2173"/>
      <c r="L2" s="3531"/>
    </row>
    <row r="3" spans="2:13" ht="41.25" customHeight="1" thickBot="1">
      <c r="B3" s="2112"/>
      <c r="C3" s="2112"/>
      <c r="D3" s="2112"/>
      <c r="E3" s="2115" t="s">
        <v>858</v>
      </c>
      <c r="F3" s="2198">
        <f ca="1">NOW()</f>
        <v>41241.318548611111</v>
      </c>
      <c r="G3" s="5111"/>
      <c r="H3" s="5111"/>
      <c r="I3" s="5111"/>
      <c r="J3" s="5111"/>
      <c r="K3" s="2199"/>
    </row>
    <row r="4" spans="2:13" ht="32.25" thickBot="1">
      <c r="B4" s="5112" t="s">
        <v>859</v>
      </c>
      <c r="C4" s="5113"/>
      <c r="D4" s="2116" t="s">
        <v>860</v>
      </c>
      <c r="E4" s="2117"/>
      <c r="F4" s="2117"/>
      <c r="G4" s="3071" t="s">
        <v>861</v>
      </c>
      <c r="H4" s="3071" t="s">
        <v>862</v>
      </c>
      <c r="I4" s="3071" t="s">
        <v>863</v>
      </c>
      <c r="J4" s="3071" t="s">
        <v>864</v>
      </c>
      <c r="K4" s="3278" t="s">
        <v>865</v>
      </c>
    </row>
    <row r="5" spans="2:13" ht="15.75">
      <c r="B5" s="2174"/>
      <c r="C5" s="2175"/>
      <c r="D5" s="2176" t="s">
        <v>552</v>
      </c>
      <c r="E5" s="2176"/>
      <c r="F5" s="2176"/>
      <c r="G5" s="2175"/>
      <c r="H5" s="2177"/>
      <c r="I5" s="2175"/>
      <c r="J5" s="2175"/>
      <c r="K5" s="3279"/>
    </row>
    <row r="6" spans="2:13">
      <c r="B6" s="2118" t="s">
        <v>339</v>
      </c>
      <c r="C6" s="2119" t="s">
        <v>1409</v>
      </c>
      <c r="D6" s="2120" t="s">
        <v>843</v>
      </c>
      <c r="E6" s="2119"/>
      <c r="F6" s="2152"/>
      <c r="G6" s="2220">
        <f>ROUND('2) Sector View Electric'!Q7/1000,-1)</f>
        <v>1200</v>
      </c>
      <c r="H6" s="2219">
        <f>ROUND('2) Sector View Electric'!P7,-3)</f>
        <v>2425000</v>
      </c>
      <c r="I6" s="2218">
        <f>ROUND('3) Sector View Gas'!Q7,-3)</f>
        <v>21000</v>
      </c>
      <c r="J6" s="2219">
        <f>ROUND('3) Sector View Gas'!P7,-3)</f>
        <v>301000</v>
      </c>
      <c r="K6" s="3280">
        <f>H6+J6</f>
        <v>2726000</v>
      </c>
    </row>
    <row r="7" spans="2:13">
      <c r="B7" s="2118" t="s">
        <v>227</v>
      </c>
      <c r="C7" s="2119" t="s">
        <v>574</v>
      </c>
      <c r="D7" s="2197" t="s">
        <v>866</v>
      </c>
      <c r="E7" s="2195"/>
      <c r="F7" s="2196"/>
      <c r="G7" s="2221">
        <f>SUM(G8:G18)</f>
        <v>125970</v>
      </c>
      <c r="H7" s="2222">
        <f>SUM(H8:H18)</f>
        <v>30183000</v>
      </c>
      <c r="I7" s="2223">
        <f>SUM(I8:I18)</f>
        <v>1889000</v>
      </c>
      <c r="J7" s="2222">
        <f>SUM(J8:J18)</f>
        <v>6127000</v>
      </c>
      <c r="K7" s="3281">
        <f>H7+J7</f>
        <v>36310000</v>
      </c>
    </row>
    <row r="8" spans="2:13">
      <c r="B8" s="2118"/>
      <c r="C8" s="2119"/>
      <c r="D8" s="2120"/>
      <c r="E8" s="3370" t="s">
        <v>867</v>
      </c>
      <c r="F8" s="3371"/>
      <c r="G8" s="3372">
        <f>ROUND('2) Sector View Electric'!Q15/1000,-1)</f>
        <v>83230</v>
      </c>
      <c r="H8" s="3379">
        <f>ROUND('2) Sector View Electric'!P15,-3)</f>
        <v>13123000</v>
      </c>
      <c r="I8" s="3378" t="s">
        <v>870</v>
      </c>
      <c r="J8" s="3379"/>
      <c r="K8" s="3368">
        <f>H8+J8</f>
        <v>13123000</v>
      </c>
    </row>
    <row r="9" spans="2:13">
      <c r="B9" s="2118"/>
      <c r="C9" s="2119"/>
      <c r="D9" s="2120"/>
      <c r="E9" s="3370" t="s">
        <v>868</v>
      </c>
      <c r="F9" s="3371"/>
      <c r="G9" s="3372">
        <f>ROUND('2) Sector View Electric'!Q11/1000,-1)</f>
        <v>6140</v>
      </c>
      <c r="H9" s="3379">
        <f>ROUND('2) Sector View Electric'!P11,-3)</f>
        <v>3004000</v>
      </c>
      <c r="I9" s="3369">
        <f>ROUND('3) Sector View Gas'!Q13,-3)</f>
        <v>748000</v>
      </c>
      <c r="J9" s="3379">
        <f>ROUND('3) Sector View Gas'!P13,-3)</f>
        <v>2355000</v>
      </c>
      <c r="K9" s="3368">
        <f>H9+J9</f>
        <v>5359000</v>
      </c>
    </row>
    <row r="10" spans="2:13">
      <c r="B10" s="2118"/>
      <c r="C10" s="2119"/>
      <c r="D10" s="2120"/>
      <c r="E10" s="3370" t="s">
        <v>869</v>
      </c>
      <c r="F10" s="3371"/>
      <c r="G10" s="3372">
        <f>ROUND('2) Sector View Electric'!Q9/1000,-1)</f>
        <v>860</v>
      </c>
      <c r="H10" s="3379">
        <f>ROUND('2) Sector View Electric'!P9,-3)</f>
        <v>589000</v>
      </c>
      <c r="I10" s="3378" t="s">
        <v>870</v>
      </c>
      <c r="J10" s="3380">
        <v>0</v>
      </c>
      <c r="K10" s="3368">
        <f t="shared" ref="K10:K11" si="0">H10+J10</f>
        <v>589000</v>
      </c>
    </row>
    <row r="11" spans="2:13">
      <c r="B11" s="2118"/>
      <c r="C11" s="2119"/>
      <c r="D11" s="2120"/>
      <c r="E11" s="3370" t="s">
        <v>871</v>
      </c>
      <c r="F11" s="3371"/>
      <c r="G11" s="3372">
        <f>ROUND('2) Sector View Electric'!Q8/1000,-1)</f>
        <v>4080</v>
      </c>
      <c r="H11" s="3379">
        <f>ROUND('2) Sector View Electric'!P8,-3)</f>
        <v>1839000</v>
      </c>
      <c r="I11" s="3378" t="s">
        <v>870</v>
      </c>
      <c r="J11" s="3380">
        <v>0</v>
      </c>
      <c r="K11" s="3368">
        <f t="shared" si="0"/>
        <v>1839000</v>
      </c>
    </row>
    <row r="12" spans="2:13">
      <c r="B12" s="2118"/>
      <c r="C12" s="2119"/>
      <c r="D12" s="2120"/>
      <c r="E12" s="3370" t="s">
        <v>375</v>
      </c>
      <c r="F12" s="3371"/>
      <c r="G12" s="3372">
        <f>ROUND('2) Sector View Electric'!Q13/1000,-1)</f>
        <v>12410</v>
      </c>
      <c r="H12" s="3379">
        <f>ROUND('2) Sector View Electric'!P13,-3)</f>
        <v>7752000</v>
      </c>
      <c r="I12" s="3369">
        <f>ROUND('3) Sector View Gas'!Q15,-3)</f>
        <v>8000</v>
      </c>
      <c r="J12" s="3379">
        <f>'3) Sector View Gas'!P15</f>
        <v>0</v>
      </c>
      <c r="K12" s="3368">
        <f t="shared" ref="K12:K23" si="1">H12+J12</f>
        <v>7752000</v>
      </c>
    </row>
    <row r="13" spans="2:13">
      <c r="B13" s="2118"/>
      <c r="C13" s="2119"/>
      <c r="D13" s="2120"/>
      <c r="E13" s="3370" t="s">
        <v>872</v>
      </c>
      <c r="F13" s="3371"/>
      <c r="G13" s="3372">
        <f>ROUND('2) Sector View Electric'!Q14/1000,-1)</f>
        <v>3500</v>
      </c>
      <c r="H13" s="3379">
        <f>ROUND('2) Sector View Electric'!P14,-3)</f>
        <v>226000</v>
      </c>
      <c r="I13" s="3369">
        <f>ROUND('3) Sector View Gas'!Q14,-3)</f>
        <v>179000</v>
      </c>
      <c r="J13" s="3379">
        <f>ROUND('3) Sector View Gas'!P14,-3)</f>
        <v>296000</v>
      </c>
      <c r="K13" s="3368">
        <f t="shared" si="1"/>
        <v>522000</v>
      </c>
    </row>
    <row r="14" spans="2:13">
      <c r="B14" s="2118"/>
      <c r="C14" s="2119"/>
      <c r="D14" s="2120"/>
      <c r="E14" s="3370" t="s">
        <v>873</v>
      </c>
      <c r="F14" s="3371"/>
      <c r="G14" s="3372">
        <f>ROUND('2) Sector View Electric'!Q10/1000,-1)</f>
        <v>6350</v>
      </c>
      <c r="H14" s="3379">
        <f>ROUND('2) Sector View Electric'!P10,-3)</f>
        <v>2134000</v>
      </c>
      <c r="I14" s="3369">
        <f>ROUND('3) Sector View Gas'!Q10,-3)</f>
        <v>553000</v>
      </c>
      <c r="J14" s="3379">
        <f>ROUND('3) Sector View Gas'!P10,-3)</f>
        <v>2922000</v>
      </c>
      <c r="K14" s="3368">
        <f t="shared" si="1"/>
        <v>5056000</v>
      </c>
      <c r="M14" s="3532"/>
    </row>
    <row r="15" spans="2:13" s="4739" customFormat="1">
      <c r="B15" s="2118"/>
      <c r="C15" s="2123"/>
      <c r="D15" s="2120"/>
      <c r="E15" s="3370" t="s">
        <v>1234</v>
      </c>
      <c r="F15" s="3371"/>
      <c r="G15" s="3372">
        <f>ROUND('2) Sector View Electric'!Q17/1000,-1)</f>
        <v>2850</v>
      </c>
      <c r="H15" s="3379">
        <f>ROUND('2) Sector View Electric'!P17,-3)</f>
        <v>741000</v>
      </c>
      <c r="I15" s="3378" t="s">
        <v>870</v>
      </c>
      <c r="J15" s="3379">
        <f>'3) Sector View Gas'!P11</f>
        <v>0</v>
      </c>
      <c r="K15" s="3368">
        <f t="shared" ref="K15" si="2">H15+J15</f>
        <v>741000</v>
      </c>
      <c r="L15" s="4720"/>
    </row>
    <row r="16" spans="2:13" s="3532" customFormat="1">
      <c r="B16" s="2118"/>
      <c r="C16" s="2123"/>
      <c r="D16" s="2120"/>
      <c r="E16" s="3370" t="s">
        <v>1325</v>
      </c>
      <c r="F16" s="3371"/>
      <c r="G16" s="3372"/>
      <c r="H16" s="3379"/>
      <c r="I16" s="3369">
        <f>'3) Sector View Gas'!Q16</f>
        <v>54000</v>
      </c>
      <c r="J16" s="3379">
        <f>ROUND('3) Sector View Gas'!P16,-3)</f>
        <v>455000</v>
      </c>
      <c r="K16" s="3368"/>
      <c r="L16" s="3531"/>
    </row>
    <row r="17" spans="2:12" s="3532" customFormat="1">
      <c r="B17" s="2118"/>
      <c r="C17" s="2123"/>
      <c r="D17" s="2120"/>
      <c r="E17" s="3370" t="s">
        <v>1193</v>
      </c>
      <c r="F17" s="3371"/>
      <c r="G17" s="3372">
        <f>ROUND('2) Sector View Electric'!Q16/1000,-1)</f>
        <v>1050</v>
      </c>
      <c r="H17" s="3379">
        <f>ROUND('2) Sector View Electric'!P16,-3)</f>
        <v>557000</v>
      </c>
      <c r="I17" s="3378" t="s">
        <v>870</v>
      </c>
      <c r="J17" s="3379">
        <f>'3) Sector View Gas'!P11</f>
        <v>0</v>
      </c>
      <c r="K17" s="3368">
        <f t="shared" ref="K17" si="3">H17+J17</f>
        <v>557000</v>
      </c>
      <c r="L17" s="3531"/>
    </row>
    <row r="18" spans="2:12">
      <c r="B18" s="2118"/>
      <c r="C18" s="2123"/>
      <c r="D18" s="2120"/>
      <c r="E18" s="3370" t="s">
        <v>878</v>
      </c>
      <c r="F18" s="3371"/>
      <c r="G18" s="3372">
        <f>ROUND('2) Sector View Electric'!Q18/1000,-1)</f>
        <v>5500</v>
      </c>
      <c r="H18" s="3379">
        <f>ROUND('2) Sector View Electric'!P18,-3)</f>
        <v>218000</v>
      </c>
      <c r="I18" s="3369">
        <f>ROUND('3) Sector View Gas'!Q17,-3)</f>
        <v>347000</v>
      </c>
      <c r="J18" s="3379">
        <f>ROUND('3) Sector View Gas'!P17,-3)</f>
        <v>99000</v>
      </c>
      <c r="K18" s="3368">
        <f t="shared" si="1"/>
        <v>317000</v>
      </c>
    </row>
    <row r="19" spans="2:12">
      <c r="B19" s="2149" t="s">
        <v>442</v>
      </c>
      <c r="C19" s="2119" t="s">
        <v>599</v>
      </c>
      <c r="D19" s="3336" t="s">
        <v>874</v>
      </c>
      <c r="E19" s="2131"/>
      <c r="F19" s="2150"/>
      <c r="G19" s="3337">
        <f>ROUND(('2) Sector View Electric'!Q19/1000)+('2) Sector View Electric'!Q20/1000),-1)</f>
        <v>1530</v>
      </c>
      <c r="H19" s="2516">
        <f>ROUND('2) Sector View Electric'!P19+'2) Sector View Electric'!P20,-3)</f>
        <v>1249000</v>
      </c>
      <c r="I19" s="5105" t="str">
        <f>IF('3) Sector View Gas'!Q19+'3) Sector View Gas'!Q18=0, " - ", '3) Sector View Gas'!Q19+'3) Sector View Gas'!Q18)</f>
        <v xml:space="preserve"> - </v>
      </c>
      <c r="J19" s="2219">
        <f>'3) Sector View Gas'!P19+'3) Sector View Gas'!P18</f>
        <v>0</v>
      </c>
      <c r="K19" s="3282">
        <f t="shared" si="1"/>
        <v>1249000</v>
      </c>
    </row>
    <row r="20" spans="2:12">
      <c r="B20" s="2118" t="s">
        <v>474</v>
      </c>
      <c r="C20" s="2119"/>
      <c r="D20" s="2120" t="s">
        <v>875</v>
      </c>
      <c r="E20" s="2119"/>
      <c r="F20" s="2152"/>
      <c r="G20" s="2220">
        <f>ROUND('2) Sector View Electric'!Q21/1000,-1)</f>
        <v>2650</v>
      </c>
      <c r="H20" s="2219">
        <f>ROUND('2) Sector View Electric'!P21,-3)</f>
        <v>1084000</v>
      </c>
      <c r="I20" s="3378" t="s">
        <v>870</v>
      </c>
      <c r="J20" s="2219"/>
      <c r="K20" s="3282">
        <f t="shared" si="1"/>
        <v>1084000</v>
      </c>
    </row>
    <row r="21" spans="2:12">
      <c r="B21" s="2118" t="s">
        <v>510</v>
      </c>
      <c r="C21" s="2119" t="s">
        <v>624</v>
      </c>
      <c r="D21" s="2120" t="s">
        <v>876</v>
      </c>
      <c r="E21" s="2119"/>
      <c r="F21" s="2152"/>
      <c r="G21" s="2220">
        <f>ROUND('2) Sector View Electric'!Q22/1000,-1)</f>
        <v>16750</v>
      </c>
      <c r="H21" s="2219">
        <f>ROUND('2) Sector View Electric'!P22,-3)</f>
        <v>6862000</v>
      </c>
      <c r="I21" s="2218">
        <f>ROUND('3) Sector View Gas'!Q20,-3)</f>
        <v>18000</v>
      </c>
      <c r="J21" s="2219">
        <f>ROUND('3) Sector View Gas'!P20,-3)</f>
        <v>118000</v>
      </c>
      <c r="K21" s="3282">
        <f t="shared" si="1"/>
        <v>6980000</v>
      </c>
    </row>
    <row r="22" spans="2:12">
      <c r="B22" s="2118" t="s">
        <v>541</v>
      </c>
      <c r="C22" s="2119" t="s">
        <v>634</v>
      </c>
      <c r="D22" s="2120" t="s">
        <v>877</v>
      </c>
      <c r="E22" s="2119"/>
      <c r="F22" s="2152"/>
      <c r="G22" s="2220">
        <f>ROUND('2) Sector View Electric'!Q23/1000,-1)</f>
        <v>950</v>
      </c>
      <c r="H22" s="2219">
        <f>ROUND('2) Sector View Electric'!P23,-3)</f>
        <v>674000</v>
      </c>
      <c r="I22" s="3170">
        <f>ROUND('3) Sector View Gas'!Q21,-3)</f>
        <v>47000</v>
      </c>
      <c r="J22" s="2219">
        <f>ROUND('3) Sector View Gas'!P21,-3)</f>
        <v>317000</v>
      </c>
      <c r="K22" s="3282">
        <f t="shared" si="1"/>
        <v>991000</v>
      </c>
    </row>
    <row r="23" spans="2:12">
      <c r="B23" s="2118" t="s">
        <v>546</v>
      </c>
      <c r="C23" s="2119" t="s">
        <v>636</v>
      </c>
      <c r="D23" s="2120" t="s">
        <v>548</v>
      </c>
      <c r="E23" s="2119"/>
      <c r="F23" s="2152"/>
      <c r="G23" s="2220">
        <f>'2) Sector View Electric'!Q24/1000</f>
        <v>0</v>
      </c>
      <c r="H23" s="2225">
        <f>'2) Sector View Electric'!P24</f>
        <v>0</v>
      </c>
      <c r="I23" s="2218"/>
      <c r="J23" s="2225"/>
      <c r="K23" s="3282">
        <f t="shared" si="1"/>
        <v>0</v>
      </c>
    </row>
    <row r="24" spans="2:12">
      <c r="B24" s="2124"/>
      <c r="C24" s="2125"/>
      <c r="D24" s="2126" t="s">
        <v>879</v>
      </c>
      <c r="E24" s="2126"/>
      <c r="F24" s="2126"/>
      <c r="G24" s="2242">
        <f>G6+G7+SUM(G19:G23)</f>
        <v>149050</v>
      </c>
      <c r="H24" s="2227">
        <f>H6+H7+SUM(H19:H23)</f>
        <v>42477000</v>
      </c>
      <c r="I24" s="2226">
        <f>I6+I7+SUM(I19:I23)</f>
        <v>1975000</v>
      </c>
      <c r="J24" s="2227">
        <f>J6+J7+SUM(J19:J23)</f>
        <v>6863000</v>
      </c>
      <c r="K24" s="3283">
        <f>H24+J24</f>
        <v>49340000</v>
      </c>
    </row>
    <row r="25" spans="2:12">
      <c r="B25" s="2121"/>
      <c r="C25" s="2127"/>
      <c r="D25" s="2128"/>
      <c r="E25" s="2127"/>
      <c r="F25" s="2127"/>
      <c r="G25" s="2228"/>
      <c r="H25" s="2229"/>
      <c r="I25" s="2230"/>
      <c r="J25" s="2229"/>
      <c r="K25" s="3284"/>
    </row>
    <row r="26" spans="2:12" ht="15.75">
      <c r="B26" s="2178"/>
      <c r="C26" s="2179"/>
      <c r="D26" s="2180" t="s">
        <v>765</v>
      </c>
      <c r="E26" s="2180"/>
      <c r="F26" s="2180"/>
      <c r="G26" s="2231"/>
      <c r="H26" s="2231"/>
      <c r="I26" s="2231"/>
      <c r="J26" s="2231"/>
      <c r="K26" s="3285"/>
    </row>
    <row r="27" spans="2:12">
      <c r="B27" s="2129" t="s">
        <v>880</v>
      </c>
      <c r="C27" s="2151" t="s">
        <v>1410</v>
      </c>
      <c r="D27" s="2131" t="s">
        <v>881</v>
      </c>
      <c r="E27" s="2131"/>
      <c r="F27" s="2150"/>
      <c r="G27" s="2232">
        <f>ROUND('2) Sector View Electric'!Q30/1000,-1)</f>
        <v>71380</v>
      </c>
      <c r="H27" s="2569">
        <f>ROUND('2) Sector View Electric'!P30,-3)</f>
        <v>18986000</v>
      </c>
      <c r="I27" s="2515">
        <f>ROUND('3) Sector View Gas'!Q29,-3)</f>
        <v>487000</v>
      </c>
      <c r="J27" s="2516">
        <f>ROUND('3) Sector View Gas'!P29,-3)</f>
        <v>2702000</v>
      </c>
      <c r="K27" s="3287">
        <f t="shared" ref="K27:K33" si="4">H27+J27</f>
        <v>21688000</v>
      </c>
    </row>
    <row r="28" spans="2:12">
      <c r="B28" s="2132" t="s">
        <v>745</v>
      </c>
      <c r="C28" s="2133" t="s">
        <v>760</v>
      </c>
      <c r="D28" s="2119" t="s">
        <v>753</v>
      </c>
      <c r="E28" s="2119"/>
      <c r="F28" s="2152"/>
      <c r="G28" s="2234">
        <f>ROUND('2) Sector View Electric'!Q31/1000,-1)</f>
        <v>3500</v>
      </c>
      <c r="H28" s="2235">
        <f>ROUND('2) Sector View Electric'!P31,-3)</f>
        <v>1470000</v>
      </c>
      <c r="I28" s="2236">
        <f>ROUND('3) Sector View Gas'!Q30,-3)</f>
        <v>156000</v>
      </c>
      <c r="J28" s="2219">
        <f>ROUND('3) Sector View Gas'!P30,-3)</f>
        <v>622000</v>
      </c>
      <c r="K28" s="3288">
        <f t="shared" si="4"/>
        <v>2092000</v>
      </c>
    </row>
    <row r="29" spans="2:12">
      <c r="B29" s="2132" t="s">
        <v>746</v>
      </c>
      <c r="C29" s="2205" t="s">
        <v>1411</v>
      </c>
      <c r="D29" s="2119" t="s">
        <v>754</v>
      </c>
      <c r="E29" s="2119"/>
      <c r="F29" s="2152"/>
      <c r="G29" s="2234">
        <f>ROUND('2) Sector View Electric'!Q32/1000,-1)</f>
        <v>18750</v>
      </c>
      <c r="H29" s="2235">
        <f>ROUND('2) Sector View Electric'!P32,-3)</f>
        <v>1558000</v>
      </c>
      <c r="I29" s="2236">
        <f>'3) Sector View Gas'!Q31</f>
        <v>600000</v>
      </c>
      <c r="J29" s="2219">
        <f>ROUND('3) Sector View Gas'!P31,-3)</f>
        <v>851000</v>
      </c>
      <c r="K29" s="3288">
        <f t="shared" si="4"/>
        <v>2409000</v>
      </c>
    </row>
    <row r="30" spans="2:12">
      <c r="B30" s="2132" t="s">
        <v>747</v>
      </c>
      <c r="C30" s="2133"/>
      <c r="D30" s="2119" t="s">
        <v>882</v>
      </c>
      <c r="E30" s="2119"/>
      <c r="F30" s="2152"/>
      <c r="G30" s="2234">
        <f>ROUND('2) Sector View Electric'!Q33/1000,-1)</f>
        <v>16040</v>
      </c>
      <c r="H30" s="2235">
        <f>ROUND('2) Sector View Electric'!P33,-3)</f>
        <v>5640000</v>
      </c>
      <c r="I30" s="3378" t="s">
        <v>870</v>
      </c>
      <c r="J30" s="2219"/>
      <c r="K30" s="3288">
        <f t="shared" si="4"/>
        <v>5640000</v>
      </c>
    </row>
    <row r="31" spans="2:12">
      <c r="B31" s="2132" t="s">
        <v>749</v>
      </c>
      <c r="C31" s="2133"/>
      <c r="D31" s="2119" t="s">
        <v>883</v>
      </c>
      <c r="E31" s="2119"/>
      <c r="F31" s="2152"/>
      <c r="G31" s="2234">
        <f>ROUND('2) Sector View Electric'!Q35/1000,-1)</f>
        <v>13000</v>
      </c>
      <c r="H31" s="2235">
        <f>ROUND('2) Sector View Electric'!P35,-3)</f>
        <v>4189000</v>
      </c>
      <c r="I31" s="5106" t="s">
        <v>870</v>
      </c>
      <c r="J31" s="2219"/>
      <c r="K31" s="3288">
        <f t="shared" si="4"/>
        <v>4189000</v>
      </c>
    </row>
    <row r="32" spans="2:12">
      <c r="B32" s="4180" t="s">
        <v>750</v>
      </c>
      <c r="C32" s="4180" t="s">
        <v>761</v>
      </c>
      <c r="D32" s="4181" t="s">
        <v>884</v>
      </c>
      <c r="E32" s="4182"/>
      <c r="F32" s="4183"/>
      <c r="G32" s="2237"/>
      <c r="H32" s="2733">
        <f>ROUND('2) Sector View Electric'!P36,-3)</f>
        <v>31000</v>
      </c>
      <c r="I32" s="5107" t="s">
        <v>870</v>
      </c>
      <c r="J32" s="2733">
        <f>ROUND('3) Sector View Gas'!P32,-3)</f>
        <v>28000</v>
      </c>
      <c r="K32" s="3280">
        <f t="shared" si="4"/>
        <v>59000</v>
      </c>
    </row>
    <row r="33" spans="2:11">
      <c r="B33" s="2134" t="s">
        <v>751</v>
      </c>
      <c r="C33" s="2135" t="s">
        <v>762</v>
      </c>
      <c r="D33" s="2123" t="s">
        <v>885</v>
      </c>
      <c r="E33" s="2123"/>
      <c r="F33" s="2162"/>
      <c r="G33" s="2238">
        <f>ROUND('2) Sector View Electric'!Q37/1000,-1)</f>
        <v>34310</v>
      </c>
      <c r="H33" s="2239">
        <f>ROUND('2) Sector View Electric'!P37,-3)</f>
        <v>6648000</v>
      </c>
      <c r="I33" s="2240">
        <f>ROUND('3) Sector View Gas'!Q33,-3)</f>
        <v>1400000</v>
      </c>
      <c r="J33" s="2241">
        <f>ROUND('3) Sector View Gas'!P33,-3)</f>
        <v>784000</v>
      </c>
      <c r="K33" s="3288">
        <f t="shared" si="4"/>
        <v>7432000</v>
      </c>
    </row>
    <row r="34" spans="2:11">
      <c r="B34" s="2124"/>
      <c r="C34" s="2125"/>
      <c r="D34" s="2126" t="s">
        <v>886</v>
      </c>
      <c r="E34" s="2126"/>
      <c r="F34" s="2126"/>
      <c r="G34" s="2242">
        <f>SUM(G27:G33)</f>
        <v>156980</v>
      </c>
      <c r="H34" s="2243">
        <f>SUM(H27:H33)</f>
        <v>38522000</v>
      </c>
      <c r="I34" s="2244">
        <f>SUM(I27:I33)</f>
        <v>2643000</v>
      </c>
      <c r="J34" s="2243">
        <f>SUM(J27:J33)</f>
        <v>4987000</v>
      </c>
      <c r="K34" s="3289">
        <f>H34+J34</f>
        <v>43509000</v>
      </c>
    </row>
    <row r="35" spans="2:11">
      <c r="B35" s="2121"/>
      <c r="C35" s="2127"/>
      <c r="D35" s="2128"/>
      <c r="E35" s="2127"/>
      <c r="F35" s="2127"/>
      <c r="G35" s="2228"/>
      <c r="H35" s="2229"/>
      <c r="I35" s="2230"/>
      <c r="J35" s="2229"/>
      <c r="K35" s="3284"/>
    </row>
    <row r="36" spans="2:11" ht="15.75">
      <c r="B36" s="2181"/>
      <c r="C36" s="2182"/>
      <c r="D36" s="2182" t="s">
        <v>766</v>
      </c>
      <c r="E36" s="2182"/>
      <c r="F36" s="2182"/>
      <c r="G36" s="2245"/>
      <c r="H36" s="2245"/>
      <c r="I36" s="2245"/>
      <c r="J36" s="2245"/>
      <c r="K36" s="3290"/>
    </row>
    <row r="37" spans="2:11" ht="15">
      <c r="B37" s="2159" t="s">
        <v>769</v>
      </c>
      <c r="C37" s="2160"/>
      <c r="D37" s="2130" t="s">
        <v>887</v>
      </c>
      <c r="E37" s="2130"/>
      <c r="F37" s="2130"/>
      <c r="G37" s="2276">
        <f>ROUND('2) Sector View Electric'!Q43/1000,-1)</f>
        <v>19410</v>
      </c>
      <c r="H37" s="3344">
        <f>ROUND('2) Sector View Electric'!P43,-3)</f>
        <v>5261000</v>
      </c>
      <c r="I37" s="2278"/>
      <c r="J37" s="3364"/>
      <c r="K37" s="3287">
        <f>H37+J37</f>
        <v>5261000</v>
      </c>
    </row>
    <row r="38" spans="2:11" ht="15">
      <c r="B38" s="3354" t="s">
        <v>1162</v>
      </c>
      <c r="C38" s="2138"/>
      <c r="D38" s="3353" t="s">
        <v>996</v>
      </c>
      <c r="E38" s="2138"/>
      <c r="F38" s="2138"/>
      <c r="G38" s="2250">
        <f>ROUND('2) Sector View Electric'!Q44/1000,-1)</f>
        <v>8080</v>
      </c>
      <c r="H38" s="3343">
        <v>0</v>
      </c>
      <c r="I38" s="2250"/>
      <c r="J38" s="3345"/>
      <c r="K38" s="3346">
        <f>H38+J38</f>
        <v>0</v>
      </c>
    </row>
    <row r="39" spans="2:11">
      <c r="B39" s="2124"/>
      <c r="C39" s="2125"/>
      <c r="D39" s="2126" t="s">
        <v>888</v>
      </c>
      <c r="E39" s="2126"/>
      <c r="F39" s="2126"/>
      <c r="G39" s="2226">
        <f>SUM(G37:G38)</f>
        <v>27490</v>
      </c>
      <c r="H39" s="2246">
        <f>SUM(H37:H38)</f>
        <v>5261000</v>
      </c>
      <c r="I39" s="2247"/>
      <c r="J39" s="2246">
        <v>0</v>
      </c>
      <c r="K39" s="3283">
        <f>H39+J39</f>
        <v>5261000</v>
      </c>
    </row>
    <row r="40" spans="2:11">
      <c r="B40" s="2121"/>
      <c r="C40" s="2127"/>
      <c r="D40" s="2127"/>
      <c r="E40" s="2127"/>
      <c r="F40" s="2127"/>
      <c r="G40" s="2228"/>
      <c r="H40" s="2248"/>
      <c r="I40" s="2249"/>
      <c r="J40" s="2248"/>
      <c r="K40" s="3291"/>
    </row>
    <row r="41" spans="2:11">
      <c r="B41" s="2137"/>
      <c r="C41" s="2138"/>
      <c r="D41" s="2138"/>
      <c r="E41" s="2138"/>
      <c r="F41" s="2138"/>
      <c r="G41" s="2250"/>
      <c r="H41" s="2251"/>
      <c r="I41" s="2250"/>
      <c r="J41" s="2251"/>
      <c r="K41" s="3292"/>
    </row>
    <row r="42" spans="2:11" ht="15.75">
      <c r="B42" s="2183"/>
      <c r="C42" s="2184"/>
      <c r="D42" s="2185" t="s">
        <v>1177</v>
      </c>
      <c r="E42" s="2185"/>
      <c r="F42" s="2185"/>
      <c r="G42" s="2252"/>
      <c r="H42" s="2252"/>
      <c r="I42" s="2252"/>
      <c r="J42" s="2252"/>
      <c r="K42" s="3293"/>
    </row>
    <row r="43" spans="2:11" ht="15.75">
      <c r="B43" s="2139"/>
      <c r="C43" s="2140"/>
      <c r="D43" s="4171" t="s">
        <v>889</v>
      </c>
      <c r="E43" s="4172"/>
      <c r="F43" s="4173"/>
      <c r="G43" s="2253"/>
      <c r="H43" s="4184">
        <f>H44+H45+H46+H47</f>
        <v>1518000</v>
      </c>
      <c r="I43" s="4185"/>
      <c r="J43" s="4184">
        <f>J44+J45+J46+J47</f>
        <v>231000</v>
      </c>
      <c r="K43" s="3281">
        <f>H43+J43</f>
        <v>1749000</v>
      </c>
    </row>
    <row r="44" spans="2:11">
      <c r="B44" s="2132"/>
      <c r="C44" s="2133"/>
      <c r="D44" s="3366"/>
      <c r="E44" s="4174" t="s">
        <v>890</v>
      </c>
      <c r="F44" s="4174"/>
      <c r="G44" s="2255"/>
      <c r="H44" s="2224">
        <f>ROUND('2) Sector View Electric'!P49,-3)</f>
        <v>1083000</v>
      </c>
      <c r="I44" s="2254"/>
      <c r="J44" s="2224">
        <f>ROUND('3) Sector View Gas'!P40,-3)</f>
        <v>162000</v>
      </c>
      <c r="K44" s="3282">
        <f t="shared" ref="K44:K58" si="5">H44+J44</f>
        <v>1245000</v>
      </c>
    </row>
    <row r="45" spans="2:11">
      <c r="B45" s="2132"/>
      <c r="C45" s="2133"/>
      <c r="D45" s="3366"/>
      <c r="E45" s="4175" t="s">
        <v>891</v>
      </c>
      <c r="F45" s="4176"/>
      <c r="G45" s="2255"/>
      <c r="H45" s="2224">
        <f>ROUND('2) Sector View Electric'!P50,-3)</f>
        <v>297000</v>
      </c>
      <c r="I45" s="2254"/>
      <c r="J45" s="2224">
        <f>ROUND('3) Sector View Gas'!P41,-3)</f>
        <v>48000</v>
      </c>
      <c r="K45" s="3282">
        <f t="shared" si="5"/>
        <v>345000</v>
      </c>
    </row>
    <row r="46" spans="2:11">
      <c r="B46" s="2132"/>
      <c r="C46" s="2133"/>
      <c r="D46" s="3366"/>
      <c r="E46" s="4174" t="s">
        <v>62</v>
      </c>
      <c r="F46" s="4174"/>
      <c r="G46" s="2255"/>
      <c r="H46" s="2224">
        <f>ROUND('2) Sector View Electric'!P51,-3)</f>
        <v>54000</v>
      </c>
      <c r="I46" s="2254"/>
      <c r="J46" s="2224">
        <f>ROUND('3) Sector View Gas'!P42,-3)</f>
        <v>8000</v>
      </c>
      <c r="K46" s="3282">
        <f t="shared" si="5"/>
        <v>62000</v>
      </c>
    </row>
    <row r="47" spans="2:11">
      <c r="B47" s="3365"/>
      <c r="C47" s="3366"/>
      <c r="D47" s="3366"/>
      <c r="E47" s="4174" t="s">
        <v>892</v>
      </c>
      <c r="F47" s="4174"/>
      <c r="G47" s="2255"/>
      <c r="H47" s="2224">
        <f>ROUND('2) Sector View Electric'!P52,-3)</f>
        <v>84000</v>
      </c>
      <c r="I47" s="4186"/>
      <c r="J47" s="2224">
        <f>ROUND('3) Sector View Gas'!P43,-3)</f>
        <v>13000</v>
      </c>
      <c r="K47" s="3282">
        <f t="shared" si="5"/>
        <v>97000</v>
      </c>
    </row>
    <row r="48" spans="2:11">
      <c r="B48" s="2132"/>
      <c r="C48" s="2133"/>
      <c r="D48" s="4282" t="s">
        <v>1179</v>
      </c>
      <c r="E48" s="4178"/>
      <c r="F48" s="2196"/>
      <c r="G48" s="2256"/>
      <c r="H48" s="4187">
        <f>H49+H55</f>
        <v>999000</v>
      </c>
      <c r="I48" s="4185"/>
      <c r="J48" s="4187">
        <f>J49+J55</f>
        <v>150000</v>
      </c>
      <c r="K48" s="3281">
        <f>H48+J48</f>
        <v>1149000</v>
      </c>
    </row>
    <row r="49" spans="2:12">
      <c r="B49" s="2132"/>
      <c r="C49" s="2133"/>
      <c r="D49" s="3366"/>
      <c r="E49" s="4283" t="s">
        <v>1180</v>
      </c>
      <c r="F49" s="4174"/>
      <c r="G49" s="2257"/>
      <c r="H49" s="2224">
        <f>SUM(H50:H54)</f>
        <v>632000</v>
      </c>
      <c r="I49" s="2258"/>
      <c r="J49" s="2259">
        <f>SUM(J50:J54)</f>
        <v>95000</v>
      </c>
      <c r="K49" s="3282">
        <f t="shared" si="5"/>
        <v>727000</v>
      </c>
    </row>
    <row r="50" spans="2:12" s="2112" customFormat="1">
      <c r="B50" s="2132"/>
      <c r="C50" s="2133"/>
      <c r="D50" s="3366"/>
      <c r="E50" s="4175"/>
      <c r="F50" s="2208" t="s">
        <v>907</v>
      </c>
      <c r="G50" s="3367"/>
      <c r="H50" s="3381">
        <f>ROUND('33a) Detail_PSWE_On Exp Elec'!C69,-3)</f>
        <v>87000</v>
      </c>
      <c r="I50" s="3374"/>
      <c r="J50" s="3382">
        <f>ROUND('38a) Detail_PSWE_On_Exp Gas'!C69,-3)</f>
        <v>13000</v>
      </c>
      <c r="K50" s="3383">
        <f t="shared" si="5"/>
        <v>100000</v>
      </c>
      <c r="L50" s="3531"/>
    </row>
    <row r="51" spans="2:12" s="2112" customFormat="1">
      <c r="B51" s="2132"/>
      <c r="C51" s="2133"/>
      <c r="D51" s="3366"/>
      <c r="E51" s="4175"/>
      <c r="F51" s="2208" t="s">
        <v>911</v>
      </c>
      <c r="G51" s="3367"/>
      <c r="H51" s="3381">
        <f>ROUND('33a) Detail_PSWE_On Exp Elec'!C71,-3)</f>
        <v>296000</v>
      </c>
      <c r="I51" s="3374"/>
      <c r="J51" s="3382">
        <f>ROUND('38a) Detail_PSWE_On_Exp Gas'!C71,-3)</f>
        <v>44000</v>
      </c>
      <c r="K51" s="3383">
        <f>H51+J51</f>
        <v>340000</v>
      </c>
      <c r="L51" s="3531"/>
    </row>
    <row r="52" spans="2:12" s="2112" customFormat="1">
      <c r="B52" s="2132"/>
      <c r="C52" s="2133"/>
      <c r="D52" s="3366"/>
      <c r="E52" s="4175"/>
      <c r="F52" s="2208" t="s">
        <v>908</v>
      </c>
      <c r="G52" s="3367"/>
      <c r="H52" s="3381">
        <f>ROUND('33a) Detail_PSWE_On Exp Elec'!C72,-3)</f>
        <v>235000</v>
      </c>
      <c r="I52" s="3373"/>
      <c r="J52" s="3381">
        <f>ROUND('38a) Detail_PSWE_On_Exp Gas'!C72,-3)</f>
        <v>35000</v>
      </c>
      <c r="K52" s="3383">
        <f t="shared" si="5"/>
        <v>270000</v>
      </c>
      <c r="L52" s="3531"/>
    </row>
    <row r="53" spans="2:12" s="2112" customFormat="1">
      <c r="B53" s="2132"/>
      <c r="C53" s="2133"/>
      <c r="D53" s="3366"/>
      <c r="E53" s="4175"/>
      <c r="F53" s="2208" t="s">
        <v>909</v>
      </c>
      <c r="G53" s="3367"/>
      <c r="H53" s="3381">
        <f>ROUND('33a) Detail_PSWE_On Exp Elec'!C73,-3)</f>
        <v>9000</v>
      </c>
      <c r="I53" s="3373"/>
      <c r="J53" s="3381">
        <f>ROUND('38a) Detail_PSWE_On_Exp Gas'!C73,-3)</f>
        <v>2000</v>
      </c>
      <c r="K53" s="3383">
        <f t="shared" si="5"/>
        <v>11000</v>
      </c>
      <c r="L53" s="3531"/>
    </row>
    <row r="54" spans="2:12" s="2112" customFormat="1">
      <c r="B54" s="2132"/>
      <c r="C54" s="2133"/>
      <c r="D54" s="3366"/>
      <c r="E54" s="4175"/>
      <c r="F54" s="2208" t="s">
        <v>910</v>
      </c>
      <c r="G54" s="3367"/>
      <c r="H54" s="3381">
        <f>ROUND('33a) Detail_PSWE_On Exp Elec'!C74,-3)</f>
        <v>5000</v>
      </c>
      <c r="I54" s="3374"/>
      <c r="J54" s="3382">
        <f>ROUND('38a) Detail_PSWE_On_Exp Gas'!C74,-3)</f>
        <v>1000</v>
      </c>
      <c r="K54" s="3383">
        <f t="shared" si="5"/>
        <v>6000</v>
      </c>
      <c r="L54" s="3531"/>
    </row>
    <row r="55" spans="2:12">
      <c r="B55" s="2132"/>
      <c r="C55" s="2133"/>
      <c r="D55" s="3366"/>
      <c r="E55" s="4174" t="s">
        <v>893</v>
      </c>
      <c r="F55" s="4174"/>
      <c r="G55" s="2257"/>
      <c r="H55" s="2259">
        <f>ROUND('2) Sector View Electric'!P55,-3)</f>
        <v>367000</v>
      </c>
      <c r="I55" s="2258"/>
      <c r="J55" s="2259">
        <f>ROUND('3) Sector View Gas'!P46,-3)</f>
        <v>55000</v>
      </c>
      <c r="K55" s="3282">
        <f t="shared" si="5"/>
        <v>422000</v>
      </c>
    </row>
    <row r="56" spans="2:12">
      <c r="B56" s="2132"/>
      <c r="C56" s="2133"/>
      <c r="D56" s="4177" t="s">
        <v>76</v>
      </c>
      <c r="E56" s="4177"/>
      <c r="F56" s="4177"/>
      <c r="G56" s="2256"/>
      <c r="H56" s="4184">
        <f>ROUND('2) Sector View Electric'!P56,-3)</f>
        <v>381000</v>
      </c>
      <c r="I56" s="4185"/>
      <c r="J56" s="4184">
        <f>ROUND('3) Sector View Gas'!P47,-3)</f>
        <v>57000</v>
      </c>
      <c r="K56" s="3281">
        <f t="shared" si="5"/>
        <v>438000</v>
      </c>
    </row>
    <row r="57" spans="2:12">
      <c r="B57" s="2142"/>
      <c r="C57" s="2143"/>
      <c r="D57" s="4179" t="s">
        <v>894</v>
      </c>
      <c r="E57" s="4179"/>
      <c r="F57" s="4179"/>
      <c r="G57" s="2260"/>
      <c r="H57" s="4188">
        <f>ROUND('2) Sector View Electric'!P57,-3)</f>
        <v>62000</v>
      </c>
      <c r="I57" s="4189"/>
      <c r="J57" s="4184">
        <f>ROUND('3) Sector View Gas'!P48,-3)</f>
        <v>25000</v>
      </c>
      <c r="K57" s="3281">
        <f t="shared" si="5"/>
        <v>87000</v>
      </c>
    </row>
    <row r="58" spans="2:12" s="2203" customFormat="1">
      <c r="B58" s="2206"/>
      <c r="C58" s="2211"/>
      <c r="D58" s="4179" t="s">
        <v>100</v>
      </c>
      <c r="E58" s="4179"/>
      <c r="F58" s="4179"/>
      <c r="G58" s="2260"/>
      <c r="H58" s="4188">
        <f>ROUND('2) Sector View Electric'!P58,-3)</f>
        <v>608000</v>
      </c>
      <c r="I58" s="4189"/>
      <c r="J58" s="4184">
        <f>ROUND('3) Sector View Gas'!P49,-3)</f>
        <v>91000</v>
      </c>
      <c r="K58" s="3281">
        <f t="shared" si="5"/>
        <v>699000</v>
      </c>
      <c r="L58" s="3531"/>
    </row>
    <row r="59" spans="2:12">
      <c r="B59" s="2124"/>
      <c r="C59" s="2125"/>
      <c r="D59" s="2126" t="s">
        <v>895</v>
      </c>
      <c r="E59" s="2126"/>
      <c r="F59" s="2126"/>
      <c r="G59" s="2226"/>
      <c r="H59" s="2261">
        <f>H43+H48+H56+H57+H58</f>
        <v>3568000</v>
      </c>
      <c r="I59" s="2247"/>
      <c r="J59" s="2261">
        <f>J43+J48+J56+J57+J58</f>
        <v>554000</v>
      </c>
      <c r="K59" s="3283">
        <f>H59+J59</f>
        <v>4122000</v>
      </c>
    </row>
    <row r="60" spans="2:12">
      <c r="B60" s="2121"/>
      <c r="C60" s="2127"/>
      <c r="D60" s="2127"/>
      <c r="E60" s="2145"/>
      <c r="F60" s="2127"/>
      <c r="G60" s="2249"/>
      <c r="H60" s="2248"/>
      <c r="I60" s="2249"/>
      <c r="J60" s="2248"/>
      <c r="K60" s="3291"/>
    </row>
    <row r="61" spans="2:12" ht="15.75">
      <c r="B61" s="2146"/>
      <c r="C61" s="2147"/>
      <c r="D61" s="2148" t="s">
        <v>1178</v>
      </c>
      <c r="E61" s="2148"/>
      <c r="F61" s="2148"/>
      <c r="G61" s="2262"/>
      <c r="H61" s="2262"/>
      <c r="I61" s="2262"/>
      <c r="J61" s="2262"/>
      <c r="K61" s="3294"/>
    </row>
    <row r="62" spans="2:12">
      <c r="B62" s="2149"/>
      <c r="C62" s="2150"/>
      <c r="D62" s="2151" t="s">
        <v>78</v>
      </c>
      <c r="E62" s="2151"/>
      <c r="F62" s="2151"/>
      <c r="G62" s="2263"/>
      <c r="H62" s="2264">
        <f>ROUND('2) Sector View Electric'!P64,-3)</f>
        <v>255000</v>
      </c>
      <c r="I62" s="2265"/>
      <c r="J62" s="2264">
        <f>ROUND('3) Sector View Gas'!P55,-3)</f>
        <v>38000</v>
      </c>
      <c r="K62" s="3286">
        <f>H62+J62</f>
        <v>293000</v>
      </c>
    </row>
    <row r="63" spans="2:12" ht="15">
      <c r="B63" s="2118"/>
      <c r="C63" s="2152"/>
      <c r="D63" s="3357" t="s">
        <v>1009</v>
      </c>
      <c r="E63" s="3357"/>
      <c r="F63" s="3357"/>
      <c r="G63" s="2266"/>
      <c r="H63" s="2259">
        <f>ROUND('2) Sector View Electric'!P65,-3)</f>
        <v>237000</v>
      </c>
      <c r="I63" s="2258"/>
      <c r="J63" s="2264">
        <f>ROUND('3) Sector View Gas'!P56,-3)</f>
        <v>35000</v>
      </c>
      <c r="K63" s="3286">
        <f>H63+J63</f>
        <v>272000</v>
      </c>
    </row>
    <row r="64" spans="2:12">
      <c r="B64" s="2118"/>
      <c r="C64" s="2152"/>
      <c r="D64" s="2133" t="s">
        <v>81</v>
      </c>
      <c r="E64" s="2133"/>
      <c r="F64" s="2133"/>
      <c r="G64" s="2257"/>
      <c r="H64" s="2267">
        <f>ROUND('2) Sector View Electric'!P66,-3)</f>
        <v>2159000</v>
      </c>
      <c r="I64" s="2258"/>
      <c r="J64" s="2268">
        <f>ROUND('3) Sector View Gas'!P57,-3)</f>
        <v>550000</v>
      </c>
      <c r="K64" s="3286">
        <f>H64+J64</f>
        <v>2709000</v>
      </c>
    </row>
    <row r="65" spans="2:12" s="4710" customFormat="1">
      <c r="B65" s="4712"/>
      <c r="C65" s="4713"/>
      <c r="D65" s="4715" t="s">
        <v>1184</v>
      </c>
      <c r="E65" s="4714"/>
      <c r="F65" s="4713"/>
      <c r="G65" s="4717"/>
      <c r="H65" s="4686">
        <f>ROUND('2) Sector View Electric'!P67,-3)</f>
        <v>633000</v>
      </c>
      <c r="I65" s="4718"/>
      <c r="J65" s="4716">
        <f>ROUND('3) Sector View Gas'!P58,-3)</f>
        <v>101000</v>
      </c>
      <c r="K65" s="4719"/>
      <c r="L65" s="4720"/>
    </row>
    <row r="66" spans="2:12">
      <c r="B66" s="2153"/>
      <c r="C66" s="2154"/>
      <c r="D66" s="2144" t="s">
        <v>782</v>
      </c>
      <c r="E66" s="2155"/>
      <c r="F66" s="2154"/>
      <c r="G66" s="2269"/>
      <c r="H66" s="2270">
        <f>ROUND('2) Sector View Electric'!P68,-3)</f>
        <v>454000</v>
      </c>
      <c r="I66" s="2271"/>
      <c r="J66" s="2264">
        <f>ROUND('3) Sector View Gas'!P59,-3)</f>
        <v>53000</v>
      </c>
      <c r="K66" s="3286">
        <f>H66+J66</f>
        <v>507000</v>
      </c>
    </row>
    <row r="67" spans="2:12">
      <c r="B67" s="2124"/>
      <c r="C67" s="2125"/>
      <c r="D67" s="2126" t="s">
        <v>896</v>
      </c>
      <c r="E67" s="2126"/>
      <c r="F67" s="2126"/>
      <c r="G67" s="2226"/>
      <c r="H67" s="2246">
        <f>SUM(H62:H66)</f>
        <v>3738000</v>
      </c>
      <c r="I67" s="2247"/>
      <c r="J67" s="2246">
        <f>SUM(J62:J66)</f>
        <v>777000</v>
      </c>
      <c r="K67" s="3283">
        <f>H67+J67</f>
        <v>4515000</v>
      </c>
    </row>
    <row r="68" spans="2:12">
      <c r="B68" s="2137"/>
      <c r="C68" s="2138"/>
      <c r="D68" s="2138"/>
      <c r="E68" s="2138"/>
      <c r="F68" s="2138"/>
      <c r="G68" s="2250"/>
      <c r="H68" s="2251"/>
      <c r="I68" s="2250"/>
      <c r="J68" s="2251"/>
      <c r="K68" s="3292"/>
    </row>
    <row r="69" spans="2:12" ht="15">
      <c r="B69" s="2156" t="s">
        <v>897</v>
      </c>
      <c r="C69" s="2157"/>
      <c r="D69" s="2157"/>
      <c r="E69" s="2158"/>
      <c r="F69" s="2158"/>
      <c r="G69" s="2272">
        <f>G24+G34+G39</f>
        <v>333520</v>
      </c>
      <c r="H69" s="2273">
        <f>H24+H34+H39+H59+H67</f>
        <v>93566000</v>
      </c>
      <c r="I69" s="2272">
        <f>I24+I34</f>
        <v>4618000</v>
      </c>
      <c r="J69" s="2273">
        <f>J24+J34+J59+J67</f>
        <v>13181000</v>
      </c>
      <c r="K69" s="3295">
        <f>H69+J69</f>
        <v>106747000</v>
      </c>
    </row>
    <row r="70" spans="2:12">
      <c r="B70" s="2137"/>
      <c r="C70" s="2138"/>
      <c r="D70" s="2138"/>
      <c r="E70" s="2138"/>
      <c r="F70" s="2138"/>
      <c r="G70" s="2274"/>
      <c r="H70" s="2251"/>
      <c r="I70" s="2250"/>
      <c r="J70" s="2251"/>
      <c r="K70" s="3292"/>
    </row>
    <row r="71" spans="2:12" ht="15.75">
      <c r="B71" s="2186"/>
      <c r="C71" s="2187"/>
      <c r="D71" s="2188" t="s">
        <v>784</v>
      </c>
      <c r="E71" s="2188"/>
      <c r="F71" s="2188"/>
      <c r="G71" s="2275"/>
      <c r="H71" s="2275"/>
      <c r="I71" s="2275"/>
      <c r="J71" s="2275"/>
      <c r="K71" s="3296"/>
    </row>
    <row r="72" spans="2:12">
      <c r="B72" s="2159" t="s">
        <v>898</v>
      </c>
      <c r="C72" s="2160"/>
      <c r="D72" s="2130" t="s">
        <v>3</v>
      </c>
      <c r="E72" s="2161"/>
      <c r="F72" s="2160"/>
      <c r="G72" s="2276"/>
      <c r="H72" s="2277">
        <f>ROUND('2) Sector View Electric'!P74,-3)</f>
        <v>461000</v>
      </c>
      <c r="I72" s="2278"/>
      <c r="J72" s="2233"/>
      <c r="K72" s="3287">
        <f>H72+J72</f>
        <v>461000</v>
      </c>
    </row>
    <row r="73" spans="2:12">
      <c r="B73" s="2118" t="s">
        <v>899</v>
      </c>
      <c r="C73" s="2152"/>
      <c r="D73" s="2141" t="s">
        <v>900</v>
      </c>
      <c r="E73" s="2133"/>
      <c r="F73" s="2133"/>
      <c r="G73" s="2257"/>
      <c r="H73" s="2279">
        <f>ROUND('2) Sector View Electric'!P75,-3)</f>
        <v>120000</v>
      </c>
      <c r="I73" s="2237"/>
      <c r="J73" s="2219"/>
      <c r="K73" s="3288">
        <f>H73+J73</f>
        <v>120000</v>
      </c>
    </row>
    <row r="74" spans="2:12">
      <c r="B74" s="2118" t="s">
        <v>1148</v>
      </c>
      <c r="C74" s="2152"/>
      <c r="D74" s="2205" t="s">
        <v>1163</v>
      </c>
      <c r="E74" s="2133"/>
      <c r="F74" s="2133"/>
      <c r="G74" s="2257"/>
      <c r="H74" s="2279">
        <f>ROUND('2) Sector View Electric'!P76,-3)</f>
        <v>244000</v>
      </c>
      <c r="I74" s="2237"/>
      <c r="J74" s="2219"/>
      <c r="K74" s="3356">
        <f>H74+J74</f>
        <v>244000</v>
      </c>
    </row>
    <row r="75" spans="2:12">
      <c r="B75" s="2122" t="s">
        <v>901</v>
      </c>
      <c r="C75" s="2162"/>
      <c r="D75" s="2135" t="s">
        <v>902</v>
      </c>
      <c r="E75" s="2135"/>
      <c r="F75" s="2135"/>
      <c r="G75" s="2280"/>
      <c r="H75" s="2281">
        <f>ROUND('2) Sector View Electric'!P77,-3)</f>
        <v>10000</v>
      </c>
      <c r="I75" s="2282"/>
      <c r="J75" s="2241"/>
      <c r="K75" s="3355">
        <f>H75+J75</f>
        <v>10000</v>
      </c>
    </row>
    <row r="76" spans="2:12">
      <c r="B76" s="2124"/>
      <c r="C76" s="2125"/>
      <c r="D76" s="2163" t="s">
        <v>903</v>
      </c>
      <c r="E76" s="2164"/>
      <c r="F76" s="2165"/>
      <c r="G76" s="2247"/>
      <c r="H76" s="2246">
        <f>SUM(H72:H75)</f>
        <v>835000</v>
      </c>
      <c r="I76" s="2247"/>
      <c r="J76" s="2246">
        <v>0</v>
      </c>
      <c r="K76" s="3283">
        <f>H76+J76</f>
        <v>835000</v>
      </c>
    </row>
    <row r="77" spans="2:12" ht="13.5" thickBot="1">
      <c r="B77" s="2166"/>
      <c r="C77" s="2167"/>
      <c r="D77" s="2168"/>
      <c r="E77" s="2168"/>
      <c r="F77" s="2168"/>
      <c r="G77" s="2283"/>
      <c r="H77" s="2284"/>
      <c r="I77" s="2283"/>
      <c r="J77" s="2284"/>
      <c r="K77" s="3297"/>
    </row>
    <row r="78" spans="2:12">
      <c r="B78" s="2127"/>
      <c r="C78" s="2127"/>
      <c r="D78" s="2127"/>
      <c r="E78" s="2127"/>
      <c r="F78" s="2127"/>
      <c r="G78" s="2285" t="s">
        <v>7</v>
      </c>
      <c r="H78" s="2248"/>
      <c r="I78" s="2249"/>
      <c r="J78" s="2248"/>
      <c r="K78" s="2248"/>
    </row>
    <row r="79" spans="2:12">
      <c r="B79" s="2127"/>
      <c r="C79" s="2127"/>
      <c r="D79" s="2138"/>
      <c r="E79" s="2138"/>
      <c r="F79" s="2138"/>
      <c r="G79" s="2250"/>
      <c r="H79" s="2251"/>
      <c r="I79" s="2250"/>
      <c r="J79" s="2251"/>
      <c r="K79" s="2251"/>
    </row>
    <row r="80" spans="2:12" ht="15.75" thickBot="1">
      <c r="B80" s="2169"/>
      <c r="C80" s="2189"/>
      <c r="D80" s="2193" t="s">
        <v>904</v>
      </c>
      <c r="E80" s="2193"/>
      <c r="F80" s="2193"/>
      <c r="G80" s="2286">
        <f>G69/8760</f>
        <v>38.073059360730596</v>
      </c>
      <c r="H80" s="2287">
        <f>H69+H76</f>
        <v>94401000</v>
      </c>
      <c r="I80" s="2288">
        <f>I69</f>
        <v>4618000</v>
      </c>
      <c r="J80" s="2287">
        <f>J69+J76</f>
        <v>13181000</v>
      </c>
      <c r="K80" s="4190">
        <f>H80+J80</f>
        <v>107582000</v>
      </c>
    </row>
    <row r="81" spans="2:12" s="53" customFormat="1" ht="15">
      <c r="B81" s="2170"/>
      <c r="C81" s="2170"/>
      <c r="D81" s="2171"/>
      <c r="E81" s="2171"/>
      <c r="F81" s="2171"/>
      <c r="G81" s="3375"/>
      <c r="H81" s="3376"/>
      <c r="I81" s="3377"/>
      <c r="J81" s="3376"/>
      <c r="K81" s="3376"/>
      <c r="L81" s="3530"/>
    </row>
    <row r="82" spans="2:12" ht="15.75" thickBot="1">
      <c r="B82" s="2170"/>
      <c r="C82" s="2170"/>
      <c r="D82" s="2171"/>
      <c r="E82" s="2171"/>
      <c r="F82" s="2171"/>
      <c r="G82" s="2289"/>
      <c r="H82" s="2290"/>
      <c r="I82" s="2291"/>
      <c r="J82" s="2290"/>
      <c r="K82" s="2292"/>
    </row>
    <row r="83" spans="2:12" ht="15">
      <c r="B83" s="2172"/>
      <c r="C83" s="2112"/>
      <c r="D83" s="4758" t="s">
        <v>1344</v>
      </c>
      <c r="E83" s="4774"/>
      <c r="F83" s="4774"/>
      <c r="G83" s="4765">
        <v>37.4</v>
      </c>
      <c r="H83" s="4769">
        <v>95053983</v>
      </c>
      <c r="I83" s="4768">
        <v>4671480</v>
      </c>
      <c r="J83" s="4769">
        <v>13164354</v>
      </c>
      <c r="K83" s="4767">
        <f>H83+J83</f>
        <v>108218337</v>
      </c>
    </row>
    <row r="84" spans="2:12" s="3064" customFormat="1" ht="16.5" thickBot="1">
      <c r="B84" s="2172"/>
      <c r="D84" s="4766"/>
      <c r="E84" s="4757"/>
      <c r="F84" s="4764" t="s">
        <v>1333</v>
      </c>
      <c r="G84" s="4763">
        <f>G80-G83</f>
        <v>0.67305936073059769</v>
      </c>
      <c r="H84" s="4762">
        <f t="shared" ref="H84:K84" si="6">H80-H83</f>
        <v>-652983</v>
      </c>
      <c r="I84" s="4773">
        <f t="shared" si="6"/>
        <v>-53480</v>
      </c>
      <c r="J84" s="4762">
        <f t="shared" si="6"/>
        <v>16646</v>
      </c>
      <c r="K84" s="4761">
        <f t="shared" si="6"/>
        <v>-636337</v>
      </c>
      <c r="L84" s="3531"/>
    </row>
    <row r="85" spans="2:12" hidden="1">
      <c r="B85" s="2190"/>
      <c r="C85" s="2190"/>
      <c r="D85" s="2191"/>
      <c r="E85" s="2191"/>
      <c r="F85" s="4760" t="s">
        <v>905</v>
      </c>
      <c r="G85" s="4759" t="s">
        <v>1048</v>
      </c>
      <c r="H85" s="4770">
        <v>166810000</v>
      </c>
      <c r="I85" s="4772">
        <v>9054000</v>
      </c>
      <c r="J85" s="4770">
        <v>33350000</v>
      </c>
      <c r="K85" s="4771">
        <v>200160000</v>
      </c>
    </row>
    <row r="86" spans="2:12" hidden="1">
      <c r="B86" s="2112"/>
      <c r="C86" s="2112"/>
      <c r="D86" s="2112"/>
      <c r="E86" s="2112"/>
      <c r="F86" s="2112"/>
      <c r="G86" s="2296"/>
      <c r="H86" s="2296"/>
      <c r="I86" s="2296"/>
      <c r="J86" s="2297"/>
      <c r="K86" s="2296"/>
    </row>
    <row r="87" spans="2:12">
      <c r="F87" s="2112"/>
      <c r="G87" s="2300"/>
      <c r="H87" s="2298"/>
      <c r="I87" s="2299"/>
      <c r="J87" s="2298"/>
      <c r="K87" s="2298"/>
    </row>
    <row r="88" spans="2:12" ht="26.25" customHeight="1">
      <c r="F88" s="5199" t="s">
        <v>1454</v>
      </c>
      <c r="G88" s="5200"/>
      <c r="H88" s="2302">
        <f>(H23+H32+H59)/H69</f>
        <v>3.8464826967060682E-2</v>
      </c>
      <c r="I88" s="2301"/>
      <c r="J88" s="2302">
        <f>(J23+J32+J59)/J69</f>
        <v>4.4154464759881648E-2</v>
      </c>
      <c r="K88" s="2296"/>
    </row>
    <row r="89" spans="2:12">
      <c r="F89" s="3064" t="s">
        <v>1047</v>
      </c>
      <c r="G89" s="2296"/>
      <c r="H89" s="2303"/>
      <c r="I89" s="2296"/>
      <c r="J89" s="2303"/>
      <c r="K89" s="2296"/>
    </row>
    <row r="90" spans="2:12" s="3064" customFormat="1">
      <c r="G90" s="2296"/>
      <c r="H90" s="2303"/>
      <c r="I90" s="2296"/>
      <c r="J90" s="2303"/>
      <c r="K90" s="2296"/>
      <c r="L90" s="3531"/>
    </row>
    <row r="91" spans="2:12" s="3064" customFormat="1">
      <c r="G91" s="2296"/>
      <c r="H91" s="2303"/>
      <c r="I91" s="2296"/>
      <c r="J91" s="2303"/>
      <c r="K91" s="2296"/>
      <c r="L91" s="3531"/>
    </row>
    <row r="92" spans="2:12">
      <c r="F92" s="3067" t="s">
        <v>1346</v>
      </c>
      <c r="G92" s="3067"/>
      <c r="H92" s="2304">
        <f>(H64+H65)/(H24+H34)</f>
        <v>3.4469561352609292E-2</v>
      </c>
      <c r="I92" s="2301"/>
      <c r="J92" s="2304">
        <f>(J64+J65)/(J24+J34)</f>
        <v>5.4936708860759492E-2</v>
      </c>
      <c r="K92" s="2296"/>
    </row>
    <row r="107" spans="8:8">
      <c r="H107" s="3169"/>
    </row>
  </sheetData>
  <sheetProtection password="9E1F" sheet="1" objects="1" scenarios="1"/>
  <customSheetViews>
    <customSheetView guid="{074EB09C-6289-46D7-9513-012B68BCA7BF}" showGridLines="0" hiddenRows="1" topLeftCell="B1">
      <pane xSplit="5" ySplit="4" topLeftCell="G5" activePane="bottomRight" state="frozen"/>
      <selection pane="bottomRight" activeCell="H33" sqref="H33"/>
      <pageMargins left="0.21" right="0.3" top="0.38" bottom="0.22" header="0.3" footer="0.19"/>
      <pageSetup paperSize="17" scale="85" orientation="portrait" r:id="rId1"/>
    </customSheetView>
    <customSheetView guid="{AF9F1D33-B8C2-423F-86A1-47612B8F532C}" showGridLines="0" topLeftCell="B1">
      <pane xSplit="5" ySplit="4" topLeftCell="G5" activePane="bottomRight" state="frozenSplit"/>
      <selection pane="bottomRight" activeCell="G4" sqref="G4"/>
      <pageMargins left="0.7" right="0.7" top="0.75" bottom="0.75" header="0.3" footer="0.3"/>
      <pageSetup paperSize="17" scale="85" orientation="portrait"/>
    </customSheetView>
  </customSheetViews>
  <mergeCells count="3">
    <mergeCell ref="B4:C4"/>
    <mergeCell ref="G3:J3"/>
    <mergeCell ref="F88:G88"/>
  </mergeCells>
  <hyperlinks>
    <hyperlink ref="G4" location="'2) Sector View Electric'!A1" display="MWH Savings"/>
    <hyperlink ref="H4" location="'2) Sector View Electric'!A1" display="Electric Rider Budget"/>
    <hyperlink ref="I4" location="'3) Sector View Gas'!A1" display="Therm Savings"/>
    <hyperlink ref="J4" location="'3) Sector View Gas'!A1" display="Gas Tracker Budget"/>
  </hyperlinks>
  <pageMargins left="0.21" right="0.3" top="0.38" bottom="0.22" header="0.3" footer="0.19"/>
  <pageSetup paperSize="17" scale="85" orientation="portrait" r:id="rId2"/>
  <ignoredErrors>
    <ignoredError sqref="I80" formula="1"/>
  </ignoredErrors>
  <drawing r:id="rId3"/>
</worksheet>
</file>

<file path=xl/worksheets/sheet30.xml><?xml version="1.0" encoding="utf-8"?>
<worksheet xmlns="http://schemas.openxmlformats.org/spreadsheetml/2006/main" xmlns:r="http://schemas.openxmlformats.org/officeDocument/2006/relationships">
  <sheetPr enableFormatConditionsCalculation="0">
    <tabColor theme="7" tint="0.59999389629810485"/>
    <pageSetUpPr fitToPage="1"/>
  </sheetPr>
  <dimension ref="A1:Z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7109375" style="3064" customWidth="1"/>
    <col min="2" max="2" width="17.7109375" customWidth="1"/>
    <col min="3" max="3" width="38.85546875" customWidth="1"/>
    <col min="4" max="4" width="15.7109375" style="19" customWidth="1"/>
    <col min="5" max="5" width="15.7109375" customWidth="1"/>
    <col min="6" max="6" width="15.425781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7.7109375" bestFit="1" customWidth="1"/>
    <col min="17" max="17" width="17.28515625" bestFit="1" customWidth="1"/>
    <col min="18" max="18" width="17.7109375" bestFit="1" customWidth="1"/>
    <col min="19" max="20" width="20.42578125" bestFit="1" customWidth="1"/>
    <col min="21" max="21" width="16.42578125" bestFit="1" customWidth="1"/>
    <col min="22" max="22" width="14.28515625" customWidth="1"/>
    <col min="23" max="23" width="12.85546875" bestFit="1" customWidth="1"/>
    <col min="24" max="24" width="15.710937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7.140625" customWidth="1"/>
    <col min="262" max="262" width="19.4257812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7.7109375" bestFit="1" customWidth="1"/>
    <col min="273" max="273" width="17.28515625" bestFit="1" customWidth="1"/>
    <col min="274" max="274" width="17.7109375" bestFit="1" customWidth="1"/>
    <col min="275" max="276" width="20.42578125" bestFit="1" customWidth="1"/>
    <col min="277" max="277" width="16.42578125" bestFit="1" customWidth="1"/>
    <col min="278" max="278" width="14.28515625" customWidth="1"/>
    <col min="279" max="279" width="12.85546875" bestFit="1" customWidth="1"/>
    <col min="280" max="280" width="15.710937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7.140625" customWidth="1"/>
    <col min="518" max="518" width="19.4257812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7.7109375" bestFit="1" customWidth="1"/>
    <col min="529" max="529" width="17.28515625" bestFit="1" customWidth="1"/>
    <col min="530" max="530" width="17.7109375" bestFit="1" customWidth="1"/>
    <col min="531" max="532" width="20.42578125" bestFit="1" customWidth="1"/>
    <col min="533" max="533" width="16.42578125" bestFit="1" customWidth="1"/>
    <col min="534" max="534" width="14.28515625" customWidth="1"/>
    <col min="535" max="535" width="12.85546875" bestFit="1" customWidth="1"/>
    <col min="536" max="536" width="15.710937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7.140625" customWidth="1"/>
    <col min="774" max="774" width="19.4257812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7.7109375" bestFit="1" customWidth="1"/>
    <col min="785" max="785" width="17.28515625" bestFit="1" customWidth="1"/>
    <col min="786" max="786" width="17.7109375" bestFit="1" customWidth="1"/>
    <col min="787" max="788" width="20.42578125" bestFit="1" customWidth="1"/>
    <col min="789" max="789" width="16.42578125" bestFit="1" customWidth="1"/>
    <col min="790" max="790" width="14.28515625" customWidth="1"/>
    <col min="791" max="791" width="12.85546875" bestFit="1" customWidth="1"/>
    <col min="792" max="792" width="15.710937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7.140625" customWidth="1"/>
    <col min="1030" max="1030" width="19.4257812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7.7109375" bestFit="1" customWidth="1"/>
    <col min="1041" max="1041" width="17.28515625" bestFit="1" customWidth="1"/>
    <col min="1042" max="1042" width="17.7109375" bestFit="1" customWidth="1"/>
    <col min="1043" max="1044" width="20.42578125" bestFit="1" customWidth="1"/>
    <col min="1045" max="1045" width="16.42578125" bestFit="1" customWidth="1"/>
    <col min="1046" max="1046" width="14.28515625" customWidth="1"/>
    <col min="1047" max="1047" width="12.85546875" bestFit="1" customWidth="1"/>
    <col min="1048" max="1048" width="15.710937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7.140625" customWidth="1"/>
    <col min="1286" max="1286" width="19.4257812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7.7109375" bestFit="1" customWidth="1"/>
    <col min="1297" max="1297" width="17.28515625" bestFit="1" customWidth="1"/>
    <col min="1298" max="1298" width="17.7109375" bestFit="1" customWidth="1"/>
    <col min="1299" max="1300" width="20.42578125" bestFit="1" customWidth="1"/>
    <col min="1301" max="1301" width="16.42578125" bestFit="1" customWidth="1"/>
    <col min="1302" max="1302" width="14.28515625" customWidth="1"/>
    <col min="1303" max="1303" width="12.85546875" bestFit="1" customWidth="1"/>
    <col min="1304" max="1304" width="15.710937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7.140625" customWidth="1"/>
    <col min="1542" max="1542" width="19.4257812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7.7109375" bestFit="1" customWidth="1"/>
    <col min="1553" max="1553" width="17.28515625" bestFit="1" customWidth="1"/>
    <col min="1554" max="1554" width="17.7109375" bestFit="1" customWidth="1"/>
    <col min="1555" max="1556" width="20.42578125" bestFit="1" customWidth="1"/>
    <col min="1557" max="1557" width="16.42578125" bestFit="1" customWidth="1"/>
    <col min="1558" max="1558" width="14.28515625" customWidth="1"/>
    <col min="1559" max="1559" width="12.85546875" bestFit="1" customWidth="1"/>
    <col min="1560" max="1560" width="15.710937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7.140625" customWidth="1"/>
    <col min="1798" max="1798" width="19.4257812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7.7109375" bestFit="1" customWidth="1"/>
    <col min="1809" max="1809" width="17.28515625" bestFit="1" customWidth="1"/>
    <col min="1810" max="1810" width="17.7109375" bestFit="1" customWidth="1"/>
    <col min="1811" max="1812" width="20.42578125" bestFit="1" customWidth="1"/>
    <col min="1813" max="1813" width="16.42578125" bestFit="1" customWidth="1"/>
    <col min="1814" max="1814" width="14.28515625" customWidth="1"/>
    <col min="1815" max="1815" width="12.85546875" bestFit="1" customWidth="1"/>
    <col min="1816" max="1816" width="15.710937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7.140625" customWidth="1"/>
    <col min="2054" max="2054" width="19.4257812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7.7109375" bestFit="1" customWidth="1"/>
    <col min="2065" max="2065" width="17.28515625" bestFit="1" customWidth="1"/>
    <col min="2066" max="2066" width="17.7109375" bestFit="1" customWidth="1"/>
    <col min="2067" max="2068" width="20.42578125" bestFit="1" customWidth="1"/>
    <col min="2069" max="2069" width="16.42578125" bestFit="1" customWidth="1"/>
    <col min="2070" max="2070" width="14.28515625" customWidth="1"/>
    <col min="2071" max="2071" width="12.85546875" bestFit="1" customWidth="1"/>
    <col min="2072" max="2072" width="15.710937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7.140625" customWidth="1"/>
    <col min="2310" max="2310" width="19.4257812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7.7109375" bestFit="1" customWidth="1"/>
    <col min="2321" max="2321" width="17.28515625" bestFit="1" customWidth="1"/>
    <col min="2322" max="2322" width="17.7109375" bestFit="1" customWidth="1"/>
    <col min="2323" max="2324" width="20.42578125" bestFit="1" customWidth="1"/>
    <col min="2325" max="2325" width="16.42578125" bestFit="1" customWidth="1"/>
    <col min="2326" max="2326" width="14.28515625" customWidth="1"/>
    <col min="2327" max="2327" width="12.85546875" bestFit="1" customWidth="1"/>
    <col min="2328" max="2328" width="15.710937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7.140625" customWidth="1"/>
    <col min="2566" max="2566" width="19.4257812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7.7109375" bestFit="1" customWidth="1"/>
    <col min="2577" max="2577" width="17.28515625" bestFit="1" customWidth="1"/>
    <col min="2578" max="2578" width="17.7109375" bestFit="1" customWidth="1"/>
    <col min="2579" max="2580" width="20.42578125" bestFit="1" customWidth="1"/>
    <col min="2581" max="2581" width="16.42578125" bestFit="1" customWidth="1"/>
    <col min="2582" max="2582" width="14.28515625" customWidth="1"/>
    <col min="2583" max="2583" width="12.85546875" bestFit="1" customWidth="1"/>
    <col min="2584" max="2584" width="15.710937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7.140625" customWidth="1"/>
    <col min="2822" max="2822" width="19.4257812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7.7109375" bestFit="1" customWidth="1"/>
    <col min="2833" max="2833" width="17.28515625" bestFit="1" customWidth="1"/>
    <col min="2834" max="2834" width="17.7109375" bestFit="1" customWidth="1"/>
    <col min="2835" max="2836" width="20.42578125" bestFit="1" customWidth="1"/>
    <col min="2837" max="2837" width="16.42578125" bestFit="1" customWidth="1"/>
    <col min="2838" max="2838" width="14.28515625" customWidth="1"/>
    <col min="2839" max="2839" width="12.85546875" bestFit="1" customWidth="1"/>
    <col min="2840" max="2840" width="15.710937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7.140625" customWidth="1"/>
    <col min="3078" max="3078" width="19.4257812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7.7109375" bestFit="1" customWidth="1"/>
    <col min="3089" max="3089" width="17.28515625" bestFit="1" customWidth="1"/>
    <col min="3090" max="3090" width="17.7109375" bestFit="1" customWidth="1"/>
    <col min="3091" max="3092" width="20.42578125" bestFit="1" customWidth="1"/>
    <col min="3093" max="3093" width="16.42578125" bestFit="1" customWidth="1"/>
    <col min="3094" max="3094" width="14.28515625" customWidth="1"/>
    <col min="3095" max="3095" width="12.85546875" bestFit="1" customWidth="1"/>
    <col min="3096" max="3096" width="15.710937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7.140625" customWidth="1"/>
    <col min="3334" max="3334" width="19.4257812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7.7109375" bestFit="1" customWidth="1"/>
    <col min="3345" max="3345" width="17.28515625" bestFit="1" customWidth="1"/>
    <col min="3346" max="3346" width="17.7109375" bestFit="1" customWidth="1"/>
    <col min="3347" max="3348" width="20.42578125" bestFit="1" customWidth="1"/>
    <col min="3349" max="3349" width="16.42578125" bestFit="1" customWidth="1"/>
    <col min="3350" max="3350" width="14.28515625" customWidth="1"/>
    <col min="3351" max="3351" width="12.85546875" bestFit="1" customWidth="1"/>
    <col min="3352" max="3352" width="15.710937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7.140625" customWidth="1"/>
    <col min="3590" max="3590" width="19.4257812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7.7109375" bestFit="1" customWidth="1"/>
    <col min="3601" max="3601" width="17.28515625" bestFit="1" customWidth="1"/>
    <col min="3602" max="3602" width="17.7109375" bestFit="1" customWidth="1"/>
    <col min="3603" max="3604" width="20.42578125" bestFit="1" customWidth="1"/>
    <col min="3605" max="3605" width="16.42578125" bestFit="1" customWidth="1"/>
    <col min="3606" max="3606" width="14.28515625" customWidth="1"/>
    <col min="3607" max="3607" width="12.85546875" bestFit="1" customWidth="1"/>
    <col min="3608" max="3608" width="15.710937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7.140625" customWidth="1"/>
    <col min="3846" max="3846" width="19.4257812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7.7109375" bestFit="1" customWidth="1"/>
    <col min="3857" max="3857" width="17.28515625" bestFit="1" customWidth="1"/>
    <col min="3858" max="3858" width="17.7109375" bestFit="1" customWidth="1"/>
    <col min="3859" max="3860" width="20.42578125" bestFit="1" customWidth="1"/>
    <col min="3861" max="3861" width="16.42578125" bestFit="1" customWidth="1"/>
    <col min="3862" max="3862" width="14.28515625" customWidth="1"/>
    <col min="3863" max="3863" width="12.85546875" bestFit="1" customWidth="1"/>
    <col min="3864" max="3864" width="15.710937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7.140625" customWidth="1"/>
    <col min="4102" max="4102" width="19.4257812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7.7109375" bestFit="1" customWidth="1"/>
    <col min="4113" max="4113" width="17.28515625" bestFit="1" customWidth="1"/>
    <col min="4114" max="4114" width="17.7109375" bestFit="1" customWidth="1"/>
    <col min="4115" max="4116" width="20.42578125" bestFit="1" customWidth="1"/>
    <col min="4117" max="4117" width="16.42578125" bestFit="1" customWidth="1"/>
    <col min="4118" max="4118" width="14.28515625" customWidth="1"/>
    <col min="4119" max="4119" width="12.85546875" bestFit="1" customWidth="1"/>
    <col min="4120" max="4120" width="15.710937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7.140625" customWidth="1"/>
    <col min="4358" max="4358" width="19.4257812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7.7109375" bestFit="1" customWidth="1"/>
    <col min="4369" max="4369" width="17.28515625" bestFit="1" customWidth="1"/>
    <col min="4370" max="4370" width="17.7109375" bestFit="1" customWidth="1"/>
    <col min="4371" max="4372" width="20.42578125" bestFit="1" customWidth="1"/>
    <col min="4373" max="4373" width="16.42578125" bestFit="1" customWidth="1"/>
    <col min="4374" max="4374" width="14.28515625" customWidth="1"/>
    <col min="4375" max="4375" width="12.85546875" bestFit="1" customWidth="1"/>
    <col min="4376" max="4376" width="15.710937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7.140625" customWidth="1"/>
    <col min="4614" max="4614" width="19.4257812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7.7109375" bestFit="1" customWidth="1"/>
    <col min="4625" max="4625" width="17.28515625" bestFit="1" customWidth="1"/>
    <col min="4626" max="4626" width="17.7109375" bestFit="1" customWidth="1"/>
    <col min="4627" max="4628" width="20.42578125" bestFit="1" customWidth="1"/>
    <col min="4629" max="4629" width="16.42578125" bestFit="1" customWidth="1"/>
    <col min="4630" max="4630" width="14.28515625" customWidth="1"/>
    <col min="4631" max="4631" width="12.85546875" bestFit="1" customWidth="1"/>
    <col min="4632" max="4632" width="15.710937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7.140625" customWidth="1"/>
    <col min="4870" max="4870" width="19.4257812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7.7109375" bestFit="1" customWidth="1"/>
    <col min="4881" max="4881" width="17.28515625" bestFit="1" customWidth="1"/>
    <col min="4882" max="4882" width="17.7109375" bestFit="1" customWidth="1"/>
    <col min="4883" max="4884" width="20.42578125" bestFit="1" customWidth="1"/>
    <col min="4885" max="4885" width="16.42578125" bestFit="1" customWidth="1"/>
    <col min="4886" max="4886" width="14.28515625" customWidth="1"/>
    <col min="4887" max="4887" width="12.85546875" bestFit="1" customWidth="1"/>
    <col min="4888" max="4888" width="15.710937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7.140625" customWidth="1"/>
    <col min="5126" max="5126" width="19.4257812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7.7109375" bestFit="1" customWidth="1"/>
    <col min="5137" max="5137" width="17.28515625" bestFit="1" customWidth="1"/>
    <col min="5138" max="5138" width="17.7109375" bestFit="1" customWidth="1"/>
    <col min="5139" max="5140" width="20.42578125" bestFit="1" customWidth="1"/>
    <col min="5141" max="5141" width="16.42578125" bestFit="1" customWidth="1"/>
    <col min="5142" max="5142" width="14.28515625" customWidth="1"/>
    <col min="5143" max="5143" width="12.85546875" bestFit="1" customWidth="1"/>
    <col min="5144" max="5144" width="15.710937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7.140625" customWidth="1"/>
    <col min="5382" max="5382" width="19.4257812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7.7109375" bestFit="1" customWidth="1"/>
    <col min="5393" max="5393" width="17.28515625" bestFit="1" customWidth="1"/>
    <col min="5394" max="5394" width="17.7109375" bestFit="1" customWidth="1"/>
    <col min="5395" max="5396" width="20.42578125" bestFit="1" customWidth="1"/>
    <col min="5397" max="5397" width="16.42578125" bestFit="1" customWidth="1"/>
    <col min="5398" max="5398" width="14.28515625" customWidth="1"/>
    <col min="5399" max="5399" width="12.85546875" bestFit="1" customWidth="1"/>
    <col min="5400" max="5400" width="15.710937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7.140625" customWidth="1"/>
    <col min="5638" max="5638" width="19.4257812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7.7109375" bestFit="1" customWidth="1"/>
    <col min="5649" max="5649" width="17.28515625" bestFit="1" customWidth="1"/>
    <col min="5650" max="5650" width="17.7109375" bestFit="1" customWidth="1"/>
    <col min="5651" max="5652" width="20.42578125" bestFit="1" customWidth="1"/>
    <col min="5653" max="5653" width="16.42578125" bestFit="1" customWidth="1"/>
    <col min="5654" max="5654" width="14.28515625" customWidth="1"/>
    <col min="5655" max="5655" width="12.85546875" bestFit="1" customWidth="1"/>
    <col min="5656" max="5656" width="15.710937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7.140625" customWidth="1"/>
    <col min="5894" max="5894" width="19.4257812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7.7109375" bestFit="1" customWidth="1"/>
    <col min="5905" max="5905" width="17.28515625" bestFit="1" customWidth="1"/>
    <col min="5906" max="5906" width="17.7109375" bestFit="1" customWidth="1"/>
    <col min="5907" max="5908" width="20.42578125" bestFit="1" customWidth="1"/>
    <col min="5909" max="5909" width="16.42578125" bestFit="1" customWidth="1"/>
    <col min="5910" max="5910" width="14.28515625" customWidth="1"/>
    <col min="5911" max="5911" width="12.85546875" bestFit="1" customWidth="1"/>
    <col min="5912" max="5912" width="15.710937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7.140625" customWidth="1"/>
    <col min="6150" max="6150" width="19.4257812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7.7109375" bestFit="1" customWidth="1"/>
    <col min="6161" max="6161" width="17.28515625" bestFit="1" customWidth="1"/>
    <col min="6162" max="6162" width="17.7109375" bestFit="1" customWidth="1"/>
    <col min="6163" max="6164" width="20.42578125" bestFit="1" customWidth="1"/>
    <col min="6165" max="6165" width="16.42578125" bestFit="1" customWidth="1"/>
    <col min="6166" max="6166" width="14.28515625" customWidth="1"/>
    <col min="6167" max="6167" width="12.85546875" bestFit="1" customWidth="1"/>
    <col min="6168" max="6168" width="15.710937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7.140625" customWidth="1"/>
    <col min="6406" max="6406" width="19.4257812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7.7109375" bestFit="1" customWidth="1"/>
    <col min="6417" max="6417" width="17.28515625" bestFit="1" customWidth="1"/>
    <col min="6418" max="6418" width="17.7109375" bestFit="1" customWidth="1"/>
    <col min="6419" max="6420" width="20.42578125" bestFit="1" customWidth="1"/>
    <col min="6421" max="6421" width="16.42578125" bestFit="1" customWidth="1"/>
    <col min="6422" max="6422" width="14.28515625" customWidth="1"/>
    <col min="6423" max="6423" width="12.85546875" bestFit="1" customWidth="1"/>
    <col min="6424" max="6424" width="15.710937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7.140625" customWidth="1"/>
    <col min="6662" max="6662" width="19.4257812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7.7109375" bestFit="1" customWidth="1"/>
    <col min="6673" max="6673" width="17.28515625" bestFit="1" customWidth="1"/>
    <col min="6674" max="6674" width="17.7109375" bestFit="1" customWidth="1"/>
    <col min="6675" max="6676" width="20.42578125" bestFit="1" customWidth="1"/>
    <col min="6677" max="6677" width="16.42578125" bestFit="1" customWidth="1"/>
    <col min="6678" max="6678" width="14.28515625" customWidth="1"/>
    <col min="6679" max="6679" width="12.85546875" bestFit="1" customWidth="1"/>
    <col min="6680" max="6680" width="15.710937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7.140625" customWidth="1"/>
    <col min="6918" max="6918" width="19.4257812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7.7109375" bestFit="1" customWidth="1"/>
    <col min="6929" max="6929" width="17.28515625" bestFit="1" customWidth="1"/>
    <col min="6930" max="6930" width="17.7109375" bestFit="1" customWidth="1"/>
    <col min="6931" max="6932" width="20.42578125" bestFit="1" customWidth="1"/>
    <col min="6933" max="6933" width="16.42578125" bestFit="1" customWidth="1"/>
    <col min="6934" max="6934" width="14.28515625" customWidth="1"/>
    <col min="6935" max="6935" width="12.85546875" bestFit="1" customWidth="1"/>
    <col min="6936" max="6936" width="15.710937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7.140625" customWidth="1"/>
    <col min="7174" max="7174" width="19.4257812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7.7109375" bestFit="1" customWidth="1"/>
    <col min="7185" max="7185" width="17.28515625" bestFit="1" customWidth="1"/>
    <col min="7186" max="7186" width="17.7109375" bestFit="1" customWidth="1"/>
    <col min="7187" max="7188" width="20.42578125" bestFit="1" customWidth="1"/>
    <col min="7189" max="7189" width="16.42578125" bestFit="1" customWidth="1"/>
    <col min="7190" max="7190" width="14.28515625" customWidth="1"/>
    <col min="7191" max="7191" width="12.85546875" bestFit="1" customWidth="1"/>
    <col min="7192" max="7192" width="15.710937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7.140625" customWidth="1"/>
    <col min="7430" max="7430" width="19.4257812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7.7109375" bestFit="1" customWidth="1"/>
    <col min="7441" max="7441" width="17.28515625" bestFit="1" customWidth="1"/>
    <col min="7442" max="7442" width="17.7109375" bestFit="1" customWidth="1"/>
    <col min="7443" max="7444" width="20.42578125" bestFit="1" customWidth="1"/>
    <col min="7445" max="7445" width="16.42578125" bestFit="1" customWidth="1"/>
    <col min="7446" max="7446" width="14.28515625" customWidth="1"/>
    <col min="7447" max="7447" width="12.85546875" bestFit="1" customWidth="1"/>
    <col min="7448" max="7448" width="15.710937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7.140625" customWidth="1"/>
    <col min="7686" max="7686" width="19.4257812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7.7109375" bestFit="1" customWidth="1"/>
    <col min="7697" max="7697" width="17.28515625" bestFit="1" customWidth="1"/>
    <col min="7698" max="7698" width="17.7109375" bestFit="1" customWidth="1"/>
    <col min="7699" max="7700" width="20.42578125" bestFit="1" customWidth="1"/>
    <col min="7701" max="7701" width="16.42578125" bestFit="1" customWidth="1"/>
    <col min="7702" max="7702" width="14.28515625" customWidth="1"/>
    <col min="7703" max="7703" width="12.85546875" bestFit="1" customWidth="1"/>
    <col min="7704" max="7704" width="15.710937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7.140625" customWidth="1"/>
    <col min="7942" max="7942" width="19.4257812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7.7109375" bestFit="1" customWidth="1"/>
    <col min="7953" max="7953" width="17.28515625" bestFit="1" customWidth="1"/>
    <col min="7954" max="7954" width="17.7109375" bestFit="1" customWidth="1"/>
    <col min="7955" max="7956" width="20.42578125" bestFit="1" customWidth="1"/>
    <col min="7957" max="7957" width="16.42578125" bestFit="1" customWidth="1"/>
    <col min="7958" max="7958" width="14.28515625" customWidth="1"/>
    <col min="7959" max="7959" width="12.85546875" bestFit="1" customWidth="1"/>
    <col min="7960" max="7960" width="15.710937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7.140625" customWidth="1"/>
    <col min="8198" max="8198" width="19.4257812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7.7109375" bestFit="1" customWidth="1"/>
    <col min="8209" max="8209" width="17.28515625" bestFit="1" customWidth="1"/>
    <col min="8210" max="8210" width="17.7109375" bestFit="1" customWidth="1"/>
    <col min="8211" max="8212" width="20.42578125" bestFit="1" customWidth="1"/>
    <col min="8213" max="8213" width="16.42578125" bestFit="1" customWidth="1"/>
    <col min="8214" max="8214" width="14.28515625" customWidth="1"/>
    <col min="8215" max="8215" width="12.85546875" bestFit="1" customWidth="1"/>
    <col min="8216" max="8216" width="15.710937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7.140625" customWidth="1"/>
    <col min="8454" max="8454" width="19.4257812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7.7109375" bestFit="1" customWidth="1"/>
    <col min="8465" max="8465" width="17.28515625" bestFit="1" customWidth="1"/>
    <col min="8466" max="8466" width="17.7109375" bestFit="1" customWidth="1"/>
    <col min="8467" max="8468" width="20.42578125" bestFit="1" customWidth="1"/>
    <col min="8469" max="8469" width="16.42578125" bestFit="1" customWidth="1"/>
    <col min="8470" max="8470" width="14.28515625" customWidth="1"/>
    <col min="8471" max="8471" width="12.85546875" bestFit="1" customWidth="1"/>
    <col min="8472" max="8472" width="15.710937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7.140625" customWidth="1"/>
    <col min="8710" max="8710" width="19.4257812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7.7109375" bestFit="1" customWidth="1"/>
    <col min="8721" max="8721" width="17.28515625" bestFit="1" customWidth="1"/>
    <col min="8722" max="8722" width="17.7109375" bestFit="1" customWidth="1"/>
    <col min="8723" max="8724" width="20.42578125" bestFit="1" customWidth="1"/>
    <col min="8725" max="8725" width="16.42578125" bestFit="1" customWidth="1"/>
    <col min="8726" max="8726" width="14.28515625" customWidth="1"/>
    <col min="8727" max="8727" width="12.85546875" bestFit="1" customWidth="1"/>
    <col min="8728" max="8728" width="15.710937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7.140625" customWidth="1"/>
    <col min="8966" max="8966" width="19.4257812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7.7109375" bestFit="1" customWidth="1"/>
    <col min="8977" max="8977" width="17.28515625" bestFit="1" customWidth="1"/>
    <col min="8978" max="8978" width="17.7109375" bestFit="1" customWidth="1"/>
    <col min="8979" max="8980" width="20.42578125" bestFit="1" customWidth="1"/>
    <col min="8981" max="8981" width="16.42578125" bestFit="1" customWidth="1"/>
    <col min="8982" max="8982" width="14.28515625" customWidth="1"/>
    <col min="8983" max="8983" width="12.85546875" bestFit="1" customWidth="1"/>
    <col min="8984" max="8984" width="15.710937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7.140625" customWidth="1"/>
    <col min="9222" max="9222" width="19.4257812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7.7109375" bestFit="1" customWidth="1"/>
    <col min="9233" max="9233" width="17.28515625" bestFit="1" customWidth="1"/>
    <col min="9234" max="9234" width="17.7109375" bestFit="1" customWidth="1"/>
    <col min="9235" max="9236" width="20.42578125" bestFit="1" customWidth="1"/>
    <col min="9237" max="9237" width="16.42578125" bestFit="1" customWidth="1"/>
    <col min="9238" max="9238" width="14.28515625" customWidth="1"/>
    <col min="9239" max="9239" width="12.85546875" bestFit="1" customWidth="1"/>
    <col min="9240" max="9240" width="15.710937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7.140625" customWidth="1"/>
    <col min="9478" max="9478" width="19.4257812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7.7109375" bestFit="1" customWidth="1"/>
    <col min="9489" max="9489" width="17.28515625" bestFit="1" customWidth="1"/>
    <col min="9490" max="9490" width="17.7109375" bestFit="1" customWidth="1"/>
    <col min="9491" max="9492" width="20.42578125" bestFit="1" customWidth="1"/>
    <col min="9493" max="9493" width="16.42578125" bestFit="1" customWidth="1"/>
    <col min="9494" max="9494" width="14.28515625" customWidth="1"/>
    <col min="9495" max="9495" width="12.85546875" bestFit="1" customWidth="1"/>
    <col min="9496" max="9496" width="15.710937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7.140625" customWidth="1"/>
    <col min="9734" max="9734" width="19.4257812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7.7109375" bestFit="1" customWidth="1"/>
    <col min="9745" max="9745" width="17.28515625" bestFit="1" customWidth="1"/>
    <col min="9746" max="9746" width="17.7109375" bestFit="1" customWidth="1"/>
    <col min="9747" max="9748" width="20.42578125" bestFit="1" customWidth="1"/>
    <col min="9749" max="9749" width="16.42578125" bestFit="1" customWidth="1"/>
    <col min="9750" max="9750" width="14.28515625" customWidth="1"/>
    <col min="9751" max="9751" width="12.85546875" bestFit="1" customWidth="1"/>
    <col min="9752" max="9752" width="15.710937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7.140625" customWidth="1"/>
    <col min="9990" max="9990" width="19.4257812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7.7109375" bestFit="1" customWidth="1"/>
    <col min="10001" max="10001" width="17.28515625" bestFit="1" customWidth="1"/>
    <col min="10002" max="10002" width="17.7109375" bestFit="1" customWidth="1"/>
    <col min="10003" max="10004" width="20.42578125" bestFit="1" customWidth="1"/>
    <col min="10005" max="10005" width="16.42578125" bestFit="1" customWidth="1"/>
    <col min="10006" max="10006" width="14.28515625" customWidth="1"/>
    <col min="10007" max="10007" width="12.85546875" bestFit="1" customWidth="1"/>
    <col min="10008" max="10008" width="15.710937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7.140625" customWidth="1"/>
    <col min="10246" max="10246" width="19.4257812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7.7109375" bestFit="1" customWidth="1"/>
    <col min="10257" max="10257" width="17.28515625" bestFit="1" customWidth="1"/>
    <col min="10258" max="10258" width="17.7109375" bestFit="1" customWidth="1"/>
    <col min="10259" max="10260" width="20.42578125" bestFit="1" customWidth="1"/>
    <col min="10261" max="10261" width="16.42578125" bestFit="1" customWidth="1"/>
    <col min="10262" max="10262" width="14.28515625" customWidth="1"/>
    <col min="10263" max="10263" width="12.85546875" bestFit="1" customWidth="1"/>
    <col min="10264" max="10264" width="15.710937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7.140625" customWidth="1"/>
    <col min="10502" max="10502" width="19.4257812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7.7109375" bestFit="1" customWidth="1"/>
    <col min="10513" max="10513" width="17.28515625" bestFit="1" customWidth="1"/>
    <col min="10514" max="10514" width="17.7109375" bestFit="1" customWidth="1"/>
    <col min="10515" max="10516" width="20.42578125" bestFit="1" customWidth="1"/>
    <col min="10517" max="10517" width="16.42578125" bestFit="1" customWidth="1"/>
    <col min="10518" max="10518" width="14.28515625" customWidth="1"/>
    <col min="10519" max="10519" width="12.85546875" bestFit="1" customWidth="1"/>
    <col min="10520" max="10520" width="15.710937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7.140625" customWidth="1"/>
    <col min="10758" max="10758" width="19.4257812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7.7109375" bestFit="1" customWidth="1"/>
    <col min="10769" max="10769" width="17.28515625" bestFit="1" customWidth="1"/>
    <col min="10770" max="10770" width="17.7109375" bestFit="1" customWidth="1"/>
    <col min="10771" max="10772" width="20.42578125" bestFit="1" customWidth="1"/>
    <col min="10773" max="10773" width="16.42578125" bestFit="1" customWidth="1"/>
    <col min="10774" max="10774" width="14.28515625" customWidth="1"/>
    <col min="10775" max="10775" width="12.85546875" bestFit="1" customWidth="1"/>
    <col min="10776" max="10776" width="15.710937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7.140625" customWidth="1"/>
    <col min="11014" max="11014" width="19.4257812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7.7109375" bestFit="1" customWidth="1"/>
    <col min="11025" max="11025" width="17.28515625" bestFit="1" customWidth="1"/>
    <col min="11026" max="11026" width="17.7109375" bestFit="1" customWidth="1"/>
    <col min="11027" max="11028" width="20.42578125" bestFit="1" customWidth="1"/>
    <col min="11029" max="11029" width="16.42578125" bestFit="1" customWidth="1"/>
    <col min="11030" max="11030" width="14.28515625" customWidth="1"/>
    <col min="11031" max="11031" width="12.85546875" bestFit="1" customWidth="1"/>
    <col min="11032" max="11032" width="15.710937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7.140625" customWidth="1"/>
    <col min="11270" max="11270" width="19.4257812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7.7109375" bestFit="1" customWidth="1"/>
    <col min="11281" max="11281" width="17.28515625" bestFit="1" customWidth="1"/>
    <col min="11282" max="11282" width="17.7109375" bestFit="1" customWidth="1"/>
    <col min="11283" max="11284" width="20.42578125" bestFit="1" customWidth="1"/>
    <col min="11285" max="11285" width="16.42578125" bestFit="1" customWidth="1"/>
    <col min="11286" max="11286" width="14.28515625" customWidth="1"/>
    <col min="11287" max="11287" width="12.85546875" bestFit="1" customWidth="1"/>
    <col min="11288" max="11288" width="15.710937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7.140625" customWidth="1"/>
    <col min="11526" max="11526" width="19.4257812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7.7109375" bestFit="1" customWidth="1"/>
    <col min="11537" max="11537" width="17.28515625" bestFit="1" customWidth="1"/>
    <col min="11538" max="11538" width="17.7109375" bestFit="1" customWidth="1"/>
    <col min="11539" max="11540" width="20.42578125" bestFit="1" customWidth="1"/>
    <col min="11541" max="11541" width="16.42578125" bestFit="1" customWidth="1"/>
    <col min="11542" max="11542" width="14.28515625" customWidth="1"/>
    <col min="11543" max="11543" width="12.85546875" bestFit="1" customWidth="1"/>
    <col min="11544" max="11544" width="15.710937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7.140625" customWidth="1"/>
    <col min="11782" max="11782" width="19.4257812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7.7109375" bestFit="1" customWidth="1"/>
    <col min="11793" max="11793" width="17.28515625" bestFit="1" customWidth="1"/>
    <col min="11794" max="11794" width="17.7109375" bestFit="1" customWidth="1"/>
    <col min="11795" max="11796" width="20.42578125" bestFit="1" customWidth="1"/>
    <col min="11797" max="11797" width="16.42578125" bestFit="1" customWidth="1"/>
    <col min="11798" max="11798" width="14.28515625" customWidth="1"/>
    <col min="11799" max="11799" width="12.85546875" bestFit="1" customWidth="1"/>
    <col min="11800" max="11800" width="15.710937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7.140625" customWidth="1"/>
    <col min="12038" max="12038" width="19.4257812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7.7109375" bestFit="1" customWidth="1"/>
    <col min="12049" max="12049" width="17.28515625" bestFit="1" customWidth="1"/>
    <col min="12050" max="12050" width="17.7109375" bestFit="1" customWidth="1"/>
    <col min="12051" max="12052" width="20.42578125" bestFit="1" customWidth="1"/>
    <col min="12053" max="12053" width="16.42578125" bestFit="1" customWidth="1"/>
    <col min="12054" max="12054" width="14.28515625" customWidth="1"/>
    <col min="12055" max="12055" width="12.85546875" bestFit="1" customWidth="1"/>
    <col min="12056" max="12056" width="15.710937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7.140625" customWidth="1"/>
    <col min="12294" max="12294" width="19.4257812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7.7109375" bestFit="1" customWidth="1"/>
    <col min="12305" max="12305" width="17.28515625" bestFit="1" customWidth="1"/>
    <col min="12306" max="12306" width="17.7109375" bestFit="1" customWidth="1"/>
    <col min="12307" max="12308" width="20.42578125" bestFit="1" customWidth="1"/>
    <col min="12309" max="12309" width="16.42578125" bestFit="1" customWidth="1"/>
    <col min="12310" max="12310" width="14.28515625" customWidth="1"/>
    <col min="12311" max="12311" width="12.85546875" bestFit="1" customWidth="1"/>
    <col min="12312" max="12312" width="15.710937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7.140625" customWidth="1"/>
    <col min="12550" max="12550" width="19.4257812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7.7109375" bestFit="1" customWidth="1"/>
    <col min="12561" max="12561" width="17.28515625" bestFit="1" customWidth="1"/>
    <col min="12562" max="12562" width="17.7109375" bestFit="1" customWidth="1"/>
    <col min="12563" max="12564" width="20.42578125" bestFit="1" customWidth="1"/>
    <col min="12565" max="12565" width="16.42578125" bestFit="1" customWidth="1"/>
    <col min="12566" max="12566" width="14.28515625" customWidth="1"/>
    <col min="12567" max="12567" width="12.85546875" bestFit="1" customWidth="1"/>
    <col min="12568" max="12568" width="15.710937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7.140625" customWidth="1"/>
    <col min="12806" max="12806" width="19.4257812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7.7109375" bestFit="1" customWidth="1"/>
    <col min="12817" max="12817" width="17.28515625" bestFit="1" customWidth="1"/>
    <col min="12818" max="12818" width="17.7109375" bestFit="1" customWidth="1"/>
    <col min="12819" max="12820" width="20.42578125" bestFit="1" customWidth="1"/>
    <col min="12821" max="12821" width="16.42578125" bestFit="1" customWidth="1"/>
    <col min="12822" max="12822" width="14.28515625" customWidth="1"/>
    <col min="12823" max="12823" width="12.85546875" bestFit="1" customWidth="1"/>
    <col min="12824" max="12824" width="15.710937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7.140625" customWidth="1"/>
    <col min="13062" max="13062" width="19.4257812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7.7109375" bestFit="1" customWidth="1"/>
    <col min="13073" max="13073" width="17.28515625" bestFit="1" customWidth="1"/>
    <col min="13074" max="13074" width="17.7109375" bestFit="1" customWidth="1"/>
    <col min="13075" max="13076" width="20.42578125" bestFit="1" customWidth="1"/>
    <col min="13077" max="13077" width="16.42578125" bestFit="1" customWidth="1"/>
    <col min="13078" max="13078" width="14.28515625" customWidth="1"/>
    <col min="13079" max="13079" width="12.85546875" bestFit="1" customWidth="1"/>
    <col min="13080" max="13080" width="15.710937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7.140625" customWidth="1"/>
    <col min="13318" max="13318" width="19.4257812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7.7109375" bestFit="1" customWidth="1"/>
    <col min="13329" max="13329" width="17.28515625" bestFit="1" customWidth="1"/>
    <col min="13330" max="13330" width="17.7109375" bestFit="1" customWidth="1"/>
    <col min="13331" max="13332" width="20.42578125" bestFit="1" customWidth="1"/>
    <col min="13333" max="13333" width="16.42578125" bestFit="1" customWidth="1"/>
    <col min="13334" max="13334" width="14.28515625" customWidth="1"/>
    <col min="13335" max="13335" width="12.85546875" bestFit="1" customWidth="1"/>
    <col min="13336" max="13336" width="15.710937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7.140625" customWidth="1"/>
    <col min="13574" max="13574" width="19.4257812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7.7109375" bestFit="1" customWidth="1"/>
    <col min="13585" max="13585" width="17.28515625" bestFit="1" customWidth="1"/>
    <col min="13586" max="13586" width="17.7109375" bestFit="1" customWidth="1"/>
    <col min="13587" max="13588" width="20.42578125" bestFit="1" customWidth="1"/>
    <col min="13589" max="13589" width="16.42578125" bestFit="1" customWidth="1"/>
    <col min="13590" max="13590" width="14.28515625" customWidth="1"/>
    <col min="13591" max="13591" width="12.85546875" bestFit="1" customWidth="1"/>
    <col min="13592" max="13592" width="15.710937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7.140625" customWidth="1"/>
    <col min="13830" max="13830" width="19.4257812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7.7109375" bestFit="1" customWidth="1"/>
    <col min="13841" max="13841" width="17.28515625" bestFit="1" customWidth="1"/>
    <col min="13842" max="13842" width="17.7109375" bestFit="1" customWidth="1"/>
    <col min="13843" max="13844" width="20.42578125" bestFit="1" customWidth="1"/>
    <col min="13845" max="13845" width="16.42578125" bestFit="1" customWidth="1"/>
    <col min="13846" max="13846" width="14.28515625" customWidth="1"/>
    <col min="13847" max="13847" width="12.85546875" bestFit="1" customWidth="1"/>
    <col min="13848" max="13848" width="15.710937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7.140625" customWidth="1"/>
    <col min="14086" max="14086" width="19.4257812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7.7109375" bestFit="1" customWidth="1"/>
    <col min="14097" max="14097" width="17.28515625" bestFit="1" customWidth="1"/>
    <col min="14098" max="14098" width="17.7109375" bestFit="1" customWidth="1"/>
    <col min="14099" max="14100" width="20.42578125" bestFit="1" customWidth="1"/>
    <col min="14101" max="14101" width="16.42578125" bestFit="1" customWidth="1"/>
    <col min="14102" max="14102" width="14.28515625" customWidth="1"/>
    <col min="14103" max="14103" width="12.85546875" bestFit="1" customWidth="1"/>
    <col min="14104" max="14104" width="15.710937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7.140625" customWidth="1"/>
    <col min="14342" max="14342" width="19.4257812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7.7109375" bestFit="1" customWidth="1"/>
    <col min="14353" max="14353" width="17.28515625" bestFit="1" customWidth="1"/>
    <col min="14354" max="14354" width="17.7109375" bestFit="1" customWidth="1"/>
    <col min="14355" max="14356" width="20.42578125" bestFit="1" customWidth="1"/>
    <col min="14357" max="14357" width="16.42578125" bestFit="1" customWidth="1"/>
    <col min="14358" max="14358" width="14.28515625" customWidth="1"/>
    <col min="14359" max="14359" width="12.85546875" bestFit="1" customWidth="1"/>
    <col min="14360" max="14360" width="15.710937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7.140625" customWidth="1"/>
    <col min="14598" max="14598" width="19.4257812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7.7109375" bestFit="1" customWidth="1"/>
    <col min="14609" max="14609" width="17.28515625" bestFit="1" customWidth="1"/>
    <col min="14610" max="14610" width="17.7109375" bestFit="1" customWidth="1"/>
    <col min="14611" max="14612" width="20.42578125" bestFit="1" customWidth="1"/>
    <col min="14613" max="14613" width="16.42578125" bestFit="1" customWidth="1"/>
    <col min="14614" max="14614" width="14.28515625" customWidth="1"/>
    <col min="14615" max="14615" width="12.85546875" bestFit="1" customWidth="1"/>
    <col min="14616" max="14616" width="15.710937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7.140625" customWidth="1"/>
    <col min="14854" max="14854" width="19.4257812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7.7109375" bestFit="1" customWidth="1"/>
    <col min="14865" max="14865" width="17.28515625" bestFit="1" customWidth="1"/>
    <col min="14866" max="14866" width="17.7109375" bestFit="1" customWidth="1"/>
    <col min="14867" max="14868" width="20.42578125" bestFit="1" customWidth="1"/>
    <col min="14869" max="14869" width="16.42578125" bestFit="1" customWidth="1"/>
    <col min="14870" max="14870" width="14.28515625" customWidth="1"/>
    <col min="14871" max="14871" width="12.85546875" bestFit="1" customWidth="1"/>
    <col min="14872" max="14872" width="15.710937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7.140625" customWidth="1"/>
    <col min="15110" max="15110" width="19.4257812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7.7109375" bestFit="1" customWidth="1"/>
    <col min="15121" max="15121" width="17.28515625" bestFit="1" customWidth="1"/>
    <col min="15122" max="15122" width="17.7109375" bestFit="1" customWidth="1"/>
    <col min="15123" max="15124" width="20.42578125" bestFit="1" customWidth="1"/>
    <col min="15125" max="15125" width="16.42578125" bestFit="1" customWidth="1"/>
    <col min="15126" max="15126" width="14.28515625" customWidth="1"/>
    <col min="15127" max="15127" width="12.85546875" bestFit="1" customWidth="1"/>
    <col min="15128" max="15128" width="15.710937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7.140625" customWidth="1"/>
    <col min="15366" max="15366" width="19.4257812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7.7109375" bestFit="1" customWidth="1"/>
    <col min="15377" max="15377" width="17.28515625" bestFit="1" customWidth="1"/>
    <col min="15378" max="15378" width="17.7109375" bestFit="1" customWidth="1"/>
    <col min="15379" max="15380" width="20.42578125" bestFit="1" customWidth="1"/>
    <col min="15381" max="15381" width="16.42578125" bestFit="1" customWidth="1"/>
    <col min="15382" max="15382" width="14.28515625" customWidth="1"/>
    <col min="15383" max="15383" width="12.85546875" bestFit="1" customWidth="1"/>
    <col min="15384" max="15384" width="15.710937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7.140625" customWidth="1"/>
    <col min="15622" max="15622" width="19.4257812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7.7109375" bestFit="1" customWidth="1"/>
    <col min="15633" max="15633" width="17.28515625" bestFit="1" customWidth="1"/>
    <col min="15634" max="15634" width="17.7109375" bestFit="1" customWidth="1"/>
    <col min="15635" max="15636" width="20.42578125" bestFit="1" customWidth="1"/>
    <col min="15637" max="15637" width="16.42578125" bestFit="1" customWidth="1"/>
    <col min="15638" max="15638" width="14.28515625" customWidth="1"/>
    <col min="15639" max="15639" width="12.85546875" bestFit="1" customWidth="1"/>
    <col min="15640" max="15640" width="15.710937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7.140625" customWidth="1"/>
    <col min="15878" max="15878" width="19.4257812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7.7109375" bestFit="1" customWidth="1"/>
    <col min="15889" max="15889" width="17.28515625" bestFit="1" customWidth="1"/>
    <col min="15890" max="15890" width="17.7109375" bestFit="1" customWidth="1"/>
    <col min="15891" max="15892" width="20.42578125" bestFit="1" customWidth="1"/>
    <col min="15893" max="15893" width="16.42578125" bestFit="1" customWidth="1"/>
    <col min="15894" max="15894" width="14.28515625" customWidth="1"/>
    <col min="15895" max="15895" width="12.85546875" bestFit="1" customWidth="1"/>
    <col min="15896" max="15896" width="15.710937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7.140625" customWidth="1"/>
    <col min="16134" max="16134" width="19.4257812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7.7109375" bestFit="1" customWidth="1"/>
    <col min="16145" max="16145" width="17.28515625" bestFit="1" customWidth="1"/>
    <col min="16146" max="16146" width="17.7109375" bestFit="1" customWidth="1"/>
    <col min="16147" max="16148" width="20.42578125" bestFit="1" customWidth="1"/>
    <col min="16149" max="16149" width="16.42578125" bestFit="1" customWidth="1"/>
    <col min="16150" max="16150" width="14.28515625" customWidth="1"/>
    <col min="16151" max="16151" width="12.85546875" bestFit="1" customWidth="1"/>
    <col min="16152" max="16152" width="15.710937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461"/>
      <c r="D1" s="368"/>
      <c r="F1" s="198"/>
      <c r="G1" s="198">
        <f>C3</f>
        <v>18230638</v>
      </c>
      <c r="H1" s="198" t="str">
        <f>C4</f>
        <v>SF Existing Space Heat - Gas</v>
      </c>
      <c r="I1" s="198"/>
    </row>
    <row r="2" spans="2:22" ht="16.5" thickBot="1">
      <c r="B2" s="198" t="s">
        <v>109</v>
      </c>
      <c r="C2" s="199" t="s">
        <v>574</v>
      </c>
      <c r="G2" s="200" t="s">
        <v>8</v>
      </c>
      <c r="Q2" s="5133" t="s">
        <v>556</v>
      </c>
      <c r="R2" s="5133"/>
      <c r="S2" s="5124" t="s">
        <v>110</v>
      </c>
      <c r="T2" s="5125"/>
      <c r="U2" s="5126"/>
      <c r="V2" s="5118" t="s">
        <v>111</v>
      </c>
    </row>
    <row r="3" spans="2:22" ht="16.5" thickBot="1">
      <c r="B3" s="199" t="s">
        <v>6</v>
      </c>
      <c r="C3" s="199">
        <v>18230638</v>
      </c>
      <c r="D3" s="369"/>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591</v>
      </c>
      <c r="F4" s="198">
        <v>2011</v>
      </c>
      <c r="G4" s="206">
        <f>B13</f>
        <v>159123</v>
      </c>
      <c r="H4" s="207">
        <f>B18</f>
        <v>11530</v>
      </c>
      <c r="I4" s="207">
        <f>B23</f>
        <v>107512</v>
      </c>
      <c r="J4" s="207">
        <f>B28</f>
        <v>24000</v>
      </c>
      <c r="K4" s="207">
        <f>B33</f>
        <v>4800</v>
      </c>
      <c r="L4" s="207">
        <f>B38</f>
        <v>24000</v>
      </c>
      <c r="M4" s="207">
        <f>B43</f>
        <v>4200</v>
      </c>
      <c r="N4" s="207">
        <f>B48</f>
        <v>9000</v>
      </c>
      <c r="O4" s="207">
        <f>B53</f>
        <v>1621900</v>
      </c>
      <c r="P4" s="207">
        <f>B54</f>
        <v>0</v>
      </c>
      <c r="Q4" s="209">
        <f>B55</f>
        <v>1966065</v>
      </c>
      <c r="R4" s="355">
        <f>T55</f>
        <v>0</v>
      </c>
      <c r="S4" s="316">
        <f>O4/Q4</f>
        <v>0.82494729319732563</v>
      </c>
      <c r="T4" s="316">
        <f>(J4+(H4*1.63))/Q4</f>
        <v>2.1766269172178943E-2</v>
      </c>
      <c r="U4" s="316">
        <f>L4/Q4</f>
        <v>1.2207124382968009E-2</v>
      </c>
      <c r="V4" s="212" t="e">
        <f>Q4/R4</f>
        <v>#DIV/0!</v>
      </c>
    </row>
    <row r="5" spans="2:22" ht="16.5" thickBot="1">
      <c r="B5" s="198" t="s">
        <v>33</v>
      </c>
      <c r="C5" s="2192" t="s">
        <v>1191</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P55</f>
        <v>0</v>
      </c>
      <c r="S5" s="317" t="e">
        <f>O5/Q5</f>
        <v>#DIV/0!</v>
      </c>
      <c r="T5" s="317" t="e">
        <f>(J5+(H5*1.63))/Q5</f>
        <v>#DIV/0!</v>
      </c>
      <c r="U5" s="317" t="e">
        <f>L5/Q5</f>
        <v>#DIV/0!</v>
      </c>
      <c r="V5" s="218" t="e">
        <f>Q5/R5</f>
        <v>#DIV/0!</v>
      </c>
    </row>
    <row r="6" spans="2:22" s="3532" customFormat="1" ht="16.5" thickBot="1">
      <c r="B6" s="3536"/>
      <c r="D6" s="3533"/>
      <c r="F6" s="4249" t="s">
        <v>1168</v>
      </c>
      <c r="G6" s="3547">
        <v>143844.39000000001</v>
      </c>
      <c r="H6" s="3548">
        <v>21525</v>
      </c>
      <c r="I6" s="3548">
        <v>104182.71570000002</v>
      </c>
      <c r="J6" s="3548">
        <v>50000</v>
      </c>
      <c r="K6" s="3548">
        <v>5400</v>
      </c>
      <c r="L6" s="3548">
        <v>18000</v>
      </c>
      <c r="M6" s="3548">
        <v>15400</v>
      </c>
      <c r="N6" s="3548">
        <v>10200</v>
      </c>
      <c r="O6" s="3548">
        <v>1776400</v>
      </c>
      <c r="P6" s="3548">
        <v>0</v>
      </c>
      <c r="Q6" s="3549">
        <v>2144952.1057000002</v>
      </c>
      <c r="R6" s="3610">
        <v>747889</v>
      </c>
      <c r="S6" s="3637">
        <v>0.82817699998027505</v>
      </c>
      <c r="T6" s="3637">
        <v>3.966790203561793E-2</v>
      </c>
      <c r="U6" s="3637">
        <v>8.3917957665193381E-3</v>
      </c>
      <c r="V6" s="3498">
        <v>2.8680086292217162</v>
      </c>
    </row>
    <row r="7" spans="2:22" ht="16.5" thickBot="1">
      <c r="C7" s="3536" t="s">
        <v>229</v>
      </c>
      <c r="F7" s="4281" t="s">
        <v>1169</v>
      </c>
      <c r="G7" s="4195">
        <f>E13</f>
        <v>160000</v>
      </c>
      <c r="H7" s="4196">
        <f>E18</f>
        <v>21525</v>
      </c>
      <c r="I7" s="4196">
        <f>E23</f>
        <v>128338.175</v>
      </c>
      <c r="J7" s="4196">
        <f>E28</f>
        <v>220000</v>
      </c>
      <c r="K7" s="4196">
        <f>E33</f>
        <v>5400</v>
      </c>
      <c r="L7" s="4196">
        <f>E38</f>
        <v>18000</v>
      </c>
      <c r="M7" s="4196">
        <f>E43</f>
        <v>15400</v>
      </c>
      <c r="N7" s="4196">
        <f>E48</f>
        <v>10200</v>
      </c>
      <c r="O7" s="4196">
        <f>E53</f>
        <v>1776400</v>
      </c>
      <c r="P7" s="4196">
        <f>E54</f>
        <v>0</v>
      </c>
      <c r="Q7" s="4197">
        <f>SUM(G7:P7)</f>
        <v>2355263.1749999998</v>
      </c>
      <c r="R7" s="4198">
        <f>Q55</f>
        <v>747889</v>
      </c>
      <c r="S7" s="317">
        <f>O7/Q7</f>
        <v>0.75422569284640562</v>
      </c>
      <c r="T7" s="317">
        <f>(J7+(H7*1.63))/Q7</f>
        <v>0.10830456345924061</v>
      </c>
      <c r="U7" s="317">
        <f>L7/Q7</f>
        <v>7.6424580450547746E-3</v>
      </c>
      <c r="V7" s="218">
        <f>Q7/R7</f>
        <v>3.1492148901775527</v>
      </c>
    </row>
    <row r="8" spans="2:22" ht="16.5" thickBot="1">
      <c r="C8" s="220" t="s">
        <v>230</v>
      </c>
      <c r="F8" s="3611" t="s">
        <v>1175</v>
      </c>
      <c r="G8" s="357">
        <f>SUM(G5+G7)</f>
        <v>160000</v>
      </c>
      <c r="H8" s="3612">
        <f t="shared" ref="H8:R8" si="0">SUM(H5+H7)</f>
        <v>21525</v>
      </c>
      <c r="I8" s="3612">
        <f t="shared" si="0"/>
        <v>128338.175</v>
      </c>
      <c r="J8" s="3612">
        <f t="shared" si="0"/>
        <v>220000</v>
      </c>
      <c r="K8" s="3612">
        <f t="shared" si="0"/>
        <v>5400</v>
      </c>
      <c r="L8" s="3612">
        <f t="shared" si="0"/>
        <v>18000</v>
      </c>
      <c r="M8" s="3612">
        <f t="shared" si="0"/>
        <v>15400</v>
      </c>
      <c r="N8" s="3612">
        <f t="shared" si="0"/>
        <v>10200</v>
      </c>
      <c r="O8" s="3612">
        <f t="shared" si="0"/>
        <v>1776400</v>
      </c>
      <c r="P8" s="3612">
        <f t="shared" si="0"/>
        <v>0</v>
      </c>
      <c r="Q8" s="3612">
        <f t="shared" si="0"/>
        <v>2355263.1749999998</v>
      </c>
      <c r="R8" s="3610">
        <f t="shared" si="0"/>
        <v>747889</v>
      </c>
      <c r="S8" s="317">
        <f>O8/Q8</f>
        <v>0.75422569284640562</v>
      </c>
      <c r="T8" s="317">
        <f>(J8+(H8*1.63))/Q8</f>
        <v>0.10830456345924061</v>
      </c>
      <c r="U8" s="317">
        <f>L8/Q8</f>
        <v>7.6424580450547746E-3</v>
      </c>
      <c r="V8" s="218">
        <f>Q8/R8</f>
        <v>3.1492148901775527</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159123</v>
      </c>
      <c r="C13" s="236" t="s">
        <v>138</v>
      </c>
      <c r="D13" s="237">
        <f>SUM(D14:D17)</f>
        <v>0</v>
      </c>
      <c r="E13" s="4468">
        <f>SUM(E14:E17)</f>
        <v>160000</v>
      </c>
      <c r="F13" s="238">
        <f>D13+E13</f>
        <v>160000</v>
      </c>
      <c r="H13" s="132"/>
      <c r="I13" s="239" t="str">
        <f t="shared" ref="I13:I54" si="1">C63</f>
        <v>Efficient 95% Gas Furnace (Note:  Raised from 90%)</v>
      </c>
      <c r="J13" s="240"/>
      <c r="K13" s="241"/>
      <c r="L13" s="360">
        <f t="shared" ref="L13:L54" si="2">D63</f>
        <v>110</v>
      </c>
      <c r="M13" s="2331">
        <v>0</v>
      </c>
      <c r="N13" s="2331">
        <v>6180</v>
      </c>
      <c r="O13" s="244">
        <f>M13+N13</f>
        <v>6180</v>
      </c>
      <c r="P13" s="361">
        <f t="shared" ref="P13:R28" si="3">M13*$D63</f>
        <v>0</v>
      </c>
      <c r="Q13" s="361">
        <f t="shared" si="3"/>
        <v>679800</v>
      </c>
      <c r="R13" s="362">
        <f t="shared" si="3"/>
        <v>679800</v>
      </c>
      <c r="T13" s="3535"/>
    </row>
    <row r="14" spans="2:22">
      <c r="B14" s="247"/>
      <c r="C14" s="248" t="s">
        <v>139</v>
      </c>
      <c r="D14" s="249">
        <v>0</v>
      </c>
      <c r="E14" s="4447">
        <v>160000</v>
      </c>
      <c r="F14" s="249">
        <f>SUM(D14:E14)</f>
        <v>160000</v>
      </c>
      <c r="H14" s="132"/>
      <c r="I14" s="250" t="str">
        <f t="shared" si="1"/>
        <v>Energy Star qualified Boilers (95% AFUE)</v>
      </c>
      <c r="J14" s="251"/>
      <c r="K14" s="252"/>
      <c r="L14" s="360">
        <f t="shared" si="2"/>
        <v>119</v>
      </c>
      <c r="M14" s="2331">
        <v>0</v>
      </c>
      <c r="N14" s="2331">
        <v>120</v>
      </c>
      <c r="O14" s="244">
        <f t="shared" ref="O14:O54" si="4">M14+N14</f>
        <v>120</v>
      </c>
      <c r="P14" s="361">
        <f t="shared" si="3"/>
        <v>0</v>
      </c>
      <c r="Q14" s="361">
        <f t="shared" si="3"/>
        <v>14280</v>
      </c>
      <c r="R14" s="362">
        <f t="shared" si="3"/>
        <v>14280</v>
      </c>
      <c r="T14" s="3535"/>
    </row>
    <row r="15" spans="2:22">
      <c r="B15" s="254"/>
      <c r="C15" s="255" t="s">
        <v>140</v>
      </c>
      <c r="D15" s="256">
        <v>0</v>
      </c>
      <c r="E15" s="256"/>
      <c r="F15" s="249">
        <f t="shared" ref="F15:F25" si="5">SUM(D15:E15)</f>
        <v>0</v>
      </c>
      <c r="H15" s="132"/>
      <c r="I15" s="250" t="str">
        <f t="shared" si="1"/>
        <v xml:space="preserve">High Efficiency Natural Gas Fireplace </v>
      </c>
      <c r="J15" s="251"/>
      <c r="K15" s="252"/>
      <c r="L15" s="360">
        <f t="shared" si="2"/>
        <v>72</v>
      </c>
      <c r="M15" s="2331">
        <v>0</v>
      </c>
      <c r="N15" s="2331">
        <v>447</v>
      </c>
      <c r="O15" s="244">
        <f t="shared" si="4"/>
        <v>447</v>
      </c>
      <c r="P15" s="361">
        <f t="shared" si="3"/>
        <v>0</v>
      </c>
      <c r="Q15" s="361">
        <f t="shared" si="3"/>
        <v>32184</v>
      </c>
      <c r="R15" s="362">
        <f t="shared" si="3"/>
        <v>32184</v>
      </c>
      <c r="T15" s="3535"/>
    </row>
    <row r="16" spans="2:22">
      <c r="B16" s="254"/>
      <c r="C16" s="255" t="s">
        <v>141</v>
      </c>
      <c r="D16" s="258">
        <v>0</v>
      </c>
      <c r="E16" s="258"/>
      <c r="F16" s="249">
        <f t="shared" si="5"/>
        <v>0</v>
      </c>
      <c r="H16" s="132"/>
      <c r="I16" s="250" t="str">
        <f t="shared" si="1"/>
        <v>NEW Integrated Space &amp; Water Heating</v>
      </c>
      <c r="J16" s="251"/>
      <c r="K16" s="252"/>
      <c r="L16" s="360">
        <f t="shared" si="2"/>
        <v>173</v>
      </c>
      <c r="M16" s="2331">
        <v>0</v>
      </c>
      <c r="N16" s="2331">
        <v>125</v>
      </c>
      <c r="O16" s="244">
        <f t="shared" si="4"/>
        <v>125</v>
      </c>
      <c r="P16" s="361">
        <f t="shared" si="3"/>
        <v>0</v>
      </c>
      <c r="Q16" s="361">
        <f t="shared" si="3"/>
        <v>21625</v>
      </c>
      <c r="R16" s="362">
        <f t="shared" si="3"/>
        <v>21625</v>
      </c>
      <c r="T16" s="3535"/>
    </row>
    <row r="17" spans="2:20" ht="13.5" thickBot="1">
      <c r="B17" s="254"/>
      <c r="C17" s="255" t="s">
        <v>142</v>
      </c>
      <c r="D17" s="258">
        <v>0</v>
      </c>
      <c r="E17" s="258"/>
      <c r="F17" s="249">
        <f t="shared" si="5"/>
        <v>0</v>
      </c>
      <c r="H17" s="132"/>
      <c r="I17" s="250" t="str">
        <f t="shared" si="1"/>
        <v>NEW Web Enabled T-Stats (Programmable)</v>
      </c>
      <c r="J17" s="251"/>
      <c r="K17" s="252"/>
      <c r="L17" s="360">
        <f t="shared" si="2"/>
        <v>67</v>
      </c>
      <c r="M17" s="2331">
        <v>0</v>
      </c>
      <c r="N17" s="2331">
        <v>0</v>
      </c>
      <c r="O17" s="244">
        <f t="shared" si="4"/>
        <v>0</v>
      </c>
      <c r="P17" s="361">
        <f t="shared" si="3"/>
        <v>0</v>
      </c>
      <c r="Q17" s="361">
        <f t="shared" si="3"/>
        <v>0</v>
      </c>
      <c r="R17" s="362">
        <f t="shared" si="3"/>
        <v>0</v>
      </c>
      <c r="T17" s="3535"/>
    </row>
    <row r="18" spans="2:20" ht="13.5" thickBot="1">
      <c r="B18" s="262">
        <v>11530</v>
      </c>
      <c r="C18" s="236" t="s">
        <v>143</v>
      </c>
      <c r="D18" s="237">
        <f>SUM(D19:D22)</f>
        <v>0</v>
      </c>
      <c r="E18" s="237">
        <f>SUM(E19:E22)</f>
        <v>21525</v>
      </c>
      <c r="F18" s="238">
        <f>D18+E18</f>
        <v>21525</v>
      </c>
      <c r="H18" s="132"/>
      <c r="I18" s="250" t="str">
        <f t="shared" si="1"/>
        <v>Measure 6</v>
      </c>
      <c r="J18" s="251"/>
      <c r="K18" s="252"/>
      <c r="L18" s="360">
        <f t="shared" si="2"/>
        <v>0</v>
      </c>
      <c r="M18" s="257">
        <v>0</v>
      </c>
      <c r="N18" s="257">
        <v>0</v>
      </c>
      <c r="O18" s="244">
        <f t="shared" si="4"/>
        <v>0</v>
      </c>
      <c r="P18" s="361">
        <f t="shared" si="3"/>
        <v>0</v>
      </c>
      <c r="Q18" s="361">
        <f t="shared" si="3"/>
        <v>0</v>
      </c>
      <c r="R18" s="362">
        <f t="shared" si="3"/>
        <v>0</v>
      </c>
      <c r="T18" s="3535"/>
    </row>
    <row r="19" spans="2:20">
      <c r="B19" s="247"/>
      <c r="C19" s="248" t="s">
        <v>139</v>
      </c>
      <c r="D19" s="249">
        <v>0</v>
      </c>
      <c r="E19" s="249">
        <v>21525</v>
      </c>
      <c r="F19" s="249">
        <f t="shared" si="5"/>
        <v>21525</v>
      </c>
      <c r="H19" s="132"/>
      <c r="I19" s="250" t="str">
        <f t="shared" si="1"/>
        <v>Measure 7</v>
      </c>
      <c r="J19" s="251"/>
      <c r="K19" s="252"/>
      <c r="L19" s="360">
        <f t="shared" si="2"/>
        <v>0</v>
      </c>
      <c r="M19" s="257">
        <v>0</v>
      </c>
      <c r="N19" s="257">
        <v>0</v>
      </c>
      <c r="O19" s="244">
        <f t="shared" si="4"/>
        <v>0</v>
      </c>
      <c r="P19" s="361">
        <f t="shared" si="3"/>
        <v>0</v>
      </c>
      <c r="Q19" s="361">
        <f t="shared" si="3"/>
        <v>0</v>
      </c>
      <c r="R19" s="362">
        <f t="shared" si="3"/>
        <v>0</v>
      </c>
      <c r="T19" s="3535"/>
    </row>
    <row r="20" spans="2:20">
      <c r="B20" s="254"/>
      <c r="C20" s="255" t="s">
        <v>140</v>
      </c>
      <c r="D20" s="256">
        <v>0</v>
      </c>
      <c r="E20" s="256"/>
      <c r="F20" s="249">
        <f t="shared" si="5"/>
        <v>0</v>
      </c>
      <c r="H20" s="132"/>
      <c r="I20" s="250" t="str">
        <f t="shared" si="1"/>
        <v>Measure 8</v>
      </c>
      <c r="J20" s="251"/>
      <c r="K20" s="252"/>
      <c r="L20" s="360">
        <f t="shared" si="2"/>
        <v>0</v>
      </c>
      <c r="M20" s="257">
        <v>0</v>
      </c>
      <c r="N20" s="257">
        <v>0</v>
      </c>
      <c r="O20" s="244">
        <f t="shared" si="4"/>
        <v>0</v>
      </c>
      <c r="P20" s="361">
        <f t="shared" si="3"/>
        <v>0</v>
      </c>
      <c r="Q20" s="361">
        <f t="shared" si="3"/>
        <v>0</v>
      </c>
      <c r="R20" s="362">
        <f t="shared" si="3"/>
        <v>0</v>
      </c>
      <c r="T20" s="3535"/>
    </row>
    <row r="21" spans="2:20">
      <c r="B21" s="254"/>
      <c r="C21" s="255" t="s">
        <v>141</v>
      </c>
      <c r="D21" s="258">
        <v>0</v>
      </c>
      <c r="E21" s="258"/>
      <c r="F21" s="249">
        <f t="shared" si="5"/>
        <v>0</v>
      </c>
      <c r="H21" s="132"/>
      <c r="I21" s="250" t="str">
        <f t="shared" si="1"/>
        <v>Measure 9</v>
      </c>
      <c r="J21" s="251"/>
      <c r="K21" s="252"/>
      <c r="L21" s="360">
        <f t="shared" si="2"/>
        <v>0</v>
      </c>
      <c r="M21" s="257">
        <v>0</v>
      </c>
      <c r="N21" s="257">
        <v>0</v>
      </c>
      <c r="O21" s="244">
        <f t="shared" si="4"/>
        <v>0</v>
      </c>
      <c r="P21" s="361">
        <f t="shared" si="3"/>
        <v>0</v>
      </c>
      <c r="Q21" s="361">
        <f t="shared" si="3"/>
        <v>0</v>
      </c>
      <c r="R21" s="362">
        <f t="shared" si="3"/>
        <v>0</v>
      </c>
      <c r="T21" s="3535"/>
    </row>
    <row r="22" spans="2:20" ht="13.5" thickBot="1">
      <c r="B22" s="254"/>
      <c r="C22" s="255" t="s">
        <v>142</v>
      </c>
      <c r="D22" s="258">
        <v>0</v>
      </c>
      <c r="E22" s="258"/>
      <c r="F22" s="249">
        <f t="shared" si="5"/>
        <v>0</v>
      </c>
      <c r="H22" s="132"/>
      <c r="I22" s="250" t="str">
        <f t="shared" si="1"/>
        <v>Measure 10</v>
      </c>
      <c r="J22" s="251"/>
      <c r="K22" s="252"/>
      <c r="L22" s="360">
        <f t="shared" si="2"/>
        <v>0</v>
      </c>
      <c r="M22" s="257">
        <v>0</v>
      </c>
      <c r="N22" s="257">
        <v>0</v>
      </c>
      <c r="O22" s="244">
        <f t="shared" si="4"/>
        <v>0</v>
      </c>
      <c r="P22" s="361">
        <f t="shared" si="3"/>
        <v>0</v>
      </c>
      <c r="Q22" s="361">
        <f t="shared" si="3"/>
        <v>0</v>
      </c>
      <c r="R22" s="362">
        <f t="shared" si="3"/>
        <v>0</v>
      </c>
      <c r="T22" s="3535"/>
    </row>
    <row r="23" spans="2:20" ht="13.5" thickBot="1">
      <c r="B23" s="262">
        <v>107512</v>
      </c>
      <c r="C23" s="236" t="s">
        <v>144</v>
      </c>
      <c r="D23" s="237">
        <f>SUM(D24:D27)</f>
        <v>0</v>
      </c>
      <c r="E23" s="237">
        <f>SUM(E24:E27)</f>
        <v>128338.175</v>
      </c>
      <c r="F23" s="238">
        <f>D23+E23</f>
        <v>128338.175</v>
      </c>
      <c r="G23" s="53"/>
      <c r="H23" s="132"/>
      <c r="I23" s="250" t="str">
        <f t="shared" si="1"/>
        <v>Measure 11</v>
      </c>
      <c r="J23" s="251"/>
      <c r="K23" s="252"/>
      <c r="L23" s="360">
        <f t="shared" si="2"/>
        <v>0</v>
      </c>
      <c r="M23" s="257">
        <v>0</v>
      </c>
      <c r="N23" s="257">
        <v>0</v>
      </c>
      <c r="O23" s="244">
        <f t="shared" si="4"/>
        <v>0</v>
      </c>
      <c r="P23" s="361">
        <f t="shared" si="3"/>
        <v>0</v>
      </c>
      <c r="Q23" s="361">
        <f t="shared" si="3"/>
        <v>0</v>
      </c>
      <c r="R23" s="362">
        <f t="shared" si="3"/>
        <v>0</v>
      </c>
      <c r="T23" s="3535"/>
    </row>
    <row r="24" spans="2:20">
      <c r="B24" s="247"/>
      <c r="C24" s="3566" t="s">
        <v>1434</v>
      </c>
      <c r="D24" s="249">
        <v>0</v>
      </c>
      <c r="E24" s="249">
        <f>0.707*E13</f>
        <v>113120</v>
      </c>
      <c r="F24" s="249">
        <f t="shared" si="5"/>
        <v>113120</v>
      </c>
      <c r="H24" s="132"/>
      <c r="I24" s="250" t="str">
        <f t="shared" si="1"/>
        <v>Measure 12</v>
      </c>
      <c r="J24" s="251"/>
      <c r="K24" s="252"/>
      <c r="L24" s="360">
        <f t="shared" si="2"/>
        <v>0</v>
      </c>
      <c r="M24" s="257">
        <v>0</v>
      </c>
      <c r="N24" s="257">
        <v>0</v>
      </c>
      <c r="O24" s="244">
        <f t="shared" si="4"/>
        <v>0</v>
      </c>
      <c r="P24" s="361">
        <f t="shared" si="3"/>
        <v>0</v>
      </c>
      <c r="Q24" s="361">
        <f t="shared" si="3"/>
        <v>0</v>
      </c>
      <c r="R24" s="362">
        <f t="shared" si="3"/>
        <v>0</v>
      </c>
      <c r="T24" s="3535"/>
    </row>
    <row r="25" spans="2:20">
      <c r="B25" s="247"/>
      <c r="C25" s="3566" t="s">
        <v>1435</v>
      </c>
      <c r="D25" s="256">
        <v>0</v>
      </c>
      <c r="E25" s="256">
        <f>0.707*E18</f>
        <v>15218.174999999999</v>
      </c>
      <c r="F25" s="249">
        <f t="shared" si="5"/>
        <v>15218.174999999999</v>
      </c>
      <c r="H25" s="132"/>
      <c r="I25" s="250" t="str">
        <f t="shared" si="1"/>
        <v>Measure 13</v>
      </c>
      <c r="J25" s="251"/>
      <c r="K25" s="252"/>
      <c r="L25" s="360">
        <f t="shared" si="2"/>
        <v>0</v>
      </c>
      <c r="M25" s="257">
        <v>0</v>
      </c>
      <c r="N25" s="257">
        <v>0</v>
      </c>
      <c r="O25" s="244">
        <f t="shared" si="4"/>
        <v>0</v>
      </c>
      <c r="P25" s="361">
        <f t="shared" si="3"/>
        <v>0</v>
      </c>
      <c r="Q25" s="361">
        <f t="shared" si="3"/>
        <v>0</v>
      </c>
      <c r="R25" s="362">
        <f t="shared" si="3"/>
        <v>0</v>
      </c>
      <c r="T25" s="3535"/>
    </row>
    <row r="26" spans="2:20">
      <c r="B26" s="254"/>
      <c r="C26" s="255"/>
      <c r="D26" s="258"/>
      <c r="E26" s="258"/>
      <c r="F26" s="258"/>
      <c r="H26" s="132"/>
      <c r="I26" s="250" t="str">
        <f t="shared" si="1"/>
        <v>Measure 14</v>
      </c>
      <c r="J26" s="251"/>
      <c r="K26" s="252"/>
      <c r="L26" s="360">
        <f t="shared" si="2"/>
        <v>0</v>
      </c>
      <c r="M26" s="257">
        <v>0</v>
      </c>
      <c r="N26" s="257">
        <v>0</v>
      </c>
      <c r="O26" s="244">
        <f t="shared" si="4"/>
        <v>0</v>
      </c>
      <c r="P26" s="361">
        <f t="shared" si="3"/>
        <v>0</v>
      </c>
      <c r="Q26" s="361">
        <f t="shared" si="3"/>
        <v>0</v>
      </c>
      <c r="R26" s="362">
        <f t="shared" si="3"/>
        <v>0</v>
      </c>
      <c r="T26" s="3535"/>
    </row>
    <row r="27" spans="2:20" ht="13.5" thickBot="1">
      <c r="B27" s="254"/>
      <c r="C27" s="255"/>
      <c r="D27" s="258"/>
      <c r="E27" s="258"/>
      <c r="F27" s="258"/>
      <c r="H27" s="132"/>
      <c r="I27" s="250" t="str">
        <f t="shared" si="1"/>
        <v>Measure 15</v>
      </c>
      <c r="J27" s="251"/>
      <c r="K27" s="252"/>
      <c r="L27" s="360">
        <f t="shared" si="2"/>
        <v>0</v>
      </c>
      <c r="M27" s="257">
        <v>0</v>
      </c>
      <c r="N27" s="257">
        <v>0</v>
      </c>
      <c r="O27" s="244">
        <f t="shared" si="4"/>
        <v>0</v>
      </c>
      <c r="P27" s="361">
        <f t="shared" si="3"/>
        <v>0</v>
      </c>
      <c r="Q27" s="361">
        <f t="shared" si="3"/>
        <v>0</v>
      </c>
      <c r="R27" s="362">
        <f t="shared" si="3"/>
        <v>0</v>
      </c>
      <c r="T27" s="3535"/>
    </row>
    <row r="28" spans="2:20" ht="13.5" thickBot="1">
      <c r="B28" s="262">
        <v>24000</v>
      </c>
      <c r="C28" s="236" t="s">
        <v>145</v>
      </c>
      <c r="D28" s="237">
        <f>SUM(D29:D32)</f>
        <v>0</v>
      </c>
      <c r="E28" s="4468">
        <f>SUM(E29:E32)</f>
        <v>220000</v>
      </c>
      <c r="F28" s="238">
        <f>D28+E28</f>
        <v>220000</v>
      </c>
      <c r="H28" s="132"/>
      <c r="I28" s="250" t="str">
        <f t="shared" si="1"/>
        <v>Measure 16</v>
      </c>
      <c r="J28" s="251"/>
      <c r="K28" s="252"/>
      <c r="L28" s="360">
        <f t="shared" si="2"/>
        <v>0</v>
      </c>
      <c r="M28" s="257">
        <v>0</v>
      </c>
      <c r="N28" s="257">
        <v>0</v>
      </c>
      <c r="O28" s="244">
        <f t="shared" si="4"/>
        <v>0</v>
      </c>
      <c r="P28" s="361">
        <f t="shared" si="3"/>
        <v>0</v>
      </c>
      <c r="Q28" s="361">
        <f t="shared" si="3"/>
        <v>0</v>
      </c>
      <c r="R28" s="362">
        <f t="shared" si="3"/>
        <v>0</v>
      </c>
      <c r="T28" s="3535"/>
    </row>
    <row r="29" spans="2:20">
      <c r="B29" s="247"/>
      <c r="C29" s="248" t="s">
        <v>139</v>
      </c>
      <c r="D29" s="249">
        <v>0</v>
      </c>
      <c r="E29" s="4447">
        <v>200000</v>
      </c>
      <c r="F29" s="249">
        <f t="shared" ref="F29:F37" si="6">SUM(D29:E29)</f>
        <v>200000</v>
      </c>
      <c r="H29" s="132"/>
      <c r="I29" s="250" t="str">
        <f t="shared" si="1"/>
        <v>Measure 17</v>
      </c>
      <c r="J29" s="251"/>
      <c r="K29" s="252"/>
      <c r="L29" s="360">
        <f t="shared" si="2"/>
        <v>0</v>
      </c>
      <c r="M29" s="257">
        <v>0</v>
      </c>
      <c r="N29" s="257">
        <v>0</v>
      </c>
      <c r="O29" s="244">
        <f t="shared" si="4"/>
        <v>0</v>
      </c>
      <c r="P29" s="361">
        <f t="shared" ref="P29:R44" si="7">M29*$D79</f>
        <v>0</v>
      </c>
      <c r="Q29" s="361">
        <f t="shared" si="7"/>
        <v>0</v>
      </c>
      <c r="R29" s="362">
        <f t="shared" si="7"/>
        <v>0</v>
      </c>
      <c r="T29" s="3535"/>
    </row>
    <row r="30" spans="2:20">
      <c r="B30" s="254"/>
      <c r="C30" s="255" t="s">
        <v>140</v>
      </c>
      <c r="D30" s="256">
        <v>0</v>
      </c>
      <c r="E30" s="4449">
        <v>20000</v>
      </c>
      <c r="F30" s="249">
        <f t="shared" si="6"/>
        <v>20000</v>
      </c>
      <c r="H30" s="132"/>
      <c r="I30" s="250" t="str">
        <f t="shared" si="1"/>
        <v>Measure 18</v>
      </c>
      <c r="J30" s="251"/>
      <c r="K30" s="252"/>
      <c r="L30" s="360">
        <f t="shared" si="2"/>
        <v>0</v>
      </c>
      <c r="M30" s="257">
        <v>0</v>
      </c>
      <c r="N30" s="257">
        <v>0</v>
      </c>
      <c r="O30" s="244">
        <f t="shared" si="4"/>
        <v>0</v>
      </c>
      <c r="P30" s="361">
        <f t="shared" si="7"/>
        <v>0</v>
      </c>
      <c r="Q30" s="361">
        <f t="shared" si="7"/>
        <v>0</v>
      </c>
      <c r="R30" s="362">
        <f t="shared" si="7"/>
        <v>0</v>
      </c>
      <c r="T30" s="3535"/>
    </row>
    <row r="31" spans="2:20">
      <c r="B31" s="254"/>
      <c r="C31" s="255" t="s">
        <v>141</v>
      </c>
      <c r="D31" s="256">
        <v>0</v>
      </c>
      <c r="E31" s="256"/>
      <c r="F31" s="249">
        <f t="shared" si="6"/>
        <v>0</v>
      </c>
      <c r="H31" s="132"/>
      <c r="I31" s="250" t="str">
        <f t="shared" si="1"/>
        <v>Measure 19</v>
      </c>
      <c r="J31" s="251"/>
      <c r="K31" s="252"/>
      <c r="L31" s="360">
        <f t="shared" si="2"/>
        <v>0</v>
      </c>
      <c r="M31" s="257">
        <v>0</v>
      </c>
      <c r="N31" s="257">
        <v>0</v>
      </c>
      <c r="O31" s="244">
        <f t="shared" si="4"/>
        <v>0</v>
      </c>
      <c r="P31" s="361">
        <f t="shared" si="7"/>
        <v>0</v>
      </c>
      <c r="Q31" s="361">
        <f t="shared" si="7"/>
        <v>0</v>
      </c>
      <c r="R31" s="362">
        <f t="shared" si="7"/>
        <v>0</v>
      </c>
      <c r="T31" s="3535"/>
    </row>
    <row r="32" spans="2:20" ht="13.5" thickBot="1">
      <c r="B32" s="254"/>
      <c r="C32" s="255" t="s">
        <v>142</v>
      </c>
      <c r="D32" s="256">
        <v>0</v>
      </c>
      <c r="E32" s="256"/>
      <c r="F32" s="249">
        <f t="shared" si="6"/>
        <v>0</v>
      </c>
      <c r="H32" s="132"/>
      <c r="I32" s="250" t="str">
        <f t="shared" si="1"/>
        <v>Measure 20</v>
      </c>
      <c r="J32" s="251"/>
      <c r="K32" s="252"/>
      <c r="L32" s="360">
        <f t="shared" si="2"/>
        <v>0</v>
      </c>
      <c r="M32" s="257">
        <v>0</v>
      </c>
      <c r="N32" s="257">
        <v>0</v>
      </c>
      <c r="O32" s="244">
        <f t="shared" si="4"/>
        <v>0</v>
      </c>
      <c r="P32" s="361">
        <f t="shared" si="7"/>
        <v>0</v>
      </c>
      <c r="Q32" s="361">
        <f t="shared" si="7"/>
        <v>0</v>
      </c>
      <c r="R32" s="362">
        <f t="shared" si="7"/>
        <v>0</v>
      </c>
      <c r="T32" s="3535"/>
    </row>
    <row r="33" spans="2:20" ht="13.5" thickBot="1">
      <c r="B33" s="262">
        <v>4800</v>
      </c>
      <c r="C33" s="236" t="s">
        <v>146</v>
      </c>
      <c r="D33" s="237">
        <f>SUM(D34:D37)</f>
        <v>0</v>
      </c>
      <c r="E33" s="237">
        <f>SUM(E34:E37)</f>
        <v>5400</v>
      </c>
      <c r="F33" s="238">
        <f>D33+E33</f>
        <v>5400</v>
      </c>
      <c r="H33" s="132"/>
      <c r="I33" s="250" t="str">
        <f t="shared" si="1"/>
        <v>Measure 21</v>
      </c>
      <c r="J33" s="251"/>
      <c r="K33" s="252"/>
      <c r="L33" s="360">
        <f t="shared" si="2"/>
        <v>0</v>
      </c>
      <c r="M33" s="257">
        <v>0</v>
      </c>
      <c r="N33" s="257">
        <v>0</v>
      </c>
      <c r="O33" s="244">
        <f t="shared" si="4"/>
        <v>0</v>
      </c>
      <c r="P33" s="361">
        <f t="shared" si="7"/>
        <v>0</v>
      </c>
      <c r="Q33" s="361">
        <f t="shared" si="7"/>
        <v>0</v>
      </c>
      <c r="R33" s="362">
        <f t="shared" si="7"/>
        <v>0</v>
      </c>
      <c r="T33" s="3535"/>
    </row>
    <row r="34" spans="2:20">
      <c r="B34" s="254"/>
      <c r="C34" s="255" t="s">
        <v>139</v>
      </c>
      <c r="D34" s="256">
        <v>0</v>
      </c>
      <c r="E34" s="256">
        <v>5400</v>
      </c>
      <c r="F34" s="249">
        <f t="shared" si="6"/>
        <v>5400</v>
      </c>
      <c r="H34" s="132"/>
      <c r="I34" s="250" t="str">
        <f t="shared" si="1"/>
        <v>Measure 22</v>
      </c>
      <c r="J34" s="251"/>
      <c r="K34" s="252"/>
      <c r="L34" s="360">
        <f t="shared" si="2"/>
        <v>0</v>
      </c>
      <c r="M34" s="257">
        <v>0</v>
      </c>
      <c r="N34" s="257">
        <v>0</v>
      </c>
      <c r="O34" s="244">
        <f t="shared" si="4"/>
        <v>0</v>
      </c>
      <c r="P34" s="361">
        <f t="shared" si="7"/>
        <v>0</v>
      </c>
      <c r="Q34" s="361">
        <f t="shared" si="7"/>
        <v>0</v>
      </c>
      <c r="R34" s="362">
        <f t="shared" si="7"/>
        <v>0</v>
      </c>
      <c r="T34" s="3535"/>
    </row>
    <row r="35" spans="2:20">
      <c r="B35" s="254"/>
      <c r="C35" s="255" t="s">
        <v>140</v>
      </c>
      <c r="D35" s="256">
        <v>0</v>
      </c>
      <c r="E35" s="256"/>
      <c r="F35" s="249">
        <f t="shared" si="6"/>
        <v>0</v>
      </c>
      <c r="H35" s="132"/>
      <c r="I35" s="250" t="str">
        <f t="shared" si="1"/>
        <v>Measure 23</v>
      </c>
      <c r="J35" s="251"/>
      <c r="K35" s="252"/>
      <c r="L35" s="360">
        <f t="shared" si="2"/>
        <v>0</v>
      </c>
      <c r="M35" s="257">
        <v>0</v>
      </c>
      <c r="N35" s="257">
        <v>0</v>
      </c>
      <c r="O35" s="244">
        <f t="shared" si="4"/>
        <v>0</v>
      </c>
      <c r="P35" s="361">
        <f t="shared" si="7"/>
        <v>0</v>
      </c>
      <c r="Q35" s="361">
        <f t="shared" si="7"/>
        <v>0</v>
      </c>
      <c r="R35" s="362">
        <f t="shared" si="7"/>
        <v>0</v>
      </c>
      <c r="T35" s="3535"/>
    </row>
    <row r="36" spans="2:20">
      <c r="B36" s="254"/>
      <c r="C36" s="255" t="s">
        <v>141</v>
      </c>
      <c r="D36" s="256">
        <v>0</v>
      </c>
      <c r="E36" s="256"/>
      <c r="F36" s="249">
        <f t="shared" si="6"/>
        <v>0</v>
      </c>
      <c r="H36" s="132"/>
      <c r="I36" s="250" t="str">
        <f t="shared" si="1"/>
        <v>Measure 24</v>
      </c>
      <c r="J36" s="251"/>
      <c r="K36" s="252"/>
      <c r="L36" s="360">
        <f t="shared" si="2"/>
        <v>0</v>
      </c>
      <c r="M36" s="257">
        <v>0</v>
      </c>
      <c r="N36" s="257">
        <v>0</v>
      </c>
      <c r="O36" s="244">
        <f t="shared" si="4"/>
        <v>0</v>
      </c>
      <c r="P36" s="361">
        <f t="shared" si="7"/>
        <v>0</v>
      </c>
      <c r="Q36" s="361">
        <f t="shared" si="7"/>
        <v>0</v>
      </c>
      <c r="R36" s="362">
        <f t="shared" si="7"/>
        <v>0</v>
      </c>
      <c r="T36" s="3535"/>
    </row>
    <row r="37" spans="2:20" ht="13.5" thickBot="1">
      <c r="B37" s="254"/>
      <c r="C37" s="255" t="s">
        <v>142</v>
      </c>
      <c r="D37" s="256">
        <v>0</v>
      </c>
      <c r="E37" s="256"/>
      <c r="F37" s="249">
        <f t="shared" si="6"/>
        <v>0</v>
      </c>
      <c r="H37" s="132"/>
      <c r="I37" s="250" t="str">
        <f t="shared" si="1"/>
        <v>Measure 25</v>
      </c>
      <c r="J37" s="251"/>
      <c r="K37" s="252"/>
      <c r="L37" s="360">
        <f t="shared" si="2"/>
        <v>0</v>
      </c>
      <c r="M37" s="257">
        <v>0</v>
      </c>
      <c r="N37" s="257">
        <v>0</v>
      </c>
      <c r="O37" s="244">
        <f t="shared" si="4"/>
        <v>0</v>
      </c>
      <c r="P37" s="361">
        <f t="shared" si="7"/>
        <v>0</v>
      </c>
      <c r="Q37" s="361">
        <f t="shared" si="7"/>
        <v>0</v>
      </c>
      <c r="R37" s="362">
        <f t="shared" si="7"/>
        <v>0</v>
      </c>
      <c r="T37" s="3535"/>
    </row>
    <row r="38" spans="2:20" ht="13.5" thickBot="1">
      <c r="B38" s="262">
        <v>24000</v>
      </c>
      <c r="C38" s="236" t="s">
        <v>147</v>
      </c>
      <c r="D38" s="237">
        <f>SUM(D39:D42)</f>
        <v>0</v>
      </c>
      <c r="E38" s="237">
        <f>SUM(E39:E42)</f>
        <v>18000</v>
      </c>
      <c r="F38" s="238">
        <f>D38+E38</f>
        <v>18000</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3535"/>
    </row>
    <row r="39" spans="2:20">
      <c r="B39" s="254"/>
      <c r="C39" s="255" t="s">
        <v>139</v>
      </c>
      <c r="D39" s="256">
        <v>0</v>
      </c>
      <c r="E39" s="256">
        <v>18000</v>
      </c>
      <c r="F39" s="249">
        <f t="shared" ref="F39:F52" si="8">SUM(D39:E39)</f>
        <v>18000</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3535"/>
    </row>
    <row r="40" spans="2:20">
      <c r="B40" s="254"/>
      <c r="C40" s="255" t="s">
        <v>140</v>
      </c>
      <c r="D40" s="256">
        <v>0</v>
      </c>
      <c r="E40" s="256"/>
      <c r="F40" s="249">
        <f t="shared" si="8"/>
        <v>0</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3535"/>
    </row>
    <row r="41" spans="2:20">
      <c r="B41" s="254"/>
      <c r="C41" s="255" t="s">
        <v>141</v>
      </c>
      <c r="D41" s="256">
        <v>0</v>
      </c>
      <c r="E41" s="256"/>
      <c r="F41" s="249">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3535"/>
    </row>
    <row r="42" spans="2:20" ht="13.5" thickBot="1">
      <c r="B42" s="254"/>
      <c r="C42" s="255" t="s">
        <v>142</v>
      </c>
      <c r="D42" s="256">
        <v>0</v>
      </c>
      <c r="E42" s="256"/>
      <c r="F42" s="249">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3535"/>
    </row>
    <row r="43" spans="2:20" ht="13.5" thickBot="1">
      <c r="B43" s="262">
        <v>4200</v>
      </c>
      <c r="C43" s="236" t="s">
        <v>148</v>
      </c>
      <c r="D43" s="237">
        <f>SUM(D44:D47)</f>
        <v>0</v>
      </c>
      <c r="E43" s="237">
        <f>SUM(E44:E47)</f>
        <v>15400</v>
      </c>
      <c r="F43" s="238">
        <f>D43+E43</f>
        <v>15400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3535"/>
    </row>
    <row r="44" spans="2:20">
      <c r="B44" s="254"/>
      <c r="C44" s="255" t="s">
        <v>139</v>
      </c>
      <c r="D44" s="256">
        <v>0</v>
      </c>
      <c r="E44" s="256">
        <v>15400</v>
      </c>
      <c r="F44" s="249">
        <f t="shared" si="8"/>
        <v>15400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3535"/>
    </row>
    <row r="45" spans="2:20">
      <c r="B45" s="254"/>
      <c r="C45" s="255" t="s">
        <v>140</v>
      </c>
      <c r="D45" s="256">
        <v>0</v>
      </c>
      <c r="E45" s="256"/>
      <c r="F45" s="249">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3535"/>
    </row>
    <row r="46" spans="2:20">
      <c r="B46" s="254"/>
      <c r="C46" s="255" t="s">
        <v>141</v>
      </c>
      <c r="D46" s="256">
        <v>0</v>
      </c>
      <c r="E46" s="256"/>
      <c r="F46" s="249">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3535"/>
    </row>
    <row r="47" spans="2:20" ht="13.5" thickBot="1">
      <c r="B47" s="254"/>
      <c r="C47" s="255" t="s">
        <v>142</v>
      </c>
      <c r="D47" s="256">
        <v>0</v>
      </c>
      <c r="E47" s="256"/>
      <c r="F47" s="249">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3535"/>
    </row>
    <row r="48" spans="2:20" ht="13.5" thickBot="1">
      <c r="B48" s="262">
        <v>9000</v>
      </c>
      <c r="C48" s="236" t="s">
        <v>149</v>
      </c>
      <c r="D48" s="237">
        <f>SUM(D49:D52)</f>
        <v>0</v>
      </c>
      <c r="E48" s="237">
        <f>SUM(E49:E52)</f>
        <v>10200</v>
      </c>
      <c r="F48" s="238">
        <f>D48+E48</f>
        <v>10200</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3535"/>
    </row>
    <row r="49" spans="2:26">
      <c r="B49" s="254"/>
      <c r="C49" s="255" t="s">
        <v>139</v>
      </c>
      <c r="D49" s="256">
        <v>0</v>
      </c>
      <c r="E49" s="256">
        <v>10200</v>
      </c>
      <c r="F49" s="249">
        <f t="shared" si="8"/>
        <v>10200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3535"/>
    </row>
    <row r="50" spans="2:26">
      <c r="B50" s="254"/>
      <c r="C50" s="255" t="s">
        <v>140</v>
      </c>
      <c r="D50" s="256">
        <v>0</v>
      </c>
      <c r="E50" s="256"/>
      <c r="F50" s="249">
        <f t="shared" si="8"/>
        <v>0</v>
      </c>
      <c r="I50" s="250" t="str">
        <f t="shared" si="1"/>
        <v>Measure 38</v>
      </c>
      <c r="J50" s="251"/>
      <c r="K50" s="252"/>
      <c r="L50" s="360">
        <f t="shared" si="2"/>
        <v>0</v>
      </c>
      <c r="M50" s="257">
        <v>0</v>
      </c>
      <c r="N50" s="257">
        <v>0</v>
      </c>
      <c r="O50" s="244">
        <f t="shared" si="4"/>
        <v>0</v>
      </c>
      <c r="P50" s="361">
        <f t="shared" si="9"/>
        <v>0</v>
      </c>
      <c r="Q50" s="361">
        <f t="shared" si="9"/>
        <v>0</v>
      </c>
      <c r="R50" s="362">
        <f t="shared" si="9"/>
        <v>0</v>
      </c>
      <c r="T50" s="3535"/>
    </row>
    <row r="51" spans="2:26">
      <c r="B51" s="254"/>
      <c r="C51" s="255" t="s">
        <v>141</v>
      </c>
      <c r="D51" s="256">
        <v>0</v>
      </c>
      <c r="E51" s="256"/>
      <c r="F51" s="249">
        <f t="shared" si="8"/>
        <v>0</v>
      </c>
      <c r="I51" s="250" t="str">
        <f t="shared" si="1"/>
        <v>Measure 39</v>
      </c>
      <c r="J51" s="251"/>
      <c r="K51" s="252"/>
      <c r="L51" s="360">
        <f t="shared" si="2"/>
        <v>0</v>
      </c>
      <c r="M51" s="257">
        <v>0</v>
      </c>
      <c r="N51" s="257">
        <v>0</v>
      </c>
      <c r="O51" s="244">
        <f t="shared" si="4"/>
        <v>0</v>
      </c>
      <c r="P51" s="361">
        <f t="shared" si="9"/>
        <v>0</v>
      </c>
      <c r="Q51" s="361">
        <f t="shared" si="9"/>
        <v>0</v>
      </c>
      <c r="R51" s="362">
        <f t="shared" si="9"/>
        <v>0</v>
      </c>
      <c r="T51" s="3535"/>
    </row>
    <row r="52" spans="2:26" ht="13.5" thickBot="1">
      <c r="B52" s="254"/>
      <c r="C52" s="255" t="s">
        <v>142</v>
      </c>
      <c r="D52" s="256">
        <v>0</v>
      </c>
      <c r="E52" s="256"/>
      <c r="F52" s="249">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3535"/>
    </row>
    <row r="53" spans="2:26" ht="13.5" thickBot="1">
      <c r="B53" s="262">
        <v>1621900</v>
      </c>
      <c r="C53" s="236" t="s">
        <v>150</v>
      </c>
      <c r="D53" s="237">
        <f>T105</f>
        <v>0</v>
      </c>
      <c r="E53" s="237">
        <f>U105</f>
        <v>1776400</v>
      </c>
      <c r="F53" s="238">
        <f>V105</f>
        <v>1776400</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3535"/>
    </row>
    <row r="54" spans="2:26" ht="13.5" thickBot="1">
      <c r="B54" s="262">
        <v>0</v>
      </c>
      <c r="C54" s="236" t="s">
        <v>152</v>
      </c>
      <c r="D54" s="237">
        <v>0</v>
      </c>
      <c r="E54" s="237">
        <v>0</v>
      </c>
      <c r="F54" s="238">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3535"/>
    </row>
    <row r="55" spans="2:26">
      <c r="B55" s="263">
        <f>B13+B18+B23+B28+B33+B38+B43+B48+B53+B54</f>
        <v>1966065</v>
      </c>
      <c r="C55" s="264" t="s">
        <v>153</v>
      </c>
      <c r="D55" s="263">
        <f>D13+D18+D23+D28+D33+D38+D43+D48+D53+D54</f>
        <v>0</v>
      </c>
      <c r="E55" s="263">
        <f>E13+E18+E23+E28+E33+E38+E43+E48+E53+E54</f>
        <v>2355263.1749999998</v>
      </c>
      <c r="F55" s="263">
        <f>F13+F18+F23+F28+F33+F38+F43+F48+F53+F54</f>
        <v>2355263.1749999998</v>
      </c>
      <c r="P55" s="365">
        <f>SUM(P13:P54)</f>
        <v>0</v>
      </c>
      <c r="Q55" s="365">
        <f>SUM(Q13:Q54)</f>
        <v>747889</v>
      </c>
      <c r="R55" s="365">
        <f>SUM(R13:R54)</f>
        <v>747889</v>
      </c>
      <c r="T55" s="4894"/>
    </row>
    <row r="56" spans="2:26">
      <c r="C56" s="264"/>
      <c r="D56" s="263"/>
      <c r="E56" s="263"/>
      <c r="F56" s="263"/>
    </row>
    <row r="57" spans="2:26">
      <c r="C57" s="264" t="s">
        <v>154</v>
      </c>
      <c r="D57" s="263">
        <f>D55-D53</f>
        <v>0</v>
      </c>
      <c r="E57" s="263">
        <f>E55-E53</f>
        <v>578863.17499999981</v>
      </c>
      <c r="F57" s="263">
        <f>F55-F53</f>
        <v>578863.17499999981</v>
      </c>
    </row>
    <row r="58" spans="2:26">
      <c r="C58" s="264" t="s">
        <v>155</v>
      </c>
      <c r="D58" s="266">
        <f>D53</f>
        <v>0</v>
      </c>
      <c r="E58" s="266">
        <f>E53</f>
        <v>1776400</v>
      </c>
      <c r="F58" s="266">
        <f>F53</f>
        <v>1776400</v>
      </c>
      <c r="G58" s="319">
        <f>F58/(F57+F58)</f>
        <v>0.75422569284640562</v>
      </c>
      <c r="H58" s="268" t="s">
        <v>156</v>
      </c>
    </row>
    <row r="59" spans="2:26" ht="13.5" thickBot="1"/>
    <row r="60" spans="2:26" ht="16.5" thickBot="1">
      <c r="B60" s="269" t="s">
        <v>157</v>
      </c>
      <c r="C60" s="270"/>
      <c r="D60" s="5130" t="s">
        <v>158</v>
      </c>
      <c r="E60" s="5131"/>
      <c r="F60" s="5131"/>
      <c r="G60" s="5131"/>
      <c r="H60" s="5131"/>
      <c r="K60" s="271"/>
    </row>
    <row r="61" spans="2:26"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c r="Y61" s="370"/>
    </row>
    <row r="62" spans="2:26"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c r="Z62" s="370"/>
    </row>
    <row r="63" spans="2:26">
      <c r="B63" s="282">
        <v>73</v>
      </c>
      <c r="C63" s="3052" t="s">
        <v>587</v>
      </c>
      <c r="D63" s="3052">
        <v>110</v>
      </c>
      <c r="E63" s="3052" t="s">
        <v>559</v>
      </c>
      <c r="F63" s="3052" t="s">
        <v>186</v>
      </c>
      <c r="G63" s="3054">
        <v>603</v>
      </c>
      <c r="H63" s="3054">
        <v>250</v>
      </c>
      <c r="I63" s="3055">
        <v>0.83</v>
      </c>
      <c r="J63" s="3053">
        <v>18</v>
      </c>
      <c r="K63" s="3053" t="s">
        <v>560</v>
      </c>
      <c r="L63" s="4157"/>
      <c r="M63" s="278">
        <f>Q63/O63</f>
        <v>2.99355304226762</v>
      </c>
      <c r="N63" s="278">
        <f>((L63/S63)+R63)/P63</f>
        <v>1.4412446901355302</v>
      </c>
      <c r="O63" s="3548">
        <f>(($I63*$F$57)+$V63)/$S63</f>
        <v>1878902.0735157698</v>
      </c>
      <c r="P63" s="3548">
        <f t="shared" ref="P63:P66" si="10">(($I63*$F$57)+($G63*$O13))/$S63</f>
        <v>3902594.0957792206</v>
      </c>
      <c r="Q63" s="3548">
        <f>IF(K63=0, 0, (HLOOKUP(K63,'[3]G-CESTD'!$A$5:$G$35,J63+1,FALSE)*R13))</f>
        <v>5624593.0182960723</v>
      </c>
      <c r="R63" s="3548">
        <f>IF(K63=0, 0, (HLOOKUP(K63,'[3]G-CESTD'!$A$5:$G$35,J63+1,FALSE)*R13))</f>
        <v>5624593.0182960723</v>
      </c>
      <c r="S63" s="3057">
        <v>1.0780000000000001</v>
      </c>
      <c r="T63" s="3056">
        <v>0</v>
      </c>
      <c r="U63" s="3056">
        <v>1545000</v>
      </c>
      <c r="V63" s="4150">
        <f t="shared" ref="V63:V66" si="11">O13*$H63</f>
        <v>1545000</v>
      </c>
      <c r="W63" s="322">
        <f t="shared" ref="W63:W81" si="12">V63/(V63+(I63*F$57))</f>
        <v>0.76279102977068092</v>
      </c>
      <c r="X63" s="322">
        <f t="shared" ref="X63:X81" si="13">(I63*((F$18*1.63)+F$28))/(V63+(I63*F$57))</f>
        <v>0.104530104333677</v>
      </c>
      <c r="Y63" s="322">
        <f t="shared" ref="Y63:Y81" si="14">(I63*F$38)/(V63+(I63*F$57))</f>
        <v>7.3761152005009534E-3</v>
      </c>
    </row>
    <row r="64" spans="2:26">
      <c r="B64" s="282">
        <v>74</v>
      </c>
      <c r="C64" s="3052" t="s">
        <v>588</v>
      </c>
      <c r="D64" s="3052">
        <v>119</v>
      </c>
      <c r="E64" s="3052" t="s">
        <v>559</v>
      </c>
      <c r="F64" s="3052" t="s">
        <v>186</v>
      </c>
      <c r="G64" s="3054">
        <v>1393</v>
      </c>
      <c r="H64" s="3054">
        <v>350</v>
      </c>
      <c r="I64" s="3055">
        <v>0.04</v>
      </c>
      <c r="J64" s="3053">
        <v>20</v>
      </c>
      <c r="K64" s="3053" t="s">
        <v>560</v>
      </c>
      <c r="L64" s="4157"/>
      <c r="M64" s="278">
        <f t="shared" ref="M64:M66" si="15">Q64/O64</f>
        <v>2.1037256906960002</v>
      </c>
      <c r="N64" s="278">
        <f t="shared" ref="N64:N66" si="16">((L64/S64)+R64)/P64</f>
        <v>0.72021434451530963</v>
      </c>
      <c r="O64" s="3548">
        <f t="shared" ref="O64:O66" si="17">(($I64*$F$57)+$V64)/$S64</f>
        <v>60440.192022263444</v>
      </c>
      <c r="P64" s="3548">
        <f t="shared" si="10"/>
        <v>176544.08812615954</v>
      </c>
      <c r="Q64" s="3548">
        <f>IF(K64=0, 0, (HLOOKUP(K64,'[3]G-CESTD'!$A$5:$G$35,J64+1,FALSE)*R14))</f>
        <v>127149.58470783505</v>
      </c>
      <c r="R64" s="3548">
        <f>IF(K64=0, 0, (HLOOKUP(K64,'[3]G-CESTD'!$A$5:$G$35,J64+1,FALSE)*R14))</f>
        <v>127149.58470783505</v>
      </c>
      <c r="S64" s="3057">
        <v>1.0780000000000001</v>
      </c>
      <c r="T64" s="3056">
        <v>0</v>
      </c>
      <c r="U64" s="3056">
        <v>42000</v>
      </c>
      <c r="V64" s="4150">
        <f t="shared" si="11"/>
        <v>42000</v>
      </c>
      <c r="W64" s="322">
        <f t="shared" si="12"/>
        <v>0.64462136299447015</v>
      </c>
      <c r="X64" s="322">
        <f t="shared" si="13"/>
        <v>0.15660354651949204</v>
      </c>
      <c r="Y64" s="322">
        <f t="shared" si="14"/>
        <v>1.1050651937048059E-2</v>
      </c>
    </row>
    <row r="65" spans="2:25">
      <c r="B65" s="282">
        <v>86</v>
      </c>
      <c r="C65" s="3052" t="s">
        <v>589</v>
      </c>
      <c r="D65" s="3052">
        <v>72</v>
      </c>
      <c r="E65" s="3052" t="s">
        <v>559</v>
      </c>
      <c r="F65" s="3052" t="s">
        <v>232</v>
      </c>
      <c r="G65" s="3054">
        <v>562</v>
      </c>
      <c r="H65" s="3054">
        <v>200</v>
      </c>
      <c r="I65" s="3055">
        <v>0.1</v>
      </c>
      <c r="J65" s="3053">
        <v>20</v>
      </c>
      <c r="K65" s="3053" t="s">
        <v>560</v>
      </c>
      <c r="L65" s="4157"/>
      <c r="M65" s="278">
        <f t="shared" si="15"/>
        <v>2.0974089412699297</v>
      </c>
      <c r="N65" s="278">
        <f t="shared" si="16"/>
        <v>0.99941547051701662</v>
      </c>
      <c r="O65" s="3548">
        <f t="shared" si="17"/>
        <v>136629.237012987</v>
      </c>
      <c r="P65" s="3548">
        <f t="shared" si="10"/>
        <v>286734.98840445268</v>
      </c>
      <c r="Q65" s="3548">
        <f>IF(K65=0, 0, (HLOOKUP(K65,'[3]G-CESTD'!$A$5:$G$35,J65+1,FALSE)*R15))</f>
        <v>286567.38334992738</v>
      </c>
      <c r="R65" s="3548">
        <f>IF(K65=0, 0, (HLOOKUP(K65,'[3]G-CESTD'!$A$5:$G$35,J65+1,FALSE)*R15))</f>
        <v>286567.38334992738</v>
      </c>
      <c r="S65" s="3057">
        <v>1.0780000000000001</v>
      </c>
      <c r="T65" s="3056">
        <v>0</v>
      </c>
      <c r="U65" s="3056">
        <v>89400</v>
      </c>
      <c r="V65" s="4150">
        <f t="shared" si="11"/>
        <v>89400</v>
      </c>
      <c r="W65" s="322">
        <f t="shared" si="12"/>
        <v>0.60698102524017561</v>
      </c>
      <c r="X65" s="322">
        <f t="shared" si="13"/>
        <v>0.17319039156505495</v>
      </c>
      <c r="Y65" s="322">
        <f t="shared" si="14"/>
        <v>1.2221094467922999E-2</v>
      </c>
    </row>
    <row r="66" spans="2:25">
      <c r="B66" s="282"/>
      <c r="C66" s="3052" t="s">
        <v>590</v>
      </c>
      <c r="D66" s="3052">
        <v>173</v>
      </c>
      <c r="E66" s="3052" t="s">
        <v>559</v>
      </c>
      <c r="F66" s="3052" t="s">
        <v>232</v>
      </c>
      <c r="G66" s="3054">
        <v>1526</v>
      </c>
      <c r="H66" s="3054">
        <v>800</v>
      </c>
      <c r="I66" s="3055">
        <v>0.03</v>
      </c>
      <c r="J66" s="3053">
        <v>18</v>
      </c>
      <c r="K66" s="3053" t="s">
        <v>560</v>
      </c>
      <c r="L66" s="4157"/>
      <c r="M66" s="278">
        <f t="shared" si="15"/>
        <v>1.6433985684599444</v>
      </c>
      <c r="N66" s="278">
        <f t="shared" si="16"/>
        <v>0.92678622172599179</v>
      </c>
      <c r="O66" s="3548">
        <f t="shared" si="17"/>
        <v>108873.74327458255</v>
      </c>
      <c r="P66" s="3548">
        <f t="shared" si="10"/>
        <v>193057.4167439703</v>
      </c>
      <c r="Q66" s="3548">
        <f>IF(K66=0, 0, (HLOOKUP(K66,'[3]G-CESTD'!$A$5:$G$35,J66+1,FALSE)*R16))</f>
        <v>178922.95384032445</v>
      </c>
      <c r="R66" s="3548">
        <f>IF(K66=0, 0, (HLOOKUP(K66,'[3]G-CESTD'!$A$5:$G$35,J66+1,FALSE)*R16))</f>
        <v>178922.95384032445</v>
      </c>
      <c r="S66" s="4153">
        <v>1.0780000000000001</v>
      </c>
      <c r="T66" s="3056">
        <v>0</v>
      </c>
      <c r="U66" s="3056">
        <v>100000</v>
      </c>
      <c r="V66" s="4150">
        <f t="shared" si="11"/>
        <v>100000</v>
      </c>
      <c r="W66" s="322">
        <f t="shared" si="12"/>
        <v>0.85203627328868348</v>
      </c>
      <c r="X66" s="322">
        <f t="shared" si="13"/>
        <v>6.5202693539714626E-2</v>
      </c>
      <c r="Y66" s="322">
        <f t="shared" si="14"/>
        <v>4.6009958757588908E-3</v>
      </c>
    </row>
    <row r="67" spans="2:25">
      <c r="B67" s="282"/>
      <c r="C67" s="3052" t="s">
        <v>366</v>
      </c>
      <c r="D67" s="3052">
        <v>67</v>
      </c>
      <c r="E67" s="3052" t="s">
        <v>559</v>
      </c>
      <c r="F67" s="3052" t="s">
        <v>232</v>
      </c>
      <c r="G67" s="3054">
        <v>745</v>
      </c>
      <c r="H67" s="3054">
        <v>300</v>
      </c>
      <c r="I67" s="3055">
        <v>0</v>
      </c>
      <c r="J67" s="3053">
        <v>20</v>
      </c>
      <c r="K67" s="3053" t="s">
        <v>560</v>
      </c>
      <c r="L67" s="4157"/>
      <c r="M67" s="3446" t="e">
        <v>#DIV/0!</v>
      </c>
      <c r="N67" s="3446" t="e">
        <v>#DIV/0!</v>
      </c>
      <c r="O67" s="3058">
        <v>0</v>
      </c>
      <c r="P67" s="3058">
        <v>0</v>
      </c>
      <c r="Q67" s="3058">
        <v>0</v>
      </c>
      <c r="R67" s="3058">
        <v>0</v>
      </c>
      <c r="S67" s="4153">
        <v>1.0780000000000001</v>
      </c>
      <c r="T67" s="3056">
        <v>0</v>
      </c>
      <c r="U67" s="3056">
        <v>0</v>
      </c>
      <c r="V67" s="3056">
        <v>0</v>
      </c>
      <c r="W67" s="322" t="e">
        <f t="shared" si="12"/>
        <v>#DIV/0!</v>
      </c>
      <c r="X67" s="322" t="e">
        <f t="shared" si="13"/>
        <v>#DIV/0!</v>
      </c>
      <c r="Y67" s="322" t="e">
        <f t="shared" si="14"/>
        <v>#DIV/0!</v>
      </c>
    </row>
    <row r="68" spans="2:25">
      <c r="B68" s="282"/>
      <c r="C68" s="282" t="s">
        <v>190</v>
      </c>
      <c r="D68" s="282">
        <v>0</v>
      </c>
      <c r="E68" s="282" t="s">
        <v>559</v>
      </c>
      <c r="F68" s="282" t="s">
        <v>186</v>
      </c>
      <c r="G68" s="283"/>
      <c r="H68" s="283"/>
      <c r="I68" s="311">
        <v>0</v>
      </c>
      <c r="J68" s="257"/>
      <c r="K68" s="257"/>
      <c r="L68" s="3574"/>
      <c r="M68" s="3447" t="e">
        <f t="shared" ref="M68:N101" si="18">Q68/O68</f>
        <v>#DIV/0!</v>
      </c>
      <c r="N68" s="3447" t="e">
        <f t="shared" si="18"/>
        <v>#DIV/0!</v>
      </c>
      <c r="O68" s="214">
        <f t="shared" ref="O68:O104" si="19">(($I68*$F$57)+$V68)/$S68</f>
        <v>0</v>
      </c>
      <c r="P68" s="214">
        <f t="shared" ref="P68:P104" si="20">(($I68*$F$57)+($G68*$O18))/$S68</f>
        <v>0</v>
      </c>
      <c r="Q68" s="214">
        <f>IF(K68=0, 0, (HLOOKUP(K68,'[1]G-CESTDWO'!$A$5:$G$35,J68+1,FALSE)*R18))</f>
        <v>0</v>
      </c>
      <c r="R68" s="214">
        <f>IF(K68=0, 0, (HLOOKUP(K68,'[1]G-CESTD'!$A$5:$G$35,J68+1,FALSE)*R18))</f>
        <v>0</v>
      </c>
      <c r="S68" s="4153">
        <v>1.0780000000000001</v>
      </c>
      <c r="T68" s="280">
        <f t="shared" ref="T68:T104" si="21">M18*$H68</f>
        <v>0</v>
      </c>
      <c r="U68" s="280">
        <f t="shared" ref="U68:U104" si="22">N18*$H68</f>
        <v>0</v>
      </c>
      <c r="V68" s="280">
        <f t="shared" ref="V68:V104" si="23">O18*$H68</f>
        <v>0</v>
      </c>
      <c r="W68" s="322" t="e">
        <f t="shared" si="12"/>
        <v>#DIV/0!</v>
      </c>
      <c r="X68" s="322" t="e">
        <f t="shared" si="13"/>
        <v>#DIV/0!</v>
      </c>
      <c r="Y68" s="322" t="e">
        <f t="shared" si="14"/>
        <v>#DIV/0!</v>
      </c>
    </row>
    <row r="69" spans="2:25">
      <c r="B69" s="282"/>
      <c r="C69" s="282" t="s">
        <v>191</v>
      </c>
      <c r="D69" s="257">
        <v>0</v>
      </c>
      <c r="E69" s="282" t="s">
        <v>559</v>
      </c>
      <c r="F69" s="282" t="s">
        <v>186</v>
      </c>
      <c r="G69" s="283"/>
      <c r="H69" s="283"/>
      <c r="I69" s="311">
        <v>0</v>
      </c>
      <c r="J69" s="257"/>
      <c r="K69" s="257"/>
      <c r="L69" s="3574"/>
      <c r="M69" s="3447" t="e">
        <f t="shared" si="18"/>
        <v>#DIV/0!</v>
      </c>
      <c r="N69" s="3447" t="e">
        <f t="shared" si="18"/>
        <v>#DIV/0!</v>
      </c>
      <c r="O69" s="214">
        <f t="shared" si="19"/>
        <v>0</v>
      </c>
      <c r="P69" s="214">
        <f t="shared" si="20"/>
        <v>0</v>
      </c>
      <c r="Q69" s="214">
        <f>IF(K69=0, 0, (HLOOKUP(K69,'[1]G-CESTDWO'!$A$5:$G$35,J69+1,FALSE)*R19))</f>
        <v>0</v>
      </c>
      <c r="R69" s="214">
        <f>IF(K69=0, 0, (HLOOKUP(K69,'[1]G-CESTD'!$A$5:$G$35,J69+1,FALSE)*R19))</f>
        <v>0</v>
      </c>
      <c r="S69" s="4153">
        <v>1.0780000000000001</v>
      </c>
      <c r="T69" s="280">
        <f t="shared" si="21"/>
        <v>0</v>
      </c>
      <c r="U69" s="280">
        <f t="shared" si="22"/>
        <v>0</v>
      </c>
      <c r="V69" s="280">
        <f t="shared" si="23"/>
        <v>0</v>
      </c>
      <c r="W69" s="322" t="e">
        <f t="shared" si="12"/>
        <v>#DIV/0!</v>
      </c>
      <c r="X69" s="322" t="e">
        <f t="shared" si="13"/>
        <v>#DIV/0!</v>
      </c>
      <c r="Y69" s="322" t="e">
        <f t="shared" si="14"/>
        <v>#DIV/0!</v>
      </c>
    </row>
    <row r="70" spans="2:25">
      <c r="B70" s="282"/>
      <c r="C70" s="282" t="s">
        <v>192</v>
      </c>
      <c r="D70" s="282">
        <v>0</v>
      </c>
      <c r="E70" s="282" t="s">
        <v>559</v>
      </c>
      <c r="F70" s="282" t="s">
        <v>186</v>
      </c>
      <c r="G70" s="283"/>
      <c r="H70" s="283"/>
      <c r="I70" s="311">
        <v>0</v>
      </c>
      <c r="J70" s="257"/>
      <c r="K70" s="257"/>
      <c r="L70" s="3574"/>
      <c r="M70" s="3447" t="e">
        <f t="shared" si="18"/>
        <v>#DIV/0!</v>
      </c>
      <c r="N70" s="3447" t="e">
        <f t="shared" si="18"/>
        <v>#DIV/0!</v>
      </c>
      <c r="O70" s="214">
        <f t="shared" si="19"/>
        <v>0</v>
      </c>
      <c r="P70" s="214">
        <f t="shared" si="20"/>
        <v>0</v>
      </c>
      <c r="Q70" s="214">
        <f>IF(K70=0, 0, (HLOOKUP(K70,'[1]G-CESTDWO'!$A$5:$G$35,J70+1,FALSE)*R20))</f>
        <v>0</v>
      </c>
      <c r="R70" s="214">
        <f>IF(K70=0, 0, (HLOOKUP(K70,'[1]G-CESTD'!$A$5:$G$35,J70+1,FALSE)*R20))</f>
        <v>0</v>
      </c>
      <c r="S70" s="4153">
        <v>1.0780000000000001</v>
      </c>
      <c r="T70" s="280">
        <f t="shared" si="21"/>
        <v>0</v>
      </c>
      <c r="U70" s="280">
        <f t="shared" si="22"/>
        <v>0</v>
      </c>
      <c r="V70" s="280">
        <f t="shared" si="23"/>
        <v>0</v>
      </c>
      <c r="W70" s="322" t="e">
        <f t="shared" si="12"/>
        <v>#DIV/0!</v>
      </c>
      <c r="X70" s="322" t="e">
        <f t="shared" si="13"/>
        <v>#DIV/0!</v>
      </c>
      <c r="Y70" s="322" t="e">
        <f t="shared" si="14"/>
        <v>#DIV/0!</v>
      </c>
    </row>
    <row r="71" spans="2:25">
      <c r="B71" s="282"/>
      <c r="C71" s="282" t="s">
        <v>193</v>
      </c>
      <c r="D71" s="257">
        <v>0</v>
      </c>
      <c r="E71" s="282" t="s">
        <v>559</v>
      </c>
      <c r="F71" s="282" t="s">
        <v>186</v>
      </c>
      <c r="G71" s="283"/>
      <c r="H71" s="283"/>
      <c r="I71" s="311">
        <v>0</v>
      </c>
      <c r="J71" s="257"/>
      <c r="K71" s="257"/>
      <c r="L71" s="3574"/>
      <c r="M71" s="3447" t="e">
        <f t="shared" si="18"/>
        <v>#DIV/0!</v>
      </c>
      <c r="N71" s="3447" t="e">
        <f t="shared" si="18"/>
        <v>#DIV/0!</v>
      </c>
      <c r="O71" s="214">
        <f t="shared" si="19"/>
        <v>0</v>
      </c>
      <c r="P71" s="214">
        <f t="shared" si="20"/>
        <v>0</v>
      </c>
      <c r="Q71" s="214">
        <f>IF(K71=0, 0, (HLOOKUP(K71,'[1]G-CESTDWO'!$A$5:$G$35,J71+1,FALSE)*R21))</f>
        <v>0</v>
      </c>
      <c r="R71" s="214">
        <f>IF(K71=0, 0, (HLOOKUP(K71,'[1]G-CESTD'!$A$5:$G$35,J71+1,FALSE)*R21))</f>
        <v>0</v>
      </c>
      <c r="S71" s="4153">
        <v>1.0780000000000001</v>
      </c>
      <c r="T71" s="280">
        <f t="shared" si="21"/>
        <v>0</v>
      </c>
      <c r="U71" s="280">
        <f t="shared" si="22"/>
        <v>0</v>
      </c>
      <c r="V71" s="280">
        <f t="shared" si="23"/>
        <v>0</v>
      </c>
      <c r="W71" s="322" t="e">
        <f t="shared" si="12"/>
        <v>#DIV/0!</v>
      </c>
      <c r="X71" s="322" t="e">
        <f t="shared" si="13"/>
        <v>#DIV/0!</v>
      </c>
      <c r="Y71" s="322" t="e">
        <f t="shared" si="14"/>
        <v>#DIV/0!</v>
      </c>
    </row>
    <row r="72" spans="2:25">
      <c r="B72" s="282"/>
      <c r="C72" s="282" t="s">
        <v>194</v>
      </c>
      <c r="D72" s="282">
        <v>0</v>
      </c>
      <c r="E72" s="282" t="s">
        <v>559</v>
      </c>
      <c r="F72" s="282" t="s">
        <v>186</v>
      </c>
      <c r="G72" s="283"/>
      <c r="H72" s="283"/>
      <c r="I72" s="311">
        <v>0</v>
      </c>
      <c r="J72" s="257"/>
      <c r="K72" s="257"/>
      <c r="L72" s="3574"/>
      <c r="M72" s="3447" t="e">
        <f t="shared" si="18"/>
        <v>#DIV/0!</v>
      </c>
      <c r="N72" s="3447" t="e">
        <f t="shared" si="18"/>
        <v>#DIV/0!</v>
      </c>
      <c r="O72" s="214">
        <f t="shared" si="19"/>
        <v>0</v>
      </c>
      <c r="P72" s="214">
        <f t="shared" si="20"/>
        <v>0</v>
      </c>
      <c r="Q72" s="214">
        <f>IF(K72=0, 0, (HLOOKUP(K72,'[1]G-CESTDWO'!$A$5:$G$35,J72+1,FALSE)*R22))</f>
        <v>0</v>
      </c>
      <c r="R72" s="214">
        <f>IF(K72=0, 0, (HLOOKUP(K72,'[1]G-CESTD'!$A$5:$G$35,J72+1,FALSE)*R22))</f>
        <v>0</v>
      </c>
      <c r="S72" s="4153">
        <v>1.0780000000000001</v>
      </c>
      <c r="T72" s="280">
        <f t="shared" si="21"/>
        <v>0</v>
      </c>
      <c r="U72" s="280">
        <f t="shared" si="22"/>
        <v>0</v>
      </c>
      <c r="V72" s="280">
        <f t="shared" si="23"/>
        <v>0</v>
      </c>
      <c r="W72" s="322" t="e">
        <f t="shared" si="12"/>
        <v>#DIV/0!</v>
      </c>
      <c r="X72" s="322" t="e">
        <f t="shared" si="13"/>
        <v>#DIV/0!</v>
      </c>
      <c r="Y72" s="322" t="e">
        <f t="shared" si="14"/>
        <v>#DIV/0!</v>
      </c>
    </row>
    <row r="73" spans="2:25">
      <c r="B73" s="282"/>
      <c r="C73" s="282" t="s">
        <v>195</v>
      </c>
      <c r="D73" s="257">
        <v>0</v>
      </c>
      <c r="E73" s="282" t="s">
        <v>559</v>
      </c>
      <c r="F73" s="282" t="s">
        <v>186</v>
      </c>
      <c r="G73" s="283"/>
      <c r="H73" s="283"/>
      <c r="I73" s="311">
        <v>0</v>
      </c>
      <c r="J73" s="257"/>
      <c r="K73" s="257"/>
      <c r="L73" s="3574"/>
      <c r="M73" s="3447" t="e">
        <f t="shared" si="18"/>
        <v>#DIV/0!</v>
      </c>
      <c r="N73" s="3447" t="e">
        <f t="shared" si="18"/>
        <v>#DIV/0!</v>
      </c>
      <c r="O73" s="214">
        <f t="shared" si="19"/>
        <v>0</v>
      </c>
      <c r="P73" s="214">
        <f t="shared" si="20"/>
        <v>0</v>
      </c>
      <c r="Q73" s="214">
        <f>IF(K73=0, 0, (HLOOKUP(K73,'[1]G-CESTDWO'!$A$5:$G$35,J73+1,FALSE)*R23))</f>
        <v>0</v>
      </c>
      <c r="R73" s="214">
        <f>IF(K73=0, 0, (HLOOKUP(K73,'[1]G-CESTD'!$A$5:$G$35,J73+1,FALSE)*R23))</f>
        <v>0</v>
      </c>
      <c r="S73" s="4153">
        <v>1.0780000000000001</v>
      </c>
      <c r="T73" s="280">
        <f t="shared" si="21"/>
        <v>0</v>
      </c>
      <c r="U73" s="280">
        <f t="shared" si="22"/>
        <v>0</v>
      </c>
      <c r="V73" s="280">
        <f t="shared" si="23"/>
        <v>0</v>
      </c>
      <c r="W73" s="322" t="e">
        <f t="shared" si="12"/>
        <v>#DIV/0!</v>
      </c>
      <c r="X73" s="322" t="e">
        <f t="shared" si="13"/>
        <v>#DIV/0!</v>
      </c>
      <c r="Y73" s="322" t="e">
        <f t="shared" si="14"/>
        <v>#DIV/0!</v>
      </c>
    </row>
    <row r="74" spans="2:25">
      <c r="B74" s="282"/>
      <c r="C74" s="282" t="s">
        <v>196</v>
      </c>
      <c r="D74" s="282">
        <v>0</v>
      </c>
      <c r="E74" s="282" t="s">
        <v>559</v>
      </c>
      <c r="F74" s="282" t="s">
        <v>186</v>
      </c>
      <c r="G74" s="283"/>
      <c r="H74" s="283"/>
      <c r="I74" s="311">
        <v>0</v>
      </c>
      <c r="J74" s="257"/>
      <c r="K74" s="257"/>
      <c r="L74" s="3574"/>
      <c r="M74" s="3447" t="e">
        <f t="shared" si="18"/>
        <v>#DIV/0!</v>
      </c>
      <c r="N74" s="3447" t="e">
        <f t="shared" si="18"/>
        <v>#DIV/0!</v>
      </c>
      <c r="O74" s="214">
        <f t="shared" si="19"/>
        <v>0</v>
      </c>
      <c r="P74" s="214">
        <f t="shared" si="20"/>
        <v>0</v>
      </c>
      <c r="Q74" s="214">
        <f>IF(K74=0, 0, (HLOOKUP(K74,'[1]G-CESTDWO'!$A$5:$G$35,J74+1,FALSE)*R24))</f>
        <v>0</v>
      </c>
      <c r="R74" s="214">
        <f>IF(K74=0, 0, (HLOOKUP(K74,'[1]G-CESTD'!$A$5:$G$35,J74+1,FALSE)*R24))</f>
        <v>0</v>
      </c>
      <c r="S74" s="4153">
        <v>1.0780000000000001</v>
      </c>
      <c r="T74" s="280">
        <f t="shared" si="21"/>
        <v>0</v>
      </c>
      <c r="U74" s="280">
        <f t="shared" si="22"/>
        <v>0</v>
      </c>
      <c r="V74" s="280">
        <f t="shared" si="23"/>
        <v>0</v>
      </c>
      <c r="W74" s="322" t="e">
        <f t="shared" si="12"/>
        <v>#DIV/0!</v>
      </c>
      <c r="X74" s="322" t="e">
        <f t="shared" si="13"/>
        <v>#DIV/0!</v>
      </c>
      <c r="Y74" s="322" t="e">
        <f t="shared" si="14"/>
        <v>#DIV/0!</v>
      </c>
    </row>
    <row r="75" spans="2:25">
      <c r="B75" s="282"/>
      <c r="C75" s="282" t="s">
        <v>197</v>
      </c>
      <c r="D75" s="257">
        <v>0</v>
      </c>
      <c r="E75" s="282" t="s">
        <v>559</v>
      </c>
      <c r="F75" s="282" t="s">
        <v>186</v>
      </c>
      <c r="G75" s="283"/>
      <c r="H75" s="283"/>
      <c r="I75" s="311">
        <v>0</v>
      </c>
      <c r="J75" s="257"/>
      <c r="K75" s="257"/>
      <c r="L75" s="3574"/>
      <c r="M75" s="3447" t="e">
        <f t="shared" si="18"/>
        <v>#DIV/0!</v>
      </c>
      <c r="N75" s="3447" t="e">
        <f t="shared" si="18"/>
        <v>#DIV/0!</v>
      </c>
      <c r="O75" s="214">
        <f t="shared" si="19"/>
        <v>0</v>
      </c>
      <c r="P75" s="214">
        <f t="shared" si="20"/>
        <v>0</v>
      </c>
      <c r="Q75" s="214">
        <f>IF(K75=0, 0, (HLOOKUP(K75,'[1]G-CESTDWO'!$A$5:$G$35,J75+1,FALSE)*R25))</f>
        <v>0</v>
      </c>
      <c r="R75" s="214">
        <f>IF(K75=0, 0, (HLOOKUP(K75,'[1]G-CESTD'!$A$5:$G$35,J75+1,FALSE)*R25))</f>
        <v>0</v>
      </c>
      <c r="S75" s="4153">
        <v>1.0780000000000001</v>
      </c>
      <c r="T75" s="280">
        <f t="shared" si="21"/>
        <v>0</v>
      </c>
      <c r="U75" s="280">
        <f t="shared" si="22"/>
        <v>0</v>
      </c>
      <c r="V75" s="280">
        <f t="shared" si="23"/>
        <v>0</v>
      </c>
      <c r="W75" s="322" t="e">
        <f t="shared" si="12"/>
        <v>#DIV/0!</v>
      </c>
      <c r="X75" s="322" t="e">
        <f t="shared" si="13"/>
        <v>#DIV/0!</v>
      </c>
      <c r="Y75" s="322" t="e">
        <f t="shared" si="14"/>
        <v>#DIV/0!</v>
      </c>
    </row>
    <row r="76" spans="2:25">
      <c r="B76" s="282"/>
      <c r="C76" s="282" t="s">
        <v>198</v>
      </c>
      <c r="D76" s="282">
        <v>0</v>
      </c>
      <c r="E76" s="282" t="s">
        <v>559</v>
      </c>
      <c r="F76" s="282" t="s">
        <v>186</v>
      </c>
      <c r="G76" s="283"/>
      <c r="H76" s="283"/>
      <c r="I76" s="311">
        <v>0</v>
      </c>
      <c r="J76" s="257"/>
      <c r="K76" s="257"/>
      <c r="L76" s="3574"/>
      <c r="M76" s="3447" t="e">
        <f t="shared" si="18"/>
        <v>#DIV/0!</v>
      </c>
      <c r="N76" s="3447" t="e">
        <f t="shared" si="18"/>
        <v>#DIV/0!</v>
      </c>
      <c r="O76" s="214">
        <f t="shared" si="19"/>
        <v>0</v>
      </c>
      <c r="P76" s="214">
        <f t="shared" si="20"/>
        <v>0</v>
      </c>
      <c r="Q76" s="214">
        <f>IF(K76=0, 0, (HLOOKUP(K76,'[1]G-CESTDWO'!$A$5:$G$35,J76+1,FALSE)*R26))</f>
        <v>0</v>
      </c>
      <c r="R76" s="214">
        <f>IF(K76=0, 0, (HLOOKUP(K76,'[1]G-CESTD'!$A$5:$G$35,J76+1,FALSE)*R26))</f>
        <v>0</v>
      </c>
      <c r="S76" s="4153">
        <v>1.0780000000000001</v>
      </c>
      <c r="T76" s="280">
        <f t="shared" si="21"/>
        <v>0</v>
      </c>
      <c r="U76" s="280">
        <f t="shared" si="22"/>
        <v>0</v>
      </c>
      <c r="V76" s="280">
        <f t="shared" si="23"/>
        <v>0</v>
      </c>
      <c r="W76" s="322" t="e">
        <f t="shared" si="12"/>
        <v>#DIV/0!</v>
      </c>
      <c r="X76" s="322" t="e">
        <f t="shared" si="13"/>
        <v>#DIV/0!</v>
      </c>
      <c r="Y76" s="322" t="e">
        <f t="shared" si="14"/>
        <v>#DIV/0!</v>
      </c>
    </row>
    <row r="77" spans="2:25">
      <c r="B77" s="282"/>
      <c r="C77" s="282" t="s">
        <v>199</v>
      </c>
      <c r="D77" s="257">
        <v>0</v>
      </c>
      <c r="E77" s="282" t="s">
        <v>559</v>
      </c>
      <c r="F77" s="282" t="s">
        <v>186</v>
      </c>
      <c r="G77" s="283"/>
      <c r="H77" s="283"/>
      <c r="I77" s="311">
        <v>0</v>
      </c>
      <c r="J77" s="257"/>
      <c r="K77" s="257"/>
      <c r="L77" s="3574"/>
      <c r="M77" s="3447" t="e">
        <f t="shared" si="18"/>
        <v>#DIV/0!</v>
      </c>
      <c r="N77" s="3447" t="e">
        <f t="shared" si="18"/>
        <v>#DIV/0!</v>
      </c>
      <c r="O77" s="214">
        <f t="shared" si="19"/>
        <v>0</v>
      </c>
      <c r="P77" s="214">
        <f t="shared" si="20"/>
        <v>0</v>
      </c>
      <c r="Q77" s="214">
        <f>IF(K77=0, 0, (HLOOKUP(K77,'[1]G-CESTDWO'!$A$5:$G$35,J77+1,FALSE)*R27))</f>
        <v>0</v>
      </c>
      <c r="R77" s="214">
        <f>IF(K77=0, 0, (HLOOKUP(K77,'[1]G-CESTD'!$A$5:$G$35,J77+1,FALSE)*R27))</f>
        <v>0</v>
      </c>
      <c r="S77" s="4153">
        <v>1.0780000000000001</v>
      </c>
      <c r="T77" s="280">
        <f t="shared" si="21"/>
        <v>0</v>
      </c>
      <c r="U77" s="280">
        <f t="shared" si="22"/>
        <v>0</v>
      </c>
      <c r="V77" s="280">
        <f t="shared" si="23"/>
        <v>0</v>
      </c>
      <c r="W77" s="322" t="e">
        <f t="shared" si="12"/>
        <v>#DIV/0!</v>
      </c>
      <c r="X77" s="322" t="e">
        <f t="shared" si="13"/>
        <v>#DIV/0!</v>
      </c>
      <c r="Y77" s="322" t="e">
        <f t="shared" si="14"/>
        <v>#DIV/0!</v>
      </c>
    </row>
    <row r="78" spans="2:25">
      <c r="B78" s="282"/>
      <c r="C78" s="282" t="s">
        <v>200</v>
      </c>
      <c r="D78" s="282">
        <v>0</v>
      </c>
      <c r="E78" s="282" t="s">
        <v>559</v>
      </c>
      <c r="F78" s="282" t="s">
        <v>186</v>
      </c>
      <c r="G78" s="283"/>
      <c r="H78" s="283"/>
      <c r="I78" s="311">
        <v>0</v>
      </c>
      <c r="J78" s="257"/>
      <c r="K78" s="257"/>
      <c r="L78" s="3574"/>
      <c r="M78" s="3447" t="e">
        <f t="shared" si="18"/>
        <v>#DIV/0!</v>
      </c>
      <c r="N78" s="3447" t="e">
        <f t="shared" si="18"/>
        <v>#DIV/0!</v>
      </c>
      <c r="O78" s="214">
        <f t="shared" si="19"/>
        <v>0</v>
      </c>
      <c r="P78" s="214">
        <f t="shared" si="20"/>
        <v>0</v>
      </c>
      <c r="Q78" s="214">
        <f>IF(K78=0, 0, (HLOOKUP(K78,'[1]G-CESTDWO'!$A$5:$G$35,J78+1,FALSE)*R28))</f>
        <v>0</v>
      </c>
      <c r="R78" s="214">
        <f>IF(K78=0, 0, (HLOOKUP(K78,'[1]G-CESTD'!$A$5:$G$35,J78+1,FALSE)*R28))</f>
        <v>0</v>
      </c>
      <c r="S78" s="4153">
        <v>1.0780000000000001</v>
      </c>
      <c r="T78" s="280">
        <f t="shared" si="21"/>
        <v>0</v>
      </c>
      <c r="U78" s="280">
        <f t="shared" si="22"/>
        <v>0</v>
      </c>
      <c r="V78" s="280">
        <f t="shared" si="23"/>
        <v>0</v>
      </c>
      <c r="W78" s="322" t="e">
        <f t="shared" si="12"/>
        <v>#DIV/0!</v>
      </c>
      <c r="X78" s="322" t="e">
        <f t="shared" si="13"/>
        <v>#DIV/0!</v>
      </c>
      <c r="Y78" s="322" t="e">
        <f t="shared" si="14"/>
        <v>#DIV/0!</v>
      </c>
    </row>
    <row r="79" spans="2:25">
      <c r="B79" s="282"/>
      <c r="C79" s="282" t="s">
        <v>201</v>
      </c>
      <c r="D79" s="257">
        <v>0</v>
      </c>
      <c r="E79" s="282" t="s">
        <v>559</v>
      </c>
      <c r="F79" s="282" t="s">
        <v>186</v>
      </c>
      <c r="G79" s="283"/>
      <c r="H79" s="283"/>
      <c r="I79" s="311">
        <v>0</v>
      </c>
      <c r="J79" s="257"/>
      <c r="K79" s="257"/>
      <c r="L79" s="3574"/>
      <c r="M79" s="3447" t="e">
        <f t="shared" si="18"/>
        <v>#DIV/0!</v>
      </c>
      <c r="N79" s="3447" t="e">
        <f t="shared" si="18"/>
        <v>#DIV/0!</v>
      </c>
      <c r="O79" s="214">
        <f t="shared" si="19"/>
        <v>0</v>
      </c>
      <c r="P79" s="214">
        <f t="shared" si="20"/>
        <v>0</v>
      </c>
      <c r="Q79" s="214">
        <f>IF(K79=0, 0, (HLOOKUP(K79,'[1]G-CESTDWO'!$A$5:$G$35,J79+1,FALSE)*R29))</f>
        <v>0</v>
      </c>
      <c r="R79" s="214">
        <f>IF(K79=0, 0, (HLOOKUP(K79,'[1]G-CESTD'!$A$5:$G$35,J79+1,FALSE)*R29))</f>
        <v>0</v>
      </c>
      <c r="S79" s="4153">
        <v>1.0780000000000001</v>
      </c>
      <c r="T79" s="280">
        <f t="shared" si="21"/>
        <v>0</v>
      </c>
      <c r="U79" s="280">
        <f t="shared" si="22"/>
        <v>0</v>
      </c>
      <c r="V79" s="280">
        <f t="shared" si="23"/>
        <v>0</v>
      </c>
      <c r="W79" s="322" t="e">
        <f t="shared" si="12"/>
        <v>#DIV/0!</v>
      </c>
      <c r="X79" s="322" t="e">
        <f t="shared" si="13"/>
        <v>#DIV/0!</v>
      </c>
      <c r="Y79" s="322" t="e">
        <f t="shared" si="14"/>
        <v>#DIV/0!</v>
      </c>
    </row>
    <row r="80" spans="2:25">
      <c r="B80" s="282"/>
      <c r="C80" s="282" t="s">
        <v>202</v>
      </c>
      <c r="D80" s="282">
        <v>0</v>
      </c>
      <c r="E80" s="282" t="s">
        <v>559</v>
      </c>
      <c r="F80" s="282" t="s">
        <v>186</v>
      </c>
      <c r="G80" s="283"/>
      <c r="H80" s="283"/>
      <c r="I80" s="311">
        <v>0</v>
      </c>
      <c r="J80" s="257"/>
      <c r="K80" s="257"/>
      <c r="L80" s="3574"/>
      <c r="M80" s="3447" t="e">
        <f t="shared" si="18"/>
        <v>#DIV/0!</v>
      </c>
      <c r="N80" s="3447" t="e">
        <f t="shared" si="18"/>
        <v>#DIV/0!</v>
      </c>
      <c r="O80" s="214">
        <f t="shared" si="19"/>
        <v>0</v>
      </c>
      <c r="P80" s="214">
        <f t="shared" si="20"/>
        <v>0</v>
      </c>
      <c r="Q80" s="214">
        <f>IF(K80=0, 0, (HLOOKUP(K80,'[1]G-CESTDWO'!$A$5:$G$35,J80+1,FALSE)*R30))</f>
        <v>0</v>
      </c>
      <c r="R80" s="214">
        <f>IF(K80=0, 0, (HLOOKUP(K80,'[1]G-CESTD'!$A$5:$G$35,J80+1,FALSE)*R30))</f>
        <v>0</v>
      </c>
      <c r="S80" s="4153">
        <v>1.0780000000000001</v>
      </c>
      <c r="T80" s="280">
        <f t="shared" si="21"/>
        <v>0</v>
      </c>
      <c r="U80" s="280">
        <f t="shared" si="22"/>
        <v>0</v>
      </c>
      <c r="V80" s="280">
        <f t="shared" si="23"/>
        <v>0</v>
      </c>
      <c r="W80" s="322" t="e">
        <f t="shared" si="12"/>
        <v>#DIV/0!</v>
      </c>
      <c r="X80" s="322" t="e">
        <f t="shared" si="13"/>
        <v>#DIV/0!</v>
      </c>
      <c r="Y80" s="322" t="e">
        <f t="shared" si="14"/>
        <v>#DIV/0!</v>
      </c>
    </row>
    <row r="81" spans="2:25">
      <c r="B81" s="282"/>
      <c r="C81" s="282" t="s">
        <v>203</v>
      </c>
      <c r="D81" s="282">
        <v>0</v>
      </c>
      <c r="E81" s="282" t="s">
        <v>559</v>
      </c>
      <c r="F81" s="282" t="s">
        <v>186</v>
      </c>
      <c r="G81" s="283"/>
      <c r="H81" s="283"/>
      <c r="I81" s="311">
        <v>0</v>
      </c>
      <c r="J81" s="257"/>
      <c r="K81" s="257"/>
      <c r="L81" s="3574"/>
      <c r="M81" s="3447" t="e">
        <f t="shared" si="18"/>
        <v>#DIV/0!</v>
      </c>
      <c r="N81" s="3447" t="e">
        <f t="shared" si="18"/>
        <v>#DIV/0!</v>
      </c>
      <c r="O81" s="214">
        <f t="shared" si="19"/>
        <v>0</v>
      </c>
      <c r="P81" s="214">
        <f t="shared" si="20"/>
        <v>0</v>
      </c>
      <c r="Q81" s="214">
        <f>IF(K81=0, 0, (HLOOKUP(K81,'[1]G-CESTDWO'!$A$5:$G$35,J81+1,FALSE)*R31))</f>
        <v>0</v>
      </c>
      <c r="R81" s="214">
        <f>IF(K81=0, 0, (HLOOKUP(K81,'[1]G-CESTD'!$A$5:$G$35,J81+1,FALSE)*R31))</f>
        <v>0</v>
      </c>
      <c r="S81" s="4153">
        <v>1.0780000000000001</v>
      </c>
      <c r="T81" s="280">
        <f t="shared" si="21"/>
        <v>0</v>
      </c>
      <c r="U81" s="280">
        <f t="shared" si="22"/>
        <v>0</v>
      </c>
      <c r="V81" s="280">
        <f t="shared" si="23"/>
        <v>0</v>
      </c>
      <c r="W81" s="322" t="e">
        <f t="shared" si="12"/>
        <v>#DIV/0!</v>
      </c>
      <c r="X81" s="322" t="e">
        <f t="shared" si="13"/>
        <v>#DIV/0!</v>
      </c>
      <c r="Y81" s="322" t="e">
        <f t="shared" si="14"/>
        <v>#DIV/0!</v>
      </c>
    </row>
    <row r="82" spans="2:25">
      <c r="B82" s="282"/>
      <c r="C82" s="282" t="s">
        <v>204</v>
      </c>
      <c r="D82" s="282">
        <v>0</v>
      </c>
      <c r="E82" s="282" t="s">
        <v>559</v>
      </c>
      <c r="F82" s="282" t="s">
        <v>186</v>
      </c>
      <c r="G82" s="283"/>
      <c r="H82" s="283"/>
      <c r="I82" s="311">
        <v>0</v>
      </c>
      <c r="J82" s="257"/>
      <c r="K82" s="257"/>
      <c r="L82" s="3574"/>
      <c r="M82" s="3447" t="e">
        <f t="shared" si="18"/>
        <v>#DIV/0!</v>
      </c>
      <c r="N82" s="3447" t="e">
        <f t="shared" si="18"/>
        <v>#DIV/0!</v>
      </c>
      <c r="O82" s="214">
        <f t="shared" si="19"/>
        <v>0</v>
      </c>
      <c r="P82" s="214">
        <f t="shared" si="20"/>
        <v>0</v>
      </c>
      <c r="Q82" s="214">
        <f>IF(K82=0, 0, (HLOOKUP(K82,'[1]G-CESTDWO'!$A$5:$G$35,J82+1,FALSE)*R32))</f>
        <v>0</v>
      </c>
      <c r="R82" s="214">
        <f>IF(K82=0, 0, (HLOOKUP(K82,'[1]G-CESTD'!$A$5:$G$35,J82+1,FALSE)*R32))</f>
        <v>0</v>
      </c>
      <c r="S82" s="4153">
        <v>1.0780000000000001</v>
      </c>
      <c r="T82" s="280">
        <f t="shared" si="21"/>
        <v>0</v>
      </c>
      <c r="U82" s="280">
        <f t="shared" si="22"/>
        <v>0</v>
      </c>
      <c r="V82" s="280">
        <f t="shared" si="23"/>
        <v>0</v>
      </c>
    </row>
    <row r="83" spans="2:25">
      <c r="B83" s="282"/>
      <c r="C83" s="282" t="s">
        <v>205</v>
      </c>
      <c r="D83" s="285">
        <v>0</v>
      </c>
      <c r="E83" s="282" t="s">
        <v>559</v>
      </c>
      <c r="F83" s="282" t="s">
        <v>186</v>
      </c>
      <c r="G83" s="283"/>
      <c r="H83" s="283"/>
      <c r="I83" s="311">
        <v>0</v>
      </c>
      <c r="J83" s="257"/>
      <c r="K83" s="257"/>
      <c r="L83" s="3574"/>
      <c r="M83" s="3447" t="e">
        <f t="shared" si="18"/>
        <v>#DIV/0!</v>
      </c>
      <c r="N83" s="3447" t="e">
        <f t="shared" si="18"/>
        <v>#DIV/0!</v>
      </c>
      <c r="O83" s="214">
        <f t="shared" si="19"/>
        <v>0</v>
      </c>
      <c r="P83" s="214">
        <f t="shared" si="20"/>
        <v>0</v>
      </c>
      <c r="Q83" s="214">
        <f>IF(K83=0, 0, (HLOOKUP(K83,'[1]G-CESTDWO'!$A$5:$G$35,J83+1,FALSE)*R33))</f>
        <v>0</v>
      </c>
      <c r="R83" s="214">
        <f>IF(K83=0, 0, (HLOOKUP(K83,'[1]G-CESTD'!$A$5:$G$35,J83+1,FALSE)*R33))</f>
        <v>0</v>
      </c>
      <c r="S83" s="4153">
        <v>1.0780000000000001</v>
      </c>
      <c r="T83" s="280">
        <f t="shared" si="21"/>
        <v>0</v>
      </c>
      <c r="U83" s="280">
        <f t="shared" si="22"/>
        <v>0</v>
      </c>
      <c r="V83" s="280">
        <f t="shared" si="23"/>
        <v>0</v>
      </c>
    </row>
    <row r="84" spans="2:25">
      <c r="B84" s="282"/>
      <c r="C84" s="282" t="s">
        <v>206</v>
      </c>
      <c r="D84" s="285">
        <v>0</v>
      </c>
      <c r="E84" s="282" t="s">
        <v>559</v>
      </c>
      <c r="F84" s="282" t="s">
        <v>186</v>
      </c>
      <c r="G84" s="283"/>
      <c r="H84" s="283"/>
      <c r="I84" s="311">
        <v>0</v>
      </c>
      <c r="J84" s="257"/>
      <c r="K84" s="257"/>
      <c r="L84" s="3574"/>
      <c r="M84" s="3447" t="e">
        <f t="shared" si="18"/>
        <v>#DIV/0!</v>
      </c>
      <c r="N84" s="3447" t="e">
        <f t="shared" si="18"/>
        <v>#DIV/0!</v>
      </c>
      <c r="O84" s="214">
        <f t="shared" si="19"/>
        <v>0</v>
      </c>
      <c r="P84" s="214">
        <f t="shared" si="20"/>
        <v>0</v>
      </c>
      <c r="Q84" s="214">
        <f>IF(K84=0, 0, (HLOOKUP(K84,'[1]G-CESTDWO'!$A$5:$G$35,J84+1,FALSE)*R34))</f>
        <v>0</v>
      </c>
      <c r="R84" s="214">
        <f>IF(K84=0, 0, (HLOOKUP(K84,'[1]G-CESTD'!$A$5:$G$35,J84+1,FALSE)*R34))</f>
        <v>0</v>
      </c>
      <c r="S84" s="4153">
        <v>1.0780000000000001</v>
      </c>
      <c r="T84" s="280">
        <f t="shared" si="21"/>
        <v>0</v>
      </c>
      <c r="U84" s="280">
        <f t="shared" si="22"/>
        <v>0</v>
      </c>
      <c r="V84" s="280">
        <f t="shared" si="23"/>
        <v>0</v>
      </c>
    </row>
    <row r="85" spans="2:25">
      <c r="B85" s="282"/>
      <c r="C85" s="282" t="s">
        <v>207</v>
      </c>
      <c r="D85" s="285">
        <v>0</v>
      </c>
      <c r="E85" s="282" t="s">
        <v>559</v>
      </c>
      <c r="F85" s="282" t="s">
        <v>186</v>
      </c>
      <c r="G85" s="283"/>
      <c r="H85" s="283"/>
      <c r="I85" s="311">
        <v>0</v>
      </c>
      <c r="J85" s="257"/>
      <c r="K85" s="257"/>
      <c r="L85" s="3574"/>
      <c r="M85" s="3447" t="e">
        <f t="shared" si="18"/>
        <v>#DIV/0!</v>
      </c>
      <c r="N85" s="3447" t="e">
        <f t="shared" si="18"/>
        <v>#DIV/0!</v>
      </c>
      <c r="O85" s="214">
        <f t="shared" si="19"/>
        <v>0</v>
      </c>
      <c r="P85" s="214">
        <f t="shared" si="20"/>
        <v>0</v>
      </c>
      <c r="Q85" s="214">
        <f>IF(K85=0, 0, (HLOOKUP(K85,'[1]G-CESTDWO'!$A$5:$G$35,J85+1,FALSE)*R35))</f>
        <v>0</v>
      </c>
      <c r="R85" s="214">
        <f>IF(K85=0, 0, (HLOOKUP(K85,'[1]G-CESTD'!$A$5:$G$35,J85+1,FALSE)*R35))</f>
        <v>0</v>
      </c>
      <c r="S85" s="4153">
        <v>1.0780000000000001</v>
      </c>
      <c r="T85" s="280">
        <f t="shared" si="21"/>
        <v>0</v>
      </c>
      <c r="U85" s="280">
        <f t="shared" si="22"/>
        <v>0</v>
      </c>
      <c r="V85" s="280">
        <f t="shared" si="23"/>
        <v>0</v>
      </c>
    </row>
    <row r="86" spans="2:25">
      <c r="B86" s="282"/>
      <c r="C86" s="282" t="s">
        <v>208</v>
      </c>
      <c r="D86" s="285">
        <v>0</v>
      </c>
      <c r="E86" s="282" t="s">
        <v>559</v>
      </c>
      <c r="F86" s="282" t="s">
        <v>186</v>
      </c>
      <c r="G86" s="283"/>
      <c r="H86" s="283"/>
      <c r="I86" s="311">
        <v>0</v>
      </c>
      <c r="J86" s="257"/>
      <c r="K86" s="257"/>
      <c r="L86" s="3574"/>
      <c r="M86" s="3447" t="e">
        <f t="shared" si="18"/>
        <v>#DIV/0!</v>
      </c>
      <c r="N86" s="3447" t="e">
        <f t="shared" si="18"/>
        <v>#DIV/0!</v>
      </c>
      <c r="O86" s="214">
        <f t="shared" si="19"/>
        <v>0</v>
      </c>
      <c r="P86" s="214">
        <f t="shared" si="20"/>
        <v>0</v>
      </c>
      <c r="Q86" s="214">
        <f>IF(K86=0, 0, (HLOOKUP(K86,'[1]G-CESTDWO'!$A$5:$G$35,J86+1,FALSE)*R36))</f>
        <v>0</v>
      </c>
      <c r="R86" s="214">
        <f>IF(K86=0, 0, (HLOOKUP(K86,'[1]G-CESTD'!$A$5:$G$35,J86+1,FALSE)*R36))</f>
        <v>0</v>
      </c>
      <c r="S86" s="4153">
        <v>1.0780000000000001</v>
      </c>
      <c r="T86" s="280">
        <f t="shared" si="21"/>
        <v>0</v>
      </c>
      <c r="U86" s="280">
        <f t="shared" si="22"/>
        <v>0</v>
      </c>
      <c r="V86" s="280">
        <f t="shared" si="23"/>
        <v>0</v>
      </c>
    </row>
    <row r="87" spans="2:25">
      <c r="B87" s="282"/>
      <c r="C87" s="282" t="s">
        <v>209</v>
      </c>
      <c r="D87" s="285">
        <v>0</v>
      </c>
      <c r="E87" s="282" t="s">
        <v>559</v>
      </c>
      <c r="F87" s="282" t="s">
        <v>186</v>
      </c>
      <c r="G87" s="283"/>
      <c r="H87" s="283"/>
      <c r="I87" s="311">
        <v>0</v>
      </c>
      <c r="J87" s="257"/>
      <c r="K87" s="257"/>
      <c r="L87" s="3574"/>
      <c r="M87" s="3447" t="e">
        <f t="shared" si="18"/>
        <v>#DIV/0!</v>
      </c>
      <c r="N87" s="3447" t="e">
        <f t="shared" si="18"/>
        <v>#DIV/0!</v>
      </c>
      <c r="O87" s="214">
        <f t="shared" si="19"/>
        <v>0</v>
      </c>
      <c r="P87" s="214">
        <f t="shared" si="20"/>
        <v>0</v>
      </c>
      <c r="Q87" s="214">
        <f>IF(K87=0, 0, (HLOOKUP(K87,'[1]G-CESTDWO'!$A$5:$G$35,J87+1,FALSE)*R37))</f>
        <v>0</v>
      </c>
      <c r="R87" s="214">
        <f>IF(K87=0, 0, (HLOOKUP(K87,'[1]G-CESTD'!$A$5:$G$35,J87+1,FALSE)*R37))</f>
        <v>0</v>
      </c>
      <c r="S87" s="4153">
        <v>1.0780000000000001</v>
      </c>
      <c r="T87" s="280">
        <f t="shared" si="21"/>
        <v>0</v>
      </c>
      <c r="U87" s="280">
        <f t="shared" si="22"/>
        <v>0</v>
      </c>
      <c r="V87" s="280">
        <f t="shared" si="23"/>
        <v>0</v>
      </c>
    </row>
    <row r="88" spans="2:25">
      <c r="B88" s="282"/>
      <c r="C88" s="282" t="s">
        <v>210</v>
      </c>
      <c r="D88" s="285">
        <v>0</v>
      </c>
      <c r="E88" s="282" t="s">
        <v>559</v>
      </c>
      <c r="F88" s="282" t="s">
        <v>186</v>
      </c>
      <c r="G88" s="283"/>
      <c r="H88" s="283"/>
      <c r="I88" s="311">
        <v>0</v>
      </c>
      <c r="J88" s="257"/>
      <c r="K88" s="257"/>
      <c r="L88" s="3574"/>
      <c r="M88" s="3447" t="e">
        <f t="shared" si="18"/>
        <v>#DIV/0!</v>
      </c>
      <c r="N88" s="3447" t="e">
        <f t="shared" si="18"/>
        <v>#DIV/0!</v>
      </c>
      <c r="O88" s="214">
        <f t="shared" si="19"/>
        <v>0</v>
      </c>
      <c r="P88" s="214">
        <f t="shared" si="20"/>
        <v>0</v>
      </c>
      <c r="Q88" s="214">
        <f>IF(K88=0, 0, (HLOOKUP(K88,'[1]G-CESTDWO'!$A$5:$G$35,J88+1,FALSE)*R38))</f>
        <v>0</v>
      </c>
      <c r="R88" s="214">
        <f>IF(K88=0, 0, (HLOOKUP(K88,'[1]G-CESTD'!$A$5:$G$35,J88+1,FALSE)*R38))</f>
        <v>0</v>
      </c>
      <c r="S88" s="4153">
        <v>1.0780000000000001</v>
      </c>
      <c r="T88" s="280">
        <f t="shared" si="21"/>
        <v>0</v>
      </c>
      <c r="U88" s="280">
        <f t="shared" si="22"/>
        <v>0</v>
      </c>
      <c r="V88" s="280">
        <f t="shared" si="23"/>
        <v>0</v>
      </c>
    </row>
    <row r="89" spans="2:25">
      <c r="B89" s="282"/>
      <c r="C89" s="282" t="s">
        <v>211</v>
      </c>
      <c r="D89" s="285">
        <v>0</v>
      </c>
      <c r="E89" s="282" t="s">
        <v>559</v>
      </c>
      <c r="F89" s="282" t="s">
        <v>186</v>
      </c>
      <c r="G89" s="283"/>
      <c r="H89" s="283"/>
      <c r="I89" s="311">
        <v>0</v>
      </c>
      <c r="J89" s="257"/>
      <c r="K89" s="257"/>
      <c r="L89" s="3574"/>
      <c r="M89" s="3447" t="e">
        <f t="shared" si="18"/>
        <v>#DIV/0!</v>
      </c>
      <c r="N89" s="3447" t="e">
        <f t="shared" si="18"/>
        <v>#DIV/0!</v>
      </c>
      <c r="O89" s="214">
        <f t="shared" si="19"/>
        <v>0</v>
      </c>
      <c r="P89" s="214">
        <f t="shared" si="20"/>
        <v>0</v>
      </c>
      <c r="Q89" s="214">
        <f>IF(K89=0, 0, (HLOOKUP(K89,'[1]G-CESTDWO'!$A$5:$G$35,J89+1,FALSE)*R39))</f>
        <v>0</v>
      </c>
      <c r="R89" s="214">
        <f>IF(K89=0, 0, (HLOOKUP(K89,'[1]G-CESTD'!$A$5:$G$35,J89+1,FALSE)*R39))</f>
        <v>0</v>
      </c>
      <c r="S89" s="4153">
        <v>1.0780000000000001</v>
      </c>
      <c r="T89" s="280">
        <f t="shared" si="21"/>
        <v>0</v>
      </c>
      <c r="U89" s="280">
        <f t="shared" si="22"/>
        <v>0</v>
      </c>
      <c r="V89" s="280">
        <f t="shared" si="23"/>
        <v>0</v>
      </c>
    </row>
    <row r="90" spans="2:25">
      <c r="B90" s="282"/>
      <c r="C90" s="282" t="s">
        <v>212</v>
      </c>
      <c r="D90" s="285">
        <v>0</v>
      </c>
      <c r="E90" s="282" t="s">
        <v>559</v>
      </c>
      <c r="F90" s="282" t="s">
        <v>186</v>
      </c>
      <c r="G90" s="283"/>
      <c r="H90" s="283"/>
      <c r="I90" s="311">
        <v>0</v>
      </c>
      <c r="J90" s="257"/>
      <c r="K90" s="257"/>
      <c r="L90" s="3574"/>
      <c r="M90" s="3447" t="e">
        <f t="shared" si="18"/>
        <v>#DIV/0!</v>
      </c>
      <c r="N90" s="3447" t="e">
        <f t="shared" si="18"/>
        <v>#DIV/0!</v>
      </c>
      <c r="O90" s="214">
        <f t="shared" si="19"/>
        <v>0</v>
      </c>
      <c r="P90" s="214">
        <f t="shared" si="20"/>
        <v>0</v>
      </c>
      <c r="Q90" s="214">
        <f>IF(K90=0, 0, (HLOOKUP(K90,'[1]G-CESTDWO'!$A$5:$G$35,J90+1,FALSE)*R40))</f>
        <v>0</v>
      </c>
      <c r="R90" s="214">
        <f>IF(K90=0, 0, (HLOOKUP(K90,'[1]G-CESTD'!$A$5:$G$35,J90+1,FALSE)*R40))</f>
        <v>0</v>
      </c>
      <c r="S90" s="4153">
        <v>1.0780000000000001</v>
      </c>
      <c r="T90" s="280">
        <f t="shared" si="21"/>
        <v>0</v>
      </c>
      <c r="U90" s="280">
        <f t="shared" si="22"/>
        <v>0</v>
      </c>
      <c r="V90" s="280">
        <f t="shared" si="23"/>
        <v>0</v>
      </c>
    </row>
    <row r="91" spans="2:25">
      <c r="B91" s="282"/>
      <c r="C91" s="282" t="s">
        <v>213</v>
      </c>
      <c r="D91" s="285">
        <v>0</v>
      </c>
      <c r="E91" s="282" t="s">
        <v>559</v>
      </c>
      <c r="F91" s="282" t="s">
        <v>186</v>
      </c>
      <c r="G91" s="283"/>
      <c r="H91" s="283"/>
      <c r="I91" s="311">
        <v>0</v>
      </c>
      <c r="J91" s="257"/>
      <c r="K91" s="257"/>
      <c r="L91" s="3574"/>
      <c r="M91" s="3447" t="e">
        <f t="shared" si="18"/>
        <v>#DIV/0!</v>
      </c>
      <c r="N91" s="3447" t="e">
        <f t="shared" si="18"/>
        <v>#DIV/0!</v>
      </c>
      <c r="O91" s="214">
        <f t="shared" si="19"/>
        <v>0</v>
      </c>
      <c r="P91" s="214">
        <f t="shared" si="20"/>
        <v>0</v>
      </c>
      <c r="Q91" s="214">
        <f>IF(K91=0, 0, (HLOOKUP(K91,'[1]G-CESTDWO'!$A$5:$G$35,J91+1,FALSE)*R41))</f>
        <v>0</v>
      </c>
      <c r="R91" s="214">
        <f>IF(K91=0, 0, (HLOOKUP(K91,'[1]G-CESTD'!$A$5:$G$35,J91+1,FALSE)*R41))</f>
        <v>0</v>
      </c>
      <c r="S91" s="4153">
        <v>1.0780000000000001</v>
      </c>
      <c r="T91" s="280">
        <f t="shared" si="21"/>
        <v>0</v>
      </c>
      <c r="U91" s="280">
        <f t="shared" si="22"/>
        <v>0</v>
      </c>
      <c r="V91" s="280">
        <f t="shared" si="23"/>
        <v>0</v>
      </c>
    </row>
    <row r="92" spans="2:25">
      <c r="B92" s="282"/>
      <c r="C92" s="282" t="s">
        <v>214</v>
      </c>
      <c r="D92" s="285">
        <v>0</v>
      </c>
      <c r="E92" s="282" t="s">
        <v>559</v>
      </c>
      <c r="F92" s="282" t="s">
        <v>186</v>
      </c>
      <c r="G92" s="283"/>
      <c r="H92" s="283"/>
      <c r="I92" s="311">
        <v>0</v>
      </c>
      <c r="J92" s="257"/>
      <c r="K92" s="257"/>
      <c r="L92" s="3574"/>
      <c r="M92" s="3447" t="e">
        <f t="shared" si="18"/>
        <v>#DIV/0!</v>
      </c>
      <c r="N92" s="3447" t="e">
        <f t="shared" si="18"/>
        <v>#DIV/0!</v>
      </c>
      <c r="O92" s="214">
        <f t="shared" si="19"/>
        <v>0</v>
      </c>
      <c r="P92" s="214">
        <f t="shared" si="20"/>
        <v>0</v>
      </c>
      <c r="Q92" s="214">
        <f>IF(K92=0, 0, (HLOOKUP(K92,'[1]G-CESTDWO'!$A$5:$G$35,J92+1,FALSE)*R42))</f>
        <v>0</v>
      </c>
      <c r="R92" s="214">
        <f>IF(K92=0, 0, (HLOOKUP(K92,'[1]G-CESTD'!$A$5:$G$35,J92+1,FALSE)*R42))</f>
        <v>0</v>
      </c>
      <c r="S92" s="4153">
        <v>1.0780000000000001</v>
      </c>
      <c r="T92" s="280">
        <f t="shared" si="21"/>
        <v>0</v>
      </c>
      <c r="U92" s="280">
        <f t="shared" si="22"/>
        <v>0</v>
      </c>
      <c r="V92" s="280">
        <f t="shared" si="23"/>
        <v>0</v>
      </c>
    </row>
    <row r="93" spans="2:25">
      <c r="B93" s="282"/>
      <c r="C93" s="282" t="s">
        <v>215</v>
      </c>
      <c r="D93" s="285">
        <v>0</v>
      </c>
      <c r="E93" s="282" t="s">
        <v>559</v>
      </c>
      <c r="F93" s="282" t="s">
        <v>186</v>
      </c>
      <c r="G93" s="283"/>
      <c r="H93" s="283"/>
      <c r="I93" s="311">
        <v>0</v>
      </c>
      <c r="J93" s="257"/>
      <c r="K93" s="257"/>
      <c r="L93" s="3574"/>
      <c r="M93" s="3447" t="e">
        <f t="shared" si="18"/>
        <v>#DIV/0!</v>
      </c>
      <c r="N93" s="3447" t="e">
        <f t="shared" si="18"/>
        <v>#DIV/0!</v>
      </c>
      <c r="O93" s="214">
        <f t="shared" si="19"/>
        <v>0</v>
      </c>
      <c r="P93" s="214">
        <f t="shared" si="20"/>
        <v>0</v>
      </c>
      <c r="Q93" s="214">
        <f>IF(K93=0, 0, (HLOOKUP(K93,'[1]G-CESTDWO'!$A$5:$G$35,J93+1,FALSE)*R43))</f>
        <v>0</v>
      </c>
      <c r="R93" s="214">
        <f>IF(K93=0, 0, (HLOOKUP(K93,'[1]G-CESTD'!$A$5:$G$35,J93+1,FALSE)*R43))</f>
        <v>0</v>
      </c>
      <c r="S93" s="4153">
        <v>1.0780000000000001</v>
      </c>
      <c r="T93" s="280">
        <f t="shared" si="21"/>
        <v>0</v>
      </c>
      <c r="U93" s="280">
        <f t="shared" si="22"/>
        <v>0</v>
      </c>
      <c r="V93" s="280">
        <f t="shared" si="23"/>
        <v>0</v>
      </c>
    </row>
    <row r="94" spans="2:25">
      <c r="B94" s="282"/>
      <c r="C94" s="282" t="s">
        <v>216</v>
      </c>
      <c r="D94" s="285">
        <v>0</v>
      </c>
      <c r="E94" s="282" t="s">
        <v>559</v>
      </c>
      <c r="F94" s="282" t="s">
        <v>186</v>
      </c>
      <c r="G94" s="283"/>
      <c r="H94" s="283"/>
      <c r="I94" s="311">
        <v>0</v>
      </c>
      <c r="J94" s="257"/>
      <c r="K94" s="257"/>
      <c r="L94" s="3574"/>
      <c r="M94" s="3447" t="e">
        <f t="shared" si="18"/>
        <v>#DIV/0!</v>
      </c>
      <c r="N94" s="3447" t="e">
        <f t="shared" si="18"/>
        <v>#DIV/0!</v>
      </c>
      <c r="O94" s="214">
        <f t="shared" si="19"/>
        <v>0</v>
      </c>
      <c r="P94" s="214">
        <f t="shared" si="20"/>
        <v>0</v>
      </c>
      <c r="Q94" s="214">
        <f>IF(K94=0, 0, (HLOOKUP(K94,'[1]G-CESTDWO'!$A$5:$G$35,J94+1,FALSE)*R44))</f>
        <v>0</v>
      </c>
      <c r="R94" s="214">
        <f>IF(K94=0, 0, (HLOOKUP(K94,'[1]G-CESTD'!$A$5:$G$35,J94+1,FALSE)*R44))</f>
        <v>0</v>
      </c>
      <c r="S94" s="4153">
        <v>1.0780000000000001</v>
      </c>
      <c r="T94" s="280">
        <f t="shared" si="21"/>
        <v>0</v>
      </c>
      <c r="U94" s="280">
        <f t="shared" si="22"/>
        <v>0</v>
      </c>
      <c r="V94" s="280">
        <f t="shared" si="23"/>
        <v>0</v>
      </c>
    </row>
    <row r="95" spans="2:25">
      <c r="B95" s="282"/>
      <c r="C95" s="282" t="s">
        <v>217</v>
      </c>
      <c r="D95" s="285">
        <v>0</v>
      </c>
      <c r="E95" s="282" t="s">
        <v>559</v>
      </c>
      <c r="F95" s="282" t="s">
        <v>186</v>
      </c>
      <c r="G95" s="283"/>
      <c r="H95" s="283"/>
      <c r="I95" s="311">
        <v>0</v>
      </c>
      <c r="J95" s="257"/>
      <c r="K95" s="257"/>
      <c r="L95" s="3574"/>
      <c r="M95" s="3447" t="e">
        <f t="shared" si="18"/>
        <v>#DIV/0!</v>
      </c>
      <c r="N95" s="3447" t="e">
        <f t="shared" si="18"/>
        <v>#DIV/0!</v>
      </c>
      <c r="O95" s="214">
        <f t="shared" si="19"/>
        <v>0</v>
      </c>
      <c r="P95" s="214">
        <f t="shared" si="20"/>
        <v>0</v>
      </c>
      <c r="Q95" s="214">
        <f>IF(K95=0, 0, (HLOOKUP(K95,'[1]G-CESTDWO'!$A$5:$G$35,J95+1,FALSE)*R45))</f>
        <v>0</v>
      </c>
      <c r="R95" s="214">
        <f>IF(K95=0, 0, (HLOOKUP(K95,'[1]G-CESTD'!$A$5:$G$35,J95+1,FALSE)*R45))</f>
        <v>0</v>
      </c>
      <c r="S95" s="4153">
        <v>1.0780000000000001</v>
      </c>
      <c r="T95" s="280">
        <f t="shared" si="21"/>
        <v>0</v>
      </c>
      <c r="U95" s="280">
        <f t="shared" si="22"/>
        <v>0</v>
      </c>
      <c r="V95" s="280">
        <f t="shared" si="23"/>
        <v>0</v>
      </c>
    </row>
    <row r="96" spans="2:25">
      <c r="B96" s="282"/>
      <c r="C96" s="282" t="s">
        <v>218</v>
      </c>
      <c r="D96" s="285">
        <v>0</v>
      </c>
      <c r="E96" s="282" t="s">
        <v>559</v>
      </c>
      <c r="F96" s="282" t="s">
        <v>186</v>
      </c>
      <c r="G96" s="283"/>
      <c r="H96" s="283"/>
      <c r="I96" s="311">
        <v>0</v>
      </c>
      <c r="J96" s="257"/>
      <c r="K96" s="257"/>
      <c r="L96" s="3574"/>
      <c r="M96" s="3447" t="e">
        <f t="shared" si="18"/>
        <v>#DIV/0!</v>
      </c>
      <c r="N96" s="3447" t="e">
        <f t="shared" si="18"/>
        <v>#DIV/0!</v>
      </c>
      <c r="O96" s="214">
        <f t="shared" si="19"/>
        <v>0</v>
      </c>
      <c r="P96" s="214">
        <f t="shared" si="20"/>
        <v>0</v>
      </c>
      <c r="Q96" s="214">
        <f>IF(K96=0, 0, (HLOOKUP(K96,'[1]G-CESTDWO'!$A$5:$G$35,J96+1,FALSE)*R46))</f>
        <v>0</v>
      </c>
      <c r="R96" s="214">
        <f>IF(K96=0, 0, (HLOOKUP(K96,'[1]G-CESTD'!$A$5:$G$35,J96+1,FALSE)*R46))</f>
        <v>0</v>
      </c>
      <c r="S96" s="4153">
        <v>1.0780000000000001</v>
      </c>
      <c r="T96" s="280">
        <f t="shared" si="21"/>
        <v>0</v>
      </c>
      <c r="U96" s="280">
        <f t="shared" si="22"/>
        <v>0</v>
      </c>
      <c r="V96" s="280">
        <f t="shared" si="23"/>
        <v>0</v>
      </c>
    </row>
    <row r="97" spans="2:22">
      <c r="B97" s="282"/>
      <c r="C97" s="282" t="s">
        <v>219</v>
      </c>
      <c r="D97" s="285">
        <v>0</v>
      </c>
      <c r="E97" s="282" t="s">
        <v>559</v>
      </c>
      <c r="F97" s="282" t="s">
        <v>186</v>
      </c>
      <c r="G97" s="283"/>
      <c r="H97" s="283"/>
      <c r="I97" s="311">
        <v>0</v>
      </c>
      <c r="J97" s="257"/>
      <c r="K97" s="257"/>
      <c r="L97" s="3574"/>
      <c r="M97" s="3447" t="e">
        <f t="shared" si="18"/>
        <v>#DIV/0!</v>
      </c>
      <c r="N97" s="3447" t="e">
        <f t="shared" si="18"/>
        <v>#DIV/0!</v>
      </c>
      <c r="O97" s="214">
        <f t="shared" si="19"/>
        <v>0</v>
      </c>
      <c r="P97" s="214">
        <f t="shared" si="20"/>
        <v>0</v>
      </c>
      <c r="Q97" s="214">
        <f>IF(K97=0, 0, (HLOOKUP(K97,'[1]G-CESTDWO'!$A$5:$G$35,J97+1,FALSE)*R47))</f>
        <v>0</v>
      </c>
      <c r="R97" s="214">
        <f>IF(K97=0, 0, (HLOOKUP(K97,'[1]G-CESTD'!$A$5:$G$35,J97+1,FALSE)*R47))</f>
        <v>0</v>
      </c>
      <c r="S97" s="4153">
        <v>1.0780000000000001</v>
      </c>
      <c r="T97" s="280">
        <f t="shared" si="21"/>
        <v>0</v>
      </c>
      <c r="U97" s="280">
        <f t="shared" si="22"/>
        <v>0</v>
      </c>
      <c r="V97" s="280">
        <f t="shared" si="23"/>
        <v>0</v>
      </c>
    </row>
    <row r="98" spans="2:22">
      <c r="B98" s="282"/>
      <c r="C98" s="282" t="s">
        <v>220</v>
      </c>
      <c r="D98" s="285">
        <v>0</v>
      </c>
      <c r="E98" s="282" t="s">
        <v>559</v>
      </c>
      <c r="F98" s="282" t="s">
        <v>186</v>
      </c>
      <c r="G98" s="283"/>
      <c r="H98" s="283"/>
      <c r="I98" s="311">
        <v>0</v>
      </c>
      <c r="J98" s="257"/>
      <c r="K98" s="257"/>
      <c r="L98" s="3574"/>
      <c r="M98" s="3447" t="e">
        <f t="shared" si="18"/>
        <v>#DIV/0!</v>
      </c>
      <c r="N98" s="3447" t="e">
        <f t="shared" si="18"/>
        <v>#DIV/0!</v>
      </c>
      <c r="O98" s="214">
        <f t="shared" si="19"/>
        <v>0</v>
      </c>
      <c r="P98" s="214">
        <f t="shared" si="20"/>
        <v>0</v>
      </c>
      <c r="Q98" s="214">
        <f>IF(K98=0, 0, (HLOOKUP(K98,'[1]G-CESTDWO'!$A$5:$G$35,J98+1,FALSE)*R48))</f>
        <v>0</v>
      </c>
      <c r="R98" s="214">
        <f>IF(K98=0, 0, (HLOOKUP(K98,'[1]G-CESTD'!$A$5:$G$35,J98+1,FALSE)*R48))</f>
        <v>0</v>
      </c>
      <c r="S98" s="4153">
        <v>1.0780000000000001</v>
      </c>
      <c r="T98" s="280">
        <f t="shared" si="21"/>
        <v>0</v>
      </c>
      <c r="U98" s="280">
        <f t="shared" si="22"/>
        <v>0</v>
      </c>
      <c r="V98" s="280">
        <f t="shared" si="23"/>
        <v>0</v>
      </c>
    </row>
    <row r="99" spans="2:22">
      <c r="B99" s="282"/>
      <c r="C99" s="282" t="s">
        <v>221</v>
      </c>
      <c r="D99" s="285">
        <v>0</v>
      </c>
      <c r="E99" s="282" t="s">
        <v>559</v>
      </c>
      <c r="F99" s="282" t="s">
        <v>186</v>
      </c>
      <c r="G99" s="283"/>
      <c r="H99" s="283"/>
      <c r="I99" s="311">
        <v>0</v>
      </c>
      <c r="J99" s="257"/>
      <c r="K99" s="257"/>
      <c r="L99" s="3574"/>
      <c r="M99" s="3447" t="e">
        <f t="shared" si="18"/>
        <v>#DIV/0!</v>
      </c>
      <c r="N99" s="3447" t="e">
        <f t="shared" si="18"/>
        <v>#DIV/0!</v>
      </c>
      <c r="O99" s="214">
        <f t="shared" si="19"/>
        <v>0</v>
      </c>
      <c r="P99" s="214">
        <f t="shared" si="20"/>
        <v>0</v>
      </c>
      <c r="Q99" s="214">
        <f>IF(K99=0, 0, (HLOOKUP(K99,'[1]G-CESTDWO'!$A$5:$G$35,J99+1,FALSE)*R49))</f>
        <v>0</v>
      </c>
      <c r="R99" s="214">
        <f>IF(K99=0, 0, (HLOOKUP(K99,'[1]G-CESTD'!$A$5:$G$35,J99+1,FALSE)*R49))</f>
        <v>0</v>
      </c>
      <c r="S99" s="4153">
        <v>1.0780000000000001</v>
      </c>
      <c r="T99" s="280">
        <f t="shared" si="21"/>
        <v>0</v>
      </c>
      <c r="U99" s="280">
        <f t="shared" si="22"/>
        <v>0</v>
      </c>
      <c r="V99" s="280">
        <f t="shared" si="23"/>
        <v>0</v>
      </c>
    </row>
    <row r="100" spans="2:22">
      <c r="B100" s="282"/>
      <c r="C100" s="282" t="s">
        <v>222</v>
      </c>
      <c r="D100" s="285">
        <v>0</v>
      </c>
      <c r="E100" s="282" t="s">
        <v>559</v>
      </c>
      <c r="F100" s="282" t="s">
        <v>186</v>
      </c>
      <c r="G100" s="283"/>
      <c r="H100" s="283"/>
      <c r="I100" s="311">
        <v>0</v>
      </c>
      <c r="J100" s="257"/>
      <c r="K100" s="257"/>
      <c r="L100" s="3574"/>
      <c r="M100" s="3447" t="e">
        <f t="shared" si="18"/>
        <v>#DIV/0!</v>
      </c>
      <c r="N100" s="3447" t="e">
        <f t="shared" si="18"/>
        <v>#DIV/0!</v>
      </c>
      <c r="O100" s="214">
        <f t="shared" si="19"/>
        <v>0</v>
      </c>
      <c r="P100" s="214">
        <f t="shared" si="20"/>
        <v>0</v>
      </c>
      <c r="Q100" s="214">
        <f>IF(K100=0, 0, (HLOOKUP(K100,'[1]G-CESTDWO'!$A$5:$G$35,J100+1,FALSE)*R50))</f>
        <v>0</v>
      </c>
      <c r="R100" s="214">
        <f>IF(K100=0, 0, (HLOOKUP(K100,'[1]G-CESTD'!$A$5:$G$35,J100+1,FALSE)*R50))</f>
        <v>0</v>
      </c>
      <c r="S100" s="4153">
        <v>1.0780000000000001</v>
      </c>
      <c r="T100" s="280">
        <f t="shared" si="21"/>
        <v>0</v>
      </c>
      <c r="U100" s="280">
        <f t="shared" si="22"/>
        <v>0</v>
      </c>
      <c r="V100" s="280">
        <f t="shared" si="23"/>
        <v>0</v>
      </c>
    </row>
    <row r="101" spans="2:22">
      <c r="B101" s="282"/>
      <c r="C101" s="282" t="s">
        <v>223</v>
      </c>
      <c r="D101" s="285">
        <v>0</v>
      </c>
      <c r="E101" s="282" t="s">
        <v>559</v>
      </c>
      <c r="F101" s="282" t="s">
        <v>186</v>
      </c>
      <c r="G101" s="283"/>
      <c r="H101" s="283"/>
      <c r="I101" s="311">
        <v>0</v>
      </c>
      <c r="J101" s="257"/>
      <c r="K101" s="257"/>
      <c r="L101" s="3574"/>
      <c r="M101" s="3447" t="e">
        <f t="shared" si="18"/>
        <v>#DIV/0!</v>
      </c>
      <c r="N101" s="3447" t="e">
        <f t="shared" si="18"/>
        <v>#DIV/0!</v>
      </c>
      <c r="O101" s="214">
        <f t="shared" si="19"/>
        <v>0</v>
      </c>
      <c r="P101" s="214">
        <f t="shared" si="20"/>
        <v>0</v>
      </c>
      <c r="Q101" s="214">
        <f>IF(K101=0, 0, (HLOOKUP(K101,'[1]G-CESTDWO'!$A$5:$G$35,J101+1,FALSE)*R51))</f>
        <v>0</v>
      </c>
      <c r="R101" s="214">
        <f>IF(K101=0, 0, (HLOOKUP(K101,'[1]G-CESTD'!$A$5:$G$35,J101+1,FALSE)*R51))</f>
        <v>0</v>
      </c>
      <c r="S101" s="4153">
        <v>1.0780000000000001</v>
      </c>
      <c r="T101" s="280">
        <f t="shared" si="21"/>
        <v>0</v>
      </c>
      <c r="U101" s="280">
        <f t="shared" si="22"/>
        <v>0</v>
      </c>
      <c r="V101" s="280">
        <f t="shared" si="23"/>
        <v>0</v>
      </c>
    </row>
    <row r="102" spans="2:22">
      <c r="B102" s="282"/>
      <c r="C102" s="282" t="s">
        <v>224</v>
      </c>
      <c r="D102" s="285">
        <v>0</v>
      </c>
      <c r="E102" s="282" t="s">
        <v>559</v>
      </c>
      <c r="F102" s="282" t="s">
        <v>186</v>
      </c>
      <c r="G102" s="283"/>
      <c r="H102" s="283"/>
      <c r="I102" s="311">
        <v>0</v>
      </c>
      <c r="J102" s="257"/>
      <c r="K102" s="257"/>
      <c r="L102" s="3574"/>
      <c r="M102" s="3447" t="e">
        <f>Q102/O102</f>
        <v>#DIV/0!</v>
      </c>
      <c r="N102" s="3447" t="e">
        <f>Q102/P102</f>
        <v>#DIV/0!</v>
      </c>
      <c r="O102" s="214">
        <f t="shared" si="19"/>
        <v>0</v>
      </c>
      <c r="P102" s="214">
        <f t="shared" si="20"/>
        <v>0</v>
      </c>
      <c r="Q102" s="214">
        <f>IF(K102=0, 0, (HLOOKUP(K102,'[1]G-CESTDWO'!$A$5:$G$35,J102+1,FALSE)*R52))</f>
        <v>0</v>
      </c>
      <c r="R102" s="214">
        <f>IF(K102=0, 0, (HLOOKUP(K102,'[1]G-CESTD'!$A$5:$G$35,J102+1,FALSE)*R52))</f>
        <v>0</v>
      </c>
      <c r="S102" s="4153">
        <v>1.0780000000000001</v>
      </c>
      <c r="T102" s="280">
        <f t="shared" si="21"/>
        <v>0</v>
      </c>
      <c r="U102" s="280">
        <f t="shared" si="22"/>
        <v>0</v>
      </c>
      <c r="V102" s="280">
        <f t="shared" si="23"/>
        <v>0</v>
      </c>
    </row>
    <row r="103" spans="2:22">
      <c r="B103" s="282"/>
      <c r="C103" s="282" t="s">
        <v>225</v>
      </c>
      <c r="D103" s="285">
        <v>0</v>
      </c>
      <c r="E103" s="282" t="s">
        <v>559</v>
      </c>
      <c r="F103" s="282" t="s">
        <v>186</v>
      </c>
      <c r="G103" s="283"/>
      <c r="H103" s="283"/>
      <c r="I103" s="311">
        <v>0</v>
      </c>
      <c r="J103" s="257"/>
      <c r="K103" s="257"/>
      <c r="L103" s="3574"/>
      <c r="M103" s="3447" t="e">
        <f>Q103/O103</f>
        <v>#DIV/0!</v>
      </c>
      <c r="N103" s="3447" t="e">
        <f>Q103/P103</f>
        <v>#DIV/0!</v>
      </c>
      <c r="O103" s="214">
        <f t="shared" si="19"/>
        <v>0</v>
      </c>
      <c r="P103" s="214">
        <f t="shared" si="20"/>
        <v>0</v>
      </c>
      <c r="Q103" s="214">
        <f>IF(K103=0, 0, (HLOOKUP(K103,'[1]G-CESTDWO'!$A$5:$G$35,J103+1,FALSE)*R53))</f>
        <v>0</v>
      </c>
      <c r="R103" s="214">
        <f>IF(K103=0, 0, (HLOOKUP(K103,'[1]G-CESTD'!$A$5:$G$35,J103+1,FALSE)*R53))</f>
        <v>0</v>
      </c>
      <c r="S103" s="4153">
        <v>1.0780000000000001</v>
      </c>
      <c r="T103" s="280">
        <f t="shared" si="21"/>
        <v>0</v>
      </c>
      <c r="U103" s="280">
        <f t="shared" si="22"/>
        <v>0</v>
      </c>
      <c r="V103" s="280">
        <f t="shared" si="23"/>
        <v>0</v>
      </c>
    </row>
    <row r="104" spans="2:22" ht="13.5" thickBot="1">
      <c r="B104" s="282"/>
      <c r="C104" s="282" t="s">
        <v>226</v>
      </c>
      <c r="D104" s="285">
        <v>0</v>
      </c>
      <c r="E104" s="282" t="s">
        <v>559</v>
      </c>
      <c r="F104" s="282" t="s">
        <v>186</v>
      </c>
      <c r="G104" s="283"/>
      <c r="H104" s="283"/>
      <c r="I104" s="311">
        <v>0</v>
      </c>
      <c r="J104" s="257"/>
      <c r="K104" s="257"/>
      <c r="L104" s="4109"/>
      <c r="M104" s="3451" t="e">
        <f>Q104/O104</f>
        <v>#DIV/0!</v>
      </c>
      <c r="N104" s="3451" t="e">
        <f>Q104/P104</f>
        <v>#DIV/0!</v>
      </c>
      <c r="O104" s="214">
        <f t="shared" si="19"/>
        <v>0</v>
      </c>
      <c r="P104" s="214">
        <f t="shared" si="20"/>
        <v>0</v>
      </c>
      <c r="Q104" s="214">
        <f>IF(K104=0, 0, (HLOOKUP(K104,'[1]G-CESTDWO'!$A$5:$G$35,J104+1,FALSE)*R54))</f>
        <v>0</v>
      </c>
      <c r="R104" s="214">
        <f>IF(K104=0, 0, (HLOOKUP(K104,'[1]G-CESTD'!$A$5:$G$35,J104+1,FALSE)*R54))</f>
        <v>0</v>
      </c>
      <c r="S104" s="4153">
        <v>1.0780000000000001</v>
      </c>
      <c r="T104" s="280">
        <f t="shared" si="21"/>
        <v>0</v>
      </c>
      <c r="U104" s="280">
        <f t="shared" si="22"/>
        <v>0</v>
      </c>
      <c r="V104" s="280">
        <f t="shared" si="23"/>
        <v>0</v>
      </c>
    </row>
    <row r="105" spans="2:22" ht="13.5" thickBot="1">
      <c r="G105" s="286">
        <f>SUMPRODUCT(G63:G104,O13:O54)</f>
        <v>4335664</v>
      </c>
      <c r="H105" s="287">
        <f>V105</f>
        <v>1776400</v>
      </c>
      <c r="I105" s="288">
        <f>SUM(I63:I104)</f>
        <v>1</v>
      </c>
      <c r="J105" s="289">
        <f>ROUND(SUMPRODUCT(J63:J104,R13:R54)/R55,0)</f>
        <v>18</v>
      </c>
      <c r="K105" s="264"/>
      <c r="L105" s="3580"/>
      <c r="M105" s="3448">
        <f>Q105/O105</f>
        <v>2.8456170761168988</v>
      </c>
      <c r="N105" s="3449">
        <f>R105/P105</f>
        <v>1.3637481024874591</v>
      </c>
      <c r="O105" s="297">
        <f>SUM(O63:O104)</f>
        <v>2184845.2458256027</v>
      </c>
      <c r="P105" s="297">
        <f>SUM(P63:P104)</f>
        <v>4558930.5890538031</v>
      </c>
      <c r="Q105" s="297">
        <f>SUM(Q63:Q104)</f>
        <v>6217232.9401941588</v>
      </c>
      <c r="R105" s="297">
        <f>SUM(R63:R104)</f>
        <v>6217232.9401941588</v>
      </c>
      <c r="S105" s="293">
        <v>1.0780000000000001</v>
      </c>
      <c r="T105" s="294">
        <f>SUM(T63:T104)</f>
        <v>0</v>
      </c>
      <c r="U105" s="294">
        <f>SUM(U63:U104)</f>
        <v>1776400</v>
      </c>
      <c r="V105" s="294">
        <f>SUM(V63:V104)</f>
        <v>1776400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23" top="0.35" bottom="0.31" header="0.3" footer="0.3"/>
      <pageSetup paperSize="17" scale="50" orientation="landscape" r:id="rId1"/>
    </customSheetView>
    <customSheetView guid="{AF9F1D33-B8C2-423F-86A1-47612B8F532C}" fitToPage="1">
      <pane xSplit="1" ySplit="1" topLeftCell="B5" activePane="bottomRight" state="frozenSplit"/>
      <selection pane="bottomRight" activeCell="C24" sqref="C24:C25"/>
      <pageMargins left="0.7" right="0.7" top="0.75" bottom="0.75" header="0.3" footer="0.3"/>
      <pageSetup paperSize="17" scale="51"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7" right="0.23" top="0.35" bottom="0.31" header="0.3" footer="0.3"/>
  <pageSetup paperSize="17" scale="50" orientation="landscape" r:id="rId2"/>
  <drawing r:id="rId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sheetPr enableFormatConditionsCalculation="0">
    <tabColor theme="7" tint="0.59999389629810485"/>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42578125" style="3064" customWidth="1"/>
    <col min="2" max="2" width="18.42578125" customWidth="1"/>
    <col min="3" max="3" width="37.85546875" customWidth="1"/>
    <col min="4" max="4" width="15.140625" style="19" customWidth="1"/>
    <col min="5" max="5" width="15.140625" customWidth="1"/>
    <col min="6" max="6" width="17.140625" customWidth="1"/>
    <col min="7" max="7" width="13.42578125" customWidth="1"/>
    <col min="8" max="8" width="15.28515625" bestFit="1" customWidth="1"/>
    <col min="9" max="9" width="14.140625" bestFit="1" customWidth="1"/>
    <col min="10" max="10" width="15.28515625" customWidth="1"/>
    <col min="11" max="11" width="17.7109375" customWidth="1"/>
    <col min="12" max="12" width="17" bestFit="1" customWidth="1"/>
    <col min="13" max="13" width="12.7109375" customWidth="1"/>
    <col min="14" max="14" width="13.7109375" customWidth="1"/>
    <col min="15" max="15" width="13.85546875" bestFit="1" customWidth="1"/>
    <col min="16" max="16" width="19.7109375" bestFit="1" customWidth="1"/>
    <col min="17" max="17" width="16.140625" customWidth="1"/>
    <col min="18" max="18" width="16.7109375" bestFit="1" customWidth="1"/>
    <col min="19" max="19" width="15.42578125" bestFit="1" customWidth="1"/>
    <col min="20" max="20" width="20.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2.42578125" bestFit="1" customWidth="1"/>
    <col min="262" max="262" width="16.28515625" bestFit="1" customWidth="1"/>
    <col min="263" max="263" width="13.42578125" customWidth="1"/>
    <col min="264" max="264" width="15.28515625" bestFit="1" customWidth="1"/>
    <col min="265" max="265" width="14.140625" bestFit="1" customWidth="1"/>
    <col min="266" max="266" width="15.28515625" customWidth="1"/>
    <col min="267" max="267" width="17.7109375" customWidth="1"/>
    <col min="268" max="268" width="17" bestFit="1" customWidth="1"/>
    <col min="269" max="269" width="12.7109375" customWidth="1"/>
    <col min="270" max="270" width="13.7109375" customWidth="1"/>
    <col min="271" max="271" width="13.85546875" bestFit="1" customWidth="1"/>
    <col min="272" max="272" width="19.7109375" bestFit="1" customWidth="1"/>
    <col min="273" max="273" width="16.140625" customWidth="1"/>
    <col min="274" max="274" width="16.7109375" bestFit="1" customWidth="1"/>
    <col min="275" max="275" width="15.42578125" bestFit="1" customWidth="1"/>
    <col min="276" max="276" width="20.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2.42578125" bestFit="1" customWidth="1"/>
    <col min="518" max="518" width="16.28515625" bestFit="1" customWidth="1"/>
    <col min="519" max="519" width="13.42578125" customWidth="1"/>
    <col min="520" max="520" width="15.28515625" bestFit="1" customWidth="1"/>
    <col min="521" max="521" width="14.140625" bestFit="1" customWidth="1"/>
    <col min="522" max="522" width="15.28515625" customWidth="1"/>
    <col min="523" max="523" width="17.7109375" customWidth="1"/>
    <col min="524" max="524" width="17" bestFit="1" customWidth="1"/>
    <col min="525" max="525" width="12.7109375" customWidth="1"/>
    <col min="526" max="526" width="13.7109375" customWidth="1"/>
    <col min="527" max="527" width="13.85546875" bestFit="1" customWidth="1"/>
    <col min="528" max="528" width="19.7109375" bestFit="1" customWidth="1"/>
    <col min="529" max="529" width="16.140625" customWidth="1"/>
    <col min="530" max="530" width="16.7109375" bestFit="1" customWidth="1"/>
    <col min="531" max="531" width="15.42578125" bestFit="1" customWidth="1"/>
    <col min="532" max="532" width="20.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2.42578125" bestFit="1" customWidth="1"/>
    <col min="774" max="774" width="16.28515625" bestFit="1" customWidth="1"/>
    <col min="775" max="775" width="13.42578125" customWidth="1"/>
    <col min="776" max="776" width="15.28515625" bestFit="1" customWidth="1"/>
    <col min="777" max="777" width="14.140625" bestFit="1" customWidth="1"/>
    <col min="778" max="778" width="15.28515625" customWidth="1"/>
    <col min="779" max="779" width="17.7109375" customWidth="1"/>
    <col min="780" max="780" width="17" bestFit="1" customWidth="1"/>
    <col min="781" max="781" width="12.7109375" customWidth="1"/>
    <col min="782" max="782" width="13.7109375" customWidth="1"/>
    <col min="783" max="783" width="13.85546875" bestFit="1" customWidth="1"/>
    <col min="784" max="784" width="19.7109375" bestFit="1" customWidth="1"/>
    <col min="785" max="785" width="16.140625" customWidth="1"/>
    <col min="786" max="786" width="16.7109375" bestFit="1" customWidth="1"/>
    <col min="787" max="787" width="15.42578125" bestFit="1" customWidth="1"/>
    <col min="788" max="788" width="20.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2.42578125" bestFit="1" customWidth="1"/>
    <col min="1030" max="1030" width="16.28515625" bestFit="1" customWidth="1"/>
    <col min="1031" max="1031" width="13.42578125" customWidth="1"/>
    <col min="1032" max="1032" width="15.28515625" bestFit="1" customWidth="1"/>
    <col min="1033" max="1033" width="14.140625" bestFit="1" customWidth="1"/>
    <col min="1034" max="1034" width="15.28515625" customWidth="1"/>
    <col min="1035" max="1035" width="17.7109375" customWidth="1"/>
    <col min="1036" max="1036" width="17" bestFit="1" customWidth="1"/>
    <col min="1037" max="1037" width="12.7109375" customWidth="1"/>
    <col min="1038" max="1038" width="13.7109375" customWidth="1"/>
    <col min="1039" max="1039" width="13.85546875" bestFit="1" customWidth="1"/>
    <col min="1040" max="1040" width="19.7109375" bestFit="1" customWidth="1"/>
    <col min="1041" max="1041" width="16.140625" customWidth="1"/>
    <col min="1042" max="1042" width="16.7109375" bestFit="1" customWidth="1"/>
    <col min="1043" max="1043" width="15.42578125" bestFit="1" customWidth="1"/>
    <col min="1044" max="1044" width="20.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2.42578125" bestFit="1" customWidth="1"/>
    <col min="1286" max="1286" width="16.28515625" bestFit="1" customWidth="1"/>
    <col min="1287" max="1287" width="13.42578125" customWidth="1"/>
    <col min="1288" max="1288" width="15.28515625" bestFit="1" customWidth="1"/>
    <col min="1289" max="1289" width="14.140625" bestFit="1" customWidth="1"/>
    <col min="1290" max="1290" width="15.28515625" customWidth="1"/>
    <col min="1291" max="1291" width="17.7109375" customWidth="1"/>
    <col min="1292" max="1292" width="17" bestFit="1" customWidth="1"/>
    <col min="1293" max="1293" width="12.7109375" customWidth="1"/>
    <col min="1294" max="1294" width="13.7109375" customWidth="1"/>
    <col min="1295" max="1295" width="13.85546875" bestFit="1" customWidth="1"/>
    <col min="1296" max="1296" width="19.7109375" bestFit="1" customWidth="1"/>
    <col min="1297" max="1297" width="16.140625" customWidth="1"/>
    <col min="1298" max="1298" width="16.7109375" bestFit="1" customWidth="1"/>
    <col min="1299" max="1299" width="15.42578125" bestFit="1" customWidth="1"/>
    <col min="1300" max="1300" width="20.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2.42578125" bestFit="1" customWidth="1"/>
    <col min="1542" max="1542" width="16.28515625" bestFit="1" customWidth="1"/>
    <col min="1543" max="1543" width="13.42578125" customWidth="1"/>
    <col min="1544" max="1544" width="15.28515625" bestFit="1" customWidth="1"/>
    <col min="1545" max="1545" width="14.140625" bestFit="1" customWidth="1"/>
    <col min="1546" max="1546" width="15.28515625" customWidth="1"/>
    <col min="1547" max="1547" width="17.7109375" customWidth="1"/>
    <col min="1548" max="1548" width="17" bestFit="1" customWidth="1"/>
    <col min="1549" max="1549" width="12.7109375" customWidth="1"/>
    <col min="1550" max="1550" width="13.7109375" customWidth="1"/>
    <col min="1551" max="1551" width="13.85546875" bestFit="1" customWidth="1"/>
    <col min="1552" max="1552" width="19.7109375" bestFit="1" customWidth="1"/>
    <col min="1553" max="1553" width="16.140625" customWidth="1"/>
    <col min="1554" max="1554" width="16.7109375" bestFit="1" customWidth="1"/>
    <col min="1555" max="1555" width="15.42578125" bestFit="1" customWidth="1"/>
    <col min="1556" max="1556" width="20.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2.42578125" bestFit="1" customWidth="1"/>
    <col min="1798" max="1798" width="16.28515625" bestFit="1" customWidth="1"/>
    <col min="1799" max="1799" width="13.42578125" customWidth="1"/>
    <col min="1800" max="1800" width="15.28515625" bestFit="1" customWidth="1"/>
    <col min="1801" max="1801" width="14.140625" bestFit="1" customWidth="1"/>
    <col min="1802" max="1802" width="15.28515625" customWidth="1"/>
    <col min="1803" max="1803" width="17.7109375" customWidth="1"/>
    <col min="1804" max="1804" width="17" bestFit="1" customWidth="1"/>
    <col min="1805" max="1805" width="12.7109375" customWidth="1"/>
    <col min="1806" max="1806" width="13.7109375" customWidth="1"/>
    <col min="1807" max="1807" width="13.85546875" bestFit="1" customWidth="1"/>
    <col min="1808" max="1808" width="19.7109375" bestFit="1" customWidth="1"/>
    <col min="1809" max="1809" width="16.140625" customWidth="1"/>
    <col min="1810" max="1810" width="16.7109375" bestFit="1" customWidth="1"/>
    <col min="1811" max="1811" width="15.42578125" bestFit="1" customWidth="1"/>
    <col min="1812" max="1812" width="20.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2.42578125" bestFit="1" customWidth="1"/>
    <col min="2054" max="2054" width="16.28515625" bestFit="1" customWidth="1"/>
    <col min="2055" max="2055" width="13.42578125" customWidth="1"/>
    <col min="2056" max="2056" width="15.28515625" bestFit="1" customWidth="1"/>
    <col min="2057" max="2057" width="14.140625" bestFit="1" customWidth="1"/>
    <col min="2058" max="2058" width="15.28515625" customWidth="1"/>
    <col min="2059" max="2059" width="17.7109375" customWidth="1"/>
    <col min="2060" max="2060" width="17" bestFit="1" customWidth="1"/>
    <col min="2061" max="2061" width="12.7109375" customWidth="1"/>
    <col min="2062" max="2062" width="13.7109375" customWidth="1"/>
    <col min="2063" max="2063" width="13.85546875" bestFit="1" customWidth="1"/>
    <col min="2064" max="2064" width="19.7109375" bestFit="1" customWidth="1"/>
    <col min="2065" max="2065" width="16.140625" customWidth="1"/>
    <col min="2066" max="2066" width="16.7109375" bestFit="1" customWidth="1"/>
    <col min="2067" max="2067" width="15.42578125" bestFit="1" customWidth="1"/>
    <col min="2068" max="2068" width="20.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2.42578125" bestFit="1" customWidth="1"/>
    <col min="2310" max="2310" width="16.28515625" bestFit="1" customWidth="1"/>
    <col min="2311" max="2311" width="13.42578125" customWidth="1"/>
    <col min="2312" max="2312" width="15.28515625" bestFit="1" customWidth="1"/>
    <col min="2313" max="2313" width="14.140625" bestFit="1" customWidth="1"/>
    <col min="2314" max="2314" width="15.28515625" customWidth="1"/>
    <col min="2315" max="2315" width="17.7109375" customWidth="1"/>
    <col min="2316" max="2316" width="17" bestFit="1" customWidth="1"/>
    <col min="2317" max="2317" width="12.7109375" customWidth="1"/>
    <col min="2318" max="2318" width="13.7109375" customWidth="1"/>
    <col min="2319" max="2319" width="13.85546875" bestFit="1" customWidth="1"/>
    <col min="2320" max="2320" width="19.7109375" bestFit="1" customWidth="1"/>
    <col min="2321" max="2321" width="16.140625" customWidth="1"/>
    <col min="2322" max="2322" width="16.7109375" bestFit="1" customWidth="1"/>
    <col min="2323" max="2323" width="15.42578125" bestFit="1" customWidth="1"/>
    <col min="2324" max="2324" width="20.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2.42578125" bestFit="1" customWidth="1"/>
    <col min="2566" max="2566" width="16.28515625" bestFit="1" customWidth="1"/>
    <col min="2567" max="2567" width="13.42578125" customWidth="1"/>
    <col min="2568" max="2568" width="15.28515625" bestFit="1" customWidth="1"/>
    <col min="2569" max="2569" width="14.140625" bestFit="1" customWidth="1"/>
    <col min="2570" max="2570" width="15.28515625" customWidth="1"/>
    <col min="2571" max="2571" width="17.7109375" customWidth="1"/>
    <col min="2572" max="2572" width="17" bestFit="1" customWidth="1"/>
    <col min="2573" max="2573" width="12.7109375" customWidth="1"/>
    <col min="2574" max="2574" width="13.7109375" customWidth="1"/>
    <col min="2575" max="2575" width="13.85546875" bestFit="1" customWidth="1"/>
    <col min="2576" max="2576" width="19.7109375" bestFit="1" customWidth="1"/>
    <col min="2577" max="2577" width="16.140625" customWidth="1"/>
    <col min="2578" max="2578" width="16.7109375" bestFit="1" customWidth="1"/>
    <col min="2579" max="2579" width="15.42578125" bestFit="1" customWidth="1"/>
    <col min="2580" max="2580" width="20.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2.42578125" bestFit="1" customWidth="1"/>
    <col min="2822" max="2822" width="16.28515625" bestFit="1" customWidth="1"/>
    <col min="2823" max="2823" width="13.42578125" customWidth="1"/>
    <col min="2824" max="2824" width="15.28515625" bestFit="1" customWidth="1"/>
    <col min="2825" max="2825" width="14.140625" bestFit="1" customWidth="1"/>
    <col min="2826" max="2826" width="15.28515625" customWidth="1"/>
    <col min="2827" max="2827" width="17.7109375" customWidth="1"/>
    <col min="2828" max="2828" width="17" bestFit="1" customWidth="1"/>
    <col min="2829" max="2829" width="12.7109375" customWidth="1"/>
    <col min="2830" max="2830" width="13.7109375" customWidth="1"/>
    <col min="2831" max="2831" width="13.85546875" bestFit="1" customWidth="1"/>
    <col min="2832" max="2832" width="19.7109375" bestFit="1" customWidth="1"/>
    <col min="2833" max="2833" width="16.140625" customWidth="1"/>
    <col min="2834" max="2834" width="16.7109375" bestFit="1" customWidth="1"/>
    <col min="2835" max="2835" width="15.42578125" bestFit="1" customWidth="1"/>
    <col min="2836" max="2836" width="20.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2.42578125" bestFit="1" customWidth="1"/>
    <col min="3078" max="3078" width="16.28515625" bestFit="1" customWidth="1"/>
    <col min="3079" max="3079" width="13.42578125" customWidth="1"/>
    <col min="3080" max="3080" width="15.28515625" bestFit="1" customWidth="1"/>
    <col min="3081" max="3081" width="14.140625" bestFit="1" customWidth="1"/>
    <col min="3082" max="3082" width="15.28515625" customWidth="1"/>
    <col min="3083" max="3083" width="17.7109375" customWidth="1"/>
    <col min="3084" max="3084" width="17" bestFit="1" customWidth="1"/>
    <col min="3085" max="3085" width="12.7109375" customWidth="1"/>
    <col min="3086" max="3086" width="13.7109375" customWidth="1"/>
    <col min="3087" max="3087" width="13.85546875" bestFit="1" customWidth="1"/>
    <col min="3088" max="3088" width="19.7109375" bestFit="1" customWidth="1"/>
    <col min="3089" max="3089" width="16.140625" customWidth="1"/>
    <col min="3090" max="3090" width="16.7109375" bestFit="1" customWidth="1"/>
    <col min="3091" max="3091" width="15.42578125" bestFit="1" customWidth="1"/>
    <col min="3092" max="3092" width="20.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2.42578125" bestFit="1" customWidth="1"/>
    <col min="3334" max="3334" width="16.28515625" bestFit="1" customWidth="1"/>
    <col min="3335" max="3335" width="13.42578125" customWidth="1"/>
    <col min="3336" max="3336" width="15.28515625" bestFit="1" customWidth="1"/>
    <col min="3337" max="3337" width="14.140625" bestFit="1" customWidth="1"/>
    <col min="3338" max="3338" width="15.28515625" customWidth="1"/>
    <col min="3339" max="3339" width="17.7109375" customWidth="1"/>
    <col min="3340" max="3340" width="17" bestFit="1" customWidth="1"/>
    <col min="3341" max="3341" width="12.7109375" customWidth="1"/>
    <col min="3342" max="3342" width="13.7109375" customWidth="1"/>
    <col min="3343" max="3343" width="13.85546875" bestFit="1" customWidth="1"/>
    <col min="3344" max="3344" width="19.7109375" bestFit="1" customWidth="1"/>
    <col min="3345" max="3345" width="16.140625" customWidth="1"/>
    <col min="3346" max="3346" width="16.7109375" bestFit="1" customWidth="1"/>
    <col min="3347" max="3347" width="15.42578125" bestFit="1" customWidth="1"/>
    <col min="3348" max="3348" width="20.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2.42578125" bestFit="1" customWidth="1"/>
    <col min="3590" max="3590" width="16.28515625" bestFit="1" customWidth="1"/>
    <col min="3591" max="3591" width="13.42578125" customWidth="1"/>
    <col min="3592" max="3592" width="15.28515625" bestFit="1" customWidth="1"/>
    <col min="3593" max="3593" width="14.140625" bestFit="1" customWidth="1"/>
    <col min="3594" max="3594" width="15.28515625" customWidth="1"/>
    <col min="3595" max="3595" width="17.7109375" customWidth="1"/>
    <col min="3596" max="3596" width="17" bestFit="1" customWidth="1"/>
    <col min="3597" max="3597" width="12.7109375" customWidth="1"/>
    <col min="3598" max="3598" width="13.7109375" customWidth="1"/>
    <col min="3599" max="3599" width="13.85546875" bestFit="1" customWidth="1"/>
    <col min="3600" max="3600" width="19.7109375" bestFit="1" customWidth="1"/>
    <col min="3601" max="3601" width="16.140625" customWidth="1"/>
    <col min="3602" max="3602" width="16.7109375" bestFit="1" customWidth="1"/>
    <col min="3603" max="3603" width="15.42578125" bestFit="1" customWidth="1"/>
    <col min="3604" max="3604" width="20.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2.42578125" bestFit="1" customWidth="1"/>
    <col min="3846" max="3846" width="16.28515625" bestFit="1" customWidth="1"/>
    <col min="3847" max="3847" width="13.42578125" customWidth="1"/>
    <col min="3848" max="3848" width="15.28515625" bestFit="1" customWidth="1"/>
    <col min="3849" max="3849" width="14.140625" bestFit="1" customWidth="1"/>
    <col min="3850" max="3850" width="15.28515625" customWidth="1"/>
    <col min="3851" max="3851" width="17.7109375" customWidth="1"/>
    <col min="3852" max="3852" width="17" bestFit="1" customWidth="1"/>
    <col min="3853" max="3853" width="12.7109375" customWidth="1"/>
    <col min="3854" max="3854" width="13.7109375" customWidth="1"/>
    <col min="3855" max="3855" width="13.85546875" bestFit="1" customWidth="1"/>
    <col min="3856" max="3856" width="19.7109375" bestFit="1" customWidth="1"/>
    <col min="3857" max="3857" width="16.140625" customWidth="1"/>
    <col min="3858" max="3858" width="16.7109375" bestFit="1" customWidth="1"/>
    <col min="3859" max="3859" width="15.42578125" bestFit="1" customWidth="1"/>
    <col min="3860" max="3860" width="20.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2.42578125" bestFit="1" customWidth="1"/>
    <col min="4102" max="4102" width="16.28515625" bestFit="1" customWidth="1"/>
    <col min="4103" max="4103" width="13.42578125" customWidth="1"/>
    <col min="4104" max="4104" width="15.28515625" bestFit="1" customWidth="1"/>
    <col min="4105" max="4105" width="14.140625" bestFit="1" customWidth="1"/>
    <col min="4106" max="4106" width="15.28515625" customWidth="1"/>
    <col min="4107" max="4107" width="17.7109375" customWidth="1"/>
    <col min="4108" max="4108" width="17" bestFit="1" customWidth="1"/>
    <col min="4109" max="4109" width="12.7109375" customWidth="1"/>
    <col min="4110" max="4110" width="13.7109375" customWidth="1"/>
    <col min="4111" max="4111" width="13.85546875" bestFit="1" customWidth="1"/>
    <col min="4112" max="4112" width="19.7109375" bestFit="1" customWidth="1"/>
    <col min="4113" max="4113" width="16.140625" customWidth="1"/>
    <col min="4114" max="4114" width="16.7109375" bestFit="1" customWidth="1"/>
    <col min="4115" max="4115" width="15.42578125" bestFit="1" customWidth="1"/>
    <col min="4116" max="4116" width="20.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2.42578125" bestFit="1" customWidth="1"/>
    <col min="4358" max="4358" width="16.28515625" bestFit="1" customWidth="1"/>
    <col min="4359" max="4359" width="13.42578125" customWidth="1"/>
    <col min="4360" max="4360" width="15.28515625" bestFit="1" customWidth="1"/>
    <col min="4361" max="4361" width="14.140625" bestFit="1" customWidth="1"/>
    <col min="4362" max="4362" width="15.28515625" customWidth="1"/>
    <col min="4363" max="4363" width="17.7109375" customWidth="1"/>
    <col min="4364" max="4364" width="17" bestFit="1" customWidth="1"/>
    <col min="4365" max="4365" width="12.7109375" customWidth="1"/>
    <col min="4366" max="4366" width="13.7109375" customWidth="1"/>
    <col min="4367" max="4367" width="13.85546875" bestFit="1" customWidth="1"/>
    <col min="4368" max="4368" width="19.7109375" bestFit="1" customWidth="1"/>
    <col min="4369" max="4369" width="16.140625" customWidth="1"/>
    <col min="4370" max="4370" width="16.7109375" bestFit="1" customWidth="1"/>
    <col min="4371" max="4371" width="15.42578125" bestFit="1" customWidth="1"/>
    <col min="4372" max="4372" width="20.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2.42578125" bestFit="1" customWidth="1"/>
    <col min="4614" max="4614" width="16.28515625" bestFit="1" customWidth="1"/>
    <col min="4615" max="4615" width="13.42578125" customWidth="1"/>
    <col min="4616" max="4616" width="15.28515625" bestFit="1" customWidth="1"/>
    <col min="4617" max="4617" width="14.140625" bestFit="1" customWidth="1"/>
    <col min="4618" max="4618" width="15.28515625" customWidth="1"/>
    <col min="4619" max="4619" width="17.7109375" customWidth="1"/>
    <col min="4620" max="4620" width="17" bestFit="1" customWidth="1"/>
    <col min="4621" max="4621" width="12.7109375" customWidth="1"/>
    <col min="4622" max="4622" width="13.7109375" customWidth="1"/>
    <col min="4623" max="4623" width="13.85546875" bestFit="1" customWidth="1"/>
    <col min="4624" max="4624" width="19.7109375" bestFit="1" customWidth="1"/>
    <col min="4625" max="4625" width="16.140625" customWidth="1"/>
    <col min="4626" max="4626" width="16.7109375" bestFit="1" customWidth="1"/>
    <col min="4627" max="4627" width="15.42578125" bestFit="1" customWidth="1"/>
    <col min="4628" max="4628" width="20.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2.42578125" bestFit="1" customWidth="1"/>
    <col min="4870" max="4870" width="16.28515625" bestFit="1" customWidth="1"/>
    <col min="4871" max="4871" width="13.42578125" customWidth="1"/>
    <col min="4872" max="4872" width="15.28515625" bestFit="1" customWidth="1"/>
    <col min="4873" max="4873" width="14.140625" bestFit="1" customWidth="1"/>
    <col min="4874" max="4874" width="15.28515625" customWidth="1"/>
    <col min="4875" max="4875" width="17.7109375" customWidth="1"/>
    <col min="4876" max="4876" width="17" bestFit="1" customWidth="1"/>
    <col min="4877" max="4877" width="12.7109375" customWidth="1"/>
    <col min="4878" max="4878" width="13.7109375" customWidth="1"/>
    <col min="4879" max="4879" width="13.85546875" bestFit="1" customWidth="1"/>
    <col min="4880" max="4880" width="19.7109375" bestFit="1" customWidth="1"/>
    <col min="4881" max="4881" width="16.140625" customWidth="1"/>
    <col min="4882" max="4882" width="16.7109375" bestFit="1" customWidth="1"/>
    <col min="4883" max="4883" width="15.42578125" bestFit="1" customWidth="1"/>
    <col min="4884" max="4884" width="20.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2.42578125" bestFit="1" customWidth="1"/>
    <col min="5126" max="5126" width="16.28515625" bestFit="1" customWidth="1"/>
    <col min="5127" max="5127" width="13.42578125" customWidth="1"/>
    <col min="5128" max="5128" width="15.28515625" bestFit="1" customWidth="1"/>
    <col min="5129" max="5129" width="14.140625" bestFit="1" customWidth="1"/>
    <col min="5130" max="5130" width="15.28515625" customWidth="1"/>
    <col min="5131" max="5131" width="17.7109375" customWidth="1"/>
    <col min="5132" max="5132" width="17" bestFit="1" customWidth="1"/>
    <col min="5133" max="5133" width="12.7109375" customWidth="1"/>
    <col min="5134" max="5134" width="13.7109375" customWidth="1"/>
    <col min="5135" max="5135" width="13.85546875" bestFit="1" customWidth="1"/>
    <col min="5136" max="5136" width="19.7109375" bestFit="1" customWidth="1"/>
    <col min="5137" max="5137" width="16.140625" customWidth="1"/>
    <col min="5138" max="5138" width="16.7109375" bestFit="1" customWidth="1"/>
    <col min="5139" max="5139" width="15.42578125" bestFit="1" customWidth="1"/>
    <col min="5140" max="5140" width="20.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2.42578125" bestFit="1" customWidth="1"/>
    <col min="5382" max="5382" width="16.28515625" bestFit="1" customWidth="1"/>
    <col min="5383" max="5383" width="13.42578125" customWidth="1"/>
    <col min="5384" max="5384" width="15.28515625" bestFit="1" customWidth="1"/>
    <col min="5385" max="5385" width="14.140625" bestFit="1" customWidth="1"/>
    <col min="5386" max="5386" width="15.28515625" customWidth="1"/>
    <col min="5387" max="5387" width="17.7109375" customWidth="1"/>
    <col min="5388" max="5388" width="17" bestFit="1" customWidth="1"/>
    <col min="5389" max="5389" width="12.7109375" customWidth="1"/>
    <col min="5390" max="5390" width="13.7109375" customWidth="1"/>
    <col min="5391" max="5391" width="13.85546875" bestFit="1" customWidth="1"/>
    <col min="5392" max="5392" width="19.7109375" bestFit="1" customWidth="1"/>
    <col min="5393" max="5393" width="16.140625" customWidth="1"/>
    <col min="5394" max="5394" width="16.7109375" bestFit="1" customWidth="1"/>
    <col min="5395" max="5395" width="15.42578125" bestFit="1" customWidth="1"/>
    <col min="5396" max="5396" width="20.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2.42578125" bestFit="1" customWidth="1"/>
    <col min="5638" max="5638" width="16.28515625" bestFit="1" customWidth="1"/>
    <col min="5639" max="5639" width="13.42578125" customWidth="1"/>
    <col min="5640" max="5640" width="15.28515625" bestFit="1" customWidth="1"/>
    <col min="5641" max="5641" width="14.140625" bestFit="1" customWidth="1"/>
    <col min="5642" max="5642" width="15.28515625" customWidth="1"/>
    <col min="5643" max="5643" width="17.7109375" customWidth="1"/>
    <col min="5644" max="5644" width="17" bestFit="1" customWidth="1"/>
    <col min="5645" max="5645" width="12.7109375" customWidth="1"/>
    <col min="5646" max="5646" width="13.7109375" customWidth="1"/>
    <col min="5647" max="5647" width="13.85546875" bestFit="1" customWidth="1"/>
    <col min="5648" max="5648" width="19.7109375" bestFit="1" customWidth="1"/>
    <col min="5649" max="5649" width="16.140625" customWidth="1"/>
    <col min="5650" max="5650" width="16.7109375" bestFit="1" customWidth="1"/>
    <col min="5651" max="5651" width="15.42578125" bestFit="1" customWidth="1"/>
    <col min="5652" max="5652" width="20.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2.42578125" bestFit="1" customWidth="1"/>
    <col min="5894" max="5894" width="16.28515625" bestFit="1" customWidth="1"/>
    <col min="5895" max="5895" width="13.42578125" customWidth="1"/>
    <col min="5896" max="5896" width="15.28515625" bestFit="1" customWidth="1"/>
    <col min="5897" max="5897" width="14.140625" bestFit="1" customWidth="1"/>
    <col min="5898" max="5898" width="15.28515625" customWidth="1"/>
    <col min="5899" max="5899" width="17.7109375" customWidth="1"/>
    <col min="5900" max="5900" width="17" bestFit="1" customWidth="1"/>
    <col min="5901" max="5901" width="12.7109375" customWidth="1"/>
    <col min="5902" max="5902" width="13.7109375" customWidth="1"/>
    <col min="5903" max="5903" width="13.85546875" bestFit="1" customWidth="1"/>
    <col min="5904" max="5904" width="19.7109375" bestFit="1" customWidth="1"/>
    <col min="5905" max="5905" width="16.140625" customWidth="1"/>
    <col min="5906" max="5906" width="16.7109375" bestFit="1" customWidth="1"/>
    <col min="5907" max="5907" width="15.42578125" bestFit="1" customWidth="1"/>
    <col min="5908" max="5908" width="20.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2.42578125" bestFit="1" customWidth="1"/>
    <col min="6150" max="6150" width="16.28515625" bestFit="1" customWidth="1"/>
    <col min="6151" max="6151" width="13.42578125" customWidth="1"/>
    <col min="6152" max="6152" width="15.28515625" bestFit="1" customWidth="1"/>
    <col min="6153" max="6153" width="14.140625" bestFit="1" customWidth="1"/>
    <col min="6154" max="6154" width="15.28515625" customWidth="1"/>
    <col min="6155" max="6155" width="17.7109375" customWidth="1"/>
    <col min="6156" max="6156" width="17" bestFit="1" customWidth="1"/>
    <col min="6157" max="6157" width="12.7109375" customWidth="1"/>
    <col min="6158" max="6158" width="13.7109375" customWidth="1"/>
    <col min="6159" max="6159" width="13.85546875" bestFit="1" customWidth="1"/>
    <col min="6160" max="6160" width="19.7109375" bestFit="1" customWidth="1"/>
    <col min="6161" max="6161" width="16.140625" customWidth="1"/>
    <col min="6162" max="6162" width="16.7109375" bestFit="1" customWidth="1"/>
    <col min="6163" max="6163" width="15.42578125" bestFit="1" customWidth="1"/>
    <col min="6164" max="6164" width="20.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2.42578125" bestFit="1" customWidth="1"/>
    <col min="6406" max="6406" width="16.28515625" bestFit="1" customWidth="1"/>
    <col min="6407" max="6407" width="13.42578125" customWidth="1"/>
    <col min="6408" max="6408" width="15.28515625" bestFit="1" customWidth="1"/>
    <col min="6409" max="6409" width="14.140625" bestFit="1" customWidth="1"/>
    <col min="6410" max="6410" width="15.28515625" customWidth="1"/>
    <col min="6411" max="6411" width="17.7109375" customWidth="1"/>
    <col min="6412" max="6412" width="17" bestFit="1" customWidth="1"/>
    <col min="6413" max="6413" width="12.7109375" customWidth="1"/>
    <col min="6414" max="6414" width="13.7109375" customWidth="1"/>
    <col min="6415" max="6415" width="13.85546875" bestFit="1" customWidth="1"/>
    <col min="6416" max="6416" width="19.7109375" bestFit="1" customWidth="1"/>
    <col min="6417" max="6417" width="16.140625" customWidth="1"/>
    <col min="6418" max="6418" width="16.7109375" bestFit="1" customWidth="1"/>
    <col min="6419" max="6419" width="15.42578125" bestFit="1" customWidth="1"/>
    <col min="6420" max="6420" width="20.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2.42578125" bestFit="1" customWidth="1"/>
    <col min="6662" max="6662" width="16.28515625" bestFit="1" customWidth="1"/>
    <col min="6663" max="6663" width="13.42578125" customWidth="1"/>
    <col min="6664" max="6664" width="15.28515625" bestFit="1" customWidth="1"/>
    <col min="6665" max="6665" width="14.140625" bestFit="1" customWidth="1"/>
    <col min="6666" max="6666" width="15.28515625" customWidth="1"/>
    <col min="6667" max="6667" width="17.7109375" customWidth="1"/>
    <col min="6668" max="6668" width="17" bestFit="1" customWidth="1"/>
    <col min="6669" max="6669" width="12.7109375" customWidth="1"/>
    <col min="6670" max="6670" width="13.7109375" customWidth="1"/>
    <col min="6671" max="6671" width="13.85546875" bestFit="1" customWidth="1"/>
    <col min="6672" max="6672" width="19.7109375" bestFit="1" customWidth="1"/>
    <col min="6673" max="6673" width="16.140625" customWidth="1"/>
    <col min="6674" max="6674" width="16.7109375" bestFit="1" customWidth="1"/>
    <col min="6675" max="6675" width="15.42578125" bestFit="1" customWidth="1"/>
    <col min="6676" max="6676" width="20.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2.42578125" bestFit="1" customWidth="1"/>
    <col min="6918" max="6918" width="16.28515625" bestFit="1" customWidth="1"/>
    <col min="6919" max="6919" width="13.42578125" customWidth="1"/>
    <col min="6920" max="6920" width="15.28515625" bestFit="1" customWidth="1"/>
    <col min="6921" max="6921" width="14.140625" bestFit="1" customWidth="1"/>
    <col min="6922" max="6922" width="15.28515625" customWidth="1"/>
    <col min="6923" max="6923" width="17.7109375" customWidth="1"/>
    <col min="6924" max="6924" width="17" bestFit="1" customWidth="1"/>
    <col min="6925" max="6925" width="12.7109375" customWidth="1"/>
    <col min="6926" max="6926" width="13.7109375" customWidth="1"/>
    <col min="6927" max="6927" width="13.85546875" bestFit="1" customWidth="1"/>
    <col min="6928" max="6928" width="19.7109375" bestFit="1" customWidth="1"/>
    <col min="6929" max="6929" width="16.140625" customWidth="1"/>
    <col min="6930" max="6930" width="16.7109375" bestFit="1" customWidth="1"/>
    <col min="6931" max="6931" width="15.42578125" bestFit="1" customWidth="1"/>
    <col min="6932" max="6932" width="20.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2.42578125" bestFit="1" customWidth="1"/>
    <col min="7174" max="7174" width="16.28515625" bestFit="1" customWidth="1"/>
    <col min="7175" max="7175" width="13.42578125" customWidth="1"/>
    <col min="7176" max="7176" width="15.28515625" bestFit="1" customWidth="1"/>
    <col min="7177" max="7177" width="14.140625" bestFit="1" customWidth="1"/>
    <col min="7178" max="7178" width="15.28515625" customWidth="1"/>
    <col min="7179" max="7179" width="17.7109375" customWidth="1"/>
    <col min="7180" max="7180" width="17" bestFit="1" customWidth="1"/>
    <col min="7181" max="7181" width="12.7109375" customWidth="1"/>
    <col min="7182" max="7182" width="13.7109375" customWidth="1"/>
    <col min="7183" max="7183" width="13.85546875" bestFit="1" customWidth="1"/>
    <col min="7184" max="7184" width="19.7109375" bestFit="1" customWidth="1"/>
    <col min="7185" max="7185" width="16.140625" customWidth="1"/>
    <col min="7186" max="7186" width="16.7109375" bestFit="1" customWidth="1"/>
    <col min="7187" max="7187" width="15.42578125" bestFit="1" customWidth="1"/>
    <col min="7188" max="7188" width="20.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2.42578125" bestFit="1" customWidth="1"/>
    <col min="7430" max="7430" width="16.28515625" bestFit="1" customWidth="1"/>
    <col min="7431" max="7431" width="13.42578125" customWidth="1"/>
    <col min="7432" max="7432" width="15.28515625" bestFit="1" customWidth="1"/>
    <col min="7433" max="7433" width="14.140625" bestFit="1" customWidth="1"/>
    <col min="7434" max="7434" width="15.28515625" customWidth="1"/>
    <col min="7435" max="7435" width="17.7109375" customWidth="1"/>
    <col min="7436" max="7436" width="17" bestFit="1" customWidth="1"/>
    <col min="7437" max="7437" width="12.7109375" customWidth="1"/>
    <col min="7438" max="7438" width="13.7109375" customWidth="1"/>
    <col min="7439" max="7439" width="13.85546875" bestFit="1" customWidth="1"/>
    <col min="7440" max="7440" width="19.7109375" bestFit="1" customWidth="1"/>
    <col min="7441" max="7441" width="16.140625" customWidth="1"/>
    <col min="7442" max="7442" width="16.7109375" bestFit="1" customWidth="1"/>
    <col min="7443" max="7443" width="15.42578125" bestFit="1" customWidth="1"/>
    <col min="7444" max="7444" width="20.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2.42578125" bestFit="1" customWidth="1"/>
    <col min="7686" max="7686" width="16.28515625" bestFit="1" customWidth="1"/>
    <col min="7687" max="7687" width="13.42578125" customWidth="1"/>
    <col min="7688" max="7688" width="15.28515625" bestFit="1" customWidth="1"/>
    <col min="7689" max="7689" width="14.140625" bestFit="1" customWidth="1"/>
    <col min="7690" max="7690" width="15.28515625" customWidth="1"/>
    <col min="7691" max="7691" width="17.7109375" customWidth="1"/>
    <col min="7692" max="7692" width="17" bestFit="1" customWidth="1"/>
    <col min="7693" max="7693" width="12.7109375" customWidth="1"/>
    <col min="7694" max="7694" width="13.7109375" customWidth="1"/>
    <col min="7695" max="7695" width="13.85546875" bestFit="1" customWidth="1"/>
    <col min="7696" max="7696" width="19.7109375" bestFit="1" customWidth="1"/>
    <col min="7697" max="7697" width="16.140625" customWidth="1"/>
    <col min="7698" max="7698" width="16.7109375" bestFit="1" customWidth="1"/>
    <col min="7699" max="7699" width="15.42578125" bestFit="1" customWidth="1"/>
    <col min="7700" max="7700" width="20.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2.42578125" bestFit="1" customWidth="1"/>
    <col min="7942" max="7942" width="16.28515625" bestFit="1" customWidth="1"/>
    <col min="7943" max="7943" width="13.42578125" customWidth="1"/>
    <col min="7944" max="7944" width="15.28515625" bestFit="1" customWidth="1"/>
    <col min="7945" max="7945" width="14.140625" bestFit="1" customWidth="1"/>
    <col min="7946" max="7946" width="15.28515625" customWidth="1"/>
    <col min="7947" max="7947" width="17.7109375" customWidth="1"/>
    <col min="7948" max="7948" width="17" bestFit="1" customWidth="1"/>
    <col min="7949" max="7949" width="12.7109375" customWidth="1"/>
    <col min="7950" max="7950" width="13.7109375" customWidth="1"/>
    <col min="7951" max="7951" width="13.85546875" bestFit="1" customWidth="1"/>
    <col min="7952" max="7952" width="19.7109375" bestFit="1" customWidth="1"/>
    <col min="7953" max="7953" width="16.140625" customWidth="1"/>
    <col min="7954" max="7954" width="16.7109375" bestFit="1" customWidth="1"/>
    <col min="7955" max="7955" width="15.42578125" bestFit="1" customWidth="1"/>
    <col min="7956" max="7956" width="20.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2.42578125" bestFit="1" customWidth="1"/>
    <col min="8198" max="8198" width="16.28515625" bestFit="1" customWidth="1"/>
    <col min="8199" max="8199" width="13.42578125" customWidth="1"/>
    <col min="8200" max="8200" width="15.28515625" bestFit="1" customWidth="1"/>
    <col min="8201" max="8201" width="14.140625" bestFit="1" customWidth="1"/>
    <col min="8202" max="8202" width="15.28515625" customWidth="1"/>
    <col min="8203" max="8203" width="17.7109375" customWidth="1"/>
    <col min="8204" max="8204" width="17" bestFit="1" customWidth="1"/>
    <col min="8205" max="8205" width="12.7109375" customWidth="1"/>
    <col min="8206" max="8206" width="13.7109375" customWidth="1"/>
    <col min="8207" max="8207" width="13.85546875" bestFit="1" customWidth="1"/>
    <col min="8208" max="8208" width="19.7109375" bestFit="1" customWidth="1"/>
    <col min="8209" max="8209" width="16.140625" customWidth="1"/>
    <col min="8210" max="8210" width="16.7109375" bestFit="1" customWidth="1"/>
    <col min="8211" max="8211" width="15.42578125" bestFit="1" customWidth="1"/>
    <col min="8212" max="8212" width="20.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2.42578125" bestFit="1" customWidth="1"/>
    <col min="8454" max="8454" width="16.28515625" bestFit="1" customWidth="1"/>
    <col min="8455" max="8455" width="13.42578125" customWidth="1"/>
    <col min="8456" max="8456" width="15.28515625" bestFit="1" customWidth="1"/>
    <col min="8457" max="8457" width="14.140625" bestFit="1" customWidth="1"/>
    <col min="8458" max="8458" width="15.28515625" customWidth="1"/>
    <col min="8459" max="8459" width="17.7109375" customWidth="1"/>
    <col min="8460" max="8460" width="17" bestFit="1" customWidth="1"/>
    <col min="8461" max="8461" width="12.7109375" customWidth="1"/>
    <col min="8462" max="8462" width="13.7109375" customWidth="1"/>
    <col min="8463" max="8463" width="13.85546875" bestFit="1" customWidth="1"/>
    <col min="8464" max="8464" width="19.7109375" bestFit="1" customWidth="1"/>
    <col min="8465" max="8465" width="16.140625" customWidth="1"/>
    <col min="8466" max="8466" width="16.7109375" bestFit="1" customWidth="1"/>
    <col min="8467" max="8467" width="15.42578125" bestFit="1" customWidth="1"/>
    <col min="8468" max="8468" width="20.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2.42578125" bestFit="1" customWidth="1"/>
    <col min="8710" max="8710" width="16.28515625" bestFit="1" customWidth="1"/>
    <col min="8711" max="8711" width="13.42578125" customWidth="1"/>
    <col min="8712" max="8712" width="15.28515625" bestFit="1" customWidth="1"/>
    <col min="8713" max="8713" width="14.140625" bestFit="1" customWidth="1"/>
    <col min="8714" max="8714" width="15.28515625" customWidth="1"/>
    <col min="8715" max="8715" width="17.7109375" customWidth="1"/>
    <col min="8716" max="8716" width="17" bestFit="1" customWidth="1"/>
    <col min="8717" max="8717" width="12.7109375" customWidth="1"/>
    <col min="8718" max="8718" width="13.7109375" customWidth="1"/>
    <col min="8719" max="8719" width="13.85546875" bestFit="1" customWidth="1"/>
    <col min="8720" max="8720" width="19.7109375" bestFit="1" customWidth="1"/>
    <col min="8721" max="8721" width="16.140625" customWidth="1"/>
    <col min="8722" max="8722" width="16.7109375" bestFit="1" customWidth="1"/>
    <col min="8723" max="8723" width="15.42578125" bestFit="1" customWidth="1"/>
    <col min="8724" max="8724" width="20.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2.42578125" bestFit="1" customWidth="1"/>
    <col min="8966" max="8966" width="16.28515625" bestFit="1" customWidth="1"/>
    <col min="8967" max="8967" width="13.42578125" customWidth="1"/>
    <col min="8968" max="8968" width="15.28515625" bestFit="1" customWidth="1"/>
    <col min="8969" max="8969" width="14.140625" bestFit="1" customWidth="1"/>
    <col min="8970" max="8970" width="15.28515625" customWidth="1"/>
    <col min="8971" max="8971" width="17.7109375" customWidth="1"/>
    <col min="8972" max="8972" width="17" bestFit="1" customWidth="1"/>
    <col min="8973" max="8973" width="12.7109375" customWidth="1"/>
    <col min="8974" max="8974" width="13.7109375" customWidth="1"/>
    <col min="8975" max="8975" width="13.85546875" bestFit="1" customWidth="1"/>
    <col min="8976" max="8976" width="19.7109375" bestFit="1" customWidth="1"/>
    <col min="8977" max="8977" width="16.140625" customWidth="1"/>
    <col min="8978" max="8978" width="16.7109375" bestFit="1" customWidth="1"/>
    <col min="8979" max="8979" width="15.42578125" bestFit="1" customWidth="1"/>
    <col min="8980" max="8980" width="20.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2.42578125" bestFit="1" customWidth="1"/>
    <col min="9222" max="9222" width="16.28515625" bestFit="1" customWidth="1"/>
    <col min="9223" max="9223" width="13.42578125" customWidth="1"/>
    <col min="9224" max="9224" width="15.28515625" bestFit="1" customWidth="1"/>
    <col min="9225" max="9225" width="14.140625" bestFit="1" customWidth="1"/>
    <col min="9226" max="9226" width="15.28515625" customWidth="1"/>
    <col min="9227" max="9227" width="17.7109375" customWidth="1"/>
    <col min="9228" max="9228" width="17" bestFit="1" customWidth="1"/>
    <col min="9229" max="9229" width="12.7109375" customWidth="1"/>
    <col min="9230" max="9230" width="13.7109375" customWidth="1"/>
    <col min="9231" max="9231" width="13.85546875" bestFit="1" customWidth="1"/>
    <col min="9232" max="9232" width="19.7109375" bestFit="1" customWidth="1"/>
    <col min="9233" max="9233" width="16.140625" customWidth="1"/>
    <col min="9234" max="9234" width="16.7109375" bestFit="1" customWidth="1"/>
    <col min="9235" max="9235" width="15.42578125" bestFit="1" customWidth="1"/>
    <col min="9236" max="9236" width="20.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2.42578125" bestFit="1" customWidth="1"/>
    <col min="9478" max="9478" width="16.28515625" bestFit="1" customWidth="1"/>
    <col min="9479" max="9479" width="13.42578125" customWidth="1"/>
    <col min="9480" max="9480" width="15.28515625" bestFit="1" customWidth="1"/>
    <col min="9481" max="9481" width="14.140625" bestFit="1" customWidth="1"/>
    <col min="9482" max="9482" width="15.28515625" customWidth="1"/>
    <col min="9483" max="9483" width="17.7109375" customWidth="1"/>
    <col min="9484" max="9484" width="17" bestFit="1" customWidth="1"/>
    <col min="9485" max="9485" width="12.7109375" customWidth="1"/>
    <col min="9486" max="9486" width="13.7109375" customWidth="1"/>
    <col min="9487" max="9487" width="13.85546875" bestFit="1" customWidth="1"/>
    <col min="9488" max="9488" width="19.7109375" bestFit="1" customWidth="1"/>
    <col min="9489" max="9489" width="16.140625" customWidth="1"/>
    <col min="9490" max="9490" width="16.7109375" bestFit="1" customWidth="1"/>
    <col min="9491" max="9491" width="15.42578125" bestFit="1" customWidth="1"/>
    <col min="9492" max="9492" width="20.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2.42578125" bestFit="1" customWidth="1"/>
    <col min="9734" max="9734" width="16.28515625" bestFit="1" customWidth="1"/>
    <col min="9735" max="9735" width="13.42578125" customWidth="1"/>
    <col min="9736" max="9736" width="15.28515625" bestFit="1" customWidth="1"/>
    <col min="9737" max="9737" width="14.140625" bestFit="1" customWidth="1"/>
    <col min="9738" max="9738" width="15.28515625" customWidth="1"/>
    <col min="9739" max="9739" width="17.7109375" customWidth="1"/>
    <col min="9740" max="9740" width="17" bestFit="1" customWidth="1"/>
    <col min="9741" max="9741" width="12.7109375" customWidth="1"/>
    <col min="9742" max="9742" width="13.7109375" customWidth="1"/>
    <col min="9743" max="9743" width="13.85546875" bestFit="1" customWidth="1"/>
    <col min="9744" max="9744" width="19.7109375" bestFit="1" customWidth="1"/>
    <col min="9745" max="9745" width="16.140625" customWidth="1"/>
    <col min="9746" max="9746" width="16.7109375" bestFit="1" customWidth="1"/>
    <col min="9747" max="9747" width="15.42578125" bestFit="1" customWidth="1"/>
    <col min="9748" max="9748" width="20.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2.42578125" bestFit="1" customWidth="1"/>
    <col min="9990" max="9990" width="16.28515625" bestFit="1" customWidth="1"/>
    <col min="9991" max="9991" width="13.42578125" customWidth="1"/>
    <col min="9992" max="9992" width="15.28515625" bestFit="1" customWidth="1"/>
    <col min="9993" max="9993" width="14.140625" bestFit="1" customWidth="1"/>
    <col min="9994" max="9994" width="15.28515625" customWidth="1"/>
    <col min="9995" max="9995" width="17.7109375" customWidth="1"/>
    <col min="9996" max="9996" width="17" bestFit="1" customWidth="1"/>
    <col min="9997" max="9997" width="12.7109375" customWidth="1"/>
    <col min="9998" max="9998" width="13.7109375" customWidth="1"/>
    <col min="9999" max="9999" width="13.85546875" bestFit="1" customWidth="1"/>
    <col min="10000" max="10000" width="19.7109375" bestFit="1" customWidth="1"/>
    <col min="10001" max="10001" width="16.140625" customWidth="1"/>
    <col min="10002" max="10002" width="16.7109375" bestFit="1" customWidth="1"/>
    <col min="10003" max="10003" width="15.42578125" bestFit="1" customWidth="1"/>
    <col min="10004" max="10004" width="20.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2.42578125" bestFit="1" customWidth="1"/>
    <col min="10246" max="10246" width="16.28515625" bestFit="1" customWidth="1"/>
    <col min="10247" max="10247" width="13.42578125" customWidth="1"/>
    <col min="10248" max="10248" width="15.28515625" bestFit="1" customWidth="1"/>
    <col min="10249" max="10249" width="14.140625" bestFit="1" customWidth="1"/>
    <col min="10250" max="10250" width="15.28515625" customWidth="1"/>
    <col min="10251" max="10251" width="17.7109375" customWidth="1"/>
    <col min="10252" max="10252" width="17" bestFit="1" customWidth="1"/>
    <col min="10253" max="10253" width="12.7109375" customWidth="1"/>
    <col min="10254" max="10254" width="13.7109375" customWidth="1"/>
    <col min="10255" max="10255" width="13.85546875" bestFit="1" customWidth="1"/>
    <col min="10256" max="10256" width="19.7109375" bestFit="1" customWidth="1"/>
    <col min="10257" max="10257" width="16.140625" customWidth="1"/>
    <col min="10258" max="10258" width="16.7109375" bestFit="1" customWidth="1"/>
    <col min="10259" max="10259" width="15.42578125" bestFit="1" customWidth="1"/>
    <col min="10260" max="10260" width="20.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2.42578125" bestFit="1" customWidth="1"/>
    <col min="10502" max="10502" width="16.28515625" bestFit="1" customWidth="1"/>
    <col min="10503" max="10503" width="13.42578125" customWidth="1"/>
    <col min="10504" max="10504" width="15.28515625" bestFit="1" customWidth="1"/>
    <col min="10505" max="10505" width="14.140625" bestFit="1" customWidth="1"/>
    <col min="10506" max="10506" width="15.28515625" customWidth="1"/>
    <col min="10507" max="10507" width="17.7109375" customWidth="1"/>
    <col min="10508" max="10508" width="17" bestFit="1" customWidth="1"/>
    <col min="10509" max="10509" width="12.7109375" customWidth="1"/>
    <col min="10510" max="10510" width="13.7109375" customWidth="1"/>
    <col min="10511" max="10511" width="13.85546875" bestFit="1" customWidth="1"/>
    <col min="10512" max="10512" width="19.7109375" bestFit="1" customWidth="1"/>
    <col min="10513" max="10513" width="16.140625" customWidth="1"/>
    <col min="10514" max="10514" width="16.7109375" bestFit="1" customWidth="1"/>
    <col min="10515" max="10515" width="15.42578125" bestFit="1" customWidth="1"/>
    <col min="10516" max="10516" width="20.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2.42578125" bestFit="1" customWidth="1"/>
    <col min="10758" max="10758" width="16.28515625" bestFit="1" customWidth="1"/>
    <col min="10759" max="10759" width="13.42578125" customWidth="1"/>
    <col min="10760" max="10760" width="15.28515625" bestFit="1" customWidth="1"/>
    <col min="10761" max="10761" width="14.140625" bestFit="1" customWidth="1"/>
    <col min="10762" max="10762" width="15.28515625" customWidth="1"/>
    <col min="10763" max="10763" width="17.7109375" customWidth="1"/>
    <col min="10764" max="10764" width="17" bestFit="1" customWidth="1"/>
    <col min="10765" max="10765" width="12.7109375" customWidth="1"/>
    <col min="10766" max="10766" width="13.7109375" customWidth="1"/>
    <col min="10767" max="10767" width="13.85546875" bestFit="1" customWidth="1"/>
    <col min="10768" max="10768" width="19.7109375" bestFit="1" customWidth="1"/>
    <col min="10769" max="10769" width="16.140625" customWidth="1"/>
    <col min="10770" max="10770" width="16.7109375" bestFit="1" customWidth="1"/>
    <col min="10771" max="10771" width="15.42578125" bestFit="1" customWidth="1"/>
    <col min="10772" max="10772" width="20.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2.42578125" bestFit="1" customWidth="1"/>
    <col min="11014" max="11014" width="16.28515625" bestFit="1" customWidth="1"/>
    <col min="11015" max="11015" width="13.42578125" customWidth="1"/>
    <col min="11016" max="11016" width="15.28515625" bestFit="1" customWidth="1"/>
    <col min="11017" max="11017" width="14.140625" bestFit="1" customWidth="1"/>
    <col min="11018" max="11018" width="15.28515625" customWidth="1"/>
    <col min="11019" max="11019" width="17.7109375" customWidth="1"/>
    <col min="11020" max="11020" width="17" bestFit="1" customWidth="1"/>
    <col min="11021" max="11021" width="12.7109375" customWidth="1"/>
    <col min="11022" max="11022" width="13.7109375" customWidth="1"/>
    <col min="11023" max="11023" width="13.85546875" bestFit="1" customWidth="1"/>
    <col min="11024" max="11024" width="19.7109375" bestFit="1" customWidth="1"/>
    <col min="11025" max="11025" width="16.140625" customWidth="1"/>
    <col min="11026" max="11026" width="16.7109375" bestFit="1" customWidth="1"/>
    <col min="11027" max="11027" width="15.42578125" bestFit="1" customWidth="1"/>
    <col min="11028" max="11028" width="20.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2.42578125" bestFit="1" customWidth="1"/>
    <col min="11270" max="11270" width="16.28515625" bestFit="1" customWidth="1"/>
    <col min="11271" max="11271" width="13.42578125" customWidth="1"/>
    <col min="11272" max="11272" width="15.28515625" bestFit="1" customWidth="1"/>
    <col min="11273" max="11273" width="14.140625" bestFit="1" customWidth="1"/>
    <col min="11274" max="11274" width="15.28515625" customWidth="1"/>
    <col min="11275" max="11275" width="17.7109375" customWidth="1"/>
    <col min="11276" max="11276" width="17" bestFit="1" customWidth="1"/>
    <col min="11277" max="11277" width="12.7109375" customWidth="1"/>
    <col min="11278" max="11278" width="13.7109375" customWidth="1"/>
    <col min="11279" max="11279" width="13.85546875" bestFit="1" customWidth="1"/>
    <col min="11280" max="11280" width="19.7109375" bestFit="1" customWidth="1"/>
    <col min="11281" max="11281" width="16.140625" customWidth="1"/>
    <col min="11282" max="11282" width="16.7109375" bestFit="1" customWidth="1"/>
    <col min="11283" max="11283" width="15.42578125" bestFit="1" customWidth="1"/>
    <col min="11284" max="11284" width="20.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2.42578125" bestFit="1" customWidth="1"/>
    <col min="11526" max="11526" width="16.28515625" bestFit="1" customWidth="1"/>
    <col min="11527" max="11527" width="13.42578125" customWidth="1"/>
    <col min="11528" max="11528" width="15.28515625" bestFit="1" customWidth="1"/>
    <col min="11529" max="11529" width="14.140625" bestFit="1" customWidth="1"/>
    <col min="11530" max="11530" width="15.28515625" customWidth="1"/>
    <col min="11531" max="11531" width="17.7109375" customWidth="1"/>
    <col min="11532" max="11532" width="17" bestFit="1" customWidth="1"/>
    <col min="11533" max="11533" width="12.7109375" customWidth="1"/>
    <col min="11534" max="11534" width="13.7109375" customWidth="1"/>
    <col min="11535" max="11535" width="13.85546875" bestFit="1" customWidth="1"/>
    <col min="11536" max="11536" width="19.7109375" bestFit="1" customWidth="1"/>
    <col min="11537" max="11537" width="16.140625" customWidth="1"/>
    <col min="11538" max="11538" width="16.7109375" bestFit="1" customWidth="1"/>
    <col min="11539" max="11539" width="15.42578125" bestFit="1" customWidth="1"/>
    <col min="11540" max="11540" width="20.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2.42578125" bestFit="1" customWidth="1"/>
    <col min="11782" max="11782" width="16.28515625" bestFit="1" customWidth="1"/>
    <col min="11783" max="11783" width="13.42578125" customWidth="1"/>
    <col min="11784" max="11784" width="15.28515625" bestFit="1" customWidth="1"/>
    <col min="11785" max="11785" width="14.140625" bestFit="1" customWidth="1"/>
    <col min="11786" max="11786" width="15.28515625" customWidth="1"/>
    <col min="11787" max="11787" width="17.7109375" customWidth="1"/>
    <col min="11788" max="11788" width="17" bestFit="1" customWidth="1"/>
    <col min="11789" max="11789" width="12.7109375" customWidth="1"/>
    <col min="11790" max="11790" width="13.7109375" customWidth="1"/>
    <col min="11791" max="11791" width="13.85546875" bestFit="1" customWidth="1"/>
    <col min="11792" max="11792" width="19.7109375" bestFit="1" customWidth="1"/>
    <col min="11793" max="11793" width="16.140625" customWidth="1"/>
    <col min="11794" max="11794" width="16.7109375" bestFit="1" customWidth="1"/>
    <col min="11795" max="11795" width="15.42578125" bestFit="1" customWidth="1"/>
    <col min="11796" max="11796" width="20.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2.42578125" bestFit="1" customWidth="1"/>
    <col min="12038" max="12038" width="16.28515625" bestFit="1" customWidth="1"/>
    <col min="12039" max="12039" width="13.42578125" customWidth="1"/>
    <col min="12040" max="12040" width="15.28515625" bestFit="1" customWidth="1"/>
    <col min="12041" max="12041" width="14.140625" bestFit="1" customWidth="1"/>
    <col min="12042" max="12042" width="15.28515625" customWidth="1"/>
    <col min="12043" max="12043" width="17.7109375" customWidth="1"/>
    <col min="12044" max="12044" width="17" bestFit="1" customWidth="1"/>
    <col min="12045" max="12045" width="12.7109375" customWidth="1"/>
    <col min="12046" max="12046" width="13.7109375" customWidth="1"/>
    <col min="12047" max="12047" width="13.85546875" bestFit="1" customWidth="1"/>
    <col min="12048" max="12048" width="19.7109375" bestFit="1" customWidth="1"/>
    <col min="12049" max="12049" width="16.140625" customWidth="1"/>
    <col min="12050" max="12050" width="16.7109375" bestFit="1" customWidth="1"/>
    <col min="12051" max="12051" width="15.42578125" bestFit="1" customWidth="1"/>
    <col min="12052" max="12052" width="20.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2.42578125" bestFit="1" customWidth="1"/>
    <col min="12294" max="12294" width="16.28515625" bestFit="1" customWidth="1"/>
    <col min="12295" max="12295" width="13.42578125" customWidth="1"/>
    <col min="12296" max="12296" width="15.28515625" bestFit="1" customWidth="1"/>
    <col min="12297" max="12297" width="14.140625" bestFit="1" customWidth="1"/>
    <col min="12298" max="12298" width="15.28515625" customWidth="1"/>
    <col min="12299" max="12299" width="17.7109375" customWidth="1"/>
    <col min="12300" max="12300" width="17" bestFit="1" customWidth="1"/>
    <col min="12301" max="12301" width="12.7109375" customWidth="1"/>
    <col min="12302" max="12302" width="13.7109375" customWidth="1"/>
    <col min="12303" max="12303" width="13.85546875" bestFit="1" customWidth="1"/>
    <col min="12304" max="12304" width="19.7109375" bestFit="1" customWidth="1"/>
    <col min="12305" max="12305" width="16.140625" customWidth="1"/>
    <col min="12306" max="12306" width="16.7109375" bestFit="1" customWidth="1"/>
    <col min="12307" max="12307" width="15.42578125" bestFit="1" customWidth="1"/>
    <col min="12308" max="12308" width="20.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2.42578125" bestFit="1" customWidth="1"/>
    <col min="12550" max="12550" width="16.28515625" bestFit="1" customWidth="1"/>
    <col min="12551" max="12551" width="13.42578125" customWidth="1"/>
    <col min="12552" max="12552" width="15.28515625" bestFit="1" customWidth="1"/>
    <col min="12553" max="12553" width="14.140625" bestFit="1" customWidth="1"/>
    <col min="12554" max="12554" width="15.28515625" customWidth="1"/>
    <col min="12555" max="12555" width="17.7109375" customWidth="1"/>
    <col min="12556" max="12556" width="17" bestFit="1" customWidth="1"/>
    <col min="12557" max="12557" width="12.7109375" customWidth="1"/>
    <col min="12558" max="12558" width="13.7109375" customWidth="1"/>
    <col min="12559" max="12559" width="13.85546875" bestFit="1" customWidth="1"/>
    <col min="12560" max="12560" width="19.7109375" bestFit="1" customWidth="1"/>
    <col min="12561" max="12561" width="16.140625" customWidth="1"/>
    <col min="12562" max="12562" width="16.7109375" bestFit="1" customWidth="1"/>
    <col min="12563" max="12563" width="15.42578125" bestFit="1" customWidth="1"/>
    <col min="12564" max="12564" width="20.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2.42578125" bestFit="1" customWidth="1"/>
    <col min="12806" max="12806" width="16.28515625" bestFit="1" customWidth="1"/>
    <col min="12807" max="12807" width="13.42578125" customWidth="1"/>
    <col min="12808" max="12808" width="15.28515625" bestFit="1" customWidth="1"/>
    <col min="12809" max="12809" width="14.140625" bestFit="1" customWidth="1"/>
    <col min="12810" max="12810" width="15.28515625" customWidth="1"/>
    <col min="12811" max="12811" width="17.7109375" customWidth="1"/>
    <col min="12812" max="12812" width="17" bestFit="1" customWidth="1"/>
    <col min="12813" max="12813" width="12.7109375" customWidth="1"/>
    <col min="12814" max="12814" width="13.7109375" customWidth="1"/>
    <col min="12815" max="12815" width="13.85546875" bestFit="1" customWidth="1"/>
    <col min="12816" max="12816" width="19.7109375" bestFit="1" customWidth="1"/>
    <col min="12817" max="12817" width="16.140625" customWidth="1"/>
    <col min="12818" max="12818" width="16.7109375" bestFit="1" customWidth="1"/>
    <col min="12819" max="12819" width="15.42578125" bestFit="1" customWidth="1"/>
    <col min="12820" max="12820" width="20.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2.42578125" bestFit="1" customWidth="1"/>
    <col min="13062" max="13062" width="16.28515625" bestFit="1" customWidth="1"/>
    <col min="13063" max="13063" width="13.42578125" customWidth="1"/>
    <col min="13064" max="13064" width="15.28515625" bestFit="1" customWidth="1"/>
    <col min="13065" max="13065" width="14.140625" bestFit="1" customWidth="1"/>
    <col min="13066" max="13066" width="15.28515625" customWidth="1"/>
    <col min="13067" max="13067" width="17.7109375" customWidth="1"/>
    <col min="13068" max="13068" width="17" bestFit="1" customWidth="1"/>
    <col min="13069" max="13069" width="12.7109375" customWidth="1"/>
    <col min="13070" max="13070" width="13.7109375" customWidth="1"/>
    <col min="13071" max="13071" width="13.85546875" bestFit="1" customWidth="1"/>
    <col min="13072" max="13072" width="19.7109375" bestFit="1" customWidth="1"/>
    <col min="13073" max="13073" width="16.140625" customWidth="1"/>
    <col min="13074" max="13074" width="16.7109375" bestFit="1" customWidth="1"/>
    <col min="13075" max="13075" width="15.42578125" bestFit="1" customWidth="1"/>
    <col min="13076" max="13076" width="20.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2.42578125" bestFit="1" customWidth="1"/>
    <col min="13318" max="13318" width="16.28515625" bestFit="1" customWidth="1"/>
    <col min="13319" max="13319" width="13.42578125" customWidth="1"/>
    <col min="13320" max="13320" width="15.28515625" bestFit="1" customWidth="1"/>
    <col min="13321" max="13321" width="14.140625" bestFit="1" customWidth="1"/>
    <col min="13322" max="13322" width="15.28515625" customWidth="1"/>
    <col min="13323" max="13323" width="17.7109375" customWidth="1"/>
    <col min="13324" max="13324" width="17" bestFit="1" customWidth="1"/>
    <col min="13325" max="13325" width="12.7109375" customWidth="1"/>
    <col min="13326" max="13326" width="13.7109375" customWidth="1"/>
    <col min="13327" max="13327" width="13.85546875" bestFit="1" customWidth="1"/>
    <col min="13328" max="13328" width="19.7109375" bestFit="1" customWidth="1"/>
    <col min="13329" max="13329" width="16.140625" customWidth="1"/>
    <col min="13330" max="13330" width="16.7109375" bestFit="1" customWidth="1"/>
    <col min="13331" max="13331" width="15.42578125" bestFit="1" customWidth="1"/>
    <col min="13332" max="13332" width="20.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2.42578125" bestFit="1" customWidth="1"/>
    <col min="13574" max="13574" width="16.28515625" bestFit="1" customWidth="1"/>
    <col min="13575" max="13575" width="13.42578125" customWidth="1"/>
    <col min="13576" max="13576" width="15.28515625" bestFit="1" customWidth="1"/>
    <col min="13577" max="13577" width="14.140625" bestFit="1" customWidth="1"/>
    <col min="13578" max="13578" width="15.28515625" customWidth="1"/>
    <col min="13579" max="13579" width="17.7109375" customWidth="1"/>
    <col min="13580" max="13580" width="17" bestFit="1" customWidth="1"/>
    <col min="13581" max="13581" width="12.7109375" customWidth="1"/>
    <col min="13582" max="13582" width="13.7109375" customWidth="1"/>
    <col min="13583" max="13583" width="13.85546875" bestFit="1" customWidth="1"/>
    <col min="13584" max="13584" width="19.7109375" bestFit="1" customWidth="1"/>
    <col min="13585" max="13585" width="16.140625" customWidth="1"/>
    <col min="13586" max="13586" width="16.7109375" bestFit="1" customWidth="1"/>
    <col min="13587" max="13587" width="15.42578125" bestFit="1" customWidth="1"/>
    <col min="13588" max="13588" width="20.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2.42578125" bestFit="1" customWidth="1"/>
    <col min="13830" max="13830" width="16.28515625" bestFit="1" customWidth="1"/>
    <col min="13831" max="13831" width="13.42578125" customWidth="1"/>
    <col min="13832" max="13832" width="15.28515625" bestFit="1" customWidth="1"/>
    <col min="13833" max="13833" width="14.140625" bestFit="1" customWidth="1"/>
    <col min="13834" max="13834" width="15.28515625" customWidth="1"/>
    <col min="13835" max="13835" width="17.7109375" customWidth="1"/>
    <col min="13836" max="13836" width="17" bestFit="1" customWidth="1"/>
    <col min="13837" max="13837" width="12.7109375" customWidth="1"/>
    <col min="13838" max="13838" width="13.7109375" customWidth="1"/>
    <col min="13839" max="13839" width="13.85546875" bestFit="1" customWidth="1"/>
    <col min="13840" max="13840" width="19.7109375" bestFit="1" customWidth="1"/>
    <col min="13841" max="13841" width="16.140625" customWidth="1"/>
    <col min="13842" max="13842" width="16.7109375" bestFit="1" customWidth="1"/>
    <col min="13843" max="13843" width="15.42578125" bestFit="1" customWidth="1"/>
    <col min="13844" max="13844" width="20.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2.42578125" bestFit="1" customWidth="1"/>
    <col min="14086" max="14086" width="16.28515625" bestFit="1" customWidth="1"/>
    <col min="14087" max="14087" width="13.42578125" customWidth="1"/>
    <col min="14088" max="14088" width="15.28515625" bestFit="1" customWidth="1"/>
    <col min="14089" max="14089" width="14.140625" bestFit="1" customWidth="1"/>
    <col min="14090" max="14090" width="15.28515625" customWidth="1"/>
    <col min="14091" max="14091" width="17.7109375" customWidth="1"/>
    <col min="14092" max="14092" width="17" bestFit="1" customWidth="1"/>
    <col min="14093" max="14093" width="12.7109375" customWidth="1"/>
    <col min="14094" max="14094" width="13.7109375" customWidth="1"/>
    <col min="14095" max="14095" width="13.85546875" bestFit="1" customWidth="1"/>
    <col min="14096" max="14096" width="19.7109375" bestFit="1" customWidth="1"/>
    <col min="14097" max="14097" width="16.140625" customWidth="1"/>
    <col min="14098" max="14098" width="16.7109375" bestFit="1" customWidth="1"/>
    <col min="14099" max="14099" width="15.42578125" bestFit="1" customWidth="1"/>
    <col min="14100" max="14100" width="20.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2.42578125" bestFit="1" customWidth="1"/>
    <col min="14342" max="14342" width="16.28515625" bestFit="1" customWidth="1"/>
    <col min="14343" max="14343" width="13.42578125" customWidth="1"/>
    <col min="14344" max="14344" width="15.28515625" bestFit="1" customWidth="1"/>
    <col min="14345" max="14345" width="14.140625" bestFit="1" customWidth="1"/>
    <col min="14346" max="14346" width="15.28515625" customWidth="1"/>
    <col min="14347" max="14347" width="17.7109375" customWidth="1"/>
    <col min="14348" max="14348" width="17" bestFit="1" customWidth="1"/>
    <col min="14349" max="14349" width="12.7109375" customWidth="1"/>
    <col min="14350" max="14350" width="13.7109375" customWidth="1"/>
    <col min="14351" max="14351" width="13.85546875" bestFit="1" customWidth="1"/>
    <col min="14352" max="14352" width="19.7109375" bestFit="1" customWidth="1"/>
    <col min="14353" max="14353" width="16.140625" customWidth="1"/>
    <col min="14354" max="14354" width="16.7109375" bestFit="1" customWidth="1"/>
    <col min="14355" max="14355" width="15.42578125" bestFit="1" customWidth="1"/>
    <col min="14356" max="14356" width="20.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2.42578125" bestFit="1" customWidth="1"/>
    <col min="14598" max="14598" width="16.28515625" bestFit="1" customWidth="1"/>
    <col min="14599" max="14599" width="13.42578125" customWidth="1"/>
    <col min="14600" max="14600" width="15.28515625" bestFit="1" customWidth="1"/>
    <col min="14601" max="14601" width="14.140625" bestFit="1" customWidth="1"/>
    <col min="14602" max="14602" width="15.28515625" customWidth="1"/>
    <col min="14603" max="14603" width="17.7109375" customWidth="1"/>
    <col min="14604" max="14604" width="17" bestFit="1" customWidth="1"/>
    <col min="14605" max="14605" width="12.7109375" customWidth="1"/>
    <col min="14606" max="14606" width="13.7109375" customWidth="1"/>
    <col min="14607" max="14607" width="13.85546875" bestFit="1" customWidth="1"/>
    <col min="14608" max="14608" width="19.7109375" bestFit="1" customWidth="1"/>
    <col min="14609" max="14609" width="16.140625" customWidth="1"/>
    <col min="14610" max="14610" width="16.7109375" bestFit="1" customWidth="1"/>
    <col min="14611" max="14611" width="15.42578125" bestFit="1" customWidth="1"/>
    <col min="14612" max="14612" width="20.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2.42578125" bestFit="1" customWidth="1"/>
    <col min="14854" max="14854" width="16.28515625" bestFit="1" customWidth="1"/>
    <col min="14855" max="14855" width="13.42578125" customWidth="1"/>
    <col min="14856" max="14856" width="15.28515625" bestFit="1" customWidth="1"/>
    <col min="14857" max="14857" width="14.140625" bestFit="1" customWidth="1"/>
    <col min="14858" max="14858" width="15.28515625" customWidth="1"/>
    <col min="14859" max="14859" width="17.7109375" customWidth="1"/>
    <col min="14860" max="14860" width="17" bestFit="1" customWidth="1"/>
    <col min="14861" max="14861" width="12.7109375" customWidth="1"/>
    <col min="14862" max="14862" width="13.7109375" customWidth="1"/>
    <col min="14863" max="14863" width="13.85546875" bestFit="1" customWidth="1"/>
    <col min="14864" max="14864" width="19.7109375" bestFit="1" customWidth="1"/>
    <col min="14865" max="14865" width="16.140625" customWidth="1"/>
    <col min="14866" max="14866" width="16.7109375" bestFit="1" customWidth="1"/>
    <col min="14867" max="14867" width="15.42578125" bestFit="1" customWidth="1"/>
    <col min="14868" max="14868" width="20.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2.42578125" bestFit="1" customWidth="1"/>
    <col min="15110" max="15110" width="16.28515625" bestFit="1" customWidth="1"/>
    <col min="15111" max="15111" width="13.42578125" customWidth="1"/>
    <col min="15112" max="15112" width="15.28515625" bestFit="1" customWidth="1"/>
    <col min="15113" max="15113" width="14.140625" bestFit="1" customWidth="1"/>
    <col min="15114" max="15114" width="15.28515625" customWidth="1"/>
    <col min="15115" max="15115" width="17.7109375" customWidth="1"/>
    <col min="15116" max="15116" width="17" bestFit="1" customWidth="1"/>
    <col min="15117" max="15117" width="12.7109375" customWidth="1"/>
    <col min="15118" max="15118" width="13.7109375" customWidth="1"/>
    <col min="15119" max="15119" width="13.85546875" bestFit="1" customWidth="1"/>
    <col min="15120" max="15120" width="19.7109375" bestFit="1" customWidth="1"/>
    <col min="15121" max="15121" width="16.140625" customWidth="1"/>
    <col min="15122" max="15122" width="16.7109375" bestFit="1" customWidth="1"/>
    <col min="15123" max="15123" width="15.42578125" bestFit="1" customWidth="1"/>
    <col min="15124" max="15124" width="20.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2.42578125" bestFit="1" customWidth="1"/>
    <col min="15366" max="15366" width="16.28515625" bestFit="1" customWidth="1"/>
    <col min="15367" max="15367" width="13.42578125" customWidth="1"/>
    <col min="15368" max="15368" width="15.28515625" bestFit="1" customWidth="1"/>
    <col min="15369" max="15369" width="14.140625" bestFit="1" customWidth="1"/>
    <col min="15370" max="15370" width="15.28515625" customWidth="1"/>
    <col min="15371" max="15371" width="17.7109375" customWidth="1"/>
    <col min="15372" max="15372" width="17" bestFit="1" customWidth="1"/>
    <col min="15373" max="15373" width="12.7109375" customWidth="1"/>
    <col min="15374" max="15374" width="13.7109375" customWidth="1"/>
    <col min="15375" max="15375" width="13.85546875" bestFit="1" customWidth="1"/>
    <col min="15376" max="15376" width="19.7109375" bestFit="1" customWidth="1"/>
    <col min="15377" max="15377" width="16.140625" customWidth="1"/>
    <col min="15378" max="15378" width="16.7109375" bestFit="1" customWidth="1"/>
    <col min="15379" max="15379" width="15.42578125" bestFit="1" customWidth="1"/>
    <col min="15380" max="15380" width="20.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2.42578125" bestFit="1" customWidth="1"/>
    <col min="15622" max="15622" width="16.28515625" bestFit="1" customWidth="1"/>
    <col min="15623" max="15623" width="13.42578125" customWidth="1"/>
    <col min="15624" max="15624" width="15.28515625" bestFit="1" customWidth="1"/>
    <col min="15625" max="15625" width="14.140625" bestFit="1" customWidth="1"/>
    <col min="15626" max="15626" width="15.28515625" customWidth="1"/>
    <col min="15627" max="15627" width="17.7109375" customWidth="1"/>
    <col min="15628" max="15628" width="17" bestFit="1" customWidth="1"/>
    <col min="15629" max="15629" width="12.7109375" customWidth="1"/>
    <col min="15630" max="15630" width="13.7109375" customWidth="1"/>
    <col min="15631" max="15631" width="13.85546875" bestFit="1" customWidth="1"/>
    <col min="15632" max="15632" width="19.7109375" bestFit="1" customWidth="1"/>
    <col min="15633" max="15633" width="16.140625" customWidth="1"/>
    <col min="15634" max="15634" width="16.7109375" bestFit="1" customWidth="1"/>
    <col min="15635" max="15635" width="15.42578125" bestFit="1" customWidth="1"/>
    <col min="15636" max="15636" width="20.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2.42578125" bestFit="1" customWidth="1"/>
    <col min="15878" max="15878" width="16.28515625" bestFit="1" customWidth="1"/>
    <col min="15879" max="15879" width="13.42578125" customWidth="1"/>
    <col min="15880" max="15880" width="15.28515625" bestFit="1" customWidth="1"/>
    <col min="15881" max="15881" width="14.140625" bestFit="1" customWidth="1"/>
    <col min="15882" max="15882" width="15.28515625" customWidth="1"/>
    <col min="15883" max="15883" width="17.7109375" customWidth="1"/>
    <col min="15884" max="15884" width="17" bestFit="1" customWidth="1"/>
    <col min="15885" max="15885" width="12.7109375" customWidth="1"/>
    <col min="15886" max="15886" width="13.7109375" customWidth="1"/>
    <col min="15887" max="15887" width="13.85546875" bestFit="1" customWidth="1"/>
    <col min="15888" max="15888" width="19.7109375" bestFit="1" customWidth="1"/>
    <col min="15889" max="15889" width="16.140625" customWidth="1"/>
    <col min="15890" max="15890" width="16.7109375" bestFit="1" customWidth="1"/>
    <col min="15891" max="15891" width="15.42578125" bestFit="1" customWidth="1"/>
    <col min="15892" max="15892" width="20.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2.42578125" bestFit="1" customWidth="1"/>
    <col min="16134" max="16134" width="16.28515625" bestFit="1" customWidth="1"/>
    <col min="16135" max="16135" width="13.42578125" customWidth="1"/>
    <col min="16136" max="16136" width="15.28515625" bestFit="1" customWidth="1"/>
    <col min="16137" max="16137" width="14.140625" bestFit="1" customWidth="1"/>
    <col min="16138" max="16138" width="15.28515625" customWidth="1"/>
    <col min="16139" max="16139" width="17.7109375" customWidth="1"/>
    <col min="16140" max="16140" width="17" bestFit="1" customWidth="1"/>
    <col min="16141" max="16141" width="12.7109375" customWidth="1"/>
    <col min="16142" max="16142" width="13.7109375" customWidth="1"/>
    <col min="16143" max="16143" width="13.85546875" bestFit="1" customWidth="1"/>
    <col min="16144" max="16144" width="19.7109375" bestFit="1" customWidth="1"/>
    <col min="16145" max="16145" width="16.140625" customWidth="1"/>
    <col min="16146" max="16146" width="16.7109375" bestFit="1" customWidth="1"/>
    <col min="16147" max="16147" width="15.42578125" bestFit="1" customWidth="1"/>
    <col min="16148" max="16148" width="20.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75" customHeight="1" thickBot="1">
      <c r="B1" s="3461"/>
      <c r="F1" s="198"/>
      <c r="G1" s="198">
        <f>C3</f>
        <v>18230700</v>
      </c>
      <c r="H1" s="198" t="str">
        <f>C4</f>
        <v>Residential Showerheads Gas</v>
      </c>
      <c r="I1" s="198"/>
    </row>
    <row r="2" spans="2:22" ht="16.5" thickBot="1">
      <c r="B2" s="198" t="s">
        <v>109</v>
      </c>
      <c r="C2" s="199" t="s">
        <v>574</v>
      </c>
      <c r="G2" s="200" t="s">
        <v>8</v>
      </c>
      <c r="Q2" s="5133" t="s">
        <v>556</v>
      </c>
      <c r="R2" s="5133"/>
      <c r="S2" s="5124" t="s">
        <v>110</v>
      </c>
      <c r="T2" s="5125"/>
      <c r="U2" s="5126"/>
      <c r="V2" s="5118" t="s">
        <v>111</v>
      </c>
    </row>
    <row r="3" spans="2:22" ht="16.5" thickBot="1">
      <c r="B3" s="199" t="s">
        <v>6</v>
      </c>
      <c r="C3" s="199">
        <v>18230700</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596</v>
      </c>
      <c r="F4" s="198">
        <v>2011</v>
      </c>
      <c r="G4" s="206">
        <f>B13</f>
        <v>13836</v>
      </c>
      <c r="H4" s="207">
        <f>B18</f>
        <v>5250</v>
      </c>
      <c r="I4" s="207">
        <f>B23</f>
        <v>12024</v>
      </c>
      <c r="J4" s="207">
        <f>B28</f>
        <v>30000</v>
      </c>
      <c r="K4" s="207">
        <f>B33</f>
        <v>1500</v>
      </c>
      <c r="L4" s="207">
        <f>B38</f>
        <v>74400</v>
      </c>
      <c r="M4" s="207">
        <f>B43</f>
        <v>500</v>
      </c>
      <c r="N4" s="207">
        <f>B48</f>
        <v>500</v>
      </c>
      <c r="O4" s="207">
        <f>B53</f>
        <v>116400</v>
      </c>
      <c r="P4" s="207">
        <f>B54</f>
        <v>0</v>
      </c>
      <c r="Q4" s="209">
        <f>B55</f>
        <v>254410</v>
      </c>
      <c r="R4" s="355">
        <f>T55</f>
        <v>0</v>
      </c>
      <c r="S4" s="316">
        <f>O4/Q4</f>
        <v>0.4575291851735388</v>
      </c>
      <c r="T4" s="316">
        <f>(J4+(H4*1.63))/Q4</f>
        <v>0.15155654258873472</v>
      </c>
      <c r="U4" s="316">
        <f>L4/Q4</f>
        <v>0.29244133485318974</v>
      </c>
      <c r="V4" s="212" t="e">
        <f>Q4/R4</f>
        <v>#DIV/0!</v>
      </c>
    </row>
    <row r="5" spans="2:22" ht="16.5" thickBot="1">
      <c r="B5" s="198" t="s">
        <v>33</v>
      </c>
      <c r="F5" s="198">
        <v>2012</v>
      </c>
      <c r="G5" s="213">
        <f>D13</f>
        <v>16675.199999999997</v>
      </c>
      <c r="H5" s="214">
        <f>D18</f>
        <v>12000</v>
      </c>
      <c r="I5" s="214">
        <f>D23</f>
        <v>18065.375999999997</v>
      </c>
      <c r="J5" s="214">
        <f>D28</f>
        <v>49005</v>
      </c>
      <c r="K5" s="214">
        <f>D33</f>
        <v>1500</v>
      </c>
      <c r="L5" s="214">
        <f>D38</f>
        <v>31500</v>
      </c>
      <c r="M5" s="214">
        <f>D43</f>
        <v>500</v>
      </c>
      <c r="N5" s="214">
        <f>D48</f>
        <v>500</v>
      </c>
      <c r="O5" s="214">
        <f>D53</f>
        <v>0</v>
      </c>
      <c r="P5" s="214">
        <f>D54</f>
        <v>0</v>
      </c>
      <c r="Q5" s="215">
        <f>SUM(G5:P5)</f>
        <v>129745.576</v>
      </c>
      <c r="R5" s="356">
        <f>P55</f>
        <v>0</v>
      </c>
      <c r="S5" s="317">
        <f>O5/Q5</f>
        <v>0</v>
      </c>
      <c r="T5" s="317">
        <f>(J5+(H5*1.63))/Q5</f>
        <v>0.52845732481853558</v>
      </c>
      <c r="U5" s="317">
        <f>L5/Q5</f>
        <v>0.24278284448018481</v>
      </c>
      <c r="V5" s="218" t="e">
        <f>Q5/R5</f>
        <v>#DIV/0!</v>
      </c>
    </row>
    <row r="6" spans="2:22" s="3532" customFormat="1" ht="16.5" thickBot="1">
      <c r="B6" s="3536"/>
      <c r="D6" s="3533"/>
      <c r="F6" s="4249" t="s">
        <v>1168</v>
      </c>
      <c r="G6" s="3547">
        <v>17175.45</v>
      </c>
      <c r="H6" s="3548">
        <v>12300</v>
      </c>
      <c r="I6" s="3548">
        <v>18569.533500000001</v>
      </c>
      <c r="J6" s="3548">
        <v>40095</v>
      </c>
      <c r="K6" s="3548">
        <v>1500</v>
      </c>
      <c r="L6" s="3548">
        <v>33300</v>
      </c>
      <c r="M6" s="3548">
        <v>500</v>
      </c>
      <c r="N6" s="3548">
        <v>500</v>
      </c>
      <c r="O6" s="3548">
        <v>108000</v>
      </c>
      <c r="P6" s="3548">
        <v>0</v>
      </c>
      <c r="Q6" s="3549">
        <v>231939.9835</v>
      </c>
      <c r="R6" s="3610">
        <v>78900</v>
      </c>
      <c r="S6" s="3637">
        <v>0.46563769803838068</v>
      </c>
      <c r="T6" s="3637">
        <v>0.2593084602853738</v>
      </c>
      <c r="U6" s="3637">
        <v>0.14357162356183403</v>
      </c>
      <c r="V6" s="3498">
        <v>2.9396702598225604</v>
      </c>
    </row>
    <row r="7" spans="2:22" ht="16.5" thickBot="1">
      <c r="C7" s="198" t="s">
        <v>373</v>
      </c>
      <c r="F7" s="4281" t="s">
        <v>1169</v>
      </c>
      <c r="G7" s="4195">
        <f>E13</f>
        <v>15000</v>
      </c>
      <c r="H7" s="4196">
        <f>E18</f>
        <v>5000</v>
      </c>
      <c r="I7" s="4196">
        <f>E23</f>
        <v>14140</v>
      </c>
      <c r="J7" s="4196">
        <f>E28</f>
        <v>25000</v>
      </c>
      <c r="K7" s="4196">
        <f>E33</f>
        <v>1000</v>
      </c>
      <c r="L7" s="4196">
        <f>E38</f>
        <v>10000</v>
      </c>
      <c r="M7" s="4196">
        <f>E43</f>
        <v>500</v>
      </c>
      <c r="N7" s="4196">
        <f>E48</f>
        <v>500</v>
      </c>
      <c r="O7" s="4196">
        <f>E53</f>
        <v>225350</v>
      </c>
      <c r="P7" s="4196">
        <f>E54</f>
        <v>0</v>
      </c>
      <c r="Q7" s="4197">
        <f>SUM(G7:P7)</f>
        <v>296490</v>
      </c>
      <c r="R7" s="4198">
        <f>Q55</f>
        <v>179279.76</v>
      </c>
      <c r="S7" s="317">
        <f>O7/Q7</f>
        <v>0.7600593611926203</v>
      </c>
      <c r="T7" s="317">
        <f>(J7+(H7*1.63))/Q7</f>
        <v>0.11180815541839523</v>
      </c>
      <c r="U7" s="317">
        <f>L7/Q7</f>
        <v>3.3727950352457084E-2</v>
      </c>
      <c r="V7" s="218">
        <f>Q7/R7</f>
        <v>1.6537840077429822</v>
      </c>
    </row>
    <row r="8" spans="2:22" ht="16.5" thickBot="1">
      <c r="C8" s="220" t="s">
        <v>374</v>
      </c>
      <c r="F8" s="3611" t="s">
        <v>1176</v>
      </c>
      <c r="G8" s="357">
        <f>SUM(G5+G7)</f>
        <v>31675.199999999997</v>
      </c>
      <c r="H8" s="3612">
        <f t="shared" ref="H8:Q8" si="0">SUM(H5+H7)</f>
        <v>17000</v>
      </c>
      <c r="I8" s="3612">
        <f t="shared" si="0"/>
        <v>32205.375999999997</v>
      </c>
      <c r="J8" s="3612">
        <f t="shared" si="0"/>
        <v>74005</v>
      </c>
      <c r="K8" s="3612">
        <f t="shared" si="0"/>
        <v>2500</v>
      </c>
      <c r="L8" s="3612">
        <f t="shared" si="0"/>
        <v>41500</v>
      </c>
      <c r="M8" s="3612">
        <f t="shared" si="0"/>
        <v>1000</v>
      </c>
      <c r="N8" s="3612">
        <f t="shared" si="0"/>
        <v>1000</v>
      </c>
      <c r="O8" s="3612">
        <f t="shared" si="0"/>
        <v>225350</v>
      </c>
      <c r="P8" s="3612">
        <f t="shared" si="0"/>
        <v>0</v>
      </c>
      <c r="Q8" s="3612">
        <f t="shared" si="0"/>
        <v>426235.576</v>
      </c>
      <c r="R8" s="3610">
        <f>SUM(R5+R7)</f>
        <v>179279.76</v>
      </c>
      <c r="S8" s="317">
        <f>O8/Q8</f>
        <v>0.52869824268258636</v>
      </c>
      <c r="T8" s="317">
        <f>(J8+(H8*1.63))/Q8</f>
        <v>0.2386356412445497</v>
      </c>
      <c r="U8" s="317">
        <f>L8/Q8</f>
        <v>9.7363998541501379E-2</v>
      </c>
      <c r="V8" s="218">
        <f>Q8/R8</f>
        <v>2.3774885463925206</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371">
        <v>13836</v>
      </c>
      <c r="C13" s="236" t="s">
        <v>138</v>
      </c>
      <c r="D13" s="237">
        <f>SUM(D14:D17)</f>
        <v>16675.199999999997</v>
      </c>
      <c r="E13" s="4468">
        <f>SUM(E14:E17)</f>
        <v>15000</v>
      </c>
      <c r="F13" s="238">
        <f>D13+E13</f>
        <v>31675.199999999997</v>
      </c>
      <c r="H13" s="132"/>
      <c r="I13" s="239" t="str">
        <f t="shared" ref="I13:I54" si="1">C63</f>
        <v xml:space="preserve">2.0 - 1.76 gpm Showerheads - Mail-in </v>
      </c>
      <c r="J13" s="240"/>
      <c r="K13" s="241"/>
      <c r="L13" s="360">
        <f t="shared" ref="L13:L54" si="2">D63</f>
        <v>5</v>
      </c>
      <c r="M13" s="257">
        <v>0</v>
      </c>
      <c r="N13" s="4451">
        <f>800*0.48</f>
        <v>384</v>
      </c>
      <c r="O13" s="244">
        <f>M13+N13</f>
        <v>384</v>
      </c>
      <c r="P13" s="361">
        <f t="shared" ref="P13:R28" si="3">M13*$D63</f>
        <v>0</v>
      </c>
      <c r="Q13" s="361">
        <f t="shared" si="3"/>
        <v>1920</v>
      </c>
      <c r="R13" s="362">
        <f t="shared" si="3"/>
        <v>1920</v>
      </c>
      <c r="T13" s="3535"/>
    </row>
    <row r="14" spans="2:22">
      <c r="B14" s="247"/>
      <c r="C14" s="248" t="s">
        <v>239</v>
      </c>
      <c r="D14" s="249">
        <v>5558.4</v>
      </c>
      <c r="E14" s="4447">
        <v>0</v>
      </c>
      <c r="F14" s="249">
        <f>SUM(D14:E14)</f>
        <v>5558.4</v>
      </c>
      <c r="H14" s="132"/>
      <c r="I14" s="250" t="str">
        <f t="shared" si="1"/>
        <v>1.75 - 1.51 gpm Showerheads - Mail-in</v>
      </c>
      <c r="J14" s="251"/>
      <c r="K14" s="252"/>
      <c r="L14" s="360">
        <f t="shared" si="2"/>
        <v>8</v>
      </c>
      <c r="M14" s="257">
        <v>0</v>
      </c>
      <c r="N14" s="4451">
        <f>800*0.01</f>
        <v>8</v>
      </c>
      <c r="O14" s="244">
        <f t="shared" ref="O14:O54" si="4">M14+N14</f>
        <v>8</v>
      </c>
      <c r="P14" s="361">
        <f t="shared" si="3"/>
        <v>0</v>
      </c>
      <c r="Q14" s="361">
        <f t="shared" si="3"/>
        <v>64</v>
      </c>
      <c r="R14" s="362">
        <f t="shared" si="3"/>
        <v>64</v>
      </c>
      <c r="T14" s="3535"/>
    </row>
    <row r="15" spans="2:22">
      <c r="B15" s="254"/>
      <c r="C15" s="248" t="s">
        <v>376</v>
      </c>
      <c r="D15" s="249">
        <v>2779.2</v>
      </c>
      <c r="E15" s="4447">
        <v>5000</v>
      </c>
      <c r="F15" s="249">
        <f t="shared" ref="F15:F25" si="5">SUM(D15:E15)</f>
        <v>7779.2</v>
      </c>
      <c r="H15" s="132"/>
      <c r="I15" s="250" t="str">
        <f t="shared" si="1"/>
        <v>1.50 and less Showerheads - Mail-in</v>
      </c>
      <c r="J15" s="251"/>
      <c r="K15" s="252"/>
      <c r="L15" s="360">
        <f t="shared" si="2"/>
        <v>11</v>
      </c>
      <c r="M15" s="257">
        <v>0</v>
      </c>
      <c r="N15" s="4451">
        <f>800*0.51</f>
        <v>408</v>
      </c>
      <c r="O15" s="244">
        <f t="shared" si="4"/>
        <v>408</v>
      </c>
      <c r="P15" s="361">
        <f t="shared" si="3"/>
        <v>0</v>
      </c>
      <c r="Q15" s="361">
        <f t="shared" si="3"/>
        <v>4488</v>
      </c>
      <c r="R15" s="362">
        <f t="shared" si="3"/>
        <v>4488</v>
      </c>
      <c r="T15" s="3535"/>
    </row>
    <row r="16" spans="2:22">
      <c r="B16" s="254"/>
      <c r="C16" s="255" t="s">
        <v>377</v>
      </c>
      <c r="D16" s="249">
        <v>2779.2</v>
      </c>
      <c r="E16" s="4447">
        <v>0</v>
      </c>
      <c r="F16" s="249">
        <f t="shared" si="5"/>
        <v>2779.2</v>
      </c>
      <c r="H16" s="132"/>
      <c r="I16" s="250" t="str">
        <f t="shared" si="1"/>
        <v>2.0 - 1.76 gpm Showerheads - Retail_Gas WH_Any Shower</v>
      </c>
      <c r="J16" s="251"/>
      <c r="K16" s="252"/>
      <c r="L16" s="360">
        <f t="shared" si="2"/>
        <v>5</v>
      </c>
      <c r="M16" s="257">
        <v>0</v>
      </c>
      <c r="N16" s="4451">
        <f>21335*0.016</f>
        <v>341.36</v>
      </c>
      <c r="O16" s="244">
        <f t="shared" si="4"/>
        <v>341.36</v>
      </c>
      <c r="P16" s="361">
        <f t="shared" si="3"/>
        <v>0</v>
      </c>
      <c r="Q16" s="361">
        <f t="shared" si="3"/>
        <v>1706.8000000000002</v>
      </c>
      <c r="R16" s="362">
        <f t="shared" si="3"/>
        <v>1706.8000000000002</v>
      </c>
      <c r="T16" s="3535"/>
    </row>
    <row r="17" spans="2:20" ht="13.5" thickBot="1">
      <c r="B17" s="254"/>
      <c r="C17" s="255" t="s">
        <v>378</v>
      </c>
      <c r="D17" s="249">
        <v>5558.4</v>
      </c>
      <c r="E17" s="4447">
        <v>10000</v>
      </c>
      <c r="F17" s="249">
        <f t="shared" si="5"/>
        <v>15558.4</v>
      </c>
      <c r="H17" s="132"/>
      <c r="I17" s="250" t="str">
        <f t="shared" si="1"/>
        <v>1.75 - 1.51 gpm Showerheads - Retail_Gas WH_Any Shower</v>
      </c>
      <c r="J17" s="251"/>
      <c r="K17" s="252"/>
      <c r="L17" s="360">
        <f t="shared" si="2"/>
        <v>7</v>
      </c>
      <c r="M17" s="257">
        <v>0</v>
      </c>
      <c r="N17" s="4451">
        <f>21335*0.096</f>
        <v>2048.16</v>
      </c>
      <c r="O17" s="244">
        <f t="shared" si="4"/>
        <v>2048.16</v>
      </c>
      <c r="P17" s="361">
        <f t="shared" si="3"/>
        <v>0</v>
      </c>
      <c r="Q17" s="361">
        <f t="shared" si="3"/>
        <v>14337.119999999999</v>
      </c>
      <c r="R17" s="362">
        <f t="shared" si="3"/>
        <v>14337.119999999999</v>
      </c>
      <c r="T17" s="3535"/>
    </row>
    <row r="18" spans="2:20" ht="13.5" thickBot="1">
      <c r="B18" s="262">
        <v>5250</v>
      </c>
      <c r="C18" s="236" t="s">
        <v>143</v>
      </c>
      <c r="D18" s="237">
        <f>SUM(D19:D22)</f>
        <v>12000</v>
      </c>
      <c r="E18" s="4468">
        <f>SUM(E19:E22)</f>
        <v>5000</v>
      </c>
      <c r="F18" s="238">
        <f>D18+E18</f>
        <v>17000</v>
      </c>
      <c r="H18" s="132"/>
      <c r="I18" s="250" t="str">
        <f t="shared" si="1"/>
        <v>1.50 and less Showerheads - Retail_Gas WH_Any Shower</v>
      </c>
      <c r="J18" s="251"/>
      <c r="K18" s="252"/>
      <c r="L18" s="360">
        <f t="shared" si="2"/>
        <v>8</v>
      </c>
      <c r="M18" s="257">
        <v>0</v>
      </c>
      <c r="N18" s="4451">
        <f>21335*0.888</f>
        <v>18945.48</v>
      </c>
      <c r="O18" s="244">
        <f t="shared" si="4"/>
        <v>18945.48</v>
      </c>
      <c r="P18" s="361">
        <f t="shared" si="3"/>
        <v>0</v>
      </c>
      <c r="Q18" s="361">
        <f t="shared" si="3"/>
        <v>151563.84</v>
      </c>
      <c r="R18" s="362">
        <f t="shared" si="3"/>
        <v>151563.84</v>
      </c>
      <c r="T18" s="3535"/>
    </row>
    <row r="19" spans="2:20">
      <c r="B19" s="247"/>
      <c r="C19" s="330" t="s">
        <v>379</v>
      </c>
      <c r="D19" s="331">
        <v>6000</v>
      </c>
      <c r="E19" s="4588">
        <v>0</v>
      </c>
      <c r="F19" s="249">
        <f t="shared" si="5"/>
        <v>6000</v>
      </c>
      <c r="H19" s="132"/>
      <c r="I19" s="250" t="str">
        <f t="shared" si="1"/>
        <v>1.50 gpm Showerheads - Direct Install</v>
      </c>
      <c r="J19" s="251"/>
      <c r="K19" s="252"/>
      <c r="L19" s="360">
        <f t="shared" si="2"/>
        <v>13</v>
      </c>
      <c r="M19" s="257">
        <v>0</v>
      </c>
      <c r="N19" s="4451">
        <v>400</v>
      </c>
      <c r="O19" s="244">
        <f t="shared" si="4"/>
        <v>400</v>
      </c>
      <c r="P19" s="361">
        <f t="shared" si="3"/>
        <v>0</v>
      </c>
      <c r="Q19" s="361">
        <f t="shared" si="3"/>
        <v>5200</v>
      </c>
      <c r="R19" s="362">
        <f t="shared" si="3"/>
        <v>5200</v>
      </c>
      <c r="T19" s="3535"/>
    </row>
    <row r="20" spans="2:20">
      <c r="B20" s="254"/>
      <c r="C20" s="332" t="s">
        <v>380</v>
      </c>
      <c r="D20" s="331">
        <v>6000</v>
      </c>
      <c r="E20" s="4588">
        <v>5000</v>
      </c>
      <c r="F20" s="249">
        <f t="shared" si="5"/>
        <v>11000</v>
      </c>
      <c r="H20" s="132"/>
      <c r="I20" s="250" t="str">
        <f t="shared" si="1"/>
        <v>Measure 8</v>
      </c>
      <c r="J20" s="251"/>
      <c r="K20" s="252"/>
      <c r="L20" s="360">
        <f t="shared" si="2"/>
        <v>0</v>
      </c>
      <c r="M20" s="257">
        <v>0</v>
      </c>
      <c r="N20" s="257">
        <v>0</v>
      </c>
      <c r="O20" s="244">
        <f t="shared" si="4"/>
        <v>0</v>
      </c>
      <c r="P20" s="361">
        <f t="shared" si="3"/>
        <v>0</v>
      </c>
      <c r="Q20" s="361">
        <f t="shared" si="3"/>
        <v>0</v>
      </c>
      <c r="R20" s="362">
        <f t="shared" si="3"/>
        <v>0</v>
      </c>
      <c r="T20" s="3535"/>
    </row>
    <row r="21" spans="2:20">
      <c r="B21" s="254"/>
      <c r="C21" s="255" t="s">
        <v>141</v>
      </c>
      <c r="D21" s="258">
        <v>0</v>
      </c>
      <c r="E21" s="258"/>
      <c r="F21" s="249">
        <f t="shared" si="5"/>
        <v>0</v>
      </c>
      <c r="H21" s="132"/>
      <c r="I21" s="250" t="str">
        <f t="shared" si="1"/>
        <v>Measure 9</v>
      </c>
      <c r="J21" s="251"/>
      <c r="K21" s="252"/>
      <c r="L21" s="360">
        <f t="shared" si="2"/>
        <v>0</v>
      </c>
      <c r="M21" s="257">
        <v>0</v>
      </c>
      <c r="N21" s="257">
        <v>0</v>
      </c>
      <c r="O21" s="244">
        <f t="shared" si="4"/>
        <v>0</v>
      </c>
      <c r="P21" s="361">
        <f t="shared" si="3"/>
        <v>0</v>
      </c>
      <c r="Q21" s="361">
        <f t="shared" si="3"/>
        <v>0</v>
      </c>
      <c r="R21" s="362">
        <f t="shared" si="3"/>
        <v>0</v>
      </c>
      <c r="T21" s="3535"/>
    </row>
    <row r="22" spans="2:20" ht="13.5" thickBot="1">
      <c r="B22" s="254"/>
      <c r="C22" s="255" t="s">
        <v>142</v>
      </c>
      <c r="D22" s="258">
        <v>0</v>
      </c>
      <c r="E22" s="258"/>
      <c r="F22" s="249">
        <f t="shared" si="5"/>
        <v>0</v>
      </c>
      <c r="H22" s="132"/>
      <c r="I22" s="250" t="str">
        <f t="shared" si="1"/>
        <v>Measure 10</v>
      </c>
      <c r="J22" s="251"/>
      <c r="K22" s="252"/>
      <c r="L22" s="360">
        <f t="shared" si="2"/>
        <v>0</v>
      </c>
      <c r="M22" s="257">
        <v>0</v>
      </c>
      <c r="N22" s="257">
        <v>0</v>
      </c>
      <c r="O22" s="244">
        <f t="shared" si="4"/>
        <v>0</v>
      </c>
      <c r="P22" s="361">
        <f t="shared" si="3"/>
        <v>0</v>
      </c>
      <c r="Q22" s="361">
        <f t="shared" si="3"/>
        <v>0</v>
      </c>
      <c r="R22" s="362">
        <f t="shared" si="3"/>
        <v>0</v>
      </c>
      <c r="T22" s="3535"/>
    </row>
    <row r="23" spans="2:20" ht="13.5" thickBot="1">
      <c r="B23" s="262">
        <v>12024</v>
      </c>
      <c r="C23" s="236" t="s">
        <v>144</v>
      </c>
      <c r="D23" s="237">
        <f>SUM(D24:D27)</f>
        <v>18065.375999999997</v>
      </c>
      <c r="E23" s="237">
        <f>SUM(E24:E27)</f>
        <v>14140</v>
      </c>
      <c r="F23" s="238">
        <f>D23+E23</f>
        <v>32205.375999999997</v>
      </c>
      <c r="G23" s="53"/>
      <c r="H23" s="132"/>
      <c r="I23" s="250" t="str">
        <f t="shared" si="1"/>
        <v>Measure 11</v>
      </c>
      <c r="J23" s="251"/>
      <c r="K23" s="252"/>
      <c r="L23" s="360">
        <f t="shared" si="2"/>
        <v>0</v>
      </c>
      <c r="M23" s="257">
        <v>0</v>
      </c>
      <c r="N23" s="257">
        <v>0</v>
      </c>
      <c r="O23" s="244">
        <f t="shared" si="4"/>
        <v>0</v>
      </c>
      <c r="P23" s="361">
        <f t="shared" si="3"/>
        <v>0</v>
      </c>
      <c r="Q23" s="361">
        <f t="shared" si="3"/>
        <v>0</v>
      </c>
      <c r="R23" s="362">
        <f t="shared" si="3"/>
        <v>0</v>
      </c>
      <c r="T23" s="3535"/>
    </row>
    <row r="24" spans="2:20">
      <c r="B24" s="247"/>
      <c r="C24" s="3566" t="s">
        <v>1434</v>
      </c>
      <c r="D24" s="249">
        <f>0.63*D13</f>
        <v>10505.375999999998</v>
      </c>
      <c r="E24" s="249">
        <f>0.707*E13</f>
        <v>10605</v>
      </c>
      <c r="F24" s="249">
        <f t="shared" si="5"/>
        <v>21110.375999999997</v>
      </c>
      <c r="H24" s="132"/>
      <c r="I24" s="250" t="str">
        <f t="shared" si="1"/>
        <v>Measure 12</v>
      </c>
      <c r="J24" s="251"/>
      <c r="K24" s="252"/>
      <c r="L24" s="360">
        <f t="shared" si="2"/>
        <v>0</v>
      </c>
      <c r="M24" s="257">
        <v>0</v>
      </c>
      <c r="N24" s="257">
        <v>0</v>
      </c>
      <c r="O24" s="244">
        <f t="shared" si="4"/>
        <v>0</v>
      </c>
      <c r="P24" s="361">
        <f t="shared" si="3"/>
        <v>0</v>
      </c>
      <c r="Q24" s="361">
        <f t="shared" si="3"/>
        <v>0</v>
      </c>
      <c r="R24" s="362">
        <f t="shared" si="3"/>
        <v>0</v>
      </c>
      <c r="T24" s="3535"/>
    </row>
    <row r="25" spans="2:20">
      <c r="B25" s="247"/>
      <c r="C25" s="3566" t="s">
        <v>1435</v>
      </c>
      <c r="D25" s="256">
        <f>0.63*D18</f>
        <v>7560</v>
      </c>
      <c r="E25" s="256">
        <f>0.707*E18</f>
        <v>3535</v>
      </c>
      <c r="F25" s="249">
        <f t="shared" si="5"/>
        <v>11095</v>
      </c>
      <c r="H25" s="132"/>
      <c r="I25" s="250" t="str">
        <f t="shared" si="1"/>
        <v>Measure 13</v>
      </c>
      <c r="J25" s="251"/>
      <c r="K25" s="252"/>
      <c r="L25" s="360">
        <f t="shared" si="2"/>
        <v>0</v>
      </c>
      <c r="M25" s="257">
        <v>0</v>
      </c>
      <c r="N25" s="257">
        <v>0</v>
      </c>
      <c r="O25" s="244">
        <f t="shared" si="4"/>
        <v>0</v>
      </c>
      <c r="P25" s="361">
        <f t="shared" si="3"/>
        <v>0</v>
      </c>
      <c r="Q25" s="361">
        <f t="shared" si="3"/>
        <v>0</v>
      </c>
      <c r="R25" s="362">
        <f t="shared" si="3"/>
        <v>0</v>
      </c>
      <c r="T25" s="3535"/>
    </row>
    <row r="26" spans="2:20">
      <c r="B26" s="254"/>
      <c r="C26" s="255"/>
      <c r="D26" s="258"/>
      <c r="E26" s="258"/>
      <c r="F26" s="258"/>
      <c r="H26" s="132"/>
      <c r="I26" s="250" t="str">
        <f t="shared" si="1"/>
        <v>Measure 14</v>
      </c>
      <c r="J26" s="251"/>
      <c r="K26" s="252"/>
      <c r="L26" s="360">
        <f t="shared" si="2"/>
        <v>0</v>
      </c>
      <c r="M26" s="257">
        <v>0</v>
      </c>
      <c r="N26" s="257">
        <v>0</v>
      </c>
      <c r="O26" s="244">
        <f t="shared" si="4"/>
        <v>0</v>
      </c>
      <c r="P26" s="361">
        <f t="shared" si="3"/>
        <v>0</v>
      </c>
      <c r="Q26" s="361">
        <f t="shared" si="3"/>
        <v>0</v>
      </c>
      <c r="R26" s="362">
        <f t="shared" si="3"/>
        <v>0</v>
      </c>
      <c r="T26" s="3535"/>
    </row>
    <row r="27" spans="2:20" ht="13.5" thickBot="1">
      <c r="B27" s="254"/>
      <c r="C27" s="255"/>
      <c r="D27" s="258"/>
      <c r="E27" s="258"/>
      <c r="F27" s="258"/>
      <c r="H27" s="132"/>
      <c r="I27" s="250" t="str">
        <f t="shared" si="1"/>
        <v>Measure 15</v>
      </c>
      <c r="J27" s="251"/>
      <c r="K27" s="252"/>
      <c r="L27" s="360">
        <f t="shared" si="2"/>
        <v>0</v>
      </c>
      <c r="M27" s="257">
        <v>0</v>
      </c>
      <c r="N27" s="257">
        <v>0</v>
      </c>
      <c r="O27" s="244">
        <f t="shared" si="4"/>
        <v>0</v>
      </c>
      <c r="P27" s="361">
        <f t="shared" si="3"/>
        <v>0</v>
      </c>
      <c r="Q27" s="361">
        <f t="shared" si="3"/>
        <v>0</v>
      </c>
      <c r="R27" s="362">
        <f t="shared" si="3"/>
        <v>0</v>
      </c>
      <c r="T27" s="3535"/>
    </row>
    <row r="28" spans="2:20" ht="13.5" thickBot="1">
      <c r="B28" s="262">
        <v>30000</v>
      </c>
      <c r="C28" s="236" t="s">
        <v>145</v>
      </c>
      <c r="D28" s="237">
        <f>SUM(D29:D32)</f>
        <v>49005</v>
      </c>
      <c r="E28" s="4468">
        <f>SUM(E29:E32)</f>
        <v>25000</v>
      </c>
      <c r="F28" s="238">
        <f>D28+E28</f>
        <v>74005</v>
      </c>
      <c r="H28" s="132"/>
      <c r="I28" s="250" t="str">
        <f t="shared" si="1"/>
        <v>Measure 16</v>
      </c>
      <c r="J28" s="251"/>
      <c r="K28" s="252"/>
      <c r="L28" s="360">
        <f t="shared" si="2"/>
        <v>0</v>
      </c>
      <c r="M28" s="257">
        <v>0</v>
      </c>
      <c r="N28" s="257">
        <v>0</v>
      </c>
      <c r="O28" s="244">
        <f t="shared" si="4"/>
        <v>0</v>
      </c>
      <c r="P28" s="361">
        <f t="shared" si="3"/>
        <v>0</v>
      </c>
      <c r="Q28" s="361">
        <f t="shared" si="3"/>
        <v>0</v>
      </c>
      <c r="R28" s="362">
        <f t="shared" si="3"/>
        <v>0</v>
      </c>
      <c r="T28" s="3535"/>
    </row>
    <row r="29" spans="2:20">
      <c r="B29" s="247"/>
      <c r="C29" s="248" t="s">
        <v>592</v>
      </c>
      <c r="D29" s="249">
        <v>49005</v>
      </c>
      <c r="E29" s="4447">
        <v>25000</v>
      </c>
      <c r="F29" s="249">
        <f t="shared" ref="F29:F37" si="6">SUM(D29:E29)</f>
        <v>74005</v>
      </c>
      <c r="H29" s="132"/>
      <c r="I29" s="250" t="str">
        <f t="shared" si="1"/>
        <v>Measure 17</v>
      </c>
      <c r="J29" s="251"/>
      <c r="K29" s="252"/>
      <c r="L29" s="360">
        <f t="shared" si="2"/>
        <v>0</v>
      </c>
      <c r="M29" s="257">
        <v>0</v>
      </c>
      <c r="N29" s="257">
        <v>0</v>
      </c>
      <c r="O29" s="244">
        <f t="shared" si="4"/>
        <v>0</v>
      </c>
      <c r="P29" s="361">
        <f t="shared" ref="P29:R44" si="7">M29*$D79</f>
        <v>0</v>
      </c>
      <c r="Q29" s="361">
        <f t="shared" si="7"/>
        <v>0</v>
      </c>
      <c r="R29" s="362">
        <f t="shared" si="7"/>
        <v>0</v>
      </c>
      <c r="T29" s="3535"/>
    </row>
    <row r="30" spans="2:20">
      <c r="B30" s="254"/>
      <c r="C30" s="255" t="s">
        <v>140</v>
      </c>
      <c r="D30" s="256">
        <v>0</v>
      </c>
      <c r="E30" s="256"/>
      <c r="F30" s="249">
        <f t="shared" si="6"/>
        <v>0</v>
      </c>
      <c r="H30" s="132"/>
      <c r="I30" s="250" t="str">
        <f t="shared" si="1"/>
        <v>Measure 18</v>
      </c>
      <c r="J30" s="251"/>
      <c r="K30" s="252"/>
      <c r="L30" s="360">
        <f t="shared" si="2"/>
        <v>0</v>
      </c>
      <c r="M30" s="257">
        <v>0</v>
      </c>
      <c r="N30" s="257">
        <v>0</v>
      </c>
      <c r="O30" s="244">
        <f t="shared" si="4"/>
        <v>0</v>
      </c>
      <c r="P30" s="361">
        <f t="shared" si="7"/>
        <v>0</v>
      </c>
      <c r="Q30" s="361">
        <f t="shared" si="7"/>
        <v>0</v>
      </c>
      <c r="R30" s="362">
        <f t="shared" si="7"/>
        <v>0</v>
      </c>
      <c r="T30" s="3535"/>
    </row>
    <row r="31" spans="2:20">
      <c r="B31" s="254"/>
      <c r="C31" s="255" t="s">
        <v>141</v>
      </c>
      <c r="D31" s="256">
        <v>0</v>
      </c>
      <c r="E31" s="256"/>
      <c r="F31" s="249">
        <f t="shared" si="6"/>
        <v>0</v>
      </c>
      <c r="H31" s="132"/>
      <c r="I31" s="250" t="str">
        <f t="shared" si="1"/>
        <v>Measure 19</v>
      </c>
      <c r="J31" s="251"/>
      <c r="K31" s="252"/>
      <c r="L31" s="360">
        <f t="shared" si="2"/>
        <v>0</v>
      </c>
      <c r="M31" s="257">
        <v>0</v>
      </c>
      <c r="N31" s="257">
        <v>0</v>
      </c>
      <c r="O31" s="244">
        <f t="shared" si="4"/>
        <v>0</v>
      </c>
      <c r="P31" s="361">
        <f t="shared" si="7"/>
        <v>0</v>
      </c>
      <c r="Q31" s="361">
        <f t="shared" si="7"/>
        <v>0</v>
      </c>
      <c r="R31" s="362">
        <f t="shared" si="7"/>
        <v>0</v>
      </c>
      <c r="T31" s="3535"/>
    </row>
    <row r="32" spans="2:20" ht="13.5" thickBot="1">
      <c r="B32" s="254"/>
      <c r="C32" s="255" t="s">
        <v>142</v>
      </c>
      <c r="D32" s="256">
        <v>0</v>
      </c>
      <c r="E32" s="256"/>
      <c r="F32" s="249">
        <f t="shared" si="6"/>
        <v>0</v>
      </c>
      <c r="H32" s="132"/>
      <c r="I32" s="250" t="str">
        <f t="shared" si="1"/>
        <v>Measure 20</v>
      </c>
      <c r="J32" s="251"/>
      <c r="K32" s="252"/>
      <c r="L32" s="360">
        <f t="shared" si="2"/>
        <v>0</v>
      </c>
      <c r="M32" s="257">
        <v>0</v>
      </c>
      <c r="N32" s="257">
        <v>0</v>
      </c>
      <c r="O32" s="244">
        <f t="shared" si="4"/>
        <v>0</v>
      </c>
      <c r="P32" s="361">
        <f t="shared" si="7"/>
        <v>0</v>
      </c>
      <c r="Q32" s="361">
        <f t="shared" si="7"/>
        <v>0</v>
      </c>
      <c r="R32" s="362">
        <f t="shared" si="7"/>
        <v>0</v>
      </c>
      <c r="T32" s="3535"/>
    </row>
    <row r="33" spans="2:20" ht="13.5" thickBot="1">
      <c r="B33" s="262">
        <v>1500</v>
      </c>
      <c r="C33" s="236" t="s">
        <v>146</v>
      </c>
      <c r="D33" s="237">
        <f>SUM(D34:D37)</f>
        <v>1500</v>
      </c>
      <c r="E33" s="4468">
        <f>SUM(E34:E37)</f>
        <v>1000</v>
      </c>
      <c r="F33" s="238">
        <f>D33+E33</f>
        <v>2500</v>
      </c>
      <c r="H33" s="132"/>
      <c r="I33" s="250" t="str">
        <f t="shared" si="1"/>
        <v>Measure 21</v>
      </c>
      <c r="J33" s="251"/>
      <c r="K33" s="252"/>
      <c r="L33" s="360">
        <f t="shared" si="2"/>
        <v>0</v>
      </c>
      <c r="M33" s="257">
        <v>0</v>
      </c>
      <c r="N33" s="257">
        <v>0</v>
      </c>
      <c r="O33" s="244">
        <f t="shared" si="4"/>
        <v>0</v>
      </c>
      <c r="P33" s="361">
        <f t="shared" si="7"/>
        <v>0</v>
      </c>
      <c r="Q33" s="361">
        <f t="shared" si="7"/>
        <v>0</v>
      </c>
      <c r="R33" s="362">
        <f t="shared" si="7"/>
        <v>0</v>
      </c>
      <c r="T33" s="3535"/>
    </row>
    <row r="34" spans="2:20">
      <c r="B34" s="254"/>
      <c r="C34" s="255" t="s">
        <v>139</v>
      </c>
      <c r="D34" s="256">
        <v>1500</v>
      </c>
      <c r="E34" s="4449">
        <v>1000</v>
      </c>
      <c r="F34" s="249">
        <f t="shared" si="6"/>
        <v>2500</v>
      </c>
      <c r="H34" s="132"/>
      <c r="I34" s="250" t="str">
        <f t="shared" si="1"/>
        <v>Measure 22</v>
      </c>
      <c r="J34" s="251"/>
      <c r="K34" s="252"/>
      <c r="L34" s="360">
        <f t="shared" si="2"/>
        <v>0</v>
      </c>
      <c r="M34" s="257">
        <v>0</v>
      </c>
      <c r="N34" s="257">
        <v>0</v>
      </c>
      <c r="O34" s="244">
        <f t="shared" si="4"/>
        <v>0</v>
      </c>
      <c r="P34" s="361">
        <f t="shared" si="7"/>
        <v>0</v>
      </c>
      <c r="Q34" s="361">
        <f t="shared" si="7"/>
        <v>0</v>
      </c>
      <c r="R34" s="362">
        <f t="shared" si="7"/>
        <v>0</v>
      </c>
      <c r="T34" s="3535"/>
    </row>
    <row r="35" spans="2:20">
      <c r="B35" s="254"/>
      <c r="C35" s="255" t="s">
        <v>140</v>
      </c>
      <c r="D35" s="256">
        <v>0</v>
      </c>
      <c r="E35" s="256"/>
      <c r="F35" s="249">
        <f t="shared" si="6"/>
        <v>0</v>
      </c>
      <c r="H35" s="132"/>
      <c r="I35" s="250" t="str">
        <f t="shared" si="1"/>
        <v>Measure 23</v>
      </c>
      <c r="J35" s="251"/>
      <c r="K35" s="252"/>
      <c r="L35" s="360">
        <f t="shared" si="2"/>
        <v>0</v>
      </c>
      <c r="M35" s="257">
        <v>0</v>
      </c>
      <c r="N35" s="257">
        <v>0</v>
      </c>
      <c r="O35" s="244">
        <f t="shared" si="4"/>
        <v>0</v>
      </c>
      <c r="P35" s="361">
        <f t="shared" si="7"/>
        <v>0</v>
      </c>
      <c r="Q35" s="361">
        <f t="shared" si="7"/>
        <v>0</v>
      </c>
      <c r="R35" s="362">
        <f t="shared" si="7"/>
        <v>0</v>
      </c>
      <c r="T35" s="3535"/>
    </row>
    <row r="36" spans="2:20">
      <c r="B36" s="254"/>
      <c r="C36" s="255" t="s">
        <v>141</v>
      </c>
      <c r="D36" s="256">
        <v>0</v>
      </c>
      <c r="E36" s="256"/>
      <c r="F36" s="249">
        <f t="shared" si="6"/>
        <v>0</v>
      </c>
      <c r="H36" s="132"/>
      <c r="I36" s="250" t="str">
        <f t="shared" si="1"/>
        <v>Measure 24</v>
      </c>
      <c r="J36" s="251"/>
      <c r="K36" s="252"/>
      <c r="L36" s="360">
        <f t="shared" si="2"/>
        <v>0</v>
      </c>
      <c r="M36" s="257">
        <v>0</v>
      </c>
      <c r="N36" s="257">
        <v>0</v>
      </c>
      <c r="O36" s="244">
        <f t="shared" si="4"/>
        <v>0</v>
      </c>
      <c r="P36" s="361">
        <f t="shared" si="7"/>
        <v>0</v>
      </c>
      <c r="Q36" s="361">
        <f t="shared" si="7"/>
        <v>0</v>
      </c>
      <c r="R36" s="362">
        <f t="shared" si="7"/>
        <v>0</v>
      </c>
      <c r="T36" s="3535"/>
    </row>
    <row r="37" spans="2:20" ht="13.5" thickBot="1">
      <c r="B37" s="254"/>
      <c r="C37" s="255" t="s">
        <v>142</v>
      </c>
      <c r="D37" s="256">
        <v>0</v>
      </c>
      <c r="E37" s="256"/>
      <c r="F37" s="249">
        <f t="shared" si="6"/>
        <v>0</v>
      </c>
      <c r="H37" s="132"/>
      <c r="I37" s="250" t="str">
        <f t="shared" si="1"/>
        <v>Measure 25</v>
      </c>
      <c r="J37" s="251"/>
      <c r="K37" s="252"/>
      <c r="L37" s="360">
        <f t="shared" si="2"/>
        <v>0</v>
      </c>
      <c r="M37" s="257">
        <v>0</v>
      </c>
      <c r="N37" s="257">
        <v>0</v>
      </c>
      <c r="O37" s="244">
        <f t="shared" si="4"/>
        <v>0</v>
      </c>
      <c r="P37" s="361">
        <f t="shared" si="7"/>
        <v>0</v>
      </c>
      <c r="Q37" s="361">
        <f t="shared" si="7"/>
        <v>0</v>
      </c>
      <c r="R37" s="362">
        <f t="shared" si="7"/>
        <v>0</v>
      </c>
      <c r="T37" s="3535"/>
    </row>
    <row r="38" spans="2:20" ht="13.5" thickBot="1">
      <c r="B38" s="262">
        <v>74400</v>
      </c>
      <c r="C38" s="236" t="s">
        <v>147</v>
      </c>
      <c r="D38" s="237">
        <f>SUM(D39:D42)</f>
        <v>31500</v>
      </c>
      <c r="E38" s="4468">
        <f>SUM(E39:E42)</f>
        <v>10000</v>
      </c>
      <c r="F38" s="238">
        <f>D38+E38</f>
        <v>41500</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3535"/>
    </row>
    <row r="39" spans="2:20">
      <c r="B39" s="254"/>
      <c r="C39" s="255" t="s">
        <v>382</v>
      </c>
      <c r="D39" s="256">
        <v>22500</v>
      </c>
      <c r="E39" s="4449">
        <v>5000</v>
      </c>
      <c r="F39" s="249">
        <f t="shared" ref="F39:F52" si="8">SUM(D39:E39)</f>
        <v>27500</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3535"/>
    </row>
    <row r="40" spans="2:20">
      <c r="B40" s="254"/>
      <c r="C40" s="255" t="s">
        <v>381</v>
      </c>
      <c r="D40" s="333">
        <v>9000</v>
      </c>
      <c r="E40" s="4449">
        <v>5000</v>
      </c>
      <c r="F40" s="249">
        <f t="shared" si="8"/>
        <v>14000</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3535"/>
    </row>
    <row r="41" spans="2:20">
      <c r="B41" s="254"/>
      <c r="C41" s="255" t="s">
        <v>141</v>
      </c>
      <c r="D41" s="256">
        <v>0</v>
      </c>
      <c r="E41" s="256"/>
      <c r="F41" s="249">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3535"/>
    </row>
    <row r="42" spans="2:20" ht="13.5" thickBot="1">
      <c r="B42" s="254"/>
      <c r="C42" s="255" t="s">
        <v>142</v>
      </c>
      <c r="D42" s="256">
        <v>0</v>
      </c>
      <c r="E42" s="256"/>
      <c r="F42" s="249">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3535"/>
    </row>
    <row r="43" spans="2:20" ht="13.5" thickBot="1">
      <c r="B43" s="262">
        <v>500</v>
      </c>
      <c r="C43" s="236" t="s">
        <v>148</v>
      </c>
      <c r="D43" s="237">
        <f>SUM(D44:D47)</f>
        <v>500</v>
      </c>
      <c r="E43" s="237">
        <f>SUM(E44:E47)</f>
        <v>500</v>
      </c>
      <c r="F43" s="238">
        <f>D43+E43</f>
        <v>1000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3535"/>
    </row>
    <row r="44" spans="2:20">
      <c r="B44" s="254"/>
      <c r="C44" s="255" t="s">
        <v>139</v>
      </c>
      <c r="D44" s="256">
        <v>500</v>
      </c>
      <c r="E44" s="256">
        <v>500</v>
      </c>
      <c r="F44" s="249">
        <f t="shared" si="8"/>
        <v>1000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3535"/>
    </row>
    <row r="45" spans="2:20">
      <c r="B45" s="254"/>
      <c r="C45" s="255" t="s">
        <v>140</v>
      </c>
      <c r="D45" s="256">
        <v>0</v>
      </c>
      <c r="E45" s="256"/>
      <c r="F45" s="249">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3535"/>
    </row>
    <row r="46" spans="2:20">
      <c r="B46" s="254"/>
      <c r="C46" s="255" t="s">
        <v>141</v>
      </c>
      <c r="D46" s="256">
        <v>0</v>
      </c>
      <c r="E46" s="256"/>
      <c r="F46" s="249">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3535"/>
    </row>
    <row r="47" spans="2:20" ht="13.5" thickBot="1">
      <c r="B47" s="254"/>
      <c r="C47" s="255" t="s">
        <v>142</v>
      </c>
      <c r="D47" s="256">
        <v>0</v>
      </c>
      <c r="E47" s="256"/>
      <c r="F47" s="249">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3535"/>
    </row>
    <row r="48" spans="2:20" ht="13.5" thickBot="1">
      <c r="B48" s="262">
        <v>500</v>
      </c>
      <c r="C48" s="236" t="s">
        <v>149</v>
      </c>
      <c r="D48" s="237">
        <f>SUM(D49:D52)</f>
        <v>500</v>
      </c>
      <c r="E48" s="237">
        <f>SUM(E49:E52)</f>
        <v>500</v>
      </c>
      <c r="F48" s="238">
        <f>D48+E48</f>
        <v>1000</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3535"/>
    </row>
    <row r="49" spans="2:25">
      <c r="B49" s="254"/>
      <c r="C49" s="255" t="s">
        <v>139</v>
      </c>
      <c r="D49" s="256">
        <v>500</v>
      </c>
      <c r="E49" s="256">
        <v>500</v>
      </c>
      <c r="F49" s="249">
        <f t="shared" si="8"/>
        <v>1000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3535"/>
    </row>
    <row r="50" spans="2:25">
      <c r="B50" s="254"/>
      <c r="C50" s="255" t="s">
        <v>140</v>
      </c>
      <c r="D50" s="256">
        <v>0</v>
      </c>
      <c r="E50" s="256"/>
      <c r="F50" s="249">
        <f t="shared" si="8"/>
        <v>0</v>
      </c>
      <c r="I50" s="250" t="str">
        <f t="shared" si="1"/>
        <v>Measure 38</v>
      </c>
      <c r="J50" s="251"/>
      <c r="K50" s="252"/>
      <c r="L50" s="360">
        <f t="shared" si="2"/>
        <v>0</v>
      </c>
      <c r="M50" s="257">
        <v>0</v>
      </c>
      <c r="N50" s="257">
        <v>0</v>
      </c>
      <c r="O50" s="244">
        <f t="shared" si="4"/>
        <v>0</v>
      </c>
      <c r="P50" s="361">
        <f t="shared" si="9"/>
        <v>0</v>
      </c>
      <c r="Q50" s="361">
        <f t="shared" si="9"/>
        <v>0</v>
      </c>
      <c r="R50" s="362">
        <f t="shared" si="9"/>
        <v>0</v>
      </c>
      <c r="T50" s="3535"/>
    </row>
    <row r="51" spans="2:25">
      <c r="B51" s="254"/>
      <c r="C51" s="255" t="s">
        <v>141</v>
      </c>
      <c r="D51" s="256">
        <v>0</v>
      </c>
      <c r="E51" s="256"/>
      <c r="F51" s="249">
        <f t="shared" si="8"/>
        <v>0</v>
      </c>
      <c r="I51" s="250" t="str">
        <f t="shared" si="1"/>
        <v>Measure 39</v>
      </c>
      <c r="J51" s="251"/>
      <c r="K51" s="252"/>
      <c r="L51" s="360">
        <f t="shared" si="2"/>
        <v>0</v>
      </c>
      <c r="M51" s="257">
        <v>0</v>
      </c>
      <c r="N51" s="257">
        <v>0</v>
      </c>
      <c r="O51" s="244">
        <f t="shared" si="4"/>
        <v>0</v>
      </c>
      <c r="P51" s="361">
        <f t="shared" si="9"/>
        <v>0</v>
      </c>
      <c r="Q51" s="361">
        <f t="shared" si="9"/>
        <v>0</v>
      </c>
      <c r="R51" s="362">
        <f t="shared" si="9"/>
        <v>0</v>
      </c>
      <c r="T51" s="3535"/>
    </row>
    <row r="52" spans="2:25" ht="13.5" thickBot="1">
      <c r="B52" s="254"/>
      <c r="C52" s="255" t="s">
        <v>142</v>
      </c>
      <c r="D52" s="256">
        <v>0</v>
      </c>
      <c r="E52" s="256"/>
      <c r="F52" s="249">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3535"/>
    </row>
    <row r="53" spans="2:25" ht="13.5" thickBot="1">
      <c r="B53" s="262">
        <v>116400</v>
      </c>
      <c r="C53" s="236" t="s">
        <v>150</v>
      </c>
      <c r="D53" s="237">
        <f>T105</f>
        <v>0</v>
      </c>
      <c r="E53" s="237">
        <f>U105</f>
        <v>225350</v>
      </c>
      <c r="F53" s="238">
        <f>V105</f>
        <v>225350</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3535"/>
    </row>
    <row r="54" spans="2:25" ht="13.5" thickBot="1">
      <c r="B54" s="262">
        <v>0</v>
      </c>
      <c r="C54" s="236" t="s">
        <v>152</v>
      </c>
      <c r="D54" s="237">
        <v>0</v>
      </c>
      <c r="E54" s="237">
        <v>0</v>
      </c>
      <c r="F54" s="238">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3535"/>
    </row>
    <row r="55" spans="2:25">
      <c r="B55" s="263">
        <f>B13+B18+B23+B28+B33+B38+B43+B48+B53+B54</f>
        <v>254410</v>
      </c>
      <c r="C55" s="264" t="s">
        <v>153</v>
      </c>
      <c r="D55" s="263">
        <f>D13+D18+D23+D28+D33+D38+D43+D48+D53+D54</f>
        <v>129745.576</v>
      </c>
      <c r="E55" s="263">
        <f>E13+E18+E23+E28+E33+E38+E43+E48+E53+E54</f>
        <v>296490</v>
      </c>
      <c r="F55" s="263">
        <f>F13+F18+F23+F28+F33+F38+F43+F48+F53+F54</f>
        <v>426235.576</v>
      </c>
      <c r="P55" s="365">
        <f>SUM(P13:P54)</f>
        <v>0</v>
      </c>
      <c r="Q55" s="365">
        <f>SUM(Q13:Q54)</f>
        <v>179279.76</v>
      </c>
      <c r="R55" s="365">
        <f>SUM(R13:R54)</f>
        <v>179279.76</v>
      </c>
      <c r="T55" s="4894"/>
    </row>
    <row r="56" spans="2:25">
      <c r="C56" s="264"/>
      <c r="D56" s="263"/>
      <c r="E56" s="263"/>
      <c r="F56" s="263"/>
    </row>
    <row r="57" spans="2:25">
      <c r="C57" s="264" t="s">
        <v>154</v>
      </c>
      <c r="D57" s="263">
        <f>D55-D53</f>
        <v>129745.576</v>
      </c>
      <c r="E57" s="263">
        <f>E55-E53</f>
        <v>71140</v>
      </c>
      <c r="F57" s="263">
        <f>F55-F53</f>
        <v>200885.576</v>
      </c>
    </row>
    <row r="58" spans="2:25">
      <c r="C58" s="264" t="s">
        <v>155</v>
      </c>
      <c r="D58" s="266">
        <f>D53</f>
        <v>0</v>
      </c>
      <c r="E58" s="266">
        <f>E53</f>
        <v>225350</v>
      </c>
      <c r="F58" s="266">
        <f>F53</f>
        <v>225350</v>
      </c>
      <c r="G58" s="319">
        <f>F58/(F57+F58)</f>
        <v>0.52869824268258636</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3593" t="s">
        <v>407</v>
      </c>
      <c r="D63" s="314">
        <v>5</v>
      </c>
      <c r="E63" s="3574" t="s">
        <v>559</v>
      </c>
      <c r="F63" s="3593" t="s">
        <v>186</v>
      </c>
      <c r="G63" s="3594">
        <v>24</v>
      </c>
      <c r="H63" s="3594">
        <v>10</v>
      </c>
      <c r="I63" s="4145">
        <f>Q13/199033</f>
        <v>9.6466415117091135E-3</v>
      </c>
      <c r="J63" s="3574">
        <v>10</v>
      </c>
      <c r="K63" s="3574" t="s">
        <v>233</v>
      </c>
      <c r="L63" s="3574"/>
      <c r="M63" s="278">
        <f>Q63/O63</f>
        <v>1.2280073612933762</v>
      </c>
      <c r="N63" s="278">
        <f>((L63/S63)+R63)/P63</f>
        <v>0.6361260768949244</v>
      </c>
      <c r="O63" s="3548">
        <f t="shared" ref="O63:O69" si="10">(($I63*$F$57)+$V63)/$S63</f>
        <v>5359.8062491142819</v>
      </c>
      <c r="P63" s="3548">
        <f t="shared" ref="P63:P69" si="11">(($I63*$F$57)+($G63*$O13))/$S63</f>
        <v>10346.819236127269</v>
      </c>
      <c r="Q63" s="3548">
        <f>IF(K63=0, 0, (HLOOKUP(K63,'[3]G-CESTD'!$A$5:$G$35,J63+1,FALSE)*R13))</f>
        <v>6581.8815290185776</v>
      </c>
      <c r="R63" s="3548">
        <f>IF(K63=0, 0, (HLOOKUP(K63,'[3]G-CESTD'!$A$5:$G$35,J63+1,FALSE)*R13))</f>
        <v>6581.8815290185776</v>
      </c>
      <c r="S63" s="3592">
        <v>1.0780000000000001</v>
      </c>
      <c r="T63" s="4150">
        <f t="shared" ref="T63:U69" si="12">M13*$H63</f>
        <v>0</v>
      </c>
      <c r="U63" s="4150">
        <f t="shared" si="12"/>
        <v>3840</v>
      </c>
      <c r="V63" s="280">
        <f t="shared" ref="V63:V104" si="13">O13*$H63</f>
        <v>3840</v>
      </c>
      <c r="W63" s="322">
        <f t="shared" ref="W63:W81" si="14">V63/(V63+(I63*F$57))</f>
        <v>0.66460464576855871</v>
      </c>
      <c r="X63" s="322">
        <f t="shared" ref="X63:X81" si="15">(I63*((F$18*1.63)+F$28))/(V63+(I63*F$57))</f>
        <v>0.16982174198336192</v>
      </c>
      <c r="Y63" s="322">
        <f t="shared" ref="Y63:Y81" si="16">(I63*F$38)/(V63+(I63*F$57))</f>
        <v>6.92877382127466E-2</v>
      </c>
    </row>
    <row r="64" spans="2:25">
      <c r="B64" s="282"/>
      <c r="C64" s="3593" t="s">
        <v>408</v>
      </c>
      <c r="D64" s="3263">
        <v>8</v>
      </c>
      <c r="E64" s="3593" t="s">
        <v>559</v>
      </c>
      <c r="F64" s="3593" t="s">
        <v>186</v>
      </c>
      <c r="G64" s="3594">
        <v>24</v>
      </c>
      <c r="H64" s="3594">
        <v>10</v>
      </c>
      <c r="I64" s="4145">
        <f t="shared" ref="I64:I69" si="17">Q14/199033</f>
        <v>3.2155471705697043E-4</v>
      </c>
      <c r="J64" s="3574">
        <v>10</v>
      </c>
      <c r="K64" s="3574" t="s">
        <v>233</v>
      </c>
      <c r="L64" s="3574"/>
      <c r="M64" s="278">
        <f t="shared" ref="M64:M69" si="18">Q64/O64</f>
        <v>1.6356567691710873</v>
      </c>
      <c r="N64" s="278">
        <f t="shared" ref="N64:N69" si="19">((L64/S64)+R64)/P64</f>
        <v>0.92171824682770465</v>
      </c>
      <c r="O64" s="3548">
        <f t="shared" si="10"/>
        <v>134.13330663405057</v>
      </c>
      <c r="P64" s="3548">
        <f t="shared" si="11"/>
        <v>238.02941053015445</v>
      </c>
      <c r="Q64" s="3548">
        <f>IF(K64=0, 0, (HLOOKUP(K64,'[3]G-CESTD'!$A$5:$G$35,J64+1,FALSE)*R14))</f>
        <v>219.39605096728593</v>
      </c>
      <c r="R64" s="3548">
        <f>IF(K64=0, 0, (HLOOKUP(K64,'[3]G-CESTD'!$A$5:$G$35,J64+1,FALSE)*R14))</f>
        <v>219.39605096728593</v>
      </c>
      <c r="S64" s="3592">
        <v>1.0780000000000001</v>
      </c>
      <c r="T64" s="4150">
        <f t="shared" si="12"/>
        <v>0</v>
      </c>
      <c r="U64" s="4150">
        <f t="shared" si="12"/>
        <v>80</v>
      </c>
      <c r="V64" s="280">
        <f t="shared" si="13"/>
        <v>80</v>
      </c>
      <c r="W64" s="322">
        <f t="shared" si="14"/>
        <v>0.55326678097483284</v>
      </c>
      <c r="X64" s="322">
        <f t="shared" si="15"/>
        <v>0.22619577909936592</v>
      </c>
      <c r="Y64" s="322">
        <f t="shared" si="16"/>
        <v>9.2288500541942556E-2</v>
      </c>
    </row>
    <row r="65" spans="2:25">
      <c r="B65" s="282"/>
      <c r="C65" s="3593" t="s">
        <v>409</v>
      </c>
      <c r="D65" s="3263">
        <v>11</v>
      </c>
      <c r="E65" s="3593" t="s">
        <v>559</v>
      </c>
      <c r="F65" s="3593" t="s">
        <v>186</v>
      </c>
      <c r="G65" s="3594">
        <v>24</v>
      </c>
      <c r="H65" s="3594">
        <v>10</v>
      </c>
      <c r="I65" s="4145">
        <f t="shared" si="17"/>
        <v>2.2549024533620052E-2</v>
      </c>
      <c r="J65" s="3574">
        <v>10</v>
      </c>
      <c r="K65" s="3574" t="s">
        <v>233</v>
      </c>
      <c r="L65" s="3574"/>
      <c r="M65" s="278">
        <f t="shared" si="18"/>
        <v>1.9263211838573782</v>
      </c>
      <c r="N65" s="278">
        <f t="shared" si="19"/>
        <v>1.1580401894827459</v>
      </c>
      <c r="O65" s="3548">
        <f t="shared" si="10"/>
        <v>7986.8031369892351</v>
      </c>
      <c r="P65" s="3548">
        <f t="shared" si="11"/>
        <v>13285.504435690533</v>
      </c>
      <c r="Q65" s="3548">
        <f>IF(K65=0, 0, (HLOOKUP(K65,'[3]G-CESTD'!$A$5:$G$35,J65+1,FALSE)*R15))</f>
        <v>15385.148074080926</v>
      </c>
      <c r="R65" s="3548">
        <f>IF(K65=0, 0, (HLOOKUP(K65,'[3]G-CESTD'!$A$5:$G$35,J65+1,FALSE)*R15))</f>
        <v>15385.148074080926</v>
      </c>
      <c r="S65" s="3592">
        <v>1.0780000000000001</v>
      </c>
      <c r="T65" s="4150">
        <f t="shared" si="12"/>
        <v>0</v>
      </c>
      <c r="U65" s="4150">
        <f t="shared" si="12"/>
        <v>4080</v>
      </c>
      <c r="V65" s="280">
        <f t="shared" si="13"/>
        <v>4080</v>
      </c>
      <c r="W65" s="322">
        <f t="shared" si="14"/>
        <v>0.47388004649833404</v>
      </c>
      <c r="X65" s="322">
        <f t="shared" si="15"/>
        <v>0.26639190396836626</v>
      </c>
      <c r="Y65" s="322">
        <f t="shared" si="16"/>
        <v>0.1086886301399715</v>
      </c>
    </row>
    <row r="66" spans="2:25">
      <c r="B66" s="282"/>
      <c r="C66" s="3593" t="s">
        <v>593</v>
      </c>
      <c r="D66" s="3593">
        <v>5</v>
      </c>
      <c r="E66" s="3593" t="s">
        <v>559</v>
      </c>
      <c r="F66" s="3593" t="s">
        <v>186</v>
      </c>
      <c r="G66" s="3594">
        <v>24</v>
      </c>
      <c r="H66" s="3594">
        <v>10</v>
      </c>
      <c r="I66" s="4145">
        <f t="shared" si="17"/>
        <v>8.5754623605130819E-3</v>
      </c>
      <c r="J66" s="3574">
        <v>10</v>
      </c>
      <c r="K66" s="3574" t="s">
        <v>233</v>
      </c>
      <c r="L66" s="3574"/>
      <c r="M66" s="278">
        <f t="shared" si="18"/>
        <v>1.2280073612933764</v>
      </c>
      <c r="N66" s="278">
        <f t="shared" si="19"/>
        <v>0.63612607689492462</v>
      </c>
      <c r="O66" s="3548">
        <f t="shared" si="10"/>
        <v>4764.6444302022164</v>
      </c>
      <c r="P66" s="3548">
        <f t="shared" si="11"/>
        <v>9197.8911834489681</v>
      </c>
      <c r="Q66" s="3548">
        <f>IF(K66=0, 0, (HLOOKUP(K66,'[3]G-CESTD'!$A$5:$G$35,J66+1,FALSE)*R16))</f>
        <v>5851.0184342338071</v>
      </c>
      <c r="R66" s="3548">
        <f>IF(K66=0, 0, (HLOOKUP(K66,'[3]G-CESTD'!$A$5:$G$35,J66+1,FALSE)*R16))</f>
        <v>5851.0184342338071</v>
      </c>
      <c r="S66" s="3592">
        <v>1.0780000000000001</v>
      </c>
      <c r="T66" s="4150">
        <f t="shared" si="12"/>
        <v>0</v>
      </c>
      <c r="U66" s="4150">
        <f t="shared" si="12"/>
        <v>3413.6000000000004</v>
      </c>
      <c r="V66" s="280">
        <f t="shared" si="13"/>
        <v>3413.6000000000004</v>
      </c>
      <c r="W66" s="322">
        <f t="shared" si="14"/>
        <v>0.66460464576855882</v>
      </c>
      <c r="X66" s="322">
        <f t="shared" si="15"/>
        <v>0.16982174198336195</v>
      </c>
      <c r="Y66" s="322">
        <f t="shared" si="16"/>
        <v>6.9287738212746613E-2</v>
      </c>
    </row>
    <row r="67" spans="2:25">
      <c r="B67" s="282"/>
      <c r="C67" s="3593" t="s">
        <v>594</v>
      </c>
      <c r="D67" s="3593">
        <v>7</v>
      </c>
      <c r="E67" s="3593" t="s">
        <v>559</v>
      </c>
      <c r="F67" s="3593" t="s">
        <v>186</v>
      </c>
      <c r="G67" s="3594">
        <v>24</v>
      </c>
      <c r="H67" s="3594">
        <v>10</v>
      </c>
      <c r="I67" s="4145">
        <f t="shared" si="17"/>
        <v>7.2033883828309872E-2</v>
      </c>
      <c r="J67" s="3574">
        <v>10</v>
      </c>
      <c r="K67" s="3574" t="s">
        <v>233</v>
      </c>
      <c r="L67" s="3574"/>
      <c r="M67" s="278">
        <f t="shared" si="18"/>
        <v>1.5158470786490494</v>
      </c>
      <c r="N67" s="278">
        <f t="shared" si="19"/>
        <v>0.83270678932854136</v>
      </c>
      <c r="O67" s="3548">
        <f t="shared" si="10"/>
        <v>32423.161636704186</v>
      </c>
      <c r="P67" s="3548">
        <f t="shared" si="11"/>
        <v>59022.642156184695</v>
      </c>
      <c r="Q67" s="3548">
        <f>IF(K67=0, 0, (HLOOKUP(K67,'[3]G-CESTD'!$A$5:$G$35,J67+1,FALSE)*R17))</f>
        <v>49148.554847563973</v>
      </c>
      <c r="R67" s="3548">
        <f>IF(K67=0, 0, (HLOOKUP(K67,'[3]G-CESTD'!$A$5:$G$35,J67+1,FALSE)*R17))</f>
        <v>49148.554847563973</v>
      </c>
      <c r="S67" s="3592">
        <v>1.0780000000000001</v>
      </c>
      <c r="T67" s="4150">
        <f t="shared" si="12"/>
        <v>0</v>
      </c>
      <c r="U67" s="4150">
        <f t="shared" si="12"/>
        <v>20481.599999999999</v>
      </c>
      <c r="V67" s="280">
        <f t="shared" si="13"/>
        <v>20481.599999999999</v>
      </c>
      <c r="W67" s="322">
        <f t="shared" si="14"/>
        <v>0.58598939718999576</v>
      </c>
      <c r="X67" s="322">
        <f t="shared" si="15"/>
        <v>0.209627238069196</v>
      </c>
      <c r="Y67" s="322">
        <f t="shared" si="16"/>
        <v>8.5528490191924836E-2</v>
      </c>
    </row>
    <row r="68" spans="2:25">
      <c r="B68" s="282"/>
      <c r="C68" s="3593" t="s">
        <v>595</v>
      </c>
      <c r="D68" s="3593">
        <v>8</v>
      </c>
      <c r="E68" s="3593" t="s">
        <v>559</v>
      </c>
      <c r="F68" s="3593" t="s">
        <v>186</v>
      </c>
      <c r="G68" s="3594">
        <v>24</v>
      </c>
      <c r="H68" s="3594">
        <v>10</v>
      </c>
      <c r="I68" s="4145">
        <f t="shared" si="17"/>
        <v>0.76150105761356157</v>
      </c>
      <c r="J68" s="3574">
        <v>10</v>
      </c>
      <c r="K68" s="3574" t="s">
        <v>233</v>
      </c>
      <c r="L68" s="3574"/>
      <c r="M68" s="278">
        <f t="shared" si="18"/>
        <v>1.6356567691710873</v>
      </c>
      <c r="N68" s="278">
        <f t="shared" si="19"/>
        <v>0.92171824682770453</v>
      </c>
      <c r="O68" s="3548">
        <f t="shared" si="10"/>
        <v>317652.48477115907</v>
      </c>
      <c r="P68" s="3548">
        <f t="shared" si="11"/>
        <v>563697.67957635387</v>
      </c>
      <c r="Q68" s="3548">
        <f>IF(K68=0, 0, (HLOOKUP(K68,'[3]G-CESTD'!$A$5:$G$35,J68+1,FALSE)*R18))</f>
        <v>519570.43695996201</v>
      </c>
      <c r="R68" s="3548">
        <f>IF(K68=0, 0, (HLOOKUP(K68,'[3]G-CESTD'!$A$5:$G$35,J68+1,FALSE)*R18))</f>
        <v>519570.43695996201</v>
      </c>
      <c r="S68" s="3592">
        <v>1.0780000000000001</v>
      </c>
      <c r="T68" s="4150">
        <f t="shared" si="12"/>
        <v>0</v>
      </c>
      <c r="U68" s="4150">
        <f t="shared" si="12"/>
        <v>189454.8</v>
      </c>
      <c r="V68" s="280">
        <f t="shared" si="13"/>
        <v>189454.8</v>
      </c>
      <c r="W68" s="322">
        <f t="shared" si="14"/>
        <v>0.55326678097483284</v>
      </c>
      <c r="X68" s="322">
        <f t="shared" si="15"/>
        <v>0.22619577909936592</v>
      </c>
      <c r="Y68" s="322">
        <f t="shared" si="16"/>
        <v>9.2288500541942542E-2</v>
      </c>
    </row>
    <row r="69" spans="2:25">
      <c r="B69" s="282"/>
      <c r="C69" s="4589" t="s">
        <v>1304</v>
      </c>
      <c r="D69" s="3574">
        <v>13</v>
      </c>
      <c r="E69" s="3593" t="s">
        <v>559</v>
      </c>
      <c r="F69" s="3593" t="s">
        <v>186</v>
      </c>
      <c r="G69" s="3594">
        <v>24</v>
      </c>
      <c r="H69" s="3594">
        <v>10</v>
      </c>
      <c r="I69" s="4145">
        <f t="shared" si="17"/>
        <v>2.6126320760878848E-2</v>
      </c>
      <c r="J69" s="3574">
        <v>10</v>
      </c>
      <c r="K69" s="3574" t="s">
        <v>233</v>
      </c>
      <c r="L69" s="3574"/>
      <c r="M69" s="278">
        <f t="shared" si="18"/>
        <v>2.077802597971385</v>
      </c>
      <c r="N69" s="278">
        <f t="shared" si="19"/>
        <v>1.2941697641930618</v>
      </c>
      <c r="O69" s="3548">
        <f t="shared" si="10"/>
        <v>8579.2217020500029</v>
      </c>
      <c r="P69" s="3548">
        <f t="shared" si="11"/>
        <v>13774.026896855199</v>
      </c>
      <c r="Q69" s="3548">
        <f>IF(K69=0, 0, (HLOOKUP(K69,'[3]G-CESTD'!$A$5:$G$35,J69+1,FALSE)*R19))</f>
        <v>17825.929141091983</v>
      </c>
      <c r="R69" s="3548">
        <f>IF(K69=0, 0, (HLOOKUP(K69,'[3]G-CESTD'!$A$5:$G$35,J69+1,FALSE)*R19))</f>
        <v>17825.929141091983</v>
      </c>
      <c r="S69" s="3592">
        <v>1.0780000000000001</v>
      </c>
      <c r="T69" s="4150">
        <f t="shared" si="12"/>
        <v>0</v>
      </c>
      <c r="U69" s="4150">
        <f t="shared" si="12"/>
        <v>4000</v>
      </c>
      <c r="V69" s="280">
        <f t="shared" si="13"/>
        <v>4000</v>
      </c>
      <c r="W69" s="322">
        <f t="shared" si="14"/>
        <v>0.43250719797343928</v>
      </c>
      <c r="X69" s="322">
        <f t="shared" si="15"/>
        <v>0.28734034323166957</v>
      </c>
      <c r="Y69" s="322">
        <f t="shared" si="16"/>
        <v>0.11723565102604618</v>
      </c>
    </row>
    <row r="70" spans="2:25">
      <c r="B70" s="282"/>
      <c r="C70" s="282" t="s">
        <v>192</v>
      </c>
      <c r="D70" s="282">
        <v>0</v>
      </c>
      <c r="E70" s="282" t="s">
        <v>559</v>
      </c>
      <c r="F70" s="282" t="s">
        <v>186</v>
      </c>
      <c r="G70" s="283"/>
      <c r="H70" s="283"/>
      <c r="I70" s="311">
        <v>0</v>
      </c>
      <c r="J70" s="257"/>
      <c r="K70" s="257"/>
      <c r="L70" s="3574"/>
      <c r="M70" s="3447" t="e">
        <f t="shared" ref="M70:N104" si="20">Q70/O70</f>
        <v>#DIV/0!</v>
      </c>
      <c r="N70" s="3447" t="e">
        <f t="shared" si="20"/>
        <v>#DIV/0!</v>
      </c>
      <c r="O70" s="214">
        <f t="shared" ref="O70:O104" si="21">(($I70*$F$57)+$V70)/$S70</f>
        <v>0</v>
      </c>
      <c r="P70" s="214">
        <f t="shared" ref="P70:P104" si="22">(($I70*$F$57)+($G70*$O20))/$S70</f>
        <v>0</v>
      </c>
      <c r="Q70" s="214">
        <f>IF(K70=0, 0, (HLOOKUP(K70,'[1]G-CESTD'!$A$5:$G$35,J70+1,FALSE)*R20))</f>
        <v>0</v>
      </c>
      <c r="R70" s="214">
        <f>IF(K70=0, 0, (HLOOKUP(K70,'[1]G-CESTD'!$A$5:$G$35,J70+1,FALSE)*R20))</f>
        <v>0</v>
      </c>
      <c r="S70" s="279">
        <v>1.081</v>
      </c>
      <c r="T70" s="280">
        <f t="shared" ref="T70:T104" si="23">M20*$H70</f>
        <v>0</v>
      </c>
      <c r="U70" s="280">
        <f t="shared" ref="U70:U104" si="24">N20*$H70</f>
        <v>0</v>
      </c>
      <c r="V70" s="280">
        <f t="shared" si="13"/>
        <v>0</v>
      </c>
      <c r="W70" s="322" t="e">
        <f t="shared" si="14"/>
        <v>#DIV/0!</v>
      </c>
      <c r="X70" s="322" t="e">
        <f t="shared" si="15"/>
        <v>#DIV/0!</v>
      </c>
      <c r="Y70" s="322" t="e">
        <f t="shared" si="16"/>
        <v>#DIV/0!</v>
      </c>
    </row>
    <row r="71" spans="2:25">
      <c r="B71" s="282"/>
      <c r="C71" s="282" t="s">
        <v>193</v>
      </c>
      <c r="D71" s="257">
        <v>0</v>
      </c>
      <c r="E71" s="282" t="s">
        <v>559</v>
      </c>
      <c r="F71" s="282" t="s">
        <v>186</v>
      </c>
      <c r="G71" s="283"/>
      <c r="H71" s="283"/>
      <c r="I71" s="311">
        <v>0</v>
      </c>
      <c r="J71" s="257"/>
      <c r="K71" s="257"/>
      <c r="L71" s="3574"/>
      <c r="M71" s="3447" t="e">
        <f t="shared" si="20"/>
        <v>#DIV/0!</v>
      </c>
      <c r="N71" s="3447" t="e">
        <f t="shared" si="20"/>
        <v>#DIV/0!</v>
      </c>
      <c r="O71" s="214">
        <f t="shared" si="21"/>
        <v>0</v>
      </c>
      <c r="P71" s="214">
        <f t="shared" si="22"/>
        <v>0</v>
      </c>
      <c r="Q71" s="214">
        <f>IF(K71=0, 0, (HLOOKUP(K71,'[1]G-CESTD'!$A$5:$G$35,J71+1,FALSE)*R21))</f>
        <v>0</v>
      </c>
      <c r="R71" s="214">
        <f>IF(K71=0, 0, (HLOOKUP(K71,'[1]G-CESTD'!$A$5:$G$35,J71+1,FALSE)*R21))</f>
        <v>0</v>
      </c>
      <c r="S71" s="279">
        <v>1.081</v>
      </c>
      <c r="T71" s="280">
        <f t="shared" si="23"/>
        <v>0</v>
      </c>
      <c r="U71" s="280">
        <f t="shared" si="24"/>
        <v>0</v>
      </c>
      <c r="V71" s="280">
        <f t="shared" si="13"/>
        <v>0</v>
      </c>
      <c r="W71" s="322" t="e">
        <f t="shared" si="14"/>
        <v>#DIV/0!</v>
      </c>
      <c r="X71" s="322" t="e">
        <f t="shared" si="15"/>
        <v>#DIV/0!</v>
      </c>
      <c r="Y71" s="322" t="e">
        <f t="shared" si="16"/>
        <v>#DIV/0!</v>
      </c>
    </row>
    <row r="72" spans="2:25">
      <c r="B72" s="282"/>
      <c r="C72" s="282" t="s">
        <v>194</v>
      </c>
      <c r="D72" s="282">
        <v>0</v>
      </c>
      <c r="E72" s="282" t="s">
        <v>559</v>
      </c>
      <c r="F72" s="282" t="s">
        <v>186</v>
      </c>
      <c r="G72" s="283"/>
      <c r="H72" s="283"/>
      <c r="I72" s="311">
        <v>0</v>
      </c>
      <c r="J72" s="257"/>
      <c r="K72" s="257"/>
      <c r="L72" s="3574"/>
      <c r="M72" s="3447" t="e">
        <f t="shared" si="20"/>
        <v>#DIV/0!</v>
      </c>
      <c r="N72" s="3447" t="e">
        <f t="shared" si="20"/>
        <v>#DIV/0!</v>
      </c>
      <c r="O72" s="214">
        <f t="shared" si="21"/>
        <v>0</v>
      </c>
      <c r="P72" s="214">
        <f t="shared" si="22"/>
        <v>0</v>
      </c>
      <c r="Q72" s="214">
        <f>IF(K72=0, 0, (HLOOKUP(K72,'[1]G-CESTD'!$A$5:$G$35,J72+1,FALSE)*R22))</f>
        <v>0</v>
      </c>
      <c r="R72" s="214">
        <f>IF(K72=0, 0, (HLOOKUP(K72,'[1]G-CESTD'!$A$5:$G$35,J72+1,FALSE)*R22))</f>
        <v>0</v>
      </c>
      <c r="S72" s="279">
        <v>1.081</v>
      </c>
      <c r="T72" s="280">
        <f t="shared" si="23"/>
        <v>0</v>
      </c>
      <c r="U72" s="280">
        <f t="shared" si="24"/>
        <v>0</v>
      </c>
      <c r="V72" s="280">
        <f t="shared" si="13"/>
        <v>0</v>
      </c>
      <c r="W72" s="322" t="e">
        <f t="shared" si="14"/>
        <v>#DIV/0!</v>
      </c>
      <c r="X72" s="322" t="e">
        <f t="shared" si="15"/>
        <v>#DIV/0!</v>
      </c>
      <c r="Y72" s="322" t="e">
        <f t="shared" si="16"/>
        <v>#DIV/0!</v>
      </c>
    </row>
    <row r="73" spans="2:25">
      <c r="B73" s="282"/>
      <c r="C73" s="282" t="s">
        <v>195</v>
      </c>
      <c r="D73" s="257">
        <v>0</v>
      </c>
      <c r="E73" s="282" t="s">
        <v>559</v>
      </c>
      <c r="F73" s="282" t="s">
        <v>186</v>
      </c>
      <c r="G73" s="283"/>
      <c r="H73" s="283"/>
      <c r="I73" s="311">
        <v>0</v>
      </c>
      <c r="J73" s="257"/>
      <c r="K73" s="257"/>
      <c r="L73" s="3574"/>
      <c r="M73" s="3447" t="e">
        <f t="shared" si="20"/>
        <v>#DIV/0!</v>
      </c>
      <c r="N73" s="3447" t="e">
        <f t="shared" si="20"/>
        <v>#DIV/0!</v>
      </c>
      <c r="O73" s="214">
        <f t="shared" si="21"/>
        <v>0</v>
      </c>
      <c r="P73" s="214">
        <f t="shared" si="22"/>
        <v>0</v>
      </c>
      <c r="Q73" s="214">
        <f>IF(K73=0, 0, (HLOOKUP(K73,'[1]G-CESTD'!$A$5:$G$35,J73+1,FALSE)*R23))</f>
        <v>0</v>
      </c>
      <c r="R73" s="214">
        <f>IF(K73=0, 0, (HLOOKUP(K73,'[1]G-CESTD'!$A$5:$G$35,J73+1,FALSE)*R23))</f>
        <v>0</v>
      </c>
      <c r="S73" s="279">
        <v>1.081</v>
      </c>
      <c r="T73" s="280">
        <f t="shared" si="23"/>
        <v>0</v>
      </c>
      <c r="U73" s="280">
        <f t="shared" si="24"/>
        <v>0</v>
      </c>
      <c r="V73" s="280">
        <f t="shared" si="13"/>
        <v>0</v>
      </c>
      <c r="W73" s="322" t="e">
        <f t="shared" si="14"/>
        <v>#DIV/0!</v>
      </c>
      <c r="X73" s="322" t="e">
        <f t="shared" si="15"/>
        <v>#DIV/0!</v>
      </c>
      <c r="Y73" s="322" t="e">
        <f t="shared" si="16"/>
        <v>#DIV/0!</v>
      </c>
    </row>
    <row r="74" spans="2:25">
      <c r="B74" s="282"/>
      <c r="C74" s="282" t="s">
        <v>196</v>
      </c>
      <c r="D74" s="282">
        <v>0</v>
      </c>
      <c r="E74" s="282" t="s">
        <v>559</v>
      </c>
      <c r="F74" s="282" t="s">
        <v>186</v>
      </c>
      <c r="G74" s="283"/>
      <c r="H74" s="283"/>
      <c r="I74" s="311">
        <v>0</v>
      </c>
      <c r="J74" s="257"/>
      <c r="K74" s="257"/>
      <c r="L74" s="3574"/>
      <c r="M74" s="3447" t="e">
        <f t="shared" si="20"/>
        <v>#DIV/0!</v>
      </c>
      <c r="N74" s="3447" t="e">
        <f t="shared" si="20"/>
        <v>#DIV/0!</v>
      </c>
      <c r="O74" s="214">
        <f t="shared" si="21"/>
        <v>0</v>
      </c>
      <c r="P74" s="214">
        <f t="shared" si="22"/>
        <v>0</v>
      </c>
      <c r="Q74" s="214">
        <f>IF(K74=0, 0, (HLOOKUP(K74,'[1]G-CESTD'!$A$5:$G$35,J74+1,FALSE)*R24))</f>
        <v>0</v>
      </c>
      <c r="R74" s="214">
        <f>IF(K74=0, 0, (HLOOKUP(K74,'[1]G-CESTD'!$A$5:$G$35,J74+1,FALSE)*R24))</f>
        <v>0</v>
      </c>
      <c r="S74" s="279">
        <v>1.081</v>
      </c>
      <c r="T74" s="280">
        <f t="shared" si="23"/>
        <v>0</v>
      </c>
      <c r="U74" s="280">
        <f t="shared" si="24"/>
        <v>0</v>
      </c>
      <c r="V74" s="280">
        <f t="shared" si="13"/>
        <v>0</v>
      </c>
      <c r="W74" s="322" t="e">
        <f t="shared" si="14"/>
        <v>#DIV/0!</v>
      </c>
      <c r="X74" s="322" t="e">
        <f t="shared" si="15"/>
        <v>#DIV/0!</v>
      </c>
      <c r="Y74" s="322" t="e">
        <f t="shared" si="16"/>
        <v>#DIV/0!</v>
      </c>
    </row>
    <row r="75" spans="2:25">
      <c r="B75" s="282"/>
      <c r="C75" s="282" t="s">
        <v>197</v>
      </c>
      <c r="D75" s="257">
        <v>0</v>
      </c>
      <c r="E75" s="282" t="s">
        <v>559</v>
      </c>
      <c r="F75" s="282" t="s">
        <v>186</v>
      </c>
      <c r="G75" s="283"/>
      <c r="H75" s="283"/>
      <c r="I75" s="311">
        <v>0</v>
      </c>
      <c r="J75" s="257"/>
      <c r="K75" s="257"/>
      <c r="L75" s="3574"/>
      <c r="M75" s="3447" t="e">
        <f t="shared" si="20"/>
        <v>#DIV/0!</v>
      </c>
      <c r="N75" s="3447" t="e">
        <f t="shared" si="20"/>
        <v>#DIV/0!</v>
      </c>
      <c r="O75" s="214">
        <f t="shared" si="21"/>
        <v>0</v>
      </c>
      <c r="P75" s="214">
        <f t="shared" si="22"/>
        <v>0</v>
      </c>
      <c r="Q75" s="214">
        <f>IF(K75=0, 0, (HLOOKUP(K75,'[1]G-CESTD'!$A$5:$G$35,J75+1,FALSE)*R25))</f>
        <v>0</v>
      </c>
      <c r="R75" s="214">
        <f>IF(K75=0, 0, (HLOOKUP(K75,'[1]G-CESTD'!$A$5:$G$35,J75+1,FALSE)*R25))</f>
        <v>0</v>
      </c>
      <c r="S75" s="279">
        <v>1.081</v>
      </c>
      <c r="T75" s="280">
        <f t="shared" si="23"/>
        <v>0</v>
      </c>
      <c r="U75" s="280">
        <f t="shared" si="24"/>
        <v>0</v>
      </c>
      <c r="V75" s="280">
        <f t="shared" si="13"/>
        <v>0</v>
      </c>
      <c r="W75" s="322" t="e">
        <f t="shared" si="14"/>
        <v>#DIV/0!</v>
      </c>
      <c r="X75" s="322" t="e">
        <f t="shared" si="15"/>
        <v>#DIV/0!</v>
      </c>
      <c r="Y75" s="322" t="e">
        <f t="shared" si="16"/>
        <v>#DIV/0!</v>
      </c>
    </row>
    <row r="76" spans="2:25">
      <c r="B76" s="282"/>
      <c r="C76" s="282" t="s">
        <v>198</v>
      </c>
      <c r="D76" s="282">
        <v>0</v>
      </c>
      <c r="E76" s="282" t="s">
        <v>559</v>
      </c>
      <c r="F76" s="282" t="s">
        <v>186</v>
      </c>
      <c r="G76" s="283"/>
      <c r="H76" s="283"/>
      <c r="I76" s="311">
        <v>0</v>
      </c>
      <c r="J76" s="257"/>
      <c r="K76" s="257"/>
      <c r="L76" s="3574"/>
      <c r="M76" s="3447" t="e">
        <f t="shared" si="20"/>
        <v>#DIV/0!</v>
      </c>
      <c r="N76" s="3447" t="e">
        <f t="shared" si="20"/>
        <v>#DIV/0!</v>
      </c>
      <c r="O76" s="214">
        <f t="shared" si="21"/>
        <v>0</v>
      </c>
      <c r="P76" s="214">
        <f t="shared" si="22"/>
        <v>0</v>
      </c>
      <c r="Q76" s="214">
        <f>IF(K76=0, 0, (HLOOKUP(K76,'[1]G-CESTD'!$A$5:$G$35,J76+1,FALSE)*R26))</f>
        <v>0</v>
      </c>
      <c r="R76" s="214">
        <f>IF(K76=0, 0, (HLOOKUP(K76,'[1]G-CESTD'!$A$5:$G$35,J76+1,FALSE)*R26))</f>
        <v>0</v>
      </c>
      <c r="S76" s="279">
        <v>1.081</v>
      </c>
      <c r="T76" s="280">
        <f t="shared" si="23"/>
        <v>0</v>
      </c>
      <c r="U76" s="280">
        <f t="shared" si="24"/>
        <v>0</v>
      </c>
      <c r="V76" s="280">
        <f t="shared" si="13"/>
        <v>0</v>
      </c>
      <c r="W76" s="322" t="e">
        <f t="shared" si="14"/>
        <v>#DIV/0!</v>
      </c>
      <c r="X76" s="322" t="e">
        <f t="shared" si="15"/>
        <v>#DIV/0!</v>
      </c>
      <c r="Y76" s="322" t="e">
        <f t="shared" si="16"/>
        <v>#DIV/0!</v>
      </c>
    </row>
    <row r="77" spans="2:25">
      <c r="B77" s="282"/>
      <c r="C77" s="282" t="s">
        <v>199</v>
      </c>
      <c r="D77" s="257">
        <v>0</v>
      </c>
      <c r="E77" s="282" t="s">
        <v>559</v>
      </c>
      <c r="F77" s="282" t="s">
        <v>186</v>
      </c>
      <c r="G77" s="283"/>
      <c r="H77" s="283"/>
      <c r="I77" s="311">
        <v>0</v>
      </c>
      <c r="J77" s="257"/>
      <c r="K77" s="257"/>
      <c r="L77" s="3574"/>
      <c r="M77" s="3447" t="e">
        <f t="shared" si="20"/>
        <v>#DIV/0!</v>
      </c>
      <c r="N77" s="3447" t="e">
        <f t="shared" si="20"/>
        <v>#DIV/0!</v>
      </c>
      <c r="O77" s="214">
        <f t="shared" si="21"/>
        <v>0</v>
      </c>
      <c r="P77" s="214">
        <f t="shared" si="22"/>
        <v>0</v>
      </c>
      <c r="Q77" s="214">
        <f>IF(K77=0, 0, (HLOOKUP(K77,'[1]G-CESTD'!$A$5:$G$35,J77+1,FALSE)*R27))</f>
        <v>0</v>
      </c>
      <c r="R77" s="214">
        <f>IF(K77=0, 0, (HLOOKUP(K77,'[1]G-CESTD'!$A$5:$G$35,J77+1,FALSE)*R27))</f>
        <v>0</v>
      </c>
      <c r="S77" s="279">
        <v>1.081</v>
      </c>
      <c r="T77" s="280">
        <f t="shared" si="23"/>
        <v>0</v>
      </c>
      <c r="U77" s="280">
        <f t="shared" si="24"/>
        <v>0</v>
      </c>
      <c r="V77" s="280">
        <f t="shared" si="13"/>
        <v>0</v>
      </c>
      <c r="W77" s="322" t="e">
        <f t="shared" si="14"/>
        <v>#DIV/0!</v>
      </c>
      <c r="X77" s="322" t="e">
        <f t="shared" si="15"/>
        <v>#DIV/0!</v>
      </c>
      <c r="Y77" s="322" t="e">
        <f t="shared" si="16"/>
        <v>#DIV/0!</v>
      </c>
    </row>
    <row r="78" spans="2:25">
      <c r="B78" s="282"/>
      <c r="C78" s="282" t="s">
        <v>200</v>
      </c>
      <c r="D78" s="282">
        <v>0</v>
      </c>
      <c r="E78" s="282" t="s">
        <v>559</v>
      </c>
      <c r="F78" s="282" t="s">
        <v>186</v>
      </c>
      <c r="G78" s="283"/>
      <c r="H78" s="283"/>
      <c r="I78" s="311">
        <v>0</v>
      </c>
      <c r="J78" s="257"/>
      <c r="K78" s="257"/>
      <c r="L78" s="3574"/>
      <c r="M78" s="3447" t="e">
        <f t="shared" si="20"/>
        <v>#DIV/0!</v>
      </c>
      <c r="N78" s="3447" t="e">
        <f t="shared" si="20"/>
        <v>#DIV/0!</v>
      </c>
      <c r="O78" s="214">
        <f t="shared" si="21"/>
        <v>0</v>
      </c>
      <c r="P78" s="214">
        <f t="shared" si="22"/>
        <v>0</v>
      </c>
      <c r="Q78" s="214">
        <f>IF(K78=0, 0, (HLOOKUP(K78,'[1]G-CESTD'!$A$5:$G$35,J78+1,FALSE)*R28))</f>
        <v>0</v>
      </c>
      <c r="R78" s="214">
        <f>IF(K78=0, 0, (HLOOKUP(K78,'[1]G-CESTD'!$A$5:$G$35,J78+1,FALSE)*R28))</f>
        <v>0</v>
      </c>
      <c r="S78" s="279">
        <v>1.081</v>
      </c>
      <c r="T78" s="280">
        <f t="shared" si="23"/>
        <v>0</v>
      </c>
      <c r="U78" s="280">
        <f t="shared" si="24"/>
        <v>0</v>
      </c>
      <c r="V78" s="280">
        <f t="shared" si="13"/>
        <v>0</v>
      </c>
      <c r="W78" s="322" t="e">
        <f t="shared" si="14"/>
        <v>#DIV/0!</v>
      </c>
      <c r="X78" s="322" t="e">
        <f t="shared" si="15"/>
        <v>#DIV/0!</v>
      </c>
      <c r="Y78" s="322" t="e">
        <f t="shared" si="16"/>
        <v>#DIV/0!</v>
      </c>
    </row>
    <row r="79" spans="2:25">
      <c r="B79" s="282"/>
      <c r="C79" s="282" t="s">
        <v>201</v>
      </c>
      <c r="D79" s="257">
        <v>0</v>
      </c>
      <c r="E79" s="282" t="s">
        <v>559</v>
      </c>
      <c r="F79" s="282" t="s">
        <v>186</v>
      </c>
      <c r="G79" s="283"/>
      <c r="H79" s="283"/>
      <c r="I79" s="311">
        <v>0</v>
      </c>
      <c r="J79" s="257"/>
      <c r="K79" s="257"/>
      <c r="L79" s="3574"/>
      <c r="M79" s="3447" t="e">
        <f t="shared" si="20"/>
        <v>#DIV/0!</v>
      </c>
      <c r="N79" s="3447" t="e">
        <f t="shared" si="20"/>
        <v>#DIV/0!</v>
      </c>
      <c r="O79" s="214">
        <f t="shared" si="21"/>
        <v>0</v>
      </c>
      <c r="P79" s="214">
        <f t="shared" si="22"/>
        <v>0</v>
      </c>
      <c r="Q79" s="214">
        <f>IF(K79=0, 0, (HLOOKUP(K79,'[1]G-CESTD'!$A$5:$G$35,J79+1,FALSE)*R29))</f>
        <v>0</v>
      </c>
      <c r="R79" s="214">
        <f>IF(K79=0, 0, (HLOOKUP(K79,'[1]G-CESTD'!$A$5:$G$35,J79+1,FALSE)*R29))</f>
        <v>0</v>
      </c>
      <c r="S79" s="279">
        <v>1.081</v>
      </c>
      <c r="T79" s="280">
        <f t="shared" si="23"/>
        <v>0</v>
      </c>
      <c r="U79" s="280">
        <f t="shared" si="24"/>
        <v>0</v>
      </c>
      <c r="V79" s="280">
        <f t="shared" si="13"/>
        <v>0</v>
      </c>
      <c r="W79" s="322" t="e">
        <f t="shared" si="14"/>
        <v>#DIV/0!</v>
      </c>
      <c r="X79" s="322" t="e">
        <f t="shared" si="15"/>
        <v>#DIV/0!</v>
      </c>
      <c r="Y79" s="322" t="e">
        <f t="shared" si="16"/>
        <v>#DIV/0!</v>
      </c>
    </row>
    <row r="80" spans="2:25">
      <c r="B80" s="282"/>
      <c r="C80" s="282" t="s">
        <v>202</v>
      </c>
      <c r="D80" s="282">
        <v>0</v>
      </c>
      <c r="E80" s="282" t="s">
        <v>559</v>
      </c>
      <c r="F80" s="282" t="s">
        <v>186</v>
      </c>
      <c r="G80" s="283"/>
      <c r="H80" s="283"/>
      <c r="I80" s="311">
        <v>0</v>
      </c>
      <c r="J80" s="257"/>
      <c r="K80" s="257"/>
      <c r="L80" s="3574"/>
      <c r="M80" s="3447" t="e">
        <f t="shared" si="20"/>
        <v>#DIV/0!</v>
      </c>
      <c r="N80" s="3447" t="e">
        <f t="shared" si="20"/>
        <v>#DIV/0!</v>
      </c>
      <c r="O80" s="214">
        <f t="shared" si="21"/>
        <v>0</v>
      </c>
      <c r="P80" s="214">
        <f t="shared" si="22"/>
        <v>0</v>
      </c>
      <c r="Q80" s="214">
        <f>IF(K80=0, 0, (HLOOKUP(K80,'[1]G-CESTD'!$A$5:$G$35,J80+1,FALSE)*R30))</f>
        <v>0</v>
      </c>
      <c r="R80" s="214">
        <f>IF(K80=0, 0, (HLOOKUP(K80,'[1]G-CESTD'!$A$5:$G$35,J80+1,FALSE)*R30))</f>
        <v>0</v>
      </c>
      <c r="S80" s="279">
        <v>1.081</v>
      </c>
      <c r="T80" s="280">
        <f t="shared" si="23"/>
        <v>0</v>
      </c>
      <c r="U80" s="280">
        <f t="shared" si="24"/>
        <v>0</v>
      </c>
      <c r="V80" s="280">
        <f t="shared" si="13"/>
        <v>0</v>
      </c>
      <c r="W80" s="322" t="e">
        <f t="shared" si="14"/>
        <v>#DIV/0!</v>
      </c>
      <c r="X80" s="322" t="e">
        <f t="shared" si="15"/>
        <v>#DIV/0!</v>
      </c>
      <c r="Y80" s="322" t="e">
        <f t="shared" si="16"/>
        <v>#DIV/0!</v>
      </c>
    </row>
    <row r="81" spans="2:25">
      <c r="B81" s="282"/>
      <c r="C81" s="282" t="s">
        <v>203</v>
      </c>
      <c r="D81" s="282">
        <v>0</v>
      </c>
      <c r="E81" s="282" t="s">
        <v>559</v>
      </c>
      <c r="F81" s="282" t="s">
        <v>186</v>
      </c>
      <c r="G81" s="283"/>
      <c r="H81" s="283"/>
      <c r="I81" s="311">
        <v>0</v>
      </c>
      <c r="J81" s="257"/>
      <c r="K81" s="257"/>
      <c r="L81" s="3574"/>
      <c r="M81" s="3447" t="e">
        <f t="shared" si="20"/>
        <v>#DIV/0!</v>
      </c>
      <c r="N81" s="3447" t="e">
        <f t="shared" si="20"/>
        <v>#DIV/0!</v>
      </c>
      <c r="O81" s="214">
        <f t="shared" si="21"/>
        <v>0</v>
      </c>
      <c r="P81" s="214">
        <f t="shared" si="22"/>
        <v>0</v>
      </c>
      <c r="Q81" s="214">
        <f>IF(K81=0, 0, (HLOOKUP(K81,'[1]G-CESTD'!$A$5:$G$35,J81+1,FALSE)*R31))</f>
        <v>0</v>
      </c>
      <c r="R81" s="214">
        <f>IF(K81=0, 0, (HLOOKUP(K81,'[1]G-CESTD'!$A$5:$G$35,J81+1,FALSE)*R31))</f>
        <v>0</v>
      </c>
      <c r="S81" s="279">
        <v>1.081</v>
      </c>
      <c r="T81" s="280">
        <f t="shared" si="23"/>
        <v>0</v>
      </c>
      <c r="U81" s="280">
        <f t="shared" si="24"/>
        <v>0</v>
      </c>
      <c r="V81" s="280">
        <f t="shared" si="13"/>
        <v>0</v>
      </c>
      <c r="W81" s="322" t="e">
        <f t="shared" si="14"/>
        <v>#DIV/0!</v>
      </c>
      <c r="X81" s="322" t="e">
        <f t="shared" si="15"/>
        <v>#DIV/0!</v>
      </c>
      <c r="Y81" s="322" t="e">
        <f t="shared" si="16"/>
        <v>#DIV/0!</v>
      </c>
    </row>
    <row r="82" spans="2:25">
      <c r="B82" s="282"/>
      <c r="C82" s="282" t="s">
        <v>204</v>
      </c>
      <c r="D82" s="282">
        <v>0</v>
      </c>
      <c r="E82" s="282" t="s">
        <v>559</v>
      </c>
      <c r="F82" s="282" t="s">
        <v>186</v>
      </c>
      <c r="G82" s="283"/>
      <c r="H82" s="283"/>
      <c r="I82" s="311">
        <v>0</v>
      </c>
      <c r="J82" s="257"/>
      <c r="K82" s="257"/>
      <c r="L82" s="3574"/>
      <c r="M82" s="3447" t="e">
        <f t="shared" si="20"/>
        <v>#DIV/0!</v>
      </c>
      <c r="N82" s="3447" t="e">
        <f t="shared" si="20"/>
        <v>#DIV/0!</v>
      </c>
      <c r="O82" s="214">
        <f t="shared" si="21"/>
        <v>0</v>
      </c>
      <c r="P82" s="214">
        <f t="shared" si="22"/>
        <v>0</v>
      </c>
      <c r="Q82" s="214">
        <f>IF(K82=0, 0, (HLOOKUP(K82,'[1]G-CESTD'!$A$5:$G$35,J82+1,FALSE)*R32))</f>
        <v>0</v>
      </c>
      <c r="R82" s="214">
        <f>IF(K82=0, 0, (HLOOKUP(K82,'[1]G-CESTD'!$A$5:$G$35,J82+1,FALSE)*R32))</f>
        <v>0</v>
      </c>
      <c r="S82" s="279">
        <v>1.081</v>
      </c>
      <c r="T82" s="280">
        <f t="shared" si="23"/>
        <v>0</v>
      </c>
      <c r="U82" s="280">
        <f t="shared" si="24"/>
        <v>0</v>
      </c>
      <c r="V82" s="280">
        <f t="shared" si="13"/>
        <v>0</v>
      </c>
    </row>
    <row r="83" spans="2:25">
      <c r="B83" s="282"/>
      <c r="C83" s="282" t="s">
        <v>205</v>
      </c>
      <c r="D83" s="285">
        <v>0</v>
      </c>
      <c r="E83" s="282" t="s">
        <v>559</v>
      </c>
      <c r="F83" s="282" t="s">
        <v>186</v>
      </c>
      <c r="G83" s="283"/>
      <c r="H83" s="283"/>
      <c r="I83" s="311">
        <v>0</v>
      </c>
      <c r="J83" s="257"/>
      <c r="K83" s="257"/>
      <c r="L83" s="3574"/>
      <c r="M83" s="3447" t="e">
        <f t="shared" si="20"/>
        <v>#DIV/0!</v>
      </c>
      <c r="N83" s="3447" t="e">
        <f t="shared" si="20"/>
        <v>#DIV/0!</v>
      </c>
      <c r="O83" s="214">
        <f t="shared" si="21"/>
        <v>0</v>
      </c>
      <c r="P83" s="214">
        <f t="shared" si="22"/>
        <v>0</v>
      </c>
      <c r="Q83" s="214">
        <f>IF(K83=0, 0, (HLOOKUP(K83,'[1]G-CESTD'!$A$5:$G$35,J83+1,FALSE)*R33))</f>
        <v>0</v>
      </c>
      <c r="R83" s="214">
        <f>IF(K83=0, 0, (HLOOKUP(K83,'[1]G-CESTD'!$A$5:$G$35,J83+1,FALSE)*R33))</f>
        <v>0</v>
      </c>
      <c r="S83" s="279">
        <v>1.081</v>
      </c>
      <c r="T83" s="280">
        <f t="shared" si="23"/>
        <v>0</v>
      </c>
      <c r="U83" s="280">
        <f t="shared" si="24"/>
        <v>0</v>
      </c>
      <c r="V83" s="280">
        <f t="shared" si="13"/>
        <v>0</v>
      </c>
    </row>
    <row r="84" spans="2:25">
      <c r="B84" s="282"/>
      <c r="C84" s="282" t="s">
        <v>206</v>
      </c>
      <c r="D84" s="285">
        <v>0</v>
      </c>
      <c r="E84" s="282" t="s">
        <v>559</v>
      </c>
      <c r="F84" s="282" t="s">
        <v>186</v>
      </c>
      <c r="G84" s="283"/>
      <c r="H84" s="283"/>
      <c r="I84" s="311">
        <v>0</v>
      </c>
      <c r="J84" s="257"/>
      <c r="K84" s="257"/>
      <c r="L84" s="3574"/>
      <c r="M84" s="3447" t="e">
        <f t="shared" si="20"/>
        <v>#DIV/0!</v>
      </c>
      <c r="N84" s="3447" t="e">
        <f t="shared" si="20"/>
        <v>#DIV/0!</v>
      </c>
      <c r="O84" s="214">
        <f t="shared" si="21"/>
        <v>0</v>
      </c>
      <c r="P84" s="214">
        <f t="shared" si="22"/>
        <v>0</v>
      </c>
      <c r="Q84" s="214">
        <f>IF(K84=0, 0, (HLOOKUP(K84,'[1]G-CESTD'!$A$5:$G$35,J84+1,FALSE)*R34))</f>
        <v>0</v>
      </c>
      <c r="R84" s="214">
        <f>IF(K84=0, 0, (HLOOKUP(K84,'[1]G-CESTD'!$A$5:$G$35,J84+1,FALSE)*R34))</f>
        <v>0</v>
      </c>
      <c r="S84" s="279">
        <v>1.081</v>
      </c>
      <c r="T84" s="280">
        <f t="shared" si="23"/>
        <v>0</v>
      </c>
      <c r="U84" s="280">
        <f t="shared" si="24"/>
        <v>0</v>
      </c>
      <c r="V84" s="280">
        <f t="shared" si="13"/>
        <v>0</v>
      </c>
    </row>
    <row r="85" spans="2:25">
      <c r="B85" s="282"/>
      <c r="C85" s="282" t="s">
        <v>207</v>
      </c>
      <c r="D85" s="285">
        <v>0</v>
      </c>
      <c r="E85" s="282" t="s">
        <v>559</v>
      </c>
      <c r="F85" s="282" t="s">
        <v>186</v>
      </c>
      <c r="G85" s="283"/>
      <c r="H85" s="283"/>
      <c r="I85" s="311">
        <v>0</v>
      </c>
      <c r="J85" s="257"/>
      <c r="K85" s="257"/>
      <c r="L85" s="3574"/>
      <c r="M85" s="3447" t="e">
        <f t="shared" si="20"/>
        <v>#DIV/0!</v>
      </c>
      <c r="N85" s="3447" t="e">
        <f t="shared" si="20"/>
        <v>#DIV/0!</v>
      </c>
      <c r="O85" s="214">
        <f t="shared" si="21"/>
        <v>0</v>
      </c>
      <c r="P85" s="214">
        <f t="shared" si="22"/>
        <v>0</v>
      </c>
      <c r="Q85" s="214">
        <f>IF(K85=0, 0, (HLOOKUP(K85,'[1]G-CESTD'!$A$5:$G$35,J85+1,FALSE)*R35))</f>
        <v>0</v>
      </c>
      <c r="R85" s="214">
        <f>IF(K85=0, 0, (HLOOKUP(K85,'[1]G-CESTD'!$A$5:$G$35,J85+1,FALSE)*R35))</f>
        <v>0</v>
      </c>
      <c r="S85" s="279">
        <v>1.081</v>
      </c>
      <c r="T85" s="280">
        <f t="shared" si="23"/>
        <v>0</v>
      </c>
      <c r="U85" s="280">
        <f t="shared" si="24"/>
        <v>0</v>
      </c>
      <c r="V85" s="280">
        <f t="shared" si="13"/>
        <v>0</v>
      </c>
    </row>
    <row r="86" spans="2:25">
      <c r="B86" s="282"/>
      <c r="C86" s="282" t="s">
        <v>208</v>
      </c>
      <c r="D86" s="285">
        <v>0</v>
      </c>
      <c r="E86" s="282" t="s">
        <v>559</v>
      </c>
      <c r="F86" s="282" t="s">
        <v>186</v>
      </c>
      <c r="G86" s="283"/>
      <c r="H86" s="283"/>
      <c r="I86" s="311">
        <v>0</v>
      </c>
      <c r="J86" s="257"/>
      <c r="K86" s="257"/>
      <c r="L86" s="3574"/>
      <c r="M86" s="3447" t="e">
        <f t="shared" si="20"/>
        <v>#DIV/0!</v>
      </c>
      <c r="N86" s="3447" t="e">
        <f t="shared" si="20"/>
        <v>#DIV/0!</v>
      </c>
      <c r="O86" s="214">
        <f t="shared" si="21"/>
        <v>0</v>
      </c>
      <c r="P86" s="214">
        <f t="shared" si="22"/>
        <v>0</v>
      </c>
      <c r="Q86" s="214">
        <f>IF(K86=0, 0, (HLOOKUP(K86,'[1]G-CESTD'!$A$5:$G$35,J86+1,FALSE)*R36))</f>
        <v>0</v>
      </c>
      <c r="R86" s="214">
        <f>IF(K86=0, 0, (HLOOKUP(K86,'[1]G-CESTD'!$A$5:$G$35,J86+1,FALSE)*R36))</f>
        <v>0</v>
      </c>
      <c r="S86" s="279">
        <v>1.081</v>
      </c>
      <c r="T86" s="280">
        <f t="shared" si="23"/>
        <v>0</v>
      </c>
      <c r="U86" s="280">
        <f t="shared" si="24"/>
        <v>0</v>
      </c>
      <c r="V86" s="280">
        <f t="shared" si="13"/>
        <v>0</v>
      </c>
    </row>
    <row r="87" spans="2:25">
      <c r="B87" s="282"/>
      <c r="C87" s="282" t="s">
        <v>209</v>
      </c>
      <c r="D87" s="285">
        <v>0</v>
      </c>
      <c r="E87" s="282" t="s">
        <v>559</v>
      </c>
      <c r="F87" s="282" t="s">
        <v>186</v>
      </c>
      <c r="G87" s="283"/>
      <c r="H87" s="283"/>
      <c r="I87" s="311">
        <v>0</v>
      </c>
      <c r="J87" s="257"/>
      <c r="K87" s="257"/>
      <c r="L87" s="3574"/>
      <c r="M87" s="3447" t="e">
        <f t="shared" si="20"/>
        <v>#DIV/0!</v>
      </c>
      <c r="N87" s="3447" t="e">
        <f t="shared" si="20"/>
        <v>#DIV/0!</v>
      </c>
      <c r="O87" s="214">
        <f t="shared" si="21"/>
        <v>0</v>
      </c>
      <c r="P87" s="214">
        <f t="shared" si="22"/>
        <v>0</v>
      </c>
      <c r="Q87" s="214">
        <f>IF(K87=0, 0, (HLOOKUP(K87,'[1]G-CESTD'!$A$5:$G$35,J87+1,FALSE)*R37))</f>
        <v>0</v>
      </c>
      <c r="R87" s="214">
        <f>IF(K87=0, 0, (HLOOKUP(K87,'[1]G-CESTD'!$A$5:$G$35,J87+1,FALSE)*R37))</f>
        <v>0</v>
      </c>
      <c r="S87" s="279">
        <v>1.081</v>
      </c>
      <c r="T87" s="280">
        <f t="shared" si="23"/>
        <v>0</v>
      </c>
      <c r="U87" s="280">
        <f t="shared" si="24"/>
        <v>0</v>
      </c>
      <c r="V87" s="280">
        <f t="shared" si="13"/>
        <v>0</v>
      </c>
    </row>
    <row r="88" spans="2:25">
      <c r="B88" s="282"/>
      <c r="C88" s="282" t="s">
        <v>210</v>
      </c>
      <c r="D88" s="285">
        <v>0</v>
      </c>
      <c r="E88" s="282" t="s">
        <v>559</v>
      </c>
      <c r="F88" s="282" t="s">
        <v>186</v>
      </c>
      <c r="G88" s="283"/>
      <c r="H88" s="283"/>
      <c r="I88" s="311">
        <v>0</v>
      </c>
      <c r="J88" s="257"/>
      <c r="K88" s="257"/>
      <c r="L88" s="3574"/>
      <c r="M88" s="3447" t="e">
        <f t="shared" si="20"/>
        <v>#DIV/0!</v>
      </c>
      <c r="N88" s="3447" t="e">
        <f t="shared" si="20"/>
        <v>#DIV/0!</v>
      </c>
      <c r="O88" s="214">
        <f t="shared" si="21"/>
        <v>0</v>
      </c>
      <c r="P88" s="214">
        <f t="shared" si="22"/>
        <v>0</v>
      </c>
      <c r="Q88" s="214">
        <f>IF(K88=0, 0, (HLOOKUP(K88,'[1]G-CESTD'!$A$5:$G$35,J88+1,FALSE)*R38))</f>
        <v>0</v>
      </c>
      <c r="R88" s="214">
        <f>IF(K88=0, 0, (HLOOKUP(K88,'[1]G-CESTD'!$A$5:$G$35,J88+1,FALSE)*R38))</f>
        <v>0</v>
      </c>
      <c r="S88" s="279">
        <v>1.081</v>
      </c>
      <c r="T88" s="280">
        <f t="shared" si="23"/>
        <v>0</v>
      </c>
      <c r="U88" s="280">
        <f t="shared" si="24"/>
        <v>0</v>
      </c>
      <c r="V88" s="280">
        <f t="shared" si="13"/>
        <v>0</v>
      </c>
    </row>
    <row r="89" spans="2:25">
      <c r="B89" s="282"/>
      <c r="C89" s="282" t="s">
        <v>211</v>
      </c>
      <c r="D89" s="285">
        <v>0</v>
      </c>
      <c r="E89" s="282" t="s">
        <v>559</v>
      </c>
      <c r="F89" s="282" t="s">
        <v>186</v>
      </c>
      <c r="G89" s="283"/>
      <c r="H89" s="283"/>
      <c r="I89" s="311">
        <v>0</v>
      </c>
      <c r="J89" s="257"/>
      <c r="K89" s="257"/>
      <c r="L89" s="3574"/>
      <c r="M89" s="3447" t="e">
        <f t="shared" si="20"/>
        <v>#DIV/0!</v>
      </c>
      <c r="N89" s="3447" t="e">
        <f t="shared" si="20"/>
        <v>#DIV/0!</v>
      </c>
      <c r="O89" s="214">
        <f t="shared" si="21"/>
        <v>0</v>
      </c>
      <c r="P89" s="214">
        <f t="shared" si="22"/>
        <v>0</v>
      </c>
      <c r="Q89" s="214">
        <f>IF(K89=0, 0, (HLOOKUP(K89,'[1]G-CESTD'!$A$5:$G$35,J89+1,FALSE)*R39))</f>
        <v>0</v>
      </c>
      <c r="R89" s="214">
        <f>IF(K89=0, 0, (HLOOKUP(K89,'[1]G-CESTD'!$A$5:$G$35,J89+1,FALSE)*R39))</f>
        <v>0</v>
      </c>
      <c r="S89" s="279">
        <v>1.081</v>
      </c>
      <c r="T89" s="280">
        <f t="shared" si="23"/>
        <v>0</v>
      </c>
      <c r="U89" s="280">
        <f t="shared" si="24"/>
        <v>0</v>
      </c>
      <c r="V89" s="280">
        <f t="shared" si="13"/>
        <v>0</v>
      </c>
    </row>
    <row r="90" spans="2:25">
      <c r="B90" s="282"/>
      <c r="C90" s="282" t="s">
        <v>212</v>
      </c>
      <c r="D90" s="285">
        <v>0</v>
      </c>
      <c r="E90" s="282" t="s">
        <v>559</v>
      </c>
      <c r="F90" s="282" t="s">
        <v>186</v>
      </c>
      <c r="G90" s="283"/>
      <c r="H90" s="283"/>
      <c r="I90" s="311">
        <v>0</v>
      </c>
      <c r="J90" s="257"/>
      <c r="K90" s="257"/>
      <c r="L90" s="3574"/>
      <c r="M90" s="3447" t="e">
        <f t="shared" si="20"/>
        <v>#DIV/0!</v>
      </c>
      <c r="N90" s="3447" t="e">
        <f t="shared" si="20"/>
        <v>#DIV/0!</v>
      </c>
      <c r="O90" s="214">
        <f t="shared" si="21"/>
        <v>0</v>
      </c>
      <c r="P90" s="214">
        <f t="shared" si="22"/>
        <v>0</v>
      </c>
      <c r="Q90" s="214">
        <f>IF(K90=0, 0, (HLOOKUP(K90,'[1]G-CESTD'!$A$5:$G$35,J90+1,FALSE)*R40))</f>
        <v>0</v>
      </c>
      <c r="R90" s="214">
        <f>IF(K90=0, 0, (HLOOKUP(K90,'[1]G-CESTD'!$A$5:$G$35,J90+1,FALSE)*R40))</f>
        <v>0</v>
      </c>
      <c r="S90" s="279">
        <v>1.081</v>
      </c>
      <c r="T90" s="280">
        <f t="shared" si="23"/>
        <v>0</v>
      </c>
      <c r="U90" s="280">
        <f t="shared" si="24"/>
        <v>0</v>
      </c>
      <c r="V90" s="280">
        <f t="shared" si="13"/>
        <v>0</v>
      </c>
    </row>
    <row r="91" spans="2:25">
      <c r="B91" s="282"/>
      <c r="C91" s="282" t="s">
        <v>213</v>
      </c>
      <c r="D91" s="285">
        <v>0</v>
      </c>
      <c r="E91" s="282" t="s">
        <v>559</v>
      </c>
      <c r="F91" s="282" t="s">
        <v>186</v>
      </c>
      <c r="G91" s="283"/>
      <c r="H91" s="283"/>
      <c r="I91" s="311">
        <v>0</v>
      </c>
      <c r="J91" s="257"/>
      <c r="K91" s="257"/>
      <c r="L91" s="3574"/>
      <c r="M91" s="3447" t="e">
        <f t="shared" si="20"/>
        <v>#DIV/0!</v>
      </c>
      <c r="N91" s="3447" t="e">
        <f t="shared" si="20"/>
        <v>#DIV/0!</v>
      </c>
      <c r="O91" s="214">
        <f t="shared" si="21"/>
        <v>0</v>
      </c>
      <c r="P91" s="214">
        <f t="shared" si="22"/>
        <v>0</v>
      </c>
      <c r="Q91" s="214">
        <f>IF(K91=0, 0, (HLOOKUP(K91,'[1]G-CESTD'!$A$5:$G$35,J91+1,FALSE)*R41))</f>
        <v>0</v>
      </c>
      <c r="R91" s="214">
        <f>IF(K91=0, 0, (HLOOKUP(K91,'[1]G-CESTD'!$A$5:$G$35,J91+1,FALSE)*R41))</f>
        <v>0</v>
      </c>
      <c r="S91" s="279">
        <v>1.081</v>
      </c>
      <c r="T91" s="280">
        <f t="shared" si="23"/>
        <v>0</v>
      </c>
      <c r="U91" s="280">
        <f t="shared" si="24"/>
        <v>0</v>
      </c>
      <c r="V91" s="280">
        <f t="shared" si="13"/>
        <v>0</v>
      </c>
    </row>
    <row r="92" spans="2:25">
      <c r="B92" s="282"/>
      <c r="C92" s="282" t="s">
        <v>214</v>
      </c>
      <c r="D92" s="285">
        <v>0</v>
      </c>
      <c r="E92" s="282" t="s">
        <v>559</v>
      </c>
      <c r="F92" s="282" t="s">
        <v>186</v>
      </c>
      <c r="G92" s="283"/>
      <c r="H92" s="283"/>
      <c r="I92" s="311">
        <v>0</v>
      </c>
      <c r="J92" s="257"/>
      <c r="K92" s="257"/>
      <c r="L92" s="3574"/>
      <c r="M92" s="3447" t="e">
        <f t="shared" si="20"/>
        <v>#DIV/0!</v>
      </c>
      <c r="N92" s="3447" t="e">
        <f t="shared" si="20"/>
        <v>#DIV/0!</v>
      </c>
      <c r="O92" s="214">
        <f t="shared" si="21"/>
        <v>0</v>
      </c>
      <c r="P92" s="214">
        <f t="shared" si="22"/>
        <v>0</v>
      </c>
      <c r="Q92" s="214">
        <f>IF(K92=0, 0, (HLOOKUP(K92,'[1]G-CESTD'!$A$5:$G$35,J92+1,FALSE)*R42))</f>
        <v>0</v>
      </c>
      <c r="R92" s="214">
        <f>IF(K92=0, 0, (HLOOKUP(K92,'[1]G-CESTD'!$A$5:$G$35,J92+1,FALSE)*R42))</f>
        <v>0</v>
      </c>
      <c r="S92" s="279">
        <v>1.081</v>
      </c>
      <c r="T92" s="280">
        <f t="shared" si="23"/>
        <v>0</v>
      </c>
      <c r="U92" s="280">
        <f t="shared" si="24"/>
        <v>0</v>
      </c>
      <c r="V92" s="280">
        <f t="shared" si="13"/>
        <v>0</v>
      </c>
    </row>
    <row r="93" spans="2:25">
      <c r="B93" s="282"/>
      <c r="C93" s="282" t="s">
        <v>215</v>
      </c>
      <c r="D93" s="285">
        <v>0</v>
      </c>
      <c r="E93" s="282" t="s">
        <v>559</v>
      </c>
      <c r="F93" s="282" t="s">
        <v>186</v>
      </c>
      <c r="G93" s="283"/>
      <c r="H93" s="283"/>
      <c r="I93" s="311">
        <v>0</v>
      </c>
      <c r="J93" s="257"/>
      <c r="K93" s="257"/>
      <c r="L93" s="3574"/>
      <c r="M93" s="3447" t="e">
        <f t="shared" si="20"/>
        <v>#DIV/0!</v>
      </c>
      <c r="N93" s="3447" t="e">
        <f t="shared" si="20"/>
        <v>#DIV/0!</v>
      </c>
      <c r="O93" s="214">
        <f t="shared" si="21"/>
        <v>0</v>
      </c>
      <c r="P93" s="214">
        <f t="shared" si="22"/>
        <v>0</v>
      </c>
      <c r="Q93" s="214">
        <f>IF(K93=0, 0, (HLOOKUP(K93,'[1]G-CESTD'!$A$5:$G$35,J93+1,FALSE)*R43))</f>
        <v>0</v>
      </c>
      <c r="R93" s="214">
        <f>IF(K93=0, 0, (HLOOKUP(K93,'[1]G-CESTD'!$A$5:$G$35,J93+1,FALSE)*R43))</f>
        <v>0</v>
      </c>
      <c r="S93" s="279">
        <v>1.081</v>
      </c>
      <c r="T93" s="280">
        <f t="shared" si="23"/>
        <v>0</v>
      </c>
      <c r="U93" s="280">
        <f t="shared" si="24"/>
        <v>0</v>
      </c>
      <c r="V93" s="280">
        <f t="shared" si="13"/>
        <v>0</v>
      </c>
    </row>
    <row r="94" spans="2:25">
      <c r="B94" s="282"/>
      <c r="C94" s="282" t="s">
        <v>216</v>
      </c>
      <c r="D94" s="285">
        <v>0</v>
      </c>
      <c r="E94" s="282" t="s">
        <v>559</v>
      </c>
      <c r="F94" s="282" t="s">
        <v>186</v>
      </c>
      <c r="G94" s="283"/>
      <c r="H94" s="283"/>
      <c r="I94" s="311">
        <v>0</v>
      </c>
      <c r="J94" s="257"/>
      <c r="K94" s="257"/>
      <c r="L94" s="3574"/>
      <c r="M94" s="3447" t="e">
        <f t="shared" si="20"/>
        <v>#DIV/0!</v>
      </c>
      <c r="N94" s="3447" t="e">
        <f t="shared" si="20"/>
        <v>#DIV/0!</v>
      </c>
      <c r="O94" s="214">
        <f t="shared" si="21"/>
        <v>0</v>
      </c>
      <c r="P94" s="214">
        <f t="shared" si="22"/>
        <v>0</v>
      </c>
      <c r="Q94" s="214">
        <f>IF(K94=0, 0, (HLOOKUP(K94,'[1]G-CESTD'!$A$5:$G$35,J94+1,FALSE)*R44))</f>
        <v>0</v>
      </c>
      <c r="R94" s="214">
        <f>IF(K94=0, 0, (HLOOKUP(K94,'[1]G-CESTD'!$A$5:$G$35,J94+1,FALSE)*R44))</f>
        <v>0</v>
      </c>
      <c r="S94" s="279">
        <v>1.081</v>
      </c>
      <c r="T94" s="280">
        <f t="shared" si="23"/>
        <v>0</v>
      </c>
      <c r="U94" s="280">
        <f t="shared" si="24"/>
        <v>0</v>
      </c>
      <c r="V94" s="280">
        <f t="shared" si="13"/>
        <v>0</v>
      </c>
    </row>
    <row r="95" spans="2:25">
      <c r="B95" s="282"/>
      <c r="C95" s="282" t="s">
        <v>217</v>
      </c>
      <c r="D95" s="285">
        <v>0</v>
      </c>
      <c r="E95" s="282" t="s">
        <v>559</v>
      </c>
      <c r="F95" s="282" t="s">
        <v>186</v>
      </c>
      <c r="G95" s="283"/>
      <c r="H95" s="283"/>
      <c r="I95" s="311">
        <v>0</v>
      </c>
      <c r="J95" s="257"/>
      <c r="K95" s="257"/>
      <c r="L95" s="3574"/>
      <c r="M95" s="3447" t="e">
        <f t="shared" si="20"/>
        <v>#DIV/0!</v>
      </c>
      <c r="N95" s="3447" t="e">
        <f t="shared" si="20"/>
        <v>#DIV/0!</v>
      </c>
      <c r="O95" s="214">
        <f t="shared" si="21"/>
        <v>0</v>
      </c>
      <c r="P95" s="214">
        <f t="shared" si="22"/>
        <v>0</v>
      </c>
      <c r="Q95" s="214">
        <f>IF(K95=0, 0, (HLOOKUP(K95,'[1]G-CESTD'!$A$5:$G$35,J95+1,FALSE)*R45))</f>
        <v>0</v>
      </c>
      <c r="R95" s="214">
        <f>IF(K95=0, 0, (HLOOKUP(K95,'[1]G-CESTD'!$A$5:$G$35,J95+1,FALSE)*R45))</f>
        <v>0</v>
      </c>
      <c r="S95" s="279">
        <v>1.081</v>
      </c>
      <c r="T95" s="280">
        <f t="shared" si="23"/>
        <v>0</v>
      </c>
      <c r="U95" s="280">
        <f t="shared" si="24"/>
        <v>0</v>
      </c>
      <c r="V95" s="280">
        <f t="shared" si="13"/>
        <v>0</v>
      </c>
    </row>
    <row r="96" spans="2:25">
      <c r="B96" s="282"/>
      <c r="C96" s="282" t="s">
        <v>218</v>
      </c>
      <c r="D96" s="285">
        <v>0</v>
      </c>
      <c r="E96" s="282" t="s">
        <v>559</v>
      </c>
      <c r="F96" s="282" t="s">
        <v>186</v>
      </c>
      <c r="G96" s="283"/>
      <c r="H96" s="283"/>
      <c r="I96" s="311">
        <v>0</v>
      </c>
      <c r="J96" s="257"/>
      <c r="K96" s="257"/>
      <c r="L96" s="3574"/>
      <c r="M96" s="3447" t="e">
        <f t="shared" si="20"/>
        <v>#DIV/0!</v>
      </c>
      <c r="N96" s="3447" t="e">
        <f t="shared" si="20"/>
        <v>#DIV/0!</v>
      </c>
      <c r="O96" s="214">
        <f t="shared" si="21"/>
        <v>0</v>
      </c>
      <c r="P96" s="214">
        <f t="shared" si="22"/>
        <v>0</v>
      </c>
      <c r="Q96" s="214">
        <f>IF(K96=0, 0, (HLOOKUP(K96,'[1]G-CESTD'!$A$5:$G$35,J96+1,FALSE)*R46))</f>
        <v>0</v>
      </c>
      <c r="R96" s="214">
        <f>IF(K96=0, 0, (HLOOKUP(K96,'[1]G-CESTD'!$A$5:$G$35,J96+1,FALSE)*R46))</f>
        <v>0</v>
      </c>
      <c r="S96" s="279">
        <v>1.081</v>
      </c>
      <c r="T96" s="280">
        <f t="shared" si="23"/>
        <v>0</v>
      </c>
      <c r="U96" s="280">
        <f t="shared" si="24"/>
        <v>0</v>
      </c>
      <c r="V96" s="280">
        <f t="shared" si="13"/>
        <v>0</v>
      </c>
    </row>
    <row r="97" spans="2:22">
      <c r="B97" s="282"/>
      <c r="C97" s="282" t="s">
        <v>219</v>
      </c>
      <c r="D97" s="285">
        <v>0</v>
      </c>
      <c r="E97" s="282" t="s">
        <v>559</v>
      </c>
      <c r="F97" s="282" t="s">
        <v>186</v>
      </c>
      <c r="G97" s="283"/>
      <c r="H97" s="283"/>
      <c r="I97" s="311">
        <v>0</v>
      </c>
      <c r="J97" s="257"/>
      <c r="K97" s="257"/>
      <c r="L97" s="3574"/>
      <c r="M97" s="3447" t="e">
        <f t="shared" si="20"/>
        <v>#DIV/0!</v>
      </c>
      <c r="N97" s="3447" t="e">
        <f t="shared" si="20"/>
        <v>#DIV/0!</v>
      </c>
      <c r="O97" s="214">
        <f t="shared" si="21"/>
        <v>0</v>
      </c>
      <c r="P97" s="214">
        <f t="shared" si="22"/>
        <v>0</v>
      </c>
      <c r="Q97" s="214">
        <f>IF(K97=0, 0, (HLOOKUP(K97,'[1]G-CESTD'!$A$5:$G$35,J97+1,FALSE)*R47))</f>
        <v>0</v>
      </c>
      <c r="R97" s="214">
        <f>IF(K97=0, 0, (HLOOKUP(K97,'[1]G-CESTD'!$A$5:$G$35,J97+1,FALSE)*R47))</f>
        <v>0</v>
      </c>
      <c r="S97" s="279">
        <v>1.081</v>
      </c>
      <c r="T97" s="280">
        <f t="shared" si="23"/>
        <v>0</v>
      </c>
      <c r="U97" s="280">
        <f t="shared" si="24"/>
        <v>0</v>
      </c>
      <c r="V97" s="280">
        <f t="shared" si="13"/>
        <v>0</v>
      </c>
    </row>
    <row r="98" spans="2:22">
      <c r="B98" s="282"/>
      <c r="C98" s="282" t="s">
        <v>220</v>
      </c>
      <c r="D98" s="285">
        <v>0</v>
      </c>
      <c r="E98" s="282" t="s">
        <v>559</v>
      </c>
      <c r="F98" s="282" t="s">
        <v>186</v>
      </c>
      <c r="G98" s="283"/>
      <c r="H98" s="283"/>
      <c r="I98" s="311">
        <v>0</v>
      </c>
      <c r="J98" s="257"/>
      <c r="K98" s="257"/>
      <c r="L98" s="3574"/>
      <c r="M98" s="3447" t="e">
        <f t="shared" si="20"/>
        <v>#DIV/0!</v>
      </c>
      <c r="N98" s="3447" t="e">
        <f t="shared" si="20"/>
        <v>#DIV/0!</v>
      </c>
      <c r="O98" s="214">
        <f t="shared" si="21"/>
        <v>0</v>
      </c>
      <c r="P98" s="214">
        <f t="shared" si="22"/>
        <v>0</v>
      </c>
      <c r="Q98" s="214">
        <f>IF(K98=0, 0, (HLOOKUP(K98,'[1]G-CESTD'!$A$5:$G$35,J98+1,FALSE)*R48))</f>
        <v>0</v>
      </c>
      <c r="R98" s="214">
        <f>IF(K98=0, 0, (HLOOKUP(K98,'[1]G-CESTD'!$A$5:$G$35,J98+1,FALSE)*R48))</f>
        <v>0</v>
      </c>
      <c r="S98" s="279">
        <v>1.081</v>
      </c>
      <c r="T98" s="280">
        <f t="shared" si="23"/>
        <v>0</v>
      </c>
      <c r="U98" s="280">
        <f t="shared" si="24"/>
        <v>0</v>
      </c>
      <c r="V98" s="280">
        <f t="shared" si="13"/>
        <v>0</v>
      </c>
    </row>
    <row r="99" spans="2:22">
      <c r="B99" s="282"/>
      <c r="C99" s="282" t="s">
        <v>221</v>
      </c>
      <c r="D99" s="285">
        <v>0</v>
      </c>
      <c r="E99" s="282" t="s">
        <v>559</v>
      </c>
      <c r="F99" s="282" t="s">
        <v>186</v>
      </c>
      <c r="G99" s="283"/>
      <c r="H99" s="283"/>
      <c r="I99" s="311">
        <v>0</v>
      </c>
      <c r="J99" s="257"/>
      <c r="K99" s="257"/>
      <c r="L99" s="3574"/>
      <c r="M99" s="3447" t="e">
        <f t="shared" si="20"/>
        <v>#DIV/0!</v>
      </c>
      <c r="N99" s="3447" t="e">
        <f t="shared" si="20"/>
        <v>#DIV/0!</v>
      </c>
      <c r="O99" s="214">
        <f t="shared" si="21"/>
        <v>0</v>
      </c>
      <c r="P99" s="214">
        <f t="shared" si="22"/>
        <v>0</v>
      </c>
      <c r="Q99" s="214">
        <f>IF(K99=0, 0, (HLOOKUP(K99,'[1]G-CESTD'!$A$5:$G$35,J99+1,FALSE)*R49))</f>
        <v>0</v>
      </c>
      <c r="R99" s="214">
        <f>IF(K99=0, 0, (HLOOKUP(K99,'[1]G-CESTD'!$A$5:$G$35,J99+1,FALSE)*R49))</f>
        <v>0</v>
      </c>
      <c r="S99" s="279">
        <v>1.081</v>
      </c>
      <c r="T99" s="280">
        <f t="shared" si="23"/>
        <v>0</v>
      </c>
      <c r="U99" s="280">
        <f t="shared" si="24"/>
        <v>0</v>
      </c>
      <c r="V99" s="280">
        <f t="shared" si="13"/>
        <v>0</v>
      </c>
    </row>
    <row r="100" spans="2:22">
      <c r="B100" s="282"/>
      <c r="C100" s="282" t="s">
        <v>222</v>
      </c>
      <c r="D100" s="285">
        <v>0</v>
      </c>
      <c r="E100" s="282" t="s">
        <v>559</v>
      </c>
      <c r="F100" s="282" t="s">
        <v>186</v>
      </c>
      <c r="G100" s="283"/>
      <c r="H100" s="283"/>
      <c r="I100" s="311">
        <v>0</v>
      </c>
      <c r="J100" s="257"/>
      <c r="K100" s="257"/>
      <c r="L100" s="3574"/>
      <c r="M100" s="3447" t="e">
        <f t="shared" si="20"/>
        <v>#DIV/0!</v>
      </c>
      <c r="N100" s="3447" t="e">
        <f t="shared" si="20"/>
        <v>#DIV/0!</v>
      </c>
      <c r="O100" s="214">
        <f t="shared" si="21"/>
        <v>0</v>
      </c>
      <c r="P100" s="214">
        <f t="shared" si="22"/>
        <v>0</v>
      </c>
      <c r="Q100" s="214">
        <f>IF(K100=0, 0, (HLOOKUP(K100,'[1]G-CESTD'!$A$5:$G$35,J100+1,FALSE)*R50))</f>
        <v>0</v>
      </c>
      <c r="R100" s="214">
        <f>IF(K100=0, 0, (HLOOKUP(K100,'[1]G-CESTD'!$A$5:$G$35,J100+1,FALSE)*R50))</f>
        <v>0</v>
      </c>
      <c r="S100" s="279">
        <v>1.081</v>
      </c>
      <c r="T100" s="280">
        <f t="shared" si="23"/>
        <v>0</v>
      </c>
      <c r="U100" s="280">
        <f t="shared" si="24"/>
        <v>0</v>
      </c>
      <c r="V100" s="280">
        <f t="shared" si="13"/>
        <v>0</v>
      </c>
    </row>
    <row r="101" spans="2:22">
      <c r="B101" s="282"/>
      <c r="C101" s="282" t="s">
        <v>223</v>
      </c>
      <c r="D101" s="285">
        <v>0</v>
      </c>
      <c r="E101" s="282" t="s">
        <v>559</v>
      </c>
      <c r="F101" s="282" t="s">
        <v>186</v>
      </c>
      <c r="G101" s="283"/>
      <c r="H101" s="283"/>
      <c r="I101" s="311">
        <v>0</v>
      </c>
      <c r="J101" s="257"/>
      <c r="K101" s="257"/>
      <c r="L101" s="3574"/>
      <c r="M101" s="3447" t="e">
        <f t="shared" si="20"/>
        <v>#DIV/0!</v>
      </c>
      <c r="N101" s="3447" t="e">
        <f t="shared" si="20"/>
        <v>#DIV/0!</v>
      </c>
      <c r="O101" s="214">
        <f t="shared" si="21"/>
        <v>0</v>
      </c>
      <c r="P101" s="214">
        <f t="shared" si="22"/>
        <v>0</v>
      </c>
      <c r="Q101" s="214">
        <f>IF(K101=0, 0, (HLOOKUP(K101,'[1]G-CESTD'!$A$5:$G$35,J101+1,FALSE)*R51))</f>
        <v>0</v>
      </c>
      <c r="R101" s="214">
        <f>IF(K101=0, 0, (HLOOKUP(K101,'[1]G-CESTD'!$A$5:$G$35,J101+1,FALSE)*R51))</f>
        <v>0</v>
      </c>
      <c r="S101" s="279">
        <v>1.081</v>
      </c>
      <c r="T101" s="280">
        <f t="shared" si="23"/>
        <v>0</v>
      </c>
      <c r="U101" s="280">
        <f t="shared" si="24"/>
        <v>0</v>
      </c>
      <c r="V101" s="280">
        <f t="shared" si="13"/>
        <v>0</v>
      </c>
    </row>
    <row r="102" spans="2:22">
      <c r="B102" s="282"/>
      <c r="C102" s="282" t="s">
        <v>224</v>
      </c>
      <c r="D102" s="285">
        <v>0</v>
      </c>
      <c r="E102" s="282" t="s">
        <v>559</v>
      </c>
      <c r="F102" s="282" t="s">
        <v>186</v>
      </c>
      <c r="G102" s="283"/>
      <c r="H102" s="283"/>
      <c r="I102" s="311">
        <v>0</v>
      </c>
      <c r="J102" s="257"/>
      <c r="K102" s="257"/>
      <c r="L102" s="3574"/>
      <c r="M102" s="3447" t="e">
        <f t="shared" si="20"/>
        <v>#DIV/0!</v>
      </c>
      <c r="N102" s="3447" t="e">
        <f t="shared" si="20"/>
        <v>#DIV/0!</v>
      </c>
      <c r="O102" s="214">
        <f t="shared" si="21"/>
        <v>0</v>
      </c>
      <c r="P102" s="214">
        <f t="shared" si="22"/>
        <v>0</v>
      </c>
      <c r="Q102" s="214">
        <f>IF(K102=0, 0, (HLOOKUP(K102,'[1]G-CESTD'!$A$5:$G$35,J102+1,FALSE)*R52))</f>
        <v>0</v>
      </c>
      <c r="R102" s="214">
        <f>IF(K102=0, 0, (HLOOKUP(K102,'[1]G-CESTD'!$A$5:$G$35,J102+1,FALSE)*R52))</f>
        <v>0</v>
      </c>
      <c r="S102" s="279">
        <v>1.081</v>
      </c>
      <c r="T102" s="280">
        <f t="shared" si="23"/>
        <v>0</v>
      </c>
      <c r="U102" s="280">
        <f t="shared" si="24"/>
        <v>0</v>
      </c>
      <c r="V102" s="280">
        <f t="shared" si="13"/>
        <v>0</v>
      </c>
    </row>
    <row r="103" spans="2:22">
      <c r="B103" s="282"/>
      <c r="C103" s="282" t="s">
        <v>225</v>
      </c>
      <c r="D103" s="285">
        <v>0</v>
      </c>
      <c r="E103" s="282" t="s">
        <v>559</v>
      </c>
      <c r="F103" s="282" t="s">
        <v>186</v>
      </c>
      <c r="G103" s="283"/>
      <c r="H103" s="283"/>
      <c r="I103" s="311">
        <v>0</v>
      </c>
      <c r="J103" s="257"/>
      <c r="K103" s="257"/>
      <c r="L103" s="3574"/>
      <c r="M103" s="3447" t="e">
        <f t="shared" si="20"/>
        <v>#DIV/0!</v>
      </c>
      <c r="N103" s="3447" t="e">
        <f t="shared" si="20"/>
        <v>#DIV/0!</v>
      </c>
      <c r="O103" s="214">
        <f t="shared" si="21"/>
        <v>0</v>
      </c>
      <c r="P103" s="214">
        <f t="shared" si="22"/>
        <v>0</v>
      </c>
      <c r="Q103" s="214">
        <f>IF(K103=0, 0, (HLOOKUP(K103,'[1]G-CESTD'!$A$5:$G$35,J103+1,FALSE)*R53))</f>
        <v>0</v>
      </c>
      <c r="R103" s="214">
        <f>IF(K103=0, 0, (HLOOKUP(K103,'[1]G-CESTD'!$A$5:$G$35,J103+1,FALSE)*R53))</f>
        <v>0</v>
      </c>
      <c r="S103" s="279">
        <v>1.081</v>
      </c>
      <c r="T103" s="280">
        <f t="shared" si="23"/>
        <v>0</v>
      </c>
      <c r="U103" s="280">
        <f t="shared" si="24"/>
        <v>0</v>
      </c>
      <c r="V103" s="280">
        <f t="shared" si="13"/>
        <v>0</v>
      </c>
    </row>
    <row r="104" spans="2:22" ht="13.5" thickBot="1">
      <c r="B104" s="282"/>
      <c r="C104" s="282" t="s">
        <v>226</v>
      </c>
      <c r="D104" s="285">
        <v>0</v>
      </c>
      <c r="E104" s="282" t="s">
        <v>559</v>
      </c>
      <c r="F104" s="282" t="s">
        <v>186</v>
      </c>
      <c r="G104" s="283"/>
      <c r="H104" s="283"/>
      <c r="I104" s="311">
        <v>0</v>
      </c>
      <c r="J104" s="257"/>
      <c r="K104" s="257"/>
      <c r="L104" s="3574"/>
      <c r="M104" s="3447" t="e">
        <f t="shared" si="20"/>
        <v>#DIV/0!</v>
      </c>
      <c r="N104" s="3447" t="e">
        <f t="shared" si="20"/>
        <v>#DIV/0!</v>
      </c>
      <c r="O104" s="214">
        <f t="shared" si="21"/>
        <v>0</v>
      </c>
      <c r="P104" s="214">
        <f t="shared" si="22"/>
        <v>0</v>
      </c>
      <c r="Q104" s="214">
        <f>IF(K104=0, 0, (HLOOKUP(K104,'[1]G-CESTD'!$A$5:$G$35,J104+1,FALSE)*R54))</f>
        <v>0</v>
      </c>
      <c r="R104" s="214">
        <f>IF(K104=0, 0, (HLOOKUP(K104,'[1]G-CESTD'!$A$5:$G$35,J104+1,FALSE)*R54))</f>
        <v>0</v>
      </c>
      <c r="S104" s="279">
        <v>1.081</v>
      </c>
      <c r="T104" s="280">
        <f t="shared" si="23"/>
        <v>0</v>
      </c>
      <c r="U104" s="280">
        <f t="shared" si="24"/>
        <v>0</v>
      </c>
      <c r="V104" s="280">
        <f t="shared" si="13"/>
        <v>0</v>
      </c>
    </row>
    <row r="105" spans="2:22" ht="13.5" thickBot="1">
      <c r="G105" s="286">
        <f>SUMPRODUCT(G63:G104,O13:O54)</f>
        <v>540840</v>
      </c>
      <c r="H105" s="287">
        <f>V105</f>
        <v>225350</v>
      </c>
      <c r="I105" s="288">
        <f>SUM(I63:I104)</f>
        <v>0.90075394532564945</v>
      </c>
      <c r="J105" s="289">
        <f>ROUND(SUMPRODUCT(J63:J104,R13:R54)/R55,0)</f>
        <v>10</v>
      </c>
      <c r="K105" s="264"/>
      <c r="L105" s="3580"/>
      <c r="M105" s="3448">
        <f>Q105/O105</f>
        <v>1.6306233718446885</v>
      </c>
      <c r="N105" s="3449">
        <f>R105/P105</f>
        <v>0.91788635081817005</v>
      </c>
      <c r="O105" s="297">
        <f>SUM(O63:O104)</f>
        <v>376900.25523285306</v>
      </c>
      <c r="P105" s="297">
        <f>SUM(P63:P104)</f>
        <v>669562.5928951907</v>
      </c>
      <c r="Q105" s="297">
        <f>SUM(Q63:Q104)</f>
        <v>614582.36503691855</v>
      </c>
      <c r="R105" s="297">
        <f>SUM(R63:R104)</f>
        <v>614582.36503691855</v>
      </c>
      <c r="S105" s="293">
        <v>1.081</v>
      </c>
      <c r="T105" s="294">
        <f>SUM(T63:T104)</f>
        <v>0</v>
      </c>
      <c r="U105" s="294">
        <f>SUM(U63:U104)</f>
        <v>225350</v>
      </c>
      <c r="V105" s="294">
        <f>SUM(V63:V104)</f>
        <v>225350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 right="0.21" top="0.35" bottom="0.34" header="0.3" footer="0.3"/>
      <pageSetup paperSize="17" scale="52" orientation="landscape" r:id="rId1"/>
    </customSheetView>
    <customSheetView guid="{AF9F1D33-B8C2-423F-86A1-47612B8F532C}" fitToPage="1">
      <pane xSplit="1" ySplit="1" topLeftCell="C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 right="0.21" top="0.35" bottom="0.34" header="0.3" footer="0.3"/>
  <pageSetup paperSize="17" scale="53" orientation="landscape" r:id="rId2"/>
  <drawing r:id="rId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sheetPr enableFormatConditionsCalculation="0">
    <tabColor theme="7" tint="0.59999389629810485"/>
    <pageSetUpPr fitToPage="1"/>
  </sheetPr>
  <dimension ref="B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85546875" style="3532" customWidth="1"/>
    <col min="2" max="2" width="18.7109375" style="3532" customWidth="1"/>
    <col min="3" max="3" width="43.28515625" style="3532" customWidth="1"/>
    <col min="4" max="4" width="12.42578125" style="3533" customWidth="1"/>
    <col min="5" max="5" width="12.42578125" style="3532" customWidth="1"/>
    <col min="6" max="6" width="16.28515625" style="3532" bestFit="1" customWidth="1"/>
    <col min="7" max="7" width="13.42578125" style="3532" customWidth="1"/>
    <col min="8" max="8" width="15.28515625" style="3532" bestFit="1" customWidth="1"/>
    <col min="9" max="9" width="14.140625" style="3532" bestFit="1" customWidth="1"/>
    <col min="10" max="10" width="15.28515625" style="3532" customWidth="1"/>
    <col min="11" max="11" width="17.7109375" style="3532" customWidth="1"/>
    <col min="12" max="12" width="17" style="3532" bestFit="1" customWidth="1"/>
    <col min="13" max="13" width="12.7109375" style="3532" customWidth="1"/>
    <col min="14" max="14" width="13.7109375" style="3532" customWidth="1"/>
    <col min="15" max="15" width="13.85546875" style="3532" bestFit="1" customWidth="1"/>
    <col min="16" max="16" width="19.7109375" style="3532" bestFit="1" customWidth="1"/>
    <col min="17" max="17" width="16.140625" style="3532" customWidth="1"/>
    <col min="18" max="18" width="16.7109375" style="3532" bestFit="1" customWidth="1"/>
    <col min="19" max="19" width="15.42578125" style="3532" bestFit="1" customWidth="1"/>
    <col min="20" max="20" width="20.42578125" style="3532" bestFit="1" customWidth="1"/>
    <col min="21" max="21" width="16.42578125" style="3532" bestFit="1" customWidth="1"/>
    <col min="22" max="22" width="14.28515625" style="3532" customWidth="1"/>
    <col min="23" max="23" width="12.85546875" style="3532" bestFit="1" customWidth="1"/>
    <col min="24" max="24" width="11.28515625" style="3532" bestFit="1" customWidth="1"/>
    <col min="25" max="25" width="12.42578125" style="3532" bestFit="1" customWidth="1"/>
    <col min="26" max="26" width="14" style="3532" bestFit="1" customWidth="1"/>
    <col min="27" max="27" width="6" style="3532" bestFit="1" customWidth="1"/>
    <col min="28" max="28" width="15" style="3532" customWidth="1"/>
    <col min="29" max="29" width="14.85546875" style="3532" bestFit="1" customWidth="1"/>
    <col min="30" max="30" width="16.140625" style="3532" bestFit="1" customWidth="1"/>
    <col min="31" max="257" width="8.85546875" style="3532"/>
    <col min="258" max="258" width="24" style="3532" bestFit="1" customWidth="1"/>
    <col min="259" max="259" width="43.85546875" style="3532" customWidth="1"/>
    <col min="260" max="260" width="19.7109375" style="3532" bestFit="1" customWidth="1"/>
    <col min="261" max="261" width="12.42578125" style="3532" bestFit="1" customWidth="1"/>
    <col min="262" max="262" width="16.28515625" style="3532" bestFit="1" customWidth="1"/>
    <col min="263" max="263" width="13.42578125" style="3532" customWidth="1"/>
    <col min="264" max="264" width="15.28515625" style="3532" bestFit="1" customWidth="1"/>
    <col min="265" max="265" width="14.140625" style="3532" bestFit="1" customWidth="1"/>
    <col min="266" max="266" width="15.28515625" style="3532" customWidth="1"/>
    <col min="267" max="267" width="17.7109375" style="3532" customWidth="1"/>
    <col min="268" max="268" width="17" style="3532" bestFit="1" customWidth="1"/>
    <col min="269" max="269" width="12.7109375" style="3532" customWidth="1"/>
    <col min="270" max="270" width="13.7109375" style="3532" customWidth="1"/>
    <col min="271" max="271" width="13.85546875" style="3532" bestFit="1" customWidth="1"/>
    <col min="272" max="272" width="19.7109375" style="3532" bestFit="1" customWidth="1"/>
    <col min="273" max="273" width="16.140625" style="3532" customWidth="1"/>
    <col min="274" max="274" width="16.7109375" style="3532" bestFit="1" customWidth="1"/>
    <col min="275" max="275" width="15.42578125" style="3532" bestFit="1" customWidth="1"/>
    <col min="276" max="276" width="20.42578125" style="3532" bestFit="1" customWidth="1"/>
    <col min="277" max="277" width="16.42578125" style="3532" bestFit="1" customWidth="1"/>
    <col min="278" max="278" width="14.28515625" style="3532" customWidth="1"/>
    <col min="279" max="279" width="12.85546875" style="3532" bestFit="1" customWidth="1"/>
    <col min="280" max="280" width="11.28515625" style="3532" bestFit="1" customWidth="1"/>
    <col min="281" max="281" width="12.42578125" style="3532" bestFit="1" customWidth="1"/>
    <col min="282" max="282" width="14" style="3532" bestFit="1" customWidth="1"/>
    <col min="283" max="283" width="6" style="3532" bestFit="1" customWidth="1"/>
    <col min="284" max="284" width="15" style="3532" customWidth="1"/>
    <col min="285" max="285" width="14.85546875" style="3532" bestFit="1" customWidth="1"/>
    <col min="286" max="286" width="16.140625" style="3532" bestFit="1" customWidth="1"/>
    <col min="287" max="513" width="8.85546875" style="3532"/>
    <col min="514" max="514" width="24" style="3532" bestFit="1" customWidth="1"/>
    <col min="515" max="515" width="43.85546875" style="3532" customWidth="1"/>
    <col min="516" max="516" width="19.7109375" style="3532" bestFit="1" customWidth="1"/>
    <col min="517" max="517" width="12.42578125" style="3532" bestFit="1" customWidth="1"/>
    <col min="518" max="518" width="16.28515625" style="3532" bestFit="1" customWidth="1"/>
    <col min="519" max="519" width="13.42578125" style="3532" customWidth="1"/>
    <col min="520" max="520" width="15.28515625" style="3532" bestFit="1" customWidth="1"/>
    <col min="521" max="521" width="14.140625" style="3532" bestFit="1" customWidth="1"/>
    <col min="522" max="522" width="15.28515625" style="3532" customWidth="1"/>
    <col min="523" max="523" width="17.7109375" style="3532" customWidth="1"/>
    <col min="524" max="524" width="17" style="3532" bestFit="1" customWidth="1"/>
    <col min="525" max="525" width="12.7109375" style="3532" customWidth="1"/>
    <col min="526" max="526" width="13.7109375" style="3532" customWidth="1"/>
    <col min="527" max="527" width="13.85546875" style="3532" bestFit="1" customWidth="1"/>
    <col min="528" max="528" width="19.7109375" style="3532" bestFit="1" customWidth="1"/>
    <col min="529" max="529" width="16.140625" style="3532" customWidth="1"/>
    <col min="530" max="530" width="16.7109375" style="3532" bestFit="1" customWidth="1"/>
    <col min="531" max="531" width="15.42578125" style="3532" bestFit="1" customWidth="1"/>
    <col min="532" max="532" width="20.42578125" style="3532" bestFit="1" customWidth="1"/>
    <col min="533" max="533" width="16.42578125" style="3532" bestFit="1" customWidth="1"/>
    <col min="534" max="534" width="14.28515625" style="3532" customWidth="1"/>
    <col min="535" max="535" width="12.85546875" style="3532" bestFit="1" customWidth="1"/>
    <col min="536" max="536" width="11.28515625" style="3532" bestFit="1" customWidth="1"/>
    <col min="537" max="537" width="12.42578125" style="3532" bestFit="1" customWidth="1"/>
    <col min="538" max="538" width="14" style="3532" bestFit="1" customWidth="1"/>
    <col min="539" max="539" width="6" style="3532" bestFit="1" customWidth="1"/>
    <col min="540" max="540" width="15" style="3532" customWidth="1"/>
    <col min="541" max="541" width="14.85546875" style="3532" bestFit="1" customWidth="1"/>
    <col min="542" max="542" width="16.140625" style="3532" bestFit="1" customWidth="1"/>
    <col min="543" max="769" width="8.85546875" style="3532"/>
    <col min="770" max="770" width="24" style="3532" bestFit="1" customWidth="1"/>
    <col min="771" max="771" width="43.85546875" style="3532" customWidth="1"/>
    <col min="772" max="772" width="19.7109375" style="3532" bestFit="1" customWidth="1"/>
    <col min="773" max="773" width="12.42578125" style="3532" bestFit="1" customWidth="1"/>
    <col min="774" max="774" width="16.28515625" style="3532" bestFit="1" customWidth="1"/>
    <col min="775" max="775" width="13.42578125" style="3532" customWidth="1"/>
    <col min="776" max="776" width="15.28515625" style="3532" bestFit="1" customWidth="1"/>
    <col min="777" max="777" width="14.140625" style="3532" bestFit="1" customWidth="1"/>
    <col min="778" max="778" width="15.28515625" style="3532" customWidth="1"/>
    <col min="779" max="779" width="17.7109375" style="3532" customWidth="1"/>
    <col min="780" max="780" width="17" style="3532" bestFit="1" customWidth="1"/>
    <col min="781" max="781" width="12.7109375" style="3532" customWidth="1"/>
    <col min="782" max="782" width="13.7109375" style="3532" customWidth="1"/>
    <col min="783" max="783" width="13.85546875" style="3532" bestFit="1" customWidth="1"/>
    <col min="784" max="784" width="19.7109375" style="3532" bestFit="1" customWidth="1"/>
    <col min="785" max="785" width="16.140625" style="3532" customWidth="1"/>
    <col min="786" max="786" width="16.7109375" style="3532" bestFit="1" customWidth="1"/>
    <col min="787" max="787" width="15.42578125" style="3532" bestFit="1" customWidth="1"/>
    <col min="788" max="788" width="20.42578125" style="3532" bestFit="1" customWidth="1"/>
    <col min="789" max="789" width="16.42578125" style="3532" bestFit="1" customWidth="1"/>
    <col min="790" max="790" width="14.28515625" style="3532" customWidth="1"/>
    <col min="791" max="791" width="12.85546875" style="3532" bestFit="1" customWidth="1"/>
    <col min="792" max="792" width="11.28515625" style="3532" bestFit="1" customWidth="1"/>
    <col min="793" max="793" width="12.42578125" style="3532" bestFit="1" customWidth="1"/>
    <col min="794" max="794" width="14" style="3532" bestFit="1" customWidth="1"/>
    <col min="795" max="795" width="6" style="3532" bestFit="1" customWidth="1"/>
    <col min="796" max="796" width="15" style="3532" customWidth="1"/>
    <col min="797" max="797" width="14.85546875" style="3532" bestFit="1" customWidth="1"/>
    <col min="798" max="798" width="16.140625" style="3532" bestFit="1" customWidth="1"/>
    <col min="799" max="1025" width="8.85546875" style="3532"/>
    <col min="1026" max="1026" width="24" style="3532" bestFit="1" customWidth="1"/>
    <col min="1027" max="1027" width="43.85546875" style="3532" customWidth="1"/>
    <col min="1028" max="1028" width="19.7109375" style="3532" bestFit="1" customWidth="1"/>
    <col min="1029" max="1029" width="12.42578125" style="3532" bestFit="1" customWidth="1"/>
    <col min="1030" max="1030" width="16.28515625" style="3532" bestFit="1" customWidth="1"/>
    <col min="1031" max="1031" width="13.42578125" style="3532" customWidth="1"/>
    <col min="1032" max="1032" width="15.28515625" style="3532" bestFit="1" customWidth="1"/>
    <col min="1033" max="1033" width="14.140625" style="3532" bestFit="1" customWidth="1"/>
    <col min="1034" max="1034" width="15.28515625" style="3532" customWidth="1"/>
    <col min="1035" max="1035" width="17.7109375" style="3532" customWidth="1"/>
    <col min="1036" max="1036" width="17" style="3532" bestFit="1" customWidth="1"/>
    <col min="1037" max="1037" width="12.7109375" style="3532" customWidth="1"/>
    <col min="1038" max="1038" width="13.7109375" style="3532" customWidth="1"/>
    <col min="1039" max="1039" width="13.85546875" style="3532" bestFit="1" customWidth="1"/>
    <col min="1040" max="1040" width="19.7109375" style="3532" bestFit="1" customWidth="1"/>
    <col min="1041" max="1041" width="16.140625" style="3532" customWidth="1"/>
    <col min="1042" max="1042" width="16.7109375" style="3532" bestFit="1" customWidth="1"/>
    <col min="1043" max="1043" width="15.42578125" style="3532" bestFit="1" customWidth="1"/>
    <col min="1044" max="1044" width="20.42578125" style="3532" bestFit="1" customWidth="1"/>
    <col min="1045" max="1045" width="16.42578125" style="3532" bestFit="1" customWidth="1"/>
    <col min="1046" max="1046" width="14.28515625" style="3532" customWidth="1"/>
    <col min="1047" max="1047" width="12.85546875" style="3532" bestFit="1" customWidth="1"/>
    <col min="1048" max="1048" width="11.28515625" style="3532" bestFit="1" customWidth="1"/>
    <col min="1049" max="1049" width="12.42578125" style="3532" bestFit="1" customWidth="1"/>
    <col min="1050" max="1050" width="14" style="3532" bestFit="1" customWidth="1"/>
    <col min="1051" max="1051" width="6" style="3532" bestFit="1" customWidth="1"/>
    <col min="1052" max="1052" width="15" style="3532" customWidth="1"/>
    <col min="1053" max="1053" width="14.85546875" style="3532" bestFit="1" customWidth="1"/>
    <col min="1054" max="1054" width="16.140625" style="3532" bestFit="1" customWidth="1"/>
    <col min="1055" max="1281" width="8.85546875" style="3532"/>
    <col min="1282" max="1282" width="24" style="3532" bestFit="1" customWidth="1"/>
    <col min="1283" max="1283" width="43.85546875" style="3532" customWidth="1"/>
    <col min="1284" max="1284" width="19.7109375" style="3532" bestFit="1" customWidth="1"/>
    <col min="1285" max="1285" width="12.42578125" style="3532" bestFit="1" customWidth="1"/>
    <col min="1286" max="1286" width="16.28515625" style="3532" bestFit="1" customWidth="1"/>
    <col min="1287" max="1287" width="13.42578125" style="3532" customWidth="1"/>
    <col min="1288" max="1288" width="15.28515625" style="3532" bestFit="1" customWidth="1"/>
    <col min="1289" max="1289" width="14.140625" style="3532" bestFit="1" customWidth="1"/>
    <col min="1290" max="1290" width="15.28515625" style="3532" customWidth="1"/>
    <col min="1291" max="1291" width="17.7109375" style="3532" customWidth="1"/>
    <col min="1292" max="1292" width="17" style="3532" bestFit="1" customWidth="1"/>
    <col min="1293" max="1293" width="12.7109375" style="3532" customWidth="1"/>
    <col min="1294" max="1294" width="13.7109375" style="3532" customWidth="1"/>
    <col min="1295" max="1295" width="13.85546875" style="3532" bestFit="1" customWidth="1"/>
    <col min="1296" max="1296" width="19.7109375" style="3532" bestFit="1" customWidth="1"/>
    <col min="1297" max="1297" width="16.140625" style="3532" customWidth="1"/>
    <col min="1298" max="1298" width="16.7109375" style="3532" bestFit="1" customWidth="1"/>
    <col min="1299" max="1299" width="15.42578125" style="3532" bestFit="1" customWidth="1"/>
    <col min="1300" max="1300" width="20.42578125" style="3532" bestFit="1" customWidth="1"/>
    <col min="1301" max="1301" width="16.42578125" style="3532" bestFit="1" customWidth="1"/>
    <col min="1302" max="1302" width="14.28515625" style="3532" customWidth="1"/>
    <col min="1303" max="1303" width="12.85546875" style="3532" bestFit="1" customWidth="1"/>
    <col min="1304" max="1304" width="11.28515625" style="3532" bestFit="1" customWidth="1"/>
    <col min="1305" max="1305" width="12.42578125" style="3532" bestFit="1" customWidth="1"/>
    <col min="1306" max="1306" width="14" style="3532" bestFit="1" customWidth="1"/>
    <col min="1307" max="1307" width="6" style="3532" bestFit="1" customWidth="1"/>
    <col min="1308" max="1308" width="15" style="3532" customWidth="1"/>
    <col min="1309" max="1309" width="14.85546875" style="3532" bestFit="1" customWidth="1"/>
    <col min="1310" max="1310" width="16.140625" style="3532" bestFit="1" customWidth="1"/>
    <col min="1311" max="1537" width="8.85546875" style="3532"/>
    <col min="1538" max="1538" width="24" style="3532" bestFit="1" customWidth="1"/>
    <col min="1539" max="1539" width="43.85546875" style="3532" customWidth="1"/>
    <col min="1540" max="1540" width="19.7109375" style="3532" bestFit="1" customWidth="1"/>
    <col min="1541" max="1541" width="12.42578125" style="3532" bestFit="1" customWidth="1"/>
    <col min="1542" max="1542" width="16.28515625" style="3532" bestFit="1" customWidth="1"/>
    <col min="1543" max="1543" width="13.42578125" style="3532" customWidth="1"/>
    <col min="1544" max="1544" width="15.28515625" style="3532" bestFit="1" customWidth="1"/>
    <col min="1545" max="1545" width="14.140625" style="3532" bestFit="1" customWidth="1"/>
    <col min="1546" max="1546" width="15.28515625" style="3532" customWidth="1"/>
    <col min="1547" max="1547" width="17.7109375" style="3532" customWidth="1"/>
    <col min="1548" max="1548" width="17" style="3532" bestFit="1" customWidth="1"/>
    <col min="1549" max="1549" width="12.7109375" style="3532" customWidth="1"/>
    <col min="1550" max="1550" width="13.7109375" style="3532" customWidth="1"/>
    <col min="1551" max="1551" width="13.85546875" style="3532" bestFit="1" customWidth="1"/>
    <col min="1552" max="1552" width="19.7109375" style="3532" bestFit="1" customWidth="1"/>
    <col min="1553" max="1553" width="16.140625" style="3532" customWidth="1"/>
    <col min="1554" max="1554" width="16.7109375" style="3532" bestFit="1" customWidth="1"/>
    <col min="1555" max="1555" width="15.42578125" style="3532" bestFit="1" customWidth="1"/>
    <col min="1556" max="1556" width="20.42578125" style="3532" bestFit="1" customWidth="1"/>
    <col min="1557" max="1557" width="16.42578125" style="3532" bestFit="1" customWidth="1"/>
    <col min="1558" max="1558" width="14.28515625" style="3532" customWidth="1"/>
    <col min="1559" max="1559" width="12.85546875" style="3532" bestFit="1" customWidth="1"/>
    <col min="1560" max="1560" width="11.28515625" style="3532" bestFit="1" customWidth="1"/>
    <col min="1561" max="1561" width="12.42578125" style="3532" bestFit="1" customWidth="1"/>
    <col min="1562" max="1562" width="14" style="3532" bestFit="1" customWidth="1"/>
    <col min="1563" max="1563" width="6" style="3532" bestFit="1" customWidth="1"/>
    <col min="1564" max="1564" width="15" style="3532" customWidth="1"/>
    <col min="1565" max="1565" width="14.85546875" style="3532" bestFit="1" customWidth="1"/>
    <col min="1566" max="1566" width="16.140625" style="3532" bestFit="1" customWidth="1"/>
    <col min="1567" max="1793" width="8.85546875" style="3532"/>
    <col min="1794" max="1794" width="24" style="3532" bestFit="1" customWidth="1"/>
    <col min="1795" max="1795" width="43.85546875" style="3532" customWidth="1"/>
    <col min="1796" max="1796" width="19.7109375" style="3532" bestFit="1" customWidth="1"/>
    <col min="1797" max="1797" width="12.42578125" style="3532" bestFit="1" customWidth="1"/>
    <col min="1798" max="1798" width="16.28515625" style="3532" bestFit="1" customWidth="1"/>
    <col min="1799" max="1799" width="13.42578125" style="3532" customWidth="1"/>
    <col min="1800" max="1800" width="15.28515625" style="3532" bestFit="1" customWidth="1"/>
    <col min="1801" max="1801" width="14.140625" style="3532" bestFit="1" customWidth="1"/>
    <col min="1802" max="1802" width="15.28515625" style="3532" customWidth="1"/>
    <col min="1803" max="1803" width="17.7109375" style="3532" customWidth="1"/>
    <col min="1804" max="1804" width="17" style="3532" bestFit="1" customWidth="1"/>
    <col min="1805" max="1805" width="12.7109375" style="3532" customWidth="1"/>
    <col min="1806" max="1806" width="13.7109375" style="3532" customWidth="1"/>
    <col min="1807" max="1807" width="13.85546875" style="3532" bestFit="1" customWidth="1"/>
    <col min="1808" max="1808" width="19.7109375" style="3532" bestFit="1" customWidth="1"/>
    <col min="1809" max="1809" width="16.140625" style="3532" customWidth="1"/>
    <col min="1810" max="1810" width="16.7109375" style="3532" bestFit="1" customWidth="1"/>
    <col min="1811" max="1811" width="15.42578125" style="3532" bestFit="1" customWidth="1"/>
    <col min="1812" max="1812" width="20.42578125" style="3532" bestFit="1" customWidth="1"/>
    <col min="1813" max="1813" width="16.42578125" style="3532" bestFit="1" customWidth="1"/>
    <col min="1814" max="1814" width="14.28515625" style="3532" customWidth="1"/>
    <col min="1815" max="1815" width="12.85546875" style="3532" bestFit="1" customWidth="1"/>
    <col min="1816" max="1816" width="11.28515625" style="3532" bestFit="1" customWidth="1"/>
    <col min="1817" max="1817" width="12.42578125" style="3532" bestFit="1" customWidth="1"/>
    <col min="1818" max="1818" width="14" style="3532" bestFit="1" customWidth="1"/>
    <col min="1819" max="1819" width="6" style="3532" bestFit="1" customWidth="1"/>
    <col min="1820" max="1820" width="15" style="3532" customWidth="1"/>
    <col min="1821" max="1821" width="14.85546875" style="3532" bestFit="1" customWidth="1"/>
    <col min="1822" max="1822" width="16.140625" style="3532" bestFit="1" customWidth="1"/>
    <col min="1823" max="2049" width="8.85546875" style="3532"/>
    <col min="2050" max="2050" width="24" style="3532" bestFit="1" customWidth="1"/>
    <col min="2051" max="2051" width="43.85546875" style="3532" customWidth="1"/>
    <col min="2052" max="2052" width="19.7109375" style="3532" bestFit="1" customWidth="1"/>
    <col min="2053" max="2053" width="12.42578125" style="3532" bestFit="1" customWidth="1"/>
    <col min="2054" max="2054" width="16.28515625" style="3532" bestFit="1" customWidth="1"/>
    <col min="2055" max="2055" width="13.42578125" style="3532" customWidth="1"/>
    <col min="2056" max="2056" width="15.28515625" style="3532" bestFit="1" customWidth="1"/>
    <col min="2057" max="2057" width="14.140625" style="3532" bestFit="1" customWidth="1"/>
    <col min="2058" max="2058" width="15.28515625" style="3532" customWidth="1"/>
    <col min="2059" max="2059" width="17.7109375" style="3532" customWidth="1"/>
    <col min="2060" max="2060" width="17" style="3532" bestFit="1" customWidth="1"/>
    <col min="2061" max="2061" width="12.7109375" style="3532" customWidth="1"/>
    <col min="2062" max="2062" width="13.7109375" style="3532" customWidth="1"/>
    <col min="2063" max="2063" width="13.85546875" style="3532" bestFit="1" customWidth="1"/>
    <col min="2064" max="2064" width="19.7109375" style="3532" bestFit="1" customWidth="1"/>
    <col min="2065" max="2065" width="16.140625" style="3532" customWidth="1"/>
    <col min="2066" max="2066" width="16.7109375" style="3532" bestFit="1" customWidth="1"/>
    <col min="2067" max="2067" width="15.42578125" style="3532" bestFit="1" customWidth="1"/>
    <col min="2068" max="2068" width="20.42578125" style="3532" bestFit="1" customWidth="1"/>
    <col min="2069" max="2069" width="16.42578125" style="3532" bestFit="1" customWidth="1"/>
    <col min="2070" max="2070" width="14.28515625" style="3532" customWidth="1"/>
    <col min="2071" max="2071" width="12.85546875" style="3532" bestFit="1" customWidth="1"/>
    <col min="2072" max="2072" width="11.28515625" style="3532" bestFit="1" customWidth="1"/>
    <col min="2073" max="2073" width="12.42578125" style="3532" bestFit="1" customWidth="1"/>
    <col min="2074" max="2074" width="14" style="3532" bestFit="1" customWidth="1"/>
    <col min="2075" max="2075" width="6" style="3532" bestFit="1" customWidth="1"/>
    <col min="2076" max="2076" width="15" style="3532" customWidth="1"/>
    <col min="2077" max="2077" width="14.85546875" style="3532" bestFit="1" customWidth="1"/>
    <col min="2078" max="2078" width="16.140625" style="3532" bestFit="1" customWidth="1"/>
    <col min="2079" max="2305" width="8.85546875" style="3532"/>
    <col min="2306" max="2306" width="24" style="3532" bestFit="1" customWidth="1"/>
    <col min="2307" max="2307" width="43.85546875" style="3532" customWidth="1"/>
    <col min="2308" max="2308" width="19.7109375" style="3532" bestFit="1" customWidth="1"/>
    <col min="2309" max="2309" width="12.42578125" style="3532" bestFit="1" customWidth="1"/>
    <col min="2310" max="2310" width="16.28515625" style="3532" bestFit="1" customWidth="1"/>
    <col min="2311" max="2311" width="13.42578125" style="3532" customWidth="1"/>
    <col min="2312" max="2312" width="15.28515625" style="3532" bestFit="1" customWidth="1"/>
    <col min="2313" max="2313" width="14.140625" style="3532" bestFit="1" customWidth="1"/>
    <col min="2314" max="2314" width="15.28515625" style="3532" customWidth="1"/>
    <col min="2315" max="2315" width="17.7109375" style="3532" customWidth="1"/>
    <col min="2316" max="2316" width="17" style="3532" bestFit="1" customWidth="1"/>
    <col min="2317" max="2317" width="12.7109375" style="3532" customWidth="1"/>
    <col min="2318" max="2318" width="13.7109375" style="3532" customWidth="1"/>
    <col min="2319" max="2319" width="13.85546875" style="3532" bestFit="1" customWidth="1"/>
    <col min="2320" max="2320" width="19.7109375" style="3532" bestFit="1" customWidth="1"/>
    <col min="2321" max="2321" width="16.140625" style="3532" customWidth="1"/>
    <col min="2322" max="2322" width="16.7109375" style="3532" bestFit="1" customWidth="1"/>
    <col min="2323" max="2323" width="15.42578125" style="3532" bestFit="1" customWidth="1"/>
    <col min="2324" max="2324" width="20.42578125" style="3532" bestFit="1" customWidth="1"/>
    <col min="2325" max="2325" width="16.42578125" style="3532" bestFit="1" customWidth="1"/>
    <col min="2326" max="2326" width="14.28515625" style="3532" customWidth="1"/>
    <col min="2327" max="2327" width="12.85546875" style="3532" bestFit="1" customWidth="1"/>
    <col min="2328" max="2328" width="11.28515625" style="3532" bestFit="1" customWidth="1"/>
    <col min="2329" max="2329" width="12.42578125" style="3532" bestFit="1" customWidth="1"/>
    <col min="2330" max="2330" width="14" style="3532" bestFit="1" customWidth="1"/>
    <col min="2331" max="2331" width="6" style="3532" bestFit="1" customWidth="1"/>
    <col min="2332" max="2332" width="15" style="3532" customWidth="1"/>
    <col min="2333" max="2333" width="14.85546875" style="3532" bestFit="1" customWidth="1"/>
    <col min="2334" max="2334" width="16.140625" style="3532" bestFit="1" customWidth="1"/>
    <col min="2335" max="2561" width="8.85546875" style="3532"/>
    <col min="2562" max="2562" width="24" style="3532" bestFit="1" customWidth="1"/>
    <col min="2563" max="2563" width="43.85546875" style="3532" customWidth="1"/>
    <col min="2564" max="2564" width="19.7109375" style="3532" bestFit="1" customWidth="1"/>
    <col min="2565" max="2565" width="12.42578125" style="3532" bestFit="1" customWidth="1"/>
    <col min="2566" max="2566" width="16.28515625" style="3532" bestFit="1" customWidth="1"/>
    <col min="2567" max="2567" width="13.42578125" style="3532" customWidth="1"/>
    <col min="2568" max="2568" width="15.28515625" style="3532" bestFit="1" customWidth="1"/>
    <col min="2569" max="2569" width="14.140625" style="3532" bestFit="1" customWidth="1"/>
    <col min="2570" max="2570" width="15.28515625" style="3532" customWidth="1"/>
    <col min="2571" max="2571" width="17.7109375" style="3532" customWidth="1"/>
    <col min="2572" max="2572" width="17" style="3532" bestFit="1" customWidth="1"/>
    <col min="2573" max="2573" width="12.7109375" style="3532" customWidth="1"/>
    <col min="2574" max="2574" width="13.7109375" style="3532" customWidth="1"/>
    <col min="2575" max="2575" width="13.85546875" style="3532" bestFit="1" customWidth="1"/>
    <col min="2576" max="2576" width="19.7109375" style="3532" bestFit="1" customWidth="1"/>
    <col min="2577" max="2577" width="16.140625" style="3532" customWidth="1"/>
    <col min="2578" max="2578" width="16.7109375" style="3532" bestFit="1" customWidth="1"/>
    <col min="2579" max="2579" width="15.42578125" style="3532" bestFit="1" customWidth="1"/>
    <col min="2580" max="2580" width="20.42578125" style="3532" bestFit="1" customWidth="1"/>
    <col min="2581" max="2581" width="16.42578125" style="3532" bestFit="1" customWidth="1"/>
    <col min="2582" max="2582" width="14.28515625" style="3532" customWidth="1"/>
    <col min="2583" max="2583" width="12.85546875" style="3532" bestFit="1" customWidth="1"/>
    <col min="2584" max="2584" width="11.28515625" style="3532" bestFit="1" customWidth="1"/>
    <col min="2585" max="2585" width="12.42578125" style="3532" bestFit="1" customWidth="1"/>
    <col min="2586" max="2586" width="14" style="3532" bestFit="1" customWidth="1"/>
    <col min="2587" max="2587" width="6" style="3532" bestFit="1" customWidth="1"/>
    <col min="2588" max="2588" width="15" style="3532" customWidth="1"/>
    <col min="2589" max="2589" width="14.85546875" style="3532" bestFit="1" customWidth="1"/>
    <col min="2590" max="2590" width="16.140625" style="3532" bestFit="1" customWidth="1"/>
    <col min="2591" max="2817" width="8.85546875" style="3532"/>
    <col min="2818" max="2818" width="24" style="3532" bestFit="1" customWidth="1"/>
    <col min="2819" max="2819" width="43.85546875" style="3532" customWidth="1"/>
    <col min="2820" max="2820" width="19.7109375" style="3532" bestFit="1" customWidth="1"/>
    <col min="2821" max="2821" width="12.42578125" style="3532" bestFit="1" customWidth="1"/>
    <col min="2822" max="2822" width="16.28515625" style="3532" bestFit="1" customWidth="1"/>
    <col min="2823" max="2823" width="13.42578125" style="3532" customWidth="1"/>
    <col min="2824" max="2824" width="15.28515625" style="3532" bestFit="1" customWidth="1"/>
    <col min="2825" max="2825" width="14.140625" style="3532" bestFit="1" customWidth="1"/>
    <col min="2826" max="2826" width="15.28515625" style="3532" customWidth="1"/>
    <col min="2827" max="2827" width="17.7109375" style="3532" customWidth="1"/>
    <col min="2828" max="2828" width="17" style="3532" bestFit="1" customWidth="1"/>
    <col min="2829" max="2829" width="12.7109375" style="3532" customWidth="1"/>
    <col min="2830" max="2830" width="13.7109375" style="3532" customWidth="1"/>
    <col min="2831" max="2831" width="13.85546875" style="3532" bestFit="1" customWidth="1"/>
    <col min="2832" max="2832" width="19.7109375" style="3532" bestFit="1" customWidth="1"/>
    <col min="2833" max="2833" width="16.140625" style="3532" customWidth="1"/>
    <col min="2834" max="2834" width="16.7109375" style="3532" bestFit="1" customWidth="1"/>
    <col min="2835" max="2835" width="15.42578125" style="3532" bestFit="1" customWidth="1"/>
    <col min="2836" max="2836" width="20.42578125" style="3532" bestFit="1" customWidth="1"/>
    <col min="2837" max="2837" width="16.42578125" style="3532" bestFit="1" customWidth="1"/>
    <col min="2838" max="2838" width="14.28515625" style="3532" customWidth="1"/>
    <col min="2839" max="2839" width="12.85546875" style="3532" bestFit="1" customWidth="1"/>
    <col min="2840" max="2840" width="11.28515625" style="3532" bestFit="1" customWidth="1"/>
    <col min="2841" max="2841" width="12.42578125" style="3532" bestFit="1" customWidth="1"/>
    <col min="2842" max="2842" width="14" style="3532" bestFit="1" customWidth="1"/>
    <col min="2843" max="2843" width="6" style="3532" bestFit="1" customWidth="1"/>
    <col min="2844" max="2844" width="15" style="3532" customWidth="1"/>
    <col min="2845" max="2845" width="14.85546875" style="3532" bestFit="1" customWidth="1"/>
    <col min="2846" max="2846" width="16.140625" style="3532" bestFit="1" customWidth="1"/>
    <col min="2847" max="3073" width="8.85546875" style="3532"/>
    <col min="3074" max="3074" width="24" style="3532" bestFit="1" customWidth="1"/>
    <col min="3075" max="3075" width="43.85546875" style="3532" customWidth="1"/>
    <col min="3076" max="3076" width="19.7109375" style="3532" bestFit="1" customWidth="1"/>
    <col min="3077" max="3077" width="12.42578125" style="3532" bestFit="1" customWidth="1"/>
    <col min="3078" max="3078" width="16.28515625" style="3532" bestFit="1" customWidth="1"/>
    <col min="3079" max="3079" width="13.42578125" style="3532" customWidth="1"/>
    <col min="3080" max="3080" width="15.28515625" style="3532" bestFit="1" customWidth="1"/>
    <col min="3081" max="3081" width="14.140625" style="3532" bestFit="1" customWidth="1"/>
    <col min="3082" max="3082" width="15.28515625" style="3532" customWidth="1"/>
    <col min="3083" max="3083" width="17.7109375" style="3532" customWidth="1"/>
    <col min="3084" max="3084" width="17" style="3532" bestFit="1" customWidth="1"/>
    <col min="3085" max="3085" width="12.7109375" style="3532" customWidth="1"/>
    <col min="3086" max="3086" width="13.7109375" style="3532" customWidth="1"/>
    <col min="3087" max="3087" width="13.85546875" style="3532" bestFit="1" customWidth="1"/>
    <col min="3088" max="3088" width="19.7109375" style="3532" bestFit="1" customWidth="1"/>
    <col min="3089" max="3089" width="16.140625" style="3532" customWidth="1"/>
    <col min="3090" max="3090" width="16.7109375" style="3532" bestFit="1" customWidth="1"/>
    <col min="3091" max="3091" width="15.42578125" style="3532" bestFit="1" customWidth="1"/>
    <col min="3092" max="3092" width="20.42578125" style="3532" bestFit="1" customWidth="1"/>
    <col min="3093" max="3093" width="16.42578125" style="3532" bestFit="1" customWidth="1"/>
    <col min="3094" max="3094" width="14.28515625" style="3532" customWidth="1"/>
    <col min="3095" max="3095" width="12.85546875" style="3532" bestFit="1" customWidth="1"/>
    <col min="3096" max="3096" width="11.28515625" style="3532" bestFit="1" customWidth="1"/>
    <col min="3097" max="3097" width="12.42578125" style="3532" bestFit="1" customWidth="1"/>
    <col min="3098" max="3098" width="14" style="3532" bestFit="1" customWidth="1"/>
    <col min="3099" max="3099" width="6" style="3532" bestFit="1" customWidth="1"/>
    <col min="3100" max="3100" width="15" style="3532" customWidth="1"/>
    <col min="3101" max="3101" width="14.85546875" style="3532" bestFit="1" customWidth="1"/>
    <col min="3102" max="3102" width="16.140625" style="3532" bestFit="1" customWidth="1"/>
    <col min="3103" max="3329" width="8.85546875" style="3532"/>
    <col min="3330" max="3330" width="24" style="3532" bestFit="1" customWidth="1"/>
    <col min="3331" max="3331" width="43.85546875" style="3532" customWidth="1"/>
    <col min="3332" max="3332" width="19.7109375" style="3532" bestFit="1" customWidth="1"/>
    <col min="3333" max="3333" width="12.42578125" style="3532" bestFit="1" customWidth="1"/>
    <col min="3334" max="3334" width="16.28515625" style="3532" bestFit="1" customWidth="1"/>
    <col min="3335" max="3335" width="13.42578125" style="3532" customWidth="1"/>
    <col min="3336" max="3336" width="15.28515625" style="3532" bestFit="1" customWidth="1"/>
    <col min="3337" max="3337" width="14.140625" style="3532" bestFit="1" customWidth="1"/>
    <col min="3338" max="3338" width="15.28515625" style="3532" customWidth="1"/>
    <col min="3339" max="3339" width="17.7109375" style="3532" customWidth="1"/>
    <col min="3340" max="3340" width="17" style="3532" bestFit="1" customWidth="1"/>
    <col min="3341" max="3341" width="12.7109375" style="3532" customWidth="1"/>
    <col min="3342" max="3342" width="13.7109375" style="3532" customWidth="1"/>
    <col min="3343" max="3343" width="13.85546875" style="3532" bestFit="1" customWidth="1"/>
    <col min="3344" max="3344" width="19.7109375" style="3532" bestFit="1" customWidth="1"/>
    <col min="3345" max="3345" width="16.140625" style="3532" customWidth="1"/>
    <col min="3346" max="3346" width="16.7109375" style="3532" bestFit="1" customWidth="1"/>
    <col min="3347" max="3347" width="15.42578125" style="3532" bestFit="1" customWidth="1"/>
    <col min="3348" max="3348" width="20.42578125" style="3532" bestFit="1" customWidth="1"/>
    <col min="3349" max="3349" width="16.42578125" style="3532" bestFit="1" customWidth="1"/>
    <col min="3350" max="3350" width="14.28515625" style="3532" customWidth="1"/>
    <col min="3351" max="3351" width="12.85546875" style="3532" bestFit="1" customWidth="1"/>
    <col min="3352" max="3352" width="11.28515625" style="3532" bestFit="1" customWidth="1"/>
    <col min="3353" max="3353" width="12.42578125" style="3532" bestFit="1" customWidth="1"/>
    <col min="3354" max="3354" width="14" style="3532" bestFit="1" customWidth="1"/>
    <col min="3355" max="3355" width="6" style="3532" bestFit="1" customWidth="1"/>
    <col min="3356" max="3356" width="15" style="3532" customWidth="1"/>
    <col min="3357" max="3357" width="14.85546875" style="3532" bestFit="1" customWidth="1"/>
    <col min="3358" max="3358" width="16.140625" style="3532" bestFit="1" customWidth="1"/>
    <col min="3359" max="3585" width="8.85546875" style="3532"/>
    <col min="3586" max="3586" width="24" style="3532" bestFit="1" customWidth="1"/>
    <col min="3587" max="3587" width="43.85546875" style="3532" customWidth="1"/>
    <col min="3588" max="3588" width="19.7109375" style="3532" bestFit="1" customWidth="1"/>
    <col min="3589" max="3589" width="12.42578125" style="3532" bestFit="1" customWidth="1"/>
    <col min="3590" max="3590" width="16.28515625" style="3532" bestFit="1" customWidth="1"/>
    <col min="3591" max="3591" width="13.42578125" style="3532" customWidth="1"/>
    <col min="3592" max="3592" width="15.28515625" style="3532" bestFit="1" customWidth="1"/>
    <col min="3593" max="3593" width="14.140625" style="3532" bestFit="1" customWidth="1"/>
    <col min="3594" max="3594" width="15.28515625" style="3532" customWidth="1"/>
    <col min="3595" max="3595" width="17.7109375" style="3532" customWidth="1"/>
    <col min="3596" max="3596" width="17" style="3532" bestFit="1" customWidth="1"/>
    <col min="3597" max="3597" width="12.7109375" style="3532" customWidth="1"/>
    <col min="3598" max="3598" width="13.7109375" style="3532" customWidth="1"/>
    <col min="3599" max="3599" width="13.85546875" style="3532" bestFit="1" customWidth="1"/>
    <col min="3600" max="3600" width="19.7109375" style="3532" bestFit="1" customWidth="1"/>
    <col min="3601" max="3601" width="16.140625" style="3532" customWidth="1"/>
    <col min="3602" max="3602" width="16.7109375" style="3532" bestFit="1" customWidth="1"/>
    <col min="3603" max="3603" width="15.42578125" style="3532" bestFit="1" customWidth="1"/>
    <col min="3604" max="3604" width="20.42578125" style="3532" bestFit="1" customWidth="1"/>
    <col min="3605" max="3605" width="16.42578125" style="3532" bestFit="1" customWidth="1"/>
    <col min="3606" max="3606" width="14.28515625" style="3532" customWidth="1"/>
    <col min="3607" max="3607" width="12.85546875" style="3532" bestFit="1" customWidth="1"/>
    <col min="3608" max="3608" width="11.28515625" style="3532" bestFit="1" customWidth="1"/>
    <col min="3609" max="3609" width="12.42578125" style="3532" bestFit="1" customWidth="1"/>
    <col min="3610" max="3610" width="14" style="3532" bestFit="1" customWidth="1"/>
    <col min="3611" max="3611" width="6" style="3532" bestFit="1" customWidth="1"/>
    <col min="3612" max="3612" width="15" style="3532" customWidth="1"/>
    <col min="3613" max="3613" width="14.85546875" style="3532" bestFit="1" customWidth="1"/>
    <col min="3614" max="3614" width="16.140625" style="3532" bestFit="1" customWidth="1"/>
    <col min="3615" max="3841" width="8.85546875" style="3532"/>
    <col min="3842" max="3842" width="24" style="3532" bestFit="1" customWidth="1"/>
    <col min="3843" max="3843" width="43.85546875" style="3532" customWidth="1"/>
    <col min="3844" max="3844" width="19.7109375" style="3532" bestFit="1" customWidth="1"/>
    <col min="3845" max="3845" width="12.42578125" style="3532" bestFit="1" customWidth="1"/>
    <col min="3846" max="3846" width="16.28515625" style="3532" bestFit="1" customWidth="1"/>
    <col min="3847" max="3847" width="13.42578125" style="3532" customWidth="1"/>
    <col min="3848" max="3848" width="15.28515625" style="3532" bestFit="1" customWidth="1"/>
    <col min="3849" max="3849" width="14.140625" style="3532" bestFit="1" customWidth="1"/>
    <col min="3850" max="3850" width="15.28515625" style="3532" customWidth="1"/>
    <col min="3851" max="3851" width="17.7109375" style="3532" customWidth="1"/>
    <col min="3852" max="3852" width="17" style="3532" bestFit="1" customWidth="1"/>
    <col min="3853" max="3853" width="12.7109375" style="3532" customWidth="1"/>
    <col min="3854" max="3854" width="13.7109375" style="3532" customWidth="1"/>
    <col min="3855" max="3855" width="13.85546875" style="3532" bestFit="1" customWidth="1"/>
    <col min="3856" max="3856" width="19.7109375" style="3532" bestFit="1" customWidth="1"/>
    <col min="3857" max="3857" width="16.140625" style="3532" customWidth="1"/>
    <col min="3858" max="3858" width="16.7109375" style="3532" bestFit="1" customWidth="1"/>
    <col min="3859" max="3859" width="15.42578125" style="3532" bestFit="1" customWidth="1"/>
    <col min="3860" max="3860" width="20.42578125" style="3532" bestFit="1" customWidth="1"/>
    <col min="3861" max="3861" width="16.42578125" style="3532" bestFit="1" customWidth="1"/>
    <col min="3862" max="3862" width="14.28515625" style="3532" customWidth="1"/>
    <col min="3863" max="3863" width="12.85546875" style="3532" bestFit="1" customWidth="1"/>
    <col min="3864" max="3864" width="11.28515625" style="3532" bestFit="1" customWidth="1"/>
    <col min="3865" max="3865" width="12.42578125" style="3532" bestFit="1" customWidth="1"/>
    <col min="3866" max="3866" width="14" style="3532" bestFit="1" customWidth="1"/>
    <col min="3867" max="3867" width="6" style="3532" bestFit="1" customWidth="1"/>
    <col min="3868" max="3868" width="15" style="3532" customWidth="1"/>
    <col min="3869" max="3869" width="14.85546875" style="3532" bestFit="1" customWidth="1"/>
    <col min="3870" max="3870" width="16.140625" style="3532" bestFit="1" customWidth="1"/>
    <col min="3871" max="4097" width="8.85546875" style="3532"/>
    <col min="4098" max="4098" width="24" style="3532" bestFit="1" customWidth="1"/>
    <col min="4099" max="4099" width="43.85546875" style="3532" customWidth="1"/>
    <col min="4100" max="4100" width="19.7109375" style="3532" bestFit="1" customWidth="1"/>
    <col min="4101" max="4101" width="12.42578125" style="3532" bestFit="1" customWidth="1"/>
    <col min="4102" max="4102" width="16.28515625" style="3532" bestFit="1" customWidth="1"/>
    <col min="4103" max="4103" width="13.42578125" style="3532" customWidth="1"/>
    <col min="4104" max="4104" width="15.28515625" style="3532" bestFit="1" customWidth="1"/>
    <col min="4105" max="4105" width="14.140625" style="3532" bestFit="1" customWidth="1"/>
    <col min="4106" max="4106" width="15.28515625" style="3532" customWidth="1"/>
    <col min="4107" max="4107" width="17.7109375" style="3532" customWidth="1"/>
    <col min="4108" max="4108" width="17" style="3532" bestFit="1" customWidth="1"/>
    <col min="4109" max="4109" width="12.7109375" style="3532" customWidth="1"/>
    <col min="4110" max="4110" width="13.7109375" style="3532" customWidth="1"/>
    <col min="4111" max="4111" width="13.85546875" style="3532" bestFit="1" customWidth="1"/>
    <col min="4112" max="4112" width="19.7109375" style="3532" bestFit="1" customWidth="1"/>
    <col min="4113" max="4113" width="16.140625" style="3532" customWidth="1"/>
    <col min="4114" max="4114" width="16.7109375" style="3532" bestFit="1" customWidth="1"/>
    <col min="4115" max="4115" width="15.42578125" style="3532" bestFit="1" customWidth="1"/>
    <col min="4116" max="4116" width="20.42578125" style="3532" bestFit="1" customWidth="1"/>
    <col min="4117" max="4117" width="16.42578125" style="3532" bestFit="1" customWidth="1"/>
    <col min="4118" max="4118" width="14.28515625" style="3532" customWidth="1"/>
    <col min="4119" max="4119" width="12.85546875" style="3532" bestFit="1" customWidth="1"/>
    <col min="4120" max="4120" width="11.28515625" style="3532" bestFit="1" customWidth="1"/>
    <col min="4121" max="4121" width="12.42578125" style="3532" bestFit="1" customWidth="1"/>
    <col min="4122" max="4122" width="14" style="3532" bestFit="1" customWidth="1"/>
    <col min="4123" max="4123" width="6" style="3532" bestFit="1" customWidth="1"/>
    <col min="4124" max="4124" width="15" style="3532" customWidth="1"/>
    <col min="4125" max="4125" width="14.85546875" style="3532" bestFit="1" customWidth="1"/>
    <col min="4126" max="4126" width="16.140625" style="3532" bestFit="1" customWidth="1"/>
    <col min="4127" max="4353" width="8.85546875" style="3532"/>
    <col min="4354" max="4354" width="24" style="3532" bestFit="1" customWidth="1"/>
    <col min="4355" max="4355" width="43.85546875" style="3532" customWidth="1"/>
    <col min="4356" max="4356" width="19.7109375" style="3532" bestFit="1" customWidth="1"/>
    <col min="4357" max="4357" width="12.42578125" style="3532" bestFit="1" customWidth="1"/>
    <col min="4358" max="4358" width="16.28515625" style="3532" bestFit="1" customWidth="1"/>
    <col min="4359" max="4359" width="13.42578125" style="3532" customWidth="1"/>
    <col min="4360" max="4360" width="15.28515625" style="3532" bestFit="1" customWidth="1"/>
    <col min="4361" max="4361" width="14.140625" style="3532" bestFit="1" customWidth="1"/>
    <col min="4362" max="4362" width="15.28515625" style="3532" customWidth="1"/>
    <col min="4363" max="4363" width="17.7109375" style="3532" customWidth="1"/>
    <col min="4364" max="4364" width="17" style="3532" bestFit="1" customWidth="1"/>
    <col min="4365" max="4365" width="12.7109375" style="3532" customWidth="1"/>
    <col min="4366" max="4366" width="13.7109375" style="3532" customWidth="1"/>
    <col min="4367" max="4367" width="13.85546875" style="3532" bestFit="1" customWidth="1"/>
    <col min="4368" max="4368" width="19.7109375" style="3532" bestFit="1" customWidth="1"/>
    <col min="4369" max="4369" width="16.140625" style="3532" customWidth="1"/>
    <col min="4370" max="4370" width="16.7109375" style="3532" bestFit="1" customWidth="1"/>
    <col min="4371" max="4371" width="15.42578125" style="3532" bestFit="1" customWidth="1"/>
    <col min="4372" max="4372" width="20.42578125" style="3532" bestFit="1" customWidth="1"/>
    <col min="4373" max="4373" width="16.42578125" style="3532" bestFit="1" customWidth="1"/>
    <col min="4374" max="4374" width="14.28515625" style="3532" customWidth="1"/>
    <col min="4375" max="4375" width="12.85546875" style="3532" bestFit="1" customWidth="1"/>
    <col min="4376" max="4376" width="11.28515625" style="3532" bestFit="1" customWidth="1"/>
    <col min="4377" max="4377" width="12.42578125" style="3532" bestFit="1" customWidth="1"/>
    <col min="4378" max="4378" width="14" style="3532" bestFit="1" customWidth="1"/>
    <col min="4379" max="4379" width="6" style="3532" bestFit="1" customWidth="1"/>
    <col min="4380" max="4380" width="15" style="3532" customWidth="1"/>
    <col min="4381" max="4381" width="14.85546875" style="3532" bestFit="1" customWidth="1"/>
    <col min="4382" max="4382" width="16.140625" style="3532" bestFit="1" customWidth="1"/>
    <col min="4383" max="4609" width="8.85546875" style="3532"/>
    <col min="4610" max="4610" width="24" style="3532" bestFit="1" customWidth="1"/>
    <col min="4611" max="4611" width="43.85546875" style="3532" customWidth="1"/>
    <col min="4612" max="4612" width="19.7109375" style="3532" bestFit="1" customWidth="1"/>
    <col min="4613" max="4613" width="12.42578125" style="3532" bestFit="1" customWidth="1"/>
    <col min="4614" max="4614" width="16.28515625" style="3532" bestFit="1" customWidth="1"/>
    <col min="4615" max="4615" width="13.42578125" style="3532" customWidth="1"/>
    <col min="4616" max="4616" width="15.28515625" style="3532" bestFit="1" customWidth="1"/>
    <col min="4617" max="4617" width="14.140625" style="3532" bestFit="1" customWidth="1"/>
    <col min="4618" max="4618" width="15.28515625" style="3532" customWidth="1"/>
    <col min="4619" max="4619" width="17.7109375" style="3532" customWidth="1"/>
    <col min="4620" max="4620" width="17" style="3532" bestFit="1" customWidth="1"/>
    <col min="4621" max="4621" width="12.7109375" style="3532" customWidth="1"/>
    <col min="4622" max="4622" width="13.7109375" style="3532" customWidth="1"/>
    <col min="4623" max="4623" width="13.85546875" style="3532" bestFit="1" customWidth="1"/>
    <col min="4624" max="4624" width="19.7109375" style="3532" bestFit="1" customWidth="1"/>
    <col min="4625" max="4625" width="16.140625" style="3532" customWidth="1"/>
    <col min="4626" max="4626" width="16.7109375" style="3532" bestFit="1" customWidth="1"/>
    <col min="4627" max="4627" width="15.42578125" style="3532" bestFit="1" customWidth="1"/>
    <col min="4628" max="4628" width="20.42578125" style="3532" bestFit="1" customWidth="1"/>
    <col min="4629" max="4629" width="16.42578125" style="3532" bestFit="1" customWidth="1"/>
    <col min="4630" max="4630" width="14.28515625" style="3532" customWidth="1"/>
    <col min="4631" max="4631" width="12.85546875" style="3532" bestFit="1" customWidth="1"/>
    <col min="4632" max="4632" width="11.28515625" style="3532" bestFit="1" customWidth="1"/>
    <col min="4633" max="4633" width="12.42578125" style="3532" bestFit="1" customWidth="1"/>
    <col min="4634" max="4634" width="14" style="3532" bestFit="1" customWidth="1"/>
    <col min="4635" max="4635" width="6" style="3532" bestFit="1" customWidth="1"/>
    <col min="4636" max="4636" width="15" style="3532" customWidth="1"/>
    <col min="4637" max="4637" width="14.85546875" style="3532" bestFit="1" customWidth="1"/>
    <col min="4638" max="4638" width="16.140625" style="3532" bestFit="1" customWidth="1"/>
    <col min="4639" max="4865" width="8.85546875" style="3532"/>
    <col min="4866" max="4866" width="24" style="3532" bestFit="1" customWidth="1"/>
    <col min="4867" max="4867" width="43.85546875" style="3532" customWidth="1"/>
    <col min="4868" max="4868" width="19.7109375" style="3532" bestFit="1" customWidth="1"/>
    <col min="4869" max="4869" width="12.42578125" style="3532" bestFit="1" customWidth="1"/>
    <col min="4870" max="4870" width="16.28515625" style="3532" bestFit="1" customWidth="1"/>
    <col min="4871" max="4871" width="13.42578125" style="3532" customWidth="1"/>
    <col min="4872" max="4872" width="15.28515625" style="3532" bestFit="1" customWidth="1"/>
    <col min="4873" max="4873" width="14.140625" style="3532" bestFit="1" customWidth="1"/>
    <col min="4874" max="4874" width="15.28515625" style="3532" customWidth="1"/>
    <col min="4875" max="4875" width="17.7109375" style="3532" customWidth="1"/>
    <col min="4876" max="4876" width="17" style="3532" bestFit="1" customWidth="1"/>
    <col min="4877" max="4877" width="12.7109375" style="3532" customWidth="1"/>
    <col min="4878" max="4878" width="13.7109375" style="3532" customWidth="1"/>
    <col min="4879" max="4879" width="13.85546875" style="3532" bestFit="1" customWidth="1"/>
    <col min="4880" max="4880" width="19.7109375" style="3532" bestFit="1" customWidth="1"/>
    <col min="4881" max="4881" width="16.140625" style="3532" customWidth="1"/>
    <col min="4882" max="4882" width="16.7109375" style="3532" bestFit="1" customWidth="1"/>
    <col min="4883" max="4883" width="15.42578125" style="3532" bestFit="1" customWidth="1"/>
    <col min="4884" max="4884" width="20.42578125" style="3532" bestFit="1" customWidth="1"/>
    <col min="4885" max="4885" width="16.42578125" style="3532" bestFit="1" customWidth="1"/>
    <col min="4886" max="4886" width="14.28515625" style="3532" customWidth="1"/>
    <col min="4887" max="4887" width="12.85546875" style="3532" bestFit="1" customWidth="1"/>
    <col min="4888" max="4888" width="11.28515625" style="3532" bestFit="1" customWidth="1"/>
    <col min="4889" max="4889" width="12.42578125" style="3532" bestFit="1" customWidth="1"/>
    <col min="4890" max="4890" width="14" style="3532" bestFit="1" customWidth="1"/>
    <col min="4891" max="4891" width="6" style="3532" bestFit="1" customWidth="1"/>
    <col min="4892" max="4892" width="15" style="3532" customWidth="1"/>
    <col min="4893" max="4893" width="14.85546875" style="3532" bestFit="1" customWidth="1"/>
    <col min="4894" max="4894" width="16.140625" style="3532" bestFit="1" customWidth="1"/>
    <col min="4895" max="5121" width="8.85546875" style="3532"/>
    <col min="5122" max="5122" width="24" style="3532" bestFit="1" customWidth="1"/>
    <col min="5123" max="5123" width="43.85546875" style="3532" customWidth="1"/>
    <col min="5124" max="5124" width="19.7109375" style="3532" bestFit="1" customWidth="1"/>
    <col min="5125" max="5125" width="12.42578125" style="3532" bestFit="1" customWidth="1"/>
    <col min="5126" max="5126" width="16.28515625" style="3532" bestFit="1" customWidth="1"/>
    <col min="5127" max="5127" width="13.42578125" style="3532" customWidth="1"/>
    <col min="5128" max="5128" width="15.28515625" style="3532" bestFit="1" customWidth="1"/>
    <col min="5129" max="5129" width="14.140625" style="3532" bestFit="1" customWidth="1"/>
    <col min="5130" max="5130" width="15.28515625" style="3532" customWidth="1"/>
    <col min="5131" max="5131" width="17.7109375" style="3532" customWidth="1"/>
    <col min="5132" max="5132" width="17" style="3532" bestFit="1" customWidth="1"/>
    <col min="5133" max="5133" width="12.7109375" style="3532" customWidth="1"/>
    <col min="5134" max="5134" width="13.7109375" style="3532" customWidth="1"/>
    <col min="5135" max="5135" width="13.85546875" style="3532" bestFit="1" customWidth="1"/>
    <col min="5136" max="5136" width="19.7109375" style="3532" bestFit="1" customWidth="1"/>
    <col min="5137" max="5137" width="16.140625" style="3532" customWidth="1"/>
    <col min="5138" max="5138" width="16.7109375" style="3532" bestFit="1" customWidth="1"/>
    <col min="5139" max="5139" width="15.42578125" style="3532" bestFit="1" customWidth="1"/>
    <col min="5140" max="5140" width="20.42578125" style="3532" bestFit="1" customWidth="1"/>
    <col min="5141" max="5141" width="16.42578125" style="3532" bestFit="1" customWidth="1"/>
    <col min="5142" max="5142" width="14.28515625" style="3532" customWidth="1"/>
    <col min="5143" max="5143" width="12.85546875" style="3532" bestFit="1" customWidth="1"/>
    <col min="5144" max="5144" width="11.28515625" style="3532" bestFit="1" customWidth="1"/>
    <col min="5145" max="5145" width="12.42578125" style="3532" bestFit="1" customWidth="1"/>
    <col min="5146" max="5146" width="14" style="3532" bestFit="1" customWidth="1"/>
    <col min="5147" max="5147" width="6" style="3532" bestFit="1" customWidth="1"/>
    <col min="5148" max="5148" width="15" style="3532" customWidth="1"/>
    <col min="5149" max="5149" width="14.85546875" style="3532" bestFit="1" customWidth="1"/>
    <col min="5150" max="5150" width="16.140625" style="3532" bestFit="1" customWidth="1"/>
    <col min="5151" max="5377" width="8.85546875" style="3532"/>
    <col min="5378" max="5378" width="24" style="3532" bestFit="1" customWidth="1"/>
    <col min="5379" max="5379" width="43.85546875" style="3532" customWidth="1"/>
    <col min="5380" max="5380" width="19.7109375" style="3532" bestFit="1" customWidth="1"/>
    <col min="5381" max="5381" width="12.42578125" style="3532" bestFit="1" customWidth="1"/>
    <col min="5382" max="5382" width="16.28515625" style="3532" bestFit="1" customWidth="1"/>
    <col min="5383" max="5383" width="13.42578125" style="3532" customWidth="1"/>
    <col min="5384" max="5384" width="15.28515625" style="3532" bestFit="1" customWidth="1"/>
    <col min="5385" max="5385" width="14.140625" style="3532" bestFit="1" customWidth="1"/>
    <col min="5386" max="5386" width="15.28515625" style="3532" customWidth="1"/>
    <col min="5387" max="5387" width="17.7109375" style="3532" customWidth="1"/>
    <col min="5388" max="5388" width="17" style="3532" bestFit="1" customWidth="1"/>
    <col min="5389" max="5389" width="12.7109375" style="3532" customWidth="1"/>
    <col min="5390" max="5390" width="13.7109375" style="3532" customWidth="1"/>
    <col min="5391" max="5391" width="13.85546875" style="3532" bestFit="1" customWidth="1"/>
    <col min="5392" max="5392" width="19.7109375" style="3532" bestFit="1" customWidth="1"/>
    <col min="5393" max="5393" width="16.140625" style="3532" customWidth="1"/>
    <col min="5394" max="5394" width="16.7109375" style="3532" bestFit="1" customWidth="1"/>
    <col min="5395" max="5395" width="15.42578125" style="3532" bestFit="1" customWidth="1"/>
    <col min="5396" max="5396" width="20.42578125" style="3532" bestFit="1" customWidth="1"/>
    <col min="5397" max="5397" width="16.42578125" style="3532" bestFit="1" customWidth="1"/>
    <col min="5398" max="5398" width="14.28515625" style="3532" customWidth="1"/>
    <col min="5399" max="5399" width="12.85546875" style="3532" bestFit="1" customWidth="1"/>
    <col min="5400" max="5400" width="11.28515625" style="3532" bestFit="1" customWidth="1"/>
    <col min="5401" max="5401" width="12.42578125" style="3532" bestFit="1" customWidth="1"/>
    <col min="5402" max="5402" width="14" style="3532" bestFit="1" customWidth="1"/>
    <col min="5403" max="5403" width="6" style="3532" bestFit="1" customWidth="1"/>
    <col min="5404" max="5404" width="15" style="3532" customWidth="1"/>
    <col min="5405" max="5405" width="14.85546875" style="3532" bestFit="1" customWidth="1"/>
    <col min="5406" max="5406" width="16.140625" style="3532" bestFit="1" customWidth="1"/>
    <col min="5407" max="5633" width="8.85546875" style="3532"/>
    <col min="5634" max="5634" width="24" style="3532" bestFit="1" customWidth="1"/>
    <col min="5635" max="5635" width="43.85546875" style="3532" customWidth="1"/>
    <col min="5636" max="5636" width="19.7109375" style="3532" bestFit="1" customWidth="1"/>
    <col min="5637" max="5637" width="12.42578125" style="3532" bestFit="1" customWidth="1"/>
    <col min="5638" max="5638" width="16.28515625" style="3532" bestFit="1" customWidth="1"/>
    <col min="5639" max="5639" width="13.42578125" style="3532" customWidth="1"/>
    <col min="5640" max="5640" width="15.28515625" style="3532" bestFit="1" customWidth="1"/>
    <col min="5641" max="5641" width="14.140625" style="3532" bestFit="1" customWidth="1"/>
    <col min="5642" max="5642" width="15.28515625" style="3532" customWidth="1"/>
    <col min="5643" max="5643" width="17.7109375" style="3532" customWidth="1"/>
    <col min="5644" max="5644" width="17" style="3532" bestFit="1" customWidth="1"/>
    <col min="5645" max="5645" width="12.7109375" style="3532" customWidth="1"/>
    <col min="5646" max="5646" width="13.7109375" style="3532" customWidth="1"/>
    <col min="5647" max="5647" width="13.85546875" style="3532" bestFit="1" customWidth="1"/>
    <col min="5648" max="5648" width="19.7109375" style="3532" bestFit="1" customWidth="1"/>
    <col min="5649" max="5649" width="16.140625" style="3532" customWidth="1"/>
    <col min="5650" max="5650" width="16.7109375" style="3532" bestFit="1" customWidth="1"/>
    <col min="5651" max="5651" width="15.42578125" style="3532" bestFit="1" customWidth="1"/>
    <col min="5652" max="5652" width="20.42578125" style="3532" bestFit="1" customWidth="1"/>
    <col min="5653" max="5653" width="16.42578125" style="3532" bestFit="1" customWidth="1"/>
    <col min="5654" max="5654" width="14.28515625" style="3532" customWidth="1"/>
    <col min="5655" max="5655" width="12.85546875" style="3532" bestFit="1" customWidth="1"/>
    <col min="5656" max="5656" width="11.28515625" style="3532" bestFit="1" customWidth="1"/>
    <col min="5657" max="5657" width="12.42578125" style="3532" bestFit="1" customWidth="1"/>
    <col min="5658" max="5658" width="14" style="3532" bestFit="1" customWidth="1"/>
    <col min="5659" max="5659" width="6" style="3532" bestFit="1" customWidth="1"/>
    <col min="5660" max="5660" width="15" style="3532" customWidth="1"/>
    <col min="5661" max="5661" width="14.85546875" style="3532" bestFit="1" customWidth="1"/>
    <col min="5662" max="5662" width="16.140625" style="3532" bestFit="1" customWidth="1"/>
    <col min="5663" max="5889" width="8.85546875" style="3532"/>
    <col min="5890" max="5890" width="24" style="3532" bestFit="1" customWidth="1"/>
    <col min="5891" max="5891" width="43.85546875" style="3532" customWidth="1"/>
    <col min="5892" max="5892" width="19.7109375" style="3532" bestFit="1" customWidth="1"/>
    <col min="5893" max="5893" width="12.42578125" style="3532" bestFit="1" customWidth="1"/>
    <col min="5894" max="5894" width="16.28515625" style="3532" bestFit="1" customWidth="1"/>
    <col min="5895" max="5895" width="13.42578125" style="3532" customWidth="1"/>
    <col min="5896" max="5896" width="15.28515625" style="3532" bestFit="1" customWidth="1"/>
    <col min="5897" max="5897" width="14.140625" style="3532" bestFit="1" customWidth="1"/>
    <col min="5898" max="5898" width="15.28515625" style="3532" customWidth="1"/>
    <col min="5899" max="5899" width="17.7109375" style="3532" customWidth="1"/>
    <col min="5900" max="5900" width="17" style="3532" bestFit="1" customWidth="1"/>
    <col min="5901" max="5901" width="12.7109375" style="3532" customWidth="1"/>
    <col min="5902" max="5902" width="13.7109375" style="3532" customWidth="1"/>
    <col min="5903" max="5903" width="13.85546875" style="3532" bestFit="1" customWidth="1"/>
    <col min="5904" max="5904" width="19.7109375" style="3532" bestFit="1" customWidth="1"/>
    <col min="5905" max="5905" width="16.140625" style="3532" customWidth="1"/>
    <col min="5906" max="5906" width="16.7109375" style="3532" bestFit="1" customWidth="1"/>
    <col min="5907" max="5907" width="15.42578125" style="3532" bestFit="1" customWidth="1"/>
    <col min="5908" max="5908" width="20.42578125" style="3532" bestFit="1" customWidth="1"/>
    <col min="5909" max="5909" width="16.42578125" style="3532" bestFit="1" customWidth="1"/>
    <col min="5910" max="5910" width="14.28515625" style="3532" customWidth="1"/>
    <col min="5911" max="5911" width="12.85546875" style="3532" bestFit="1" customWidth="1"/>
    <col min="5912" max="5912" width="11.28515625" style="3532" bestFit="1" customWidth="1"/>
    <col min="5913" max="5913" width="12.42578125" style="3532" bestFit="1" customWidth="1"/>
    <col min="5914" max="5914" width="14" style="3532" bestFit="1" customWidth="1"/>
    <col min="5915" max="5915" width="6" style="3532" bestFit="1" customWidth="1"/>
    <col min="5916" max="5916" width="15" style="3532" customWidth="1"/>
    <col min="5917" max="5917" width="14.85546875" style="3532" bestFit="1" customWidth="1"/>
    <col min="5918" max="5918" width="16.140625" style="3532" bestFit="1" customWidth="1"/>
    <col min="5919" max="6145" width="8.85546875" style="3532"/>
    <col min="6146" max="6146" width="24" style="3532" bestFit="1" customWidth="1"/>
    <col min="6147" max="6147" width="43.85546875" style="3532" customWidth="1"/>
    <col min="6148" max="6148" width="19.7109375" style="3532" bestFit="1" customWidth="1"/>
    <col min="6149" max="6149" width="12.42578125" style="3532" bestFit="1" customWidth="1"/>
    <col min="6150" max="6150" width="16.28515625" style="3532" bestFit="1" customWidth="1"/>
    <col min="6151" max="6151" width="13.42578125" style="3532" customWidth="1"/>
    <col min="6152" max="6152" width="15.28515625" style="3532" bestFit="1" customWidth="1"/>
    <col min="6153" max="6153" width="14.140625" style="3532" bestFit="1" customWidth="1"/>
    <col min="6154" max="6154" width="15.28515625" style="3532" customWidth="1"/>
    <col min="6155" max="6155" width="17.7109375" style="3532" customWidth="1"/>
    <col min="6156" max="6156" width="17" style="3532" bestFit="1" customWidth="1"/>
    <col min="6157" max="6157" width="12.7109375" style="3532" customWidth="1"/>
    <col min="6158" max="6158" width="13.7109375" style="3532" customWidth="1"/>
    <col min="6159" max="6159" width="13.85546875" style="3532" bestFit="1" customWidth="1"/>
    <col min="6160" max="6160" width="19.7109375" style="3532" bestFit="1" customWidth="1"/>
    <col min="6161" max="6161" width="16.140625" style="3532" customWidth="1"/>
    <col min="6162" max="6162" width="16.7109375" style="3532" bestFit="1" customWidth="1"/>
    <col min="6163" max="6163" width="15.42578125" style="3532" bestFit="1" customWidth="1"/>
    <col min="6164" max="6164" width="20.42578125" style="3532" bestFit="1" customWidth="1"/>
    <col min="6165" max="6165" width="16.42578125" style="3532" bestFit="1" customWidth="1"/>
    <col min="6166" max="6166" width="14.28515625" style="3532" customWidth="1"/>
    <col min="6167" max="6167" width="12.85546875" style="3532" bestFit="1" customWidth="1"/>
    <col min="6168" max="6168" width="11.28515625" style="3532" bestFit="1" customWidth="1"/>
    <col min="6169" max="6169" width="12.42578125" style="3532" bestFit="1" customWidth="1"/>
    <col min="6170" max="6170" width="14" style="3532" bestFit="1" customWidth="1"/>
    <col min="6171" max="6171" width="6" style="3532" bestFit="1" customWidth="1"/>
    <col min="6172" max="6172" width="15" style="3532" customWidth="1"/>
    <col min="6173" max="6173" width="14.85546875" style="3532" bestFit="1" customWidth="1"/>
    <col min="6174" max="6174" width="16.140625" style="3532" bestFit="1" customWidth="1"/>
    <col min="6175" max="6401" width="8.85546875" style="3532"/>
    <col min="6402" max="6402" width="24" style="3532" bestFit="1" customWidth="1"/>
    <col min="6403" max="6403" width="43.85546875" style="3532" customWidth="1"/>
    <col min="6404" max="6404" width="19.7109375" style="3532" bestFit="1" customWidth="1"/>
    <col min="6405" max="6405" width="12.42578125" style="3532" bestFit="1" customWidth="1"/>
    <col min="6406" max="6406" width="16.28515625" style="3532" bestFit="1" customWidth="1"/>
    <col min="6407" max="6407" width="13.42578125" style="3532" customWidth="1"/>
    <col min="6408" max="6408" width="15.28515625" style="3532" bestFit="1" customWidth="1"/>
    <col min="6409" max="6409" width="14.140625" style="3532" bestFit="1" customWidth="1"/>
    <col min="6410" max="6410" width="15.28515625" style="3532" customWidth="1"/>
    <col min="6411" max="6411" width="17.7109375" style="3532" customWidth="1"/>
    <col min="6412" max="6412" width="17" style="3532" bestFit="1" customWidth="1"/>
    <col min="6413" max="6413" width="12.7109375" style="3532" customWidth="1"/>
    <col min="6414" max="6414" width="13.7109375" style="3532" customWidth="1"/>
    <col min="6415" max="6415" width="13.85546875" style="3532" bestFit="1" customWidth="1"/>
    <col min="6416" max="6416" width="19.7109375" style="3532" bestFit="1" customWidth="1"/>
    <col min="6417" max="6417" width="16.140625" style="3532" customWidth="1"/>
    <col min="6418" max="6418" width="16.7109375" style="3532" bestFit="1" customWidth="1"/>
    <col min="6419" max="6419" width="15.42578125" style="3532" bestFit="1" customWidth="1"/>
    <col min="6420" max="6420" width="20.42578125" style="3532" bestFit="1" customWidth="1"/>
    <col min="6421" max="6421" width="16.42578125" style="3532" bestFit="1" customWidth="1"/>
    <col min="6422" max="6422" width="14.28515625" style="3532" customWidth="1"/>
    <col min="6423" max="6423" width="12.85546875" style="3532" bestFit="1" customWidth="1"/>
    <col min="6424" max="6424" width="11.28515625" style="3532" bestFit="1" customWidth="1"/>
    <col min="6425" max="6425" width="12.42578125" style="3532" bestFit="1" customWidth="1"/>
    <col min="6426" max="6426" width="14" style="3532" bestFit="1" customWidth="1"/>
    <col min="6427" max="6427" width="6" style="3532" bestFit="1" customWidth="1"/>
    <col min="6428" max="6428" width="15" style="3532" customWidth="1"/>
    <col min="6429" max="6429" width="14.85546875" style="3532" bestFit="1" customWidth="1"/>
    <col min="6430" max="6430" width="16.140625" style="3532" bestFit="1" customWidth="1"/>
    <col min="6431" max="6657" width="8.85546875" style="3532"/>
    <col min="6658" max="6658" width="24" style="3532" bestFit="1" customWidth="1"/>
    <col min="6659" max="6659" width="43.85546875" style="3532" customWidth="1"/>
    <col min="6660" max="6660" width="19.7109375" style="3532" bestFit="1" customWidth="1"/>
    <col min="6661" max="6661" width="12.42578125" style="3532" bestFit="1" customWidth="1"/>
    <col min="6662" max="6662" width="16.28515625" style="3532" bestFit="1" customWidth="1"/>
    <col min="6663" max="6663" width="13.42578125" style="3532" customWidth="1"/>
    <col min="6664" max="6664" width="15.28515625" style="3532" bestFit="1" customWidth="1"/>
    <col min="6665" max="6665" width="14.140625" style="3532" bestFit="1" customWidth="1"/>
    <col min="6666" max="6666" width="15.28515625" style="3532" customWidth="1"/>
    <col min="6667" max="6667" width="17.7109375" style="3532" customWidth="1"/>
    <col min="6668" max="6668" width="17" style="3532" bestFit="1" customWidth="1"/>
    <col min="6669" max="6669" width="12.7109375" style="3532" customWidth="1"/>
    <col min="6670" max="6670" width="13.7109375" style="3532" customWidth="1"/>
    <col min="6671" max="6671" width="13.85546875" style="3532" bestFit="1" customWidth="1"/>
    <col min="6672" max="6672" width="19.7109375" style="3532" bestFit="1" customWidth="1"/>
    <col min="6673" max="6673" width="16.140625" style="3532" customWidth="1"/>
    <col min="6674" max="6674" width="16.7109375" style="3532" bestFit="1" customWidth="1"/>
    <col min="6675" max="6675" width="15.42578125" style="3532" bestFit="1" customWidth="1"/>
    <col min="6676" max="6676" width="20.42578125" style="3532" bestFit="1" customWidth="1"/>
    <col min="6677" max="6677" width="16.42578125" style="3532" bestFit="1" customWidth="1"/>
    <col min="6678" max="6678" width="14.28515625" style="3532" customWidth="1"/>
    <col min="6679" max="6679" width="12.85546875" style="3532" bestFit="1" customWidth="1"/>
    <col min="6680" max="6680" width="11.28515625" style="3532" bestFit="1" customWidth="1"/>
    <col min="6681" max="6681" width="12.42578125" style="3532" bestFit="1" customWidth="1"/>
    <col min="6682" max="6682" width="14" style="3532" bestFit="1" customWidth="1"/>
    <col min="6683" max="6683" width="6" style="3532" bestFit="1" customWidth="1"/>
    <col min="6684" max="6684" width="15" style="3532" customWidth="1"/>
    <col min="6685" max="6685" width="14.85546875" style="3532" bestFit="1" customWidth="1"/>
    <col min="6686" max="6686" width="16.140625" style="3532" bestFit="1" customWidth="1"/>
    <col min="6687" max="6913" width="8.85546875" style="3532"/>
    <col min="6914" max="6914" width="24" style="3532" bestFit="1" customWidth="1"/>
    <col min="6915" max="6915" width="43.85546875" style="3532" customWidth="1"/>
    <col min="6916" max="6916" width="19.7109375" style="3532" bestFit="1" customWidth="1"/>
    <col min="6917" max="6917" width="12.42578125" style="3532" bestFit="1" customWidth="1"/>
    <col min="6918" max="6918" width="16.28515625" style="3532" bestFit="1" customWidth="1"/>
    <col min="6919" max="6919" width="13.42578125" style="3532" customWidth="1"/>
    <col min="6920" max="6920" width="15.28515625" style="3532" bestFit="1" customWidth="1"/>
    <col min="6921" max="6921" width="14.140625" style="3532" bestFit="1" customWidth="1"/>
    <col min="6922" max="6922" width="15.28515625" style="3532" customWidth="1"/>
    <col min="6923" max="6923" width="17.7109375" style="3532" customWidth="1"/>
    <col min="6924" max="6924" width="17" style="3532" bestFit="1" customWidth="1"/>
    <col min="6925" max="6925" width="12.7109375" style="3532" customWidth="1"/>
    <col min="6926" max="6926" width="13.7109375" style="3532" customWidth="1"/>
    <col min="6927" max="6927" width="13.85546875" style="3532" bestFit="1" customWidth="1"/>
    <col min="6928" max="6928" width="19.7109375" style="3532" bestFit="1" customWidth="1"/>
    <col min="6929" max="6929" width="16.140625" style="3532" customWidth="1"/>
    <col min="6930" max="6930" width="16.7109375" style="3532" bestFit="1" customWidth="1"/>
    <col min="6931" max="6931" width="15.42578125" style="3532" bestFit="1" customWidth="1"/>
    <col min="6932" max="6932" width="20.42578125" style="3532" bestFit="1" customWidth="1"/>
    <col min="6933" max="6933" width="16.42578125" style="3532" bestFit="1" customWidth="1"/>
    <col min="6934" max="6934" width="14.28515625" style="3532" customWidth="1"/>
    <col min="6935" max="6935" width="12.85546875" style="3532" bestFit="1" customWidth="1"/>
    <col min="6936" max="6936" width="11.28515625" style="3532" bestFit="1" customWidth="1"/>
    <col min="6937" max="6937" width="12.42578125" style="3532" bestFit="1" customWidth="1"/>
    <col min="6938" max="6938" width="14" style="3532" bestFit="1" customWidth="1"/>
    <col min="6939" max="6939" width="6" style="3532" bestFit="1" customWidth="1"/>
    <col min="6940" max="6940" width="15" style="3532" customWidth="1"/>
    <col min="6941" max="6941" width="14.85546875" style="3532" bestFit="1" customWidth="1"/>
    <col min="6942" max="6942" width="16.140625" style="3532" bestFit="1" customWidth="1"/>
    <col min="6943" max="7169" width="8.85546875" style="3532"/>
    <col min="7170" max="7170" width="24" style="3532" bestFit="1" customWidth="1"/>
    <col min="7171" max="7171" width="43.85546875" style="3532" customWidth="1"/>
    <col min="7172" max="7172" width="19.7109375" style="3532" bestFit="1" customWidth="1"/>
    <col min="7173" max="7173" width="12.42578125" style="3532" bestFit="1" customWidth="1"/>
    <col min="7174" max="7174" width="16.28515625" style="3532" bestFit="1" customWidth="1"/>
    <col min="7175" max="7175" width="13.42578125" style="3532" customWidth="1"/>
    <col min="7176" max="7176" width="15.28515625" style="3532" bestFit="1" customWidth="1"/>
    <col min="7177" max="7177" width="14.140625" style="3532" bestFit="1" customWidth="1"/>
    <col min="7178" max="7178" width="15.28515625" style="3532" customWidth="1"/>
    <col min="7179" max="7179" width="17.7109375" style="3532" customWidth="1"/>
    <col min="7180" max="7180" width="17" style="3532" bestFit="1" customWidth="1"/>
    <col min="7181" max="7181" width="12.7109375" style="3532" customWidth="1"/>
    <col min="7182" max="7182" width="13.7109375" style="3532" customWidth="1"/>
    <col min="7183" max="7183" width="13.85546875" style="3532" bestFit="1" customWidth="1"/>
    <col min="7184" max="7184" width="19.7109375" style="3532" bestFit="1" customWidth="1"/>
    <col min="7185" max="7185" width="16.140625" style="3532" customWidth="1"/>
    <col min="7186" max="7186" width="16.7109375" style="3532" bestFit="1" customWidth="1"/>
    <col min="7187" max="7187" width="15.42578125" style="3532" bestFit="1" customWidth="1"/>
    <col min="7188" max="7188" width="20.42578125" style="3532" bestFit="1" customWidth="1"/>
    <col min="7189" max="7189" width="16.42578125" style="3532" bestFit="1" customWidth="1"/>
    <col min="7190" max="7190" width="14.28515625" style="3532" customWidth="1"/>
    <col min="7191" max="7191" width="12.85546875" style="3532" bestFit="1" customWidth="1"/>
    <col min="7192" max="7192" width="11.28515625" style="3532" bestFit="1" customWidth="1"/>
    <col min="7193" max="7193" width="12.42578125" style="3532" bestFit="1" customWidth="1"/>
    <col min="7194" max="7194" width="14" style="3532" bestFit="1" customWidth="1"/>
    <col min="7195" max="7195" width="6" style="3532" bestFit="1" customWidth="1"/>
    <col min="7196" max="7196" width="15" style="3532" customWidth="1"/>
    <col min="7197" max="7197" width="14.85546875" style="3532" bestFit="1" customWidth="1"/>
    <col min="7198" max="7198" width="16.140625" style="3532" bestFit="1" customWidth="1"/>
    <col min="7199" max="7425" width="8.85546875" style="3532"/>
    <col min="7426" max="7426" width="24" style="3532" bestFit="1" customWidth="1"/>
    <col min="7427" max="7427" width="43.85546875" style="3532" customWidth="1"/>
    <col min="7428" max="7428" width="19.7109375" style="3532" bestFit="1" customWidth="1"/>
    <col min="7429" max="7429" width="12.42578125" style="3532" bestFit="1" customWidth="1"/>
    <col min="7430" max="7430" width="16.28515625" style="3532" bestFit="1" customWidth="1"/>
    <col min="7431" max="7431" width="13.42578125" style="3532" customWidth="1"/>
    <col min="7432" max="7432" width="15.28515625" style="3532" bestFit="1" customWidth="1"/>
    <col min="7433" max="7433" width="14.140625" style="3532" bestFit="1" customWidth="1"/>
    <col min="7434" max="7434" width="15.28515625" style="3532" customWidth="1"/>
    <col min="7435" max="7435" width="17.7109375" style="3532" customWidth="1"/>
    <col min="7436" max="7436" width="17" style="3532" bestFit="1" customWidth="1"/>
    <col min="7437" max="7437" width="12.7109375" style="3532" customWidth="1"/>
    <col min="7438" max="7438" width="13.7109375" style="3532" customWidth="1"/>
    <col min="7439" max="7439" width="13.85546875" style="3532" bestFit="1" customWidth="1"/>
    <col min="7440" max="7440" width="19.7109375" style="3532" bestFit="1" customWidth="1"/>
    <col min="7441" max="7441" width="16.140625" style="3532" customWidth="1"/>
    <col min="7442" max="7442" width="16.7109375" style="3532" bestFit="1" customWidth="1"/>
    <col min="7443" max="7443" width="15.42578125" style="3532" bestFit="1" customWidth="1"/>
    <col min="7444" max="7444" width="20.42578125" style="3532" bestFit="1" customWidth="1"/>
    <col min="7445" max="7445" width="16.42578125" style="3532" bestFit="1" customWidth="1"/>
    <col min="7446" max="7446" width="14.28515625" style="3532" customWidth="1"/>
    <col min="7447" max="7447" width="12.85546875" style="3532" bestFit="1" customWidth="1"/>
    <col min="7448" max="7448" width="11.28515625" style="3532" bestFit="1" customWidth="1"/>
    <col min="7449" max="7449" width="12.42578125" style="3532" bestFit="1" customWidth="1"/>
    <col min="7450" max="7450" width="14" style="3532" bestFit="1" customWidth="1"/>
    <col min="7451" max="7451" width="6" style="3532" bestFit="1" customWidth="1"/>
    <col min="7452" max="7452" width="15" style="3532" customWidth="1"/>
    <col min="7453" max="7453" width="14.85546875" style="3532" bestFit="1" customWidth="1"/>
    <col min="7454" max="7454" width="16.140625" style="3532" bestFit="1" customWidth="1"/>
    <col min="7455" max="7681" width="8.85546875" style="3532"/>
    <col min="7682" max="7682" width="24" style="3532" bestFit="1" customWidth="1"/>
    <col min="7683" max="7683" width="43.85546875" style="3532" customWidth="1"/>
    <col min="7684" max="7684" width="19.7109375" style="3532" bestFit="1" customWidth="1"/>
    <col min="7685" max="7685" width="12.42578125" style="3532" bestFit="1" customWidth="1"/>
    <col min="7686" max="7686" width="16.28515625" style="3532" bestFit="1" customWidth="1"/>
    <col min="7687" max="7687" width="13.42578125" style="3532" customWidth="1"/>
    <col min="7688" max="7688" width="15.28515625" style="3532" bestFit="1" customWidth="1"/>
    <col min="7689" max="7689" width="14.140625" style="3532" bestFit="1" customWidth="1"/>
    <col min="7690" max="7690" width="15.28515625" style="3532" customWidth="1"/>
    <col min="7691" max="7691" width="17.7109375" style="3532" customWidth="1"/>
    <col min="7692" max="7692" width="17" style="3532" bestFit="1" customWidth="1"/>
    <col min="7693" max="7693" width="12.7109375" style="3532" customWidth="1"/>
    <col min="7694" max="7694" width="13.7109375" style="3532" customWidth="1"/>
    <col min="7695" max="7695" width="13.85546875" style="3532" bestFit="1" customWidth="1"/>
    <col min="7696" max="7696" width="19.7109375" style="3532" bestFit="1" customWidth="1"/>
    <col min="7697" max="7697" width="16.140625" style="3532" customWidth="1"/>
    <col min="7698" max="7698" width="16.7109375" style="3532" bestFit="1" customWidth="1"/>
    <col min="7699" max="7699" width="15.42578125" style="3532" bestFit="1" customWidth="1"/>
    <col min="7700" max="7700" width="20.42578125" style="3532" bestFit="1" customWidth="1"/>
    <col min="7701" max="7701" width="16.42578125" style="3532" bestFit="1" customWidth="1"/>
    <col min="7702" max="7702" width="14.28515625" style="3532" customWidth="1"/>
    <col min="7703" max="7703" width="12.85546875" style="3532" bestFit="1" customWidth="1"/>
    <col min="7704" max="7704" width="11.28515625" style="3532" bestFit="1" customWidth="1"/>
    <col min="7705" max="7705" width="12.42578125" style="3532" bestFit="1" customWidth="1"/>
    <col min="7706" max="7706" width="14" style="3532" bestFit="1" customWidth="1"/>
    <col min="7707" max="7707" width="6" style="3532" bestFit="1" customWidth="1"/>
    <col min="7708" max="7708" width="15" style="3532" customWidth="1"/>
    <col min="7709" max="7709" width="14.85546875" style="3532" bestFit="1" customWidth="1"/>
    <col min="7710" max="7710" width="16.140625" style="3532" bestFit="1" customWidth="1"/>
    <col min="7711" max="7937" width="8.85546875" style="3532"/>
    <col min="7938" max="7938" width="24" style="3532" bestFit="1" customWidth="1"/>
    <col min="7939" max="7939" width="43.85546875" style="3532" customWidth="1"/>
    <col min="7940" max="7940" width="19.7109375" style="3532" bestFit="1" customWidth="1"/>
    <col min="7941" max="7941" width="12.42578125" style="3532" bestFit="1" customWidth="1"/>
    <col min="7942" max="7942" width="16.28515625" style="3532" bestFit="1" customWidth="1"/>
    <col min="7943" max="7943" width="13.42578125" style="3532" customWidth="1"/>
    <col min="7944" max="7944" width="15.28515625" style="3532" bestFit="1" customWidth="1"/>
    <col min="7945" max="7945" width="14.140625" style="3532" bestFit="1" customWidth="1"/>
    <col min="7946" max="7946" width="15.28515625" style="3532" customWidth="1"/>
    <col min="7947" max="7947" width="17.7109375" style="3532" customWidth="1"/>
    <col min="7948" max="7948" width="17" style="3532" bestFit="1" customWidth="1"/>
    <col min="7949" max="7949" width="12.7109375" style="3532" customWidth="1"/>
    <col min="7950" max="7950" width="13.7109375" style="3532" customWidth="1"/>
    <col min="7951" max="7951" width="13.85546875" style="3532" bestFit="1" customWidth="1"/>
    <col min="7952" max="7952" width="19.7109375" style="3532" bestFit="1" customWidth="1"/>
    <col min="7953" max="7953" width="16.140625" style="3532" customWidth="1"/>
    <col min="7954" max="7954" width="16.7109375" style="3532" bestFit="1" customWidth="1"/>
    <col min="7955" max="7955" width="15.42578125" style="3532" bestFit="1" customWidth="1"/>
    <col min="7956" max="7956" width="20.42578125" style="3532" bestFit="1" customWidth="1"/>
    <col min="7957" max="7957" width="16.42578125" style="3532" bestFit="1" customWidth="1"/>
    <col min="7958" max="7958" width="14.28515625" style="3532" customWidth="1"/>
    <col min="7959" max="7959" width="12.85546875" style="3532" bestFit="1" customWidth="1"/>
    <col min="7960" max="7960" width="11.28515625" style="3532" bestFit="1" customWidth="1"/>
    <col min="7961" max="7961" width="12.42578125" style="3532" bestFit="1" customWidth="1"/>
    <col min="7962" max="7962" width="14" style="3532" bestFit="1" customWidth="1"/>
    <col min="7963" max="7963" width="6" style="3532" bestFit="1" customWidth="1"/>
    <col min="7964" max="7964" width="15" style="3532" customWidth="1"/>
    <col min="7965" max="7965" width="14.85546875" style="3532" bestFit="1" customWidth="1"/>
    <col min="7966" max="7966" width="16.140625" style="3532" bestFit="1" customWidth="1"/>
    <col min="7967" max="8193" width="8.85546875" style="3532"/>
    <col min="8194" max="8194" width="24" style="3532" bestFit="1" customWidth="1"/>
    <col min="8195" max="8195" width="43.85546875" style="3532" customWidth="1"/>
    <col min="8196" max="8196" width="19.7109375" style="3532" bestFit="1" customWidth="1"/>
    <col min="8197" max="8197" width="12.42578125" style="3532" bestFit="1" customWidth="1"/>
    <col min="8198" max="8198" width="16.28515625" style="3532" bestFit="1" customWidth="1"/>
    <col min="8199" max="8199" width="13.42578125" style="3532" customWidth="1"/>
    <col min="8200" max="8200" width="15.28515625" style="3532" bestFit="1" customWidth="1"/>
    <col min="8201" max="8201" width="14.140625" style="3532" bestFit="1" customWidth="1"/>
    <col min="8202" max="8202" width="15.28515625" style="3532" customWidth="1"/>
    <col min="8203" max="8203" width="17.7109375" style="3532" customWidth="1"/>
    <col min="8204" max="8204" width="17" style="3532" bestFit="1" customWidth="1"/>
    <col min="8205" max="8205" width="12.7109375" style="3532" customWidth="1"/>
    <col min="8206" max="8206" width="13.7109375" style="3532" customWidth="1"/>
    <col min="8207" max="8207" width="13.85546875" style="3532" bestFit="1" customWidth="1"/>
    <col min="8208" max="8208" width="19.7109375" style="3532" bestFit="1" customWidth="1"/>
    <col min="8209" max="8209" width="16.140625" style="3532" customWidth="1"/>
    <col min="8210" max="8210" width="16.7109375" style="3532" bestFit="1" customWidth="1"/>
    <col min="8211" max="8211" width="15.42578125" style="3532" bestFit="1" customWidth="1"/>
    <col min="8212" max="8212" width="20.42578125" style="3532" bestFit="1" customWidth="1"/>
    <col min="8213" max="8213" width="16.42578125" style="3532" bestFit="1" customWidth="1"/>
    <col min="8214" max="8214" width="14.28515625" style="3532" customWidth="1"/>
    <col min="8215" max="8215" width="12.85546875" style="3532" bestFit="1" customWidth="1"/>
    <col min="8216" max="8216" width="11.28515625" style="3532" bestFit="1" customWidth="1"/>
    <col min="8217" max="8217" width="12.42578125" style="3532" bestFit="1" customWidth="1"/>
    <col min="8218" max="8218" width="14" style="3532" bestFit="1" customWidth="1"/>
    <col min="8219" max="8219" width="6" style="3532" bestFit="1" customWidth="1"/>
    <col min="8220" max="8220" width="15" style="3532" customWidth="1"/>
    <col min="8221" max="8221" width="14.85546875" style="3532" bestFit="1" customWidth="1"/>
    <col min="8222" max="8222" width="16.140625" style="3532" bestFit="1" customWidth="1"/>
    <col min="8223" max="8449" width="8.85546875" style="3532"/>
    <col min="8450" max="8450" width="24" style="3532" bestFit="1" customWidth="1"/>
    <col min="8451" max="8451" width="43.85546875" style="3532" customWidth="1"/>
    <col min="8452" max="8452" width="19.7109375" style="3532" bestFit="1" customWidth="1"/>
    <col min="8453" max="8453" width="12.42578125" style="3532" bestFit="1" customWidth="1"/>
    <col min="8454" max="8454" width="16.28515625" style="3532" bestFit="1" customWidth="1"/>
    <col min="8455" max="8455" width="13.42578125" style="3532" customWidth="1"/>
    <col min="8456" max="8456" width="15.28515625" style="3532" bestFit="1" customWidth="1"/>
    <col min="8457" max="8457" width="14.140625" style="3532" bestFit="1" customWidth="1"/>
    <col min="8458" max="8458" width="15.28515625" style="3532" customWidth="1"/>
    <col min="8459" max="8459" width="17.7109375" style="3532" customWidth="1"/>
    <col min="8460" max="8460" width="17" style="3532" bestFit="1" customWidth="1"/>
    <col min="8461" max="8461" width="12.7109375" style="3532" customWidth="1"/>
    <col min="8462" max="8462" width="13.7109375" style="3532" customWidth="1"/>
    <col min="8463" max="8463" width="13.85546875" style="3532" bestFit="1" customWidth="1"/>
    <col min="8464" max="8464" width="19.7109375" style="3532" bestFit="1" customWidth="1"/>
    <col min="8465" max="8465" width="16.140625" style="3532" customWidth="1"/>
    <col min="8466" max="8466" width="16.7109375" style="3532" bestFit="1" customWidth="1"/>
    <col min="8467" max="8467" width="15.42578125" style="3532" bestFit="1" customWidth="1"/>
    <col min="8468" max="8468" width="20.42578125" style="3532" bestFit="1" customWidth="1"/>
    <col min="8469" max="8469" width="16.42578125" style="3532" bestFit="1" customWidth="1"/>
    <col min="8470" max="8470" width="14.28515625" style="3532" customWidth="1"/>
    <col min="8471" max="8471" width="12.85546875" style="3532" bestFit="1" customWidth="1"/>
    <col min="8472" max="8472" width="11.28515625" style="3532" bestFit="1" customWidth="1"/>
    <col min="8473" max="8473" width="12.42578125" style="3532" bestFit="1" customWidth="1"/>
    <col min="8474" max="8474" width="14" style="3532" bestFit="1" customWidth="1"/>
    <col min="8475" max="8475" width="6" style="3532" bestFit="1" customWidth="1"/>
    <col min="8476" max="8476" width="15" style="3532" customWidth="1"/>
    <col min="8477" max="8477" width="14.85546875" style="3532" bestFit="1" customWidth="1"/>
    <col min="8478" max="8478" width="16.140625" style="3532" bestFit="1" customWidth="1"/>
    <col min="8479" max="8705" width="8.85546875" style="3532"/>
    <col min="8706" max="8706" width="24" style="3532" bestFit="1" customWidth="1"/>
    <col min="8707" max="8707" width="43.85546875" style="3532" customWidth="1"/>
    <col min="8708" max="8708" width="19.7109375" style="3532" bestFit="1" customWidth="1"/>
    <col min="8709" max="8709" width="12.42578125" style="3532" bestFit="1" customWidth="1"/>
    <col min="8710" max="8710" width="16.28515625" style="3532" bestFit="1" customWidth="1"/>
    <col min="8711" max="8711" width="13.42578125" style="3532" customWidth="1"/>
    <col min="8712" max="8712" width="15.28515625" style="3532" bestFit="1" customWidth="1"/>
    <col min="8713" max="8713" width="14.140625" style="3532" bestFit="1" customWidth="1"/>
    <col min="8714" max="8714" width="15.28515625" style="3532" customWidth="1"/>
    <col min="8715" max="8715" width="17.7109375" style="3532" customWidth="1"/>
    <col min="8716" max="8716" width="17" style="3532" bestFit="1" customWidth="1"/>
    <col min="8717" max="8717" width="12.7109375" style="3532" customWidth="1"/>
    <col min="8718" max="8718" width="13.7109375" style="3532" customWidth="1"/>
    <col min="8719" max="8719" width="13.85546875" style="3532" bestFit="1" customWidth="1"/>
    <col min="8720" max="8720" width="19.7109375" style="3532" bestFit="1" customWidth="1"/>
    <col min="8721" max="8721" width="16.140625" style="3532" customWidth="1"/>
    <col min="8722" max="8722" width="16.7109375" style="3532" bestFit="1" customWidth="1"/>
    <col min="8723" max="8723" width="15.42578125" style="3532" bestFit="1" customWidth="1"/>
    <col min="8724" max="8724" width="20.42578125" style="3532" bestFit="1" customWidth="1"/>
    <col min="8725" max="8725" width="16.42578125" style="3532" bestFit="1" customWidth="1"/>
    <col min="8726" max="8726" width="14.28515625" style="3532" customWidth="1"/>
    <col min="8727" max="8727" width="12.85546875" style="3532" bestFit="1" customWidth="1"/>
    <col min="8728" max="8728" width="11.28515625" style="3532" bestFit="1" customWidth="1"/>
    <col min="8729" max="8729" width="12.42578125" style="3532" bestFit="1" customWidth="1"/>
    <col min="8730" max="8730" width="14" style="3532" bestFit="1" customWidth="1"/>
    <col min="8731" max="8731" width="6" style="3532" bestFit="1" customWidth="1"/>
    <col min="8732" max="8732" width="15" style="3532" customWidth="1"/>
    <col min="8733" max="8733" width="14.85546875" style="3532" bestFit="1" customWidth="1"/>
    <col min="8734" max="8734" width="16.140625" style="3532" bestFit="1" customWidth="1"/>
    <col min="8735" max="8961" width="8.85546875" style="3532"/>
    <col min="8962" max="8962" width="24" style="3532" bestFit="1" customWidth="1"/>
    <col min="8963" max="8963" width="43.85546875" style="3532" customWidth="1"/>
    <col min="8964" max="8964" width="19.7109375" style="3532" bestFit="1" customWidth="1"/>
    <col min="8965" max="8965" width="12.42578125" style="3532" bestFit="1" customWidth="1"/>
    <col min="8966" max="8966" width="16.28515625" style="3532" bestFit="1" customWidth="1"/>
    <col min="8967" max="8967" width="13.42578125" style="3532" customWidth="1"/>
    <col min="8968" max="8968" width="15.28515625" style="3532" bestFit="1" customWidth="1"/>
    <col min="8969" max="8969" width="14.140625" style="3532" bestFit="1" customWidth="1"/>
    <col min="8970" max="8970" width="15.28515625" style="3532" customWidth="1"/>
    <col min="8971" max="8971" width="17.7109375" style="3532" customWidth="1"/>
    <col min="8972" max="8972" width="17" style="3532" bestFit="1" customWidth="1"/>
    <col min="8973" max="8973" width="12.7109375" style="3532" customWidth="1"/>
    <col min="8974" max="8974" width="13.7109375" style="3532" customWidth="1"/>
    <col min="8975" max="8975" width="13.85546875" style="3532" bestFit="1" customWidth="1"/>
    <col min="8976" max="8976" width="19.7109375" style="3532" bestFit="1" customWidth="1"/>
    <col min="8977" max="8977" width="16.140625" style="3532" customWidth="1"/>
    <col min="8978" max="8978" width="16.7109375" style="3532" bestFit="1" customWidth="1"/>
    <col min="8979" max="8979" width="15.42578125" style="3532" bestFit="1" customWidth="1"/>
    <col min="8980" max="8980" width="20.42578125" style="3532" bestFit="1" customWidth="1"/>
    <col min="8981" max="8981" width="16.42578125" style="3532" bestFit="1" customWidth="1"/>
    <col min="8982" max="8982" width="14.28515625" style="3532" customWidth="1"/>
    <col min="8983" max="8983" width="12.85546875" style="3532" bestFit="1" customWidth="1"/>
    <col min="8984" max="8984" width="11.28515625" style="3532" bestFit="1" customWidth="1"/>
    <col min="8985" max="8985" width="12.42578125" style="3532" bestFit="1" customWidth="1"/>
    <col min="8986" max="8986" width="14" style="3532" bestFit="1" customWidth="1"/>
    <col min="8987" max="8987" width="6" style="3532" bestFit="1" customWidth="1"/>
    <col min="8988" max="8988" width="15" style="3532" customWidth="1"/>
    <col min="8989" max="8989" width="14.85546875" style="3532" bestFit="1" customWidth="1"/>
    <col min="8990" max="8990" width="16.140625" style="3532" bestFit="1" customWidth="1"/>
    <col min="8991" max="9217" width="8.85546875" style="3532"/>
    <col min="9218" max="9218" width="24" style="3532" bestFit="1" customWidth="1"/>
    <col min="9219" max="9219" width="43.85546875" style="3532" customWidth="1"/>
    <col min="9220" max="9220" width="19.7109375" style="3532" bestFit="1" customWidth="1"/>
    <col min="9221" max="9221" width="12.42578125" style="3532" bestFit="1" customWidth="1"/>
    <col min="9222" max="9222" width="16.28515625" style="3532" bestFit="1" customWidth="1"/>
    <col min="9223" max="9223" width="13.42578125" style="3532" customWidth="1"/>
    <col min="9224" max="9224" width="15.28515625" style="3532" bestFit="1" customWidth="1"/>
    <col min="9225" max="9225" width="14.140625" style="3532" bestFit="1" customWidth="1"/>
    <col min="9226" max="9226" width="15.28515625" style="3532" customWidth="1"/>
    <col min="9227" max="9227" width="17.7109375" style="3532" customWidth="1"/>
    <col min="9228" max="9228" width="17" style="3532" bestFit="1" customWidth="1"/>
    <col min="9229" max="9229" width="12.7109375" style="3532" customWidth="1"/>
    <col min="9230" max="9230" width="13.7109375" style="3532" customWidth="1"/>
    <col min="9231" max="9231" width="13.85546875" style="3532" bestFit="1" customWidth="1"/>
    <col min="9232" max="9232" width="19.7109375" style="3532" bestFit="1" customWidth="1"/>
    <col min="9233" max="9233" width="16.140625" style="3532" customWidth="1"/>
    <col min="9234" max="9234" width="16.7109375" style="3532" bestFit="1" customWidth="1"/>
    <col min="9235" max="9235" width="15.42578125" style="3532" bestFit="1" customWidth="1"/>
    <col min="9236" max="9236" width="20.42578125" style="3532" bestFit="1" customWidth="1"/>
    <col min="9237" max="9237" width="16.42578125" style="3532" bestFit="1" customWidth="1"/>
    <col min="9238" max="9238" width="14.28515625" style="3532" customWidth="1"/>
    <col min="9239" max="9239" width="12.85546875" style="3532" bestFit="1" customWidth="1"/>
    <col min="9240" max="9240" width="11.28515625" style="3532" bestFit="1" customWidth="1"/>
    <col min="9241" max="9241" width="12.42578125" style="3532" bestFit="1" customWidth="1"/>
    <col min="9242" max="9242" width="14" style="3532" bestFit="1" customWidth="1"/>
    <col min="9243" max="9243" width="6" style="3532" bestFit="1" customWidth="1"/>
    <col min="9244" max="9244" width="15" style="3532" customWidth="1"/>
    <col min="9245" max="9245" width="14.85546875" style="3532" bestFit="1" customWidth="1"/>
    <col min="9246" max="9246" width="16.140625" style="3532" bestFit="1" customWidth="1"/>
    <col min="9247" max="9473" width="8.85546875" style="3532"/>
    <col min="9474" max="9474" width="24" style="3532" bestFit="1" customWidth="1"/>
    <col min="9475" max="9475" width="43.85546875" style="3532" customWidth="1"/>
    <col min="9476" max="9476" width="19.7109375" style="3532" bestFit="1" customWidth="1"/>
    <col min="9477" max="9477" width="12.42578125" style="3532" bestFit="1" customWidth="1"/>
    <col min="9478" max="9478" width="16.28515625" style="3532" bestFit="1" customWidth="1"/>
    <col min="9479" max="9479" width="13.42578125" style="3532" customWidth="1"/>
    <col min="9480" max="9480" width="15.28515625" style="3532" bestFit="1" customWidth="1"/>
    <col min="9481" max="9481" width="14.140625" style="3532" bestFit="1" customWidth="1"/>
    <col min="9482" max="9482" width="15.28515625" style="3532" customWidth="1"/>
    <col min="9483" max="9483" width="17.7109375" style="3532" customWidth="1"/>
    <col min="9484" max="9484" width="17" style="3532" bestFit="1" customWidth="1"/>
    <col min="9485" max="9485" width="12.7109375" style="3532" customWidth="1"/>
    <col min="9486" max="9486" width="13.7109375" style="3532" customWidth="1"/>
    <col min="9487" max="9487" width="13.85546875" style="3532" bestFit="1" customWidth="1"/>
    <col min="9488" max="9488" width="19.7109375" style="3532" bestFit="1" customWidth="1"/>
    <col min="9489" max="9489" width="16.140625" style="3532" customWidth="1"/>
    <col min="9490" max="9490" width="16.7109375" style="3532" bestFit="1" customWidth="1"/>
    <col min="9491" max="9491" width="15.42578125" style="3532" bestFit="1" customWidth="1"/>
    <col min="9492" max="9492" width="20.42578125" style="3532" bestFit="1" customWidth="1"/>
    <col min="9493" max="9493" width="16.42578125" style="3532" bestFit="1" customWidth="1"/>
    <col min="9494" max="9494" width="14.28515625" style="3532" customWidth="1"/>
    <col min="9495" max="9495" width="12.85546875" style="3532" bestFit="1" customWidth="1"/>
    <col min="9496" max="9496" width="11.28515625" style="3532" bestFit="1" customWidth="1"/>
    <col min="9497" max="9497" width="12.42578125" style="3532" bestFit="1" customWidth="1"/>
    <col min="9498" max="9498" width="14" style="3532" bestFit="1" customWidth="1"/>
    <col min="9499" max="9499" width="6" style="3532" bestFit="1" customWidth="1"/>
    <col min="9500" max="9500" width="15" style="3532" customWidth="1"/>
    <col min="9501" max="9501" width="14.85546875" style="3532" bestFit="1" customWidth="1"/>
    <col min="9502" max="9502" width="16.140625" style="3532" bestFit="1" customWidth="1"/>
    <col min="9503" max="9729" width="8.85546875" style="3532"/>
    <col min="9730" max="9730" width="24" style="3532" bestFit="1" customWidth="1"/>
    <col min="9731" max="9731" width="43.85546875" style="3532" customWidth="1"/>
    <col min="9732" max="9732" width="19.7109375" style="3532" bestFit="1" customWidth="1"/>
    <col min="9733" max="9733" width="12.42578125" style="3532" bestFit="1" customWidth="1"/>
    <col min="9734" max="9734" width="16.28515625" style="3532" bestFit="1" customWidth="1"/>
    <col min="9735" max="9735" width="13.42578125" style="3532" customWidth="1"/>
    <col min="9736" max="9736" width="15.28515625" style="3532" bestFit="1" customWidth="1"/>
    <col min="9737" max="9737" width="14.140625" style="3532" bestFit="1" customWidth="1"/>
    <col min="9738" max="9738" width="15.28515625" style="3532" customWidth="1"/>
    <col min="9739" max="9739" width="17.7109375" style="3532" customWidth="1"/>
    <col min="9740" max="9740" width="17" style="3532" bestFit="1" customWidth="1"/>
    <col min="9741" max="9741" width="12.7109375" style="3532" customWidth="1"/>
    <col min="9742" max="9742" width="13.7109375" style="3532" customWidth="1"/>
    <col min="9743" max="9743" width="13.85546875" style="3532" bestFit="1" customWidth="1"/>
    <col min="9744" max="9744" width="19.7109375" style="3532" bestFit="1" customWidth="1"/>
    <col min="9745" max="9745" width="16.140625" style="3532" customWidth="1"/>
    <col min="9746" max="9746" width="16.7109375" style="3532" bestFit="1" customWidth="1"/>
    <col min="9747" max="9747" width="15.42578125" style="3532" bestFit="1" customWidth="1"/>
    <col min="9748" max="9748" width="20.42578125" style="3532" bestFit="1" customWidth="1"/>
    <col min="9749" max="9749" width="16.42578125" style="3532" bestFit="1" customWidth="1"/>
    <col min="9750" max="9750" width="14.28515625" style="3532" customWidth="1"/>
    <col min="9751" max="9751" width="12.85546875" style="3532" bestFit="1" customWidth="1"/>
    <col min="9752" max="9752" width="11.28515625" style="3532" bestFit="1" customWidth="1"/>
    <col min="9753" max="9753" width="12.42578125" style="3532" bestFit="1" customWidth="1"/>
    <col min="9754" max="9754" width="14" style="3532" bestFit="1" customWidth="1"/>
    <col min="9755" max="9755" width="6" style="3532" bestFit="1" customWidth="1"/>
    <col min="9756" max="9756" width="15" style="3532" customWidth="1"/>
    <col min="9757" max="9757" width="14.85546875" style="3532" bestFit="1" customWidth="1"/>
    <col min="9758" max="9758" width="16.140625" style="3532" bestFit="1" customWidth="1"/>
    <col min="9759" max="9985" width="8.85546875" style="3532"/>
    <col min="9986" max="9986" width="24" style="3532" bestFit="1" customWidth="1"/>
    <col min="9987" max="9987" width="43.85546875" style="3532" customWidth="1"/>
    <col min="9988" max="9988" width="19.7109375" style="3532" bestFit="1" customWidth="1"/>
    <col min="9989" max="9989" width="12.42578125" style="3532" bestFit="1" customWidth="1"/>
    <col min="9990" max="9990" width="16.28515625" style="3532" bestFit="1" customWidth="1"/>
    <col min="9991" max="9991" width="13.42578125" style="3532" customWidth="1"/>
    <col min="9992" max="9992" width="15.28515625" style="3532" bestFit="1" customWidth="1"/>
    <col min="9993" max="9993" width="14.140625" style="3532" bestFit="1" customWidth="1"/>
    <col min="9994" max="9994" width="15.28515625" style="3532" customWidth="1"/>
    <col min="9995" max="9995" width="17.7109375" style="3532" customWidth="1"/>
    <col min="9996" max="9996" width="17" style="3532" bestFit="1" customWidth="1"/>
    <col min="9997" max="9997" width="12.7109375" style="3532" customWidth="1"/>
    <col min="9998" max="9998" width="13.7109375" style="3532" customWidth="1"/>
    <col min="9999" max="9999" width="13.85546875" style="3532" bestFit="1" customWidth="1"/>
    <col min="10000" max="10000" width="19.7109375" style="3532" bestFit="1" customWidth="1"/>
    <col min="10001" max="10001" width="16.140625" style="3532" customWidth="1"/>
    <col min="10002" max="10002" width="16.7109375" style="3532" bestFit="1" customWidth="1"/>
    <col min="10003" max="10003" width="15.42578125" style="3532" bestFit="1" customWidth="1"/>
    <col min="10004" max="10004" width="20.42578125" style="3532" bestFit="1" customWidth="1"/>
    <col min="10005" max="10005" width="16.42578125" style="3532" bestFit="1" customWidth="1"/>
    <col min="10006" max="10006" width="14.28515625" style="3532" customWidth="1"/>
    <col min="10007" max="10007" width="12.85546875" style="3532" bestFit="1" customWidth="1"/>
    <col min="10008" max="10008" width="11.28515625" style="3532" bestFit="1" customWidth="1"/>
    <col min="10009" max="10009" width="12.42578125" style="3532" bestFit="1" customWidth="1"/>
    <col min="10010" max="10010" width="14" style="3532" bestFit="1" customWidth="1"/>
    <col min="10011" max="10011" width="6" style="3532" bestFit="1" customWidth="1"/>
    <col min="10012" max="10012" width="15" style="3532" customWidth="1"/>
    <col min="10013" max="10013" width="14.85546875" style="3532" bestFit="1" customWidth="1"/>
    <col min="10014" max="10014" width="16.140625" style="3532" bestFit="1" customWidth="1"/>
    <col min="10015" max="10241" width="8.85546875" style="3532"/>
    <col min="10242" max="10242" width="24" style="3532" bestFit="1" customWidth="1"/>
    <col min="10243" max="10243" width="43.85546875" style="3532" customWidth="1"/>
    <col min="10244" max="10244" width="19.7109375" style="3532" bestFit="1" customWidth="1"/>
    <col min="10245" max="10245" width="12.42578125" style="3532" bestFit="1" customWidth="1"/>
    <col min="10246" max="10246" width="16.28515625" style="3532" bestFit="1" customWidth="1"/>
    <col min="10247" max="10247" width="13.42578125" style="3532" customWidth="1"/>
    <col min="10248" max="10248" width="15.28515625" style="3532" bestFit="1" customWidth="1"/>
    <col min="10249" max="10249" width="14.140625" style="3532" bestFit="1" customWidth="1"/>
    <col min="10250" max="10250" width="15.28515625" style="3532" customWidth="1"/>
    <col min="10251" max="10251" width="17.7109375" style="3532" customWidth="1"/>
    <col min="10252" max="10252" width="17" style="3532" bestFit="1" customWidth="1"/>
    <col min="10253" max="10253" width="12.7109375" style="3532" customWidth="1"/>
    <col min="10254" max="10254" width="13.7109375" style="3532" customWidth="1"/>
    <col min="10255" max="10255" width="13.85546875" style="3532" bestFit="1" customWidth="1"/>
    <col min="10256" max="10256" width="19.7109375" style="3532" bestFit="1" customWidth="1"/>
    <col min="10257" max="10257" width="16.140625" style="3532" customWidth="1"/>
    <col min="10258" max="10258" width="16.7109375" style="3532" bestFit="1" customWidth="1"/>
    <col min="10259" max="10259" width="15.42578125" style="3532" bestFit="1" customWidth="1"/>
    <col min="10260" max="10260" width="20.42578125" style="3532" bestFit="1" customWidth="1"/>
    <col min="10261" max="10261" width="16.42578125" style="3532" bestFit="1" customWidth="1"/>
    <col min="10262" max="10262" width="14.28515625" style="3532" customWidth="1"/>
    <col min="10263" max="10263" width="12.85546875" style="3532" bestFit="1" customWidth="1"/>
    <col min="10264" max="10264" width="11.28515625" style="3532" bestFit="1" customWidth="1"/>
    <col min="10265" max="10265" width="12.42578125" style="3532" bestFit="1" customWidth="1"/>
    <col min="10266" max="10266" width="14" style="3532" bestFit="1" customWidth="1"/>
    <col min="10267" max="10267" width="6" style="3532" bestFit="1" customWidth="1"/>
    <col min="10268" max="10268" width="15" style="3532" customWidth="1"/>
    <col min="10269" max="10269" width="14.85546875" style="3532" bestFit="1" customWidth="1"/>
    <col min="10270" max="10270" width="16.140625" style="3532" bestFit="1" customWidth="1"/>
    <col min="10271" max="10497" width="8.85546875" style="3532"/>
    <col min="10498" max="10498" width="24" style="3532" bestFit="1" customWidth="1"/>
    <col min="10499" max="10499" width="43.85546875" style="3532" customWidth="1"/>
    <col min="10500" max="10500" width="19.7109375" style="3532" bestFit="1" customWidth="1"/>
    <col min="10501" max="10501" width="12.42578125" style="3532" bestFit="1" customWidth="1"/>
    <col min="10502" max="10502" width="16.28515625" style="3532" bestFit="1" customWidth="1"/>
    <col min="10503" max="10503" width="13.42578125" style="3532" customWidth="1"/>
    <col min="10504" max="10504" width="15.28515625" style="3532" bestFit="1" customWidth="1"/>
    <col min="10505" max="10505" width="14.140625" style="3532" bestFit="1" customWidth="1"/>
    <col min="10506" max="10506" width="15.28515625" style="3532" customWidth="1"/>
    <col min="10507" max="10507" width="17.7109375" style="3532" customWidth="1"/>
    <col min="10508" max="10508" width="17" style="3532" bestFit="1" customWidth="1"/>
    <col min="10509" max="10509" width="12.7109375" style="3532" customWidth="1"/>
    <col min="10510" max="10510" width="13.7109375" style="3532" customWidth="1"/>
    <col min="10511" max="10511" width="13.85546875" style="3532" bestFit="1" customWidth="1"/>
    <col min="10512" max="10512" width="19.7109375" style="3532" bestFit="1" customWidth="1"/>
    <col min="10513" max="10513" width="16.140625" style="3532" customWidth="1"/>
    <col min="10514" max="10514" width="16.7109375" style="3532" bestFit="1" customWidth="1"/>
    <col min="10515" max="10515" width="15.42578125" style="3532" bestFit="1" customWidth="1"/>
    <col min="10516" max="10516" width="20.42578125" style="3532" bestFit="1" customWidth="1"/>
    <col min="10517" max="10517" width="16.42578125" style="3532" bestFit="1" customWidth="1"/>
    <col min="10518" max="10518" width="14.28515625" style="3532" customWidth="1"/>
    <col min="10519" max="10519" width="12.85546875" style="3532" bestFit="1" customWidth="1"/>
    <col min="10520" max="10520" width="11.28515625" style="3532" bestFit="1" customWidth="1"/>
    <col min="10521" max="10521" width="12.42578125" style="3532" bestFit="1" customWidth="1"/>
    <col min="10522" max="10522" width="14" style="3532" bestFit="1" customWidth="1"/>
    <col min="10523" max="10523" width="6" style="3532" bestFit="1" customWidth="1"/>
    <col min="10524" max="10524" width="15" style="3532" customWidth="1"/>
    <col min="10525" max="10525" width="14.85546875" style="3532" bestFit="1" customWidth="1"/>
    <col min="10526" max="10526" width="16.140625" style="3532" bestFit="1" customWidth="1"/>
    <col min="10527" max="10753" width="8.85546875" style="3532"/>
    <col min="10754" max="10754" width="24" style="3532" bestFit="1" customWidth="1"/>
    <col min="10755" max="10755" width="43.85546875" style="3532" customWidth="1"/>
    <col min="10756" max="10756" width="19.7109375" style="3532" bestFit="1" customWidth="1"/>
    <col min="10757" max="10757" width="12.42578125" style="3532" bestFit="1" customWidth="1"/>
    <col min="10758" max="10758" width="16.28515625" style="3532" bestFit="1" customWidth="1"/>
    <col min="10759" max="10759" width="13.42578125" style="3532" customWidth="1"/>
    <col min="10760" max="10760" width="15.28515625" style="3532" bestFit="1" customWidth="1"/>
    <col min="10761" max="10761" width="14.140625" style="3532" bestFit="1" customWidth="1"/>
    <col min="10762" max="10762" width="15.28515625" style="3532" customWidth="1"/>
    <col min="10763" max="10763" width="17.7109375" style="3532" customWidth="1"/>
    <col min="10764" max="10764" width="17" style="3532" bestFit="1" customWidth="1"/>
    <col min="10765" max="10765" width="12.7109375" style="3532" customWidth="1"/>
    <col min="10766" max="10766" width="13.7109375" style="3532" customWidth="1"/>
    <col min="10767" max="10767" width="13.85546875" style="3532" bestFit="1" customWidth="1"/>
    <col min="10768" max="10768" width="19.7109375" style="3532" bestFit="1" customWidth="1"/>
    <col min="10769" max="10769" width="16.140625" style="3532" customWidth="1"/>
    <col min="10770" max="10770" width="16.7109375" style="3532" bestFit="1" customWidth="1"/>
    <col min="10771" max="10771" width="15.42578125" style="3532" bestFit="1" customWidth="1"/>
    <col min="10772" max="10772" width="20.42578125" style="3532" bestFit="1" customWidth="1"/>
    <col min="10773" max="10773" width="16.42578125" style="3532" bestFit="1" customWidth="1"/>
    <col min="10774" max="10774" width="14.28515625" style="3532" customWidth="1"/>
    <col min="10775" max="10775" width="12.85546875" style="3532" bestFit="1" customWidth="1"/>
    <col min="10776" max="10776" width="11.28515625" style="3532" bestFit="1" customWidth="1"/>
    <col min="10777" max="10777" width="12.42578125" style="3532" bestFit="1" customWidth="1"/>
    <col min="10778" max="10778" width="14" style="3532" bestFit="1" customWidth="1"/>
    <col min="10779" max="10779" width="6" style="3532" bestFit="1" customWidth="1"/>
    <col min="10780" max="10780" width="15" style="3532" customWidth="1"/>
    <col min="10781" max="10781" width="14.85546875" style="3532" bestFit="1" customWidth="1"/>
    <col min="10782" max="10782" width="16.140625" style="3532" bestFit="1" customWidth="1"/>
    <col min="10783" max="11009" width="8.85546875" style="3532"/>
    <col min="11010" max="11010" width="24" style="3532" bestFit="1" customWidth="1"/>
    <col min="11011" max="11011" width="43.85546875" style="3532" customWidth="1"/>
    <col min="11012" max="11012" width="19.7109375" style="3532" bestFit="1" customWidth="1"/>
    <col min="11013" max="11013" width="12.42578125" style="3532" bestFit="1" customWidth="1"/>
    <col min="11014" max="11014" width="16.28515625" style="3532" bestFit="1" customWidth="1"/>
    <col min="11015" max="11015" width="13.42578125" style="3532" customWidth="1"/>
    <col min="11016" max="11016" width="15.28515625" style="3532" bestFit="1" customWidth="1"/>
    <col min="11017" max="11017" width="14.140625" style="3532" bestFit="1" customWidth="1"/>
    <col min="11018" max="11018" width="15.28515625" style="3532" customWidth="1"/>
    <col min="11019" max="11019" width="17.7109375" style="3532" customWidth="1"/>
    <col min="11020" max="11020" width="17" style="3532" bestFit="1" customWidth="1"/>
    <col min="11021" max="11021" width="12.7109375" style="3532" customWidth="1"/>
    <col min="11022" max="11022" width="13.7109375" style="3532" customWidth="1"/>
    <col min="11023" max="11023" width="13.85546875" style="3532" bestFit="1" customWidth="1"/>
    <col min="11024" max="11024" width="19.7109375" style="3532" bestFit="1" customWidth="1"/>
    <col min="11025" max="11025" width="16.140625" style="3532" customWidth="1"/>
    <col min="11026" max="11026" width="16.7109375" style="3532" bestFit="1" customWidth="1"/>
    <col min="11027" max="11027" width="15.42578125" style="3532" bestFit="1" customWidth="1"/>
    <col min="11028" max="11028" width="20.42578125" style="3532" bestFit="1" customWidth="1"/>
    <col min="11029" max="11029" width="16.42578125" style="3532" bestFit="1" customWidth="1"/>
    <col min="11030" max="11030" width="14.28515625" style="3532" customWidth="1"/>
    <col min="11031" max="11031" width="12.85546875" style="3532" bestFit="1" customWidth="1"/>
    <col min="11032" max="11032" width="11.28515625" style="3532" bestFit="1" customWidth="1"/>
    <col min="11033" max="11033" width="12.42578125" style="3532" bestFit="1" customWidth="1"/>
    <col min="11034" max="11034" width="14" style="3532" bestFit="1" customWidth="1"/>
    <col min="11035" max="11035" width="6" style="3532" bestFit="1" customWidth="1"/>
    <col min="11036" max="11036" width="15" style="3532" customWidth="1"/>
    <col min="11037" max="11037" width="14.85546875" style="3532" bestFit="1" customWidth="1"/>
    <col min="11038" max="11038" width="16.140625" style="3532" bestFit="1" customWidth="1"/>
    <col min="11039" max="11265" width="8.85546875" style="3532"/>
    <col min="11266" max="11266" width="24" style="3532" bestFit="1" customWidth="1"/>
    <col min="11267" max="11267" width="43.85546875" style="3532" customWidth="1"/>
    <col min="11268" max="11268" width="19.7109375" style="3532" bestFit="1" customWidth="1"/>
    <col min="11269" max="11269" width="12.42578125" style="3532" bestFit="1" customWidth="1"/>
    <col min="11270" max="11270" width="16.28515625" style="3532" bestFit="1" customWidth="1"/>
    <col min="11271" max="11271" width="13.42578125" style="3532" customWidth="1"/>
    <col min="11272" max="11272" width="15.28515625" style="3532" bestFit="1" customWidth="1"/>
    <col min="11273" max="11273" width="14.140625" style="3532" bestFit="1" customWidth="1"/>
    <col min="11274" max="11274" width="15.28515625" style="3532" customWidth="1"/>
    <col min="11275" max="11275" width="17.7109375" style="3532" customWidth="1"/>
    <col min="11276" max="11276" width="17" style="3532" bestFit="1" customWidth="1"/>
    <col min="11277" max="11277" width="12.7109375" style="3532" customWidth="1"/>
    <col min="11278" max="11278" width="13.7109375" style="3532" customWidth="1"/>
    <col min="11279" max="11279" width="13.85546875" style="3532" bestFit="1" customWidth="1"/>
    <col min="11280" max="11280" width="19.7109375" style="3532" bestFit="1" customWidth="1"/>
    <col min="11281" max="11281" width="16.140625" style="3532" customWidth="1"/>
    <col min="11282" max="11282" width="16.7109375" style="3532" bestFit="1" customWidth="1"/>
    <col min="11283" max="11283" width="15.42578125" style="3532" bestFit="1" customWidth="1"/>
    <col min="11284" max="11284" width="20.42578125" style="3532" bestFit="1" customWidth="1"/>
    <col min="11285" max="11285" width="16.42578125" style="3532" bestFit="1" customWidth="1"/>
    <col min="11286" max="11286" width="14.28515625" style="3532" customWidth="1"/>
    <col min="11287" max="11287" width="12.85546875" style="3532" bestFit="1" customWidth="1"/>
    <col min="11288" max="11288" width="11.28515625" style="3532" bestFit="1" customWidth="1"/>
    <col min="11289" max="11289" width="12.42578125" style="3532" bestFit="1" customWidth="1"/>
    <col min="11290" max="11290" width="14" style="3532" bestFit="1" customWidth="1"/>
    <col min="11291" max="11291" width="6" style="3532" bestFit="1" customWidth="1"/>
    <col min="11292" max="11292" width="15" style="3532" customWidth="1"/>
    <col min="11293" max="11293" width="14.85546875" style="3532" bestFit="1" customWidth="1"/>
    <col min="11294" max="11294" width="16.140625" style="3532" bestFit="1" customWidth="1"/>
    <col min="11295" max="11521" width="8.85546875" style="3532"/>
    <col min="11522" max="11522" width="24" style="3532" bestFit="1" customWidth="1"/>
    <col min="11523" max="11523" width="43.85546875" style="3532" customWidth="1"/>
    <col min="11524" max="11524" width="19.7109375" style="3532" bestFit="1" customWidth="1"/>
    <col min="11525" max="11525" width="12.42578125" style="3532" bestFit="1" customWidth="1"/>
    <col min="11526" max="11526" width="16.28515625" style="3532" bestFit="1" customWidth="1"/>
    <col min="11527" max="11527" width="13.42578125" style="3532" customWidth="1"/>
    <col min="11528" max="11528" width="15.28515625" style="3532" bestFit="1" customWidth="1"/>
    <col min="11529" max="11529" width="14.140625" style="3532" bestFit="1" customWidth="1"/>
    <col min="11530" max="11530" width="15.28515625" style="3532" customWidth="1"/>
    <col min="11531" max="11531" width="17.7109375" style="3532" customWidth="1"/>
    <col min="11532" max="11532" width="17" style="3532" bestFit="1" customWidth="1"/>
    <col min="11533" max="11533" width="12.7109375" style="3532" customWidth="1"/>
    <col min="11534" max="11534" width="13.7109375" style="3532" customWidth="1"/>
    <col min="11535" max="11535" width="13.85546875" style="3532" bestFit="1" customWidth="1"/>
    <col min="11536" max="11536" width="19.7109375" style="3532" bestFit="1" customWidth="1"/>
    <col min="11537" max="11537" width="16.140625" style="3532" customWidth="1"/>
    <col min="11538" max="11538" width="16.7109375" style="3532" bestFit="1" customWidth="1"/>
    <col min="11539" max="11539" width="15.42578125" style="3532" bestFit="1" customWidth="1"/>
    <col min="11540" max="11540" width="20.42578125" style="3532" bestFit="1" customWidth="1"/>
    <col min="11541" max="11541" width="16.42578125" style="3532" bestFit="1" customWidth="1"/>
    <col min="11542" max="11542" width="14.28515625" style="3532" customWidth="1"/>
    <col min="11543" max="11543" width="12.85546875" style="3532" bestFit="1" customWidth="1"/>
    <col min="11544" max="11544" width="11.28515625" style="3532" bestFit="1" customWidth="1"/>
    <col min="11545" max="11545" width="12.42578125" style="3532" bestFit="1" customWidth="1"/>
    <col min="11546" max="11546" width="14" style="3532" bestFit="1" customWidth="1"/>
    <col min="11547" max="11547" width="6" style="3532" bestFit="1" customWidth="1"/>
    <col min="11548" max="11548" width="15" style="3532" customWidth="1"/>
    <col min="11549" max="11549" width="14.85546875" style="3532" bestFit="1" customWidth="1"/>
    <col min="11550" max="11550" width="16.140625" style="3532" bestFit="1" customWidth="1"/>
    <col min="11551" max="11777" width="8.85546875" style="3532"/>
    <col min="11778" max="11778" width="24" style="3532" bestFit="1" customWidth="1"/>
    <col min="11779" max="11779" width="43.85546875" style="3532" customWidth="1"/>
    <col min="11780" max="11780" width="19.7109375" style="3532" bestFit="1" customWidth="1"/>
    <col min="11781" max="11781" width="12.42578125" style="3532" bestFit="1" customWidth="1"/>
    <col min="11782" max="11782" width="16.28515625" style="3532" bestFit="1" customWidth="1"/>
    <col min="11783" max="11783" width="13.42578125" style="3532" customWidth="1"/>
    <col min="11784" max="11784" width="15.28515625" style="3532" bestFit="1" customWidth="1"/>
    <col min="11785" max="11785" width="14.140625" style="3532" bestFit="1" customWidth="1"/>
    <col min="11786" max="11786" width="15.28515625" style="3532" customWidth="1"/>
    <col min="11787" max="11787" width="17.7109375" style="3532" customWidth="1"/>
    <col min="11788" max="11788" width="17" style="3532" bestFit="1" customWidth="1"/>
    <col min="11789" max="11789" width="12.7109375" style="3532" customWidth="1"/>
    <col min="11790" max="11790" width="13.7109375" style="3532" customWidth="1"/>
    <col min="11791" max="11791" width="13.85546875" style="3532" bestFit="1" customWidth="1"/>
    <col min="11792" max="11792" width="19.7109375" style="3532" bestFit="1" customWidth="1"/>
    <col min="11793" max="11793" width="16.140625" style="3532" customWidth="1"/>
    <col min="11794" max="11794" width="16.7109375" style="3532" bestFit="1" customWidth="1"/>
    <col min="11795" max="11795" width="15.42578125" style="3532" bestFit="1" customWidth="1"/>
    <col min="11796" max="11796" width="20.42578125" style="3532" bestFit="1" customWidth="1"/>
    <col min="11797" max="11797" width="16.42578125" style="3532" bestFit="1" customWidth="1"/>
    <col min="11798" max="11798" width="14.28515625" style="3532" customWidth="1"/>
    <col min="11799" max="11799" width="12.85546875" style="3532" bestFit="1" customWidth="1"/>
    <col min="11800" max="11800" width="11.28515625" style="3532" bestFit="1" customWidth="1"/>
    <col min="11801" max="11801" width="12.42578125" style="3532" bestFit="1" customWidth="1"/>
    <col min="11802" max="11802" width="14" style="3532" bestFit="1" customWidth="1"/>
    <col min="11803" max="11803" width="6" style="3532" bestFit="1" customWidth="1"/>
    <col min="11804" max="11804" width="15" style="3532" customWidth="1"/>
    <col min="11805" max="11805" width="14.85546875" style="3532" bestFit="1" customWidth="1"/>
    <col min="11806" max="11806" width="16.140625" style="3532" bestFit="1" customWidth="1"/>
    <col min="11807" max="12033" width="8.85546875" style="3532"/>
    <col min="12034" max="12034" width="24" style="3532" bestFit="1" customWidth="1"/>
    <col min="12035" max="12035" width="43.85546875" style="3532" customWidth="1"/>
    <col min="12036" max="12036" width="19.7109375" style="3532" bestFit="1" customWidth="1"/>
    <col min="12037" max="12037" width="12.42578125" style="3532" bestFit="1" customWidth="1"/>
    <col min="12038" max="12038" width="16.28515625" style="3532" bestFit="1" customWidth="1"/>
    <col min="12039" max="12039" width="13.42578125" style="3532" customWidth="1"/>
    <col min="12040" max="12040" width="15.28515625" style="3532" bestFit="1" customWidth="1"/>
    <col min="12041" max="12041" width="14.140625" style="3532" bestFit="1" customWidth="1"/>
    <col min="12042" max="12042" width="15.28515625" style="3532" customWidth="1"/>
    <col min="12043" max="12043" width="17.7109375" style="3532" customWidth="1"/>
    <col min="12044" max="12044" width="17" style="3532" bestFit="1" customWidth="1"/>
    <col min="12045" max="12045" width="12.7109375" style="3532" customWidth="1"/>
    <col min="12046" max="12046" width="13.7109375" style="3532" customWidth="1"/>
    <col min="12047" max="12047" width="13.85546875" style="3532" bestFit="1" customWidth="1"/>
    <col min="12048" max="12048" width="19.7109375" style="3532" bestFit="1" customWidth="1"/>
    <col min="12049" max="12049" width="16.140625" style="3532" customWidth="1"/>
    <col min="12050" max="12050" width="16.7109375" style="3532" bestFit="1" customWidth="1"/>
    <col min="12051" max="12051" width="15.42578125" style="3532" bestFit="1" customWidth="1"/>
    <col min="12052" max="12052" width="20.42578125" style="3532" bestFit="1" customWidth="1"/>
    <col min="12053" max="12053" width="16.42578125" style="3532" bestFit="1" customWidth="1"/>
    <col min="12054" max="12054" width="14.28515625" style="3532" customWidth="1"/>
    <col min="12055" max="12055" width="12.85546875" style="3532" bestFit="1" customWidth="1"/>
    <col min="12056" max="12056" width="11.28515625" style="3532" bestFit="1" customWidth="1"/>
    <col min="12057" max="12057" width="12.42578125" style="3532" bestFit="1" customWidth="1"/>
    <col min="12058" max="12058" width="14" style="3532" bestFit="1" customWidth="1"/>
    <col min="12059" max="12059" width="6" style="3532" bestFit="1" customWidth="1"/>
    <col min="12060" max="12060" width="15" style="3532" customWidth="1"/>
    <col min="12061" max="12061" width="14.85546875" style="3532" bestFit="1" customWidth="1"/>
    <col min="12062" max="12062" width="16.140625" style="3532" bestFit="1" customWidth="1"/>
    <col min="12063" max="12289" width="8.85546875" style="3532"/>
    <col min="12290" max="12290" width="24" style="3532" bestFit="1" customWidth="1"/>
    <col min="12291" max="12291" width="43.85546875" style="3532" customWidth="1"/>
    <col min="12292" max="12292" width="19.7109375" style="3532" bestFit="1" customWidth="1"/>
    <col min="12293" max="12293" width="12.42578125" style="3532" bestFit="1" customWidth="1"/>
    <col min="12294" max="12294" width="16.28515625" style="3532" bestFit="1" customWidth="1"/>
    <col min="12295" max="12295" width="13.42578125" style="3532" customWidth="1"/>
    <col min="12296" max="12296" width="15.28515625" style="3532" bestFit="1" customWidth="1"/>
    <col min="12297" max="12297" width="14.140625" style="3532" bestFit="1" customWidth="1"/>
    <col min="12298" max="12298" width="15.28515625" style="3532" customWidth="1"/>
    <col min="12299" max="12299" width="17.7109375" style="3532" customWidth="1"/>
    <col min="12300" max="12300" width="17" style="3532" bestFit="1" customWidth="1"/>
    <col min="12301" max="12301" width="12.7109375" style="3532" customWidth="1"/>
    <col min="12302" max="12302" width="13.7109375" style="3532" customWidth="1"/>
    <col min="12303" max="12303" width="13.85546875" style="3532" bestFit="1" customWidth="1"/>
    <col min="12304" max="12304" width="19.7109375" style="3532" bestFit="1" customWidth="1"/>
    <col min="12305" max="12305" width="16.140625" style="3532" customWidth="1"/>
    <col min="12306" max="12306" width="16.7109375" style="3532" bestFit="1" customWidth="1"/>
    <col min="12307" max="12307" width="15.42578125" style="3532" bestFit="1" customWidth="1"/>
    <col min="12308" max="12308" width="20.42578125" style="3532" bestFit="1" customWidth="1"/>
    <col min="12309" max="12309" width="16.42578125" style="3532" bestFit="1" customWidth="1"/>
    <col min="12310" max="12310" width="14.28515625" style="3532" customWidth="1"/>
    <col min="12311" max="12311" width="12.85546875" style="3532" bestFit="1" customWidth="1"/>
    <col min="12312" max="12312" width="11.28515625" style="3532" bestFit="1" customWidth="1"/>
    <col min="12313" max="12313" width="12.42578125" style="3532" bestFit="1" customWidth="1"/>
    <col min="12314" max="12314" width="14" style="3532" bestFit="1" customWidth="1"/>
    <col min="12315" max="12315" width="6" style="3532" bestFit="1" customWidth="1"/>
    <col min="12316" max="12316" width="15" style="3532" customWidth="1"/>
    <col min="12317" max="12317" width="14.85546875" style="3532" bestFit="1" customWidth="1"/>
    <col min="12318" max="12318" width="16.140625" style="3532" bestFit="1" customWidth="1"/>
    <col min="12319" max="12545" width="8.85546875" style="3532"/>
    <col min="12546" max="12546" width="24" style="3532" bestFit="1" customWidth="1"/>
    <col min="12547" max="12547" width="43.85546875" style="3532" customWidth="1"/>
    <col min="12548" max="12548" width="19.7109375" style="3532" bestFit="1" customWidth="1"/>
    <col min="12549" max="12549" width="12.42578125" style="3532" bestFit="1" customWidth="1"/>
    <col min="12550" max="12550" width="16.28515625" style="3532" bestFit="1" customWidth="1"/>
    <col min="12551" max="12551" width="13.42578125" style="3532" customWidth="1"/>
    <col min="12552" max="12552" width="15.28515625" style="3532" bestFit="1" customWidth="1"/>
    <col min="12553" max="12553" width="14.140625" style="3532" bestFit="1" customWidth="1"/>
    <col min="12554" max="12554" width="15.28515625" style="3532" customWidth="1"/>
    <col min="12555" max="12555" width="17.7109375" style="3532" customWidth="1"/>
    <col min="12556" max="12556" width="17" style="3532" bestFit="1" customWidth="1"/>
    <col min="12557" max="12557" width="12.7109375" style="3532" customWidth="1"/>
    <col min="12558" max="12558" width="13.7109375" style="3532" customWidth="1"/>
    <col min="12559" max="12559" width="13.85546875" style="3532" bestFit="1" customWidth="1"/>
    <col min="12560" max="12560" width="19.7109375" style="3532" bestFit="1" customWidth="1"/>
    <col min="12561" max="12561" width="16.140625" style="3532" customWidth="1"/>
    <col min="12562" max="12562" width="16.7109375" style="3532" bestFit="1" customWidth="1"/>
    <col min="12563" max="12563" width="15.42578125" style="3532" bestFit="1" customWidth="1"/>
    <col min="12564" max="12564" width="20.42578125" style="3532" bestFit="1" customWidth="1"/>
    <col min="12565" max="12565" width="16.42578125" style="3532" bestFit="1" customWidth="1"/>
    <col min="12566" max="12566" width="14.28515625" style="3532" customWidth="1"/>
    <col min="12567" max="12567" width="12.85546875" style="3532" bestFit="1" customWidth="1"/>
    <col min="12568" max="12568" width="11.28515625" style="3532" bestFit="1" customWidth="1"/>
    <col min="12569" max="12569" width="12.42578125" style="3532" bestFit="1" customWidth="1"/>
    <col min="12570" max="12570" width="14" style="3532" bestFit="1" customWidth="1"/>
    <col min="12571" max="12571" width="6" style="3532" bestFit="1" customWidth="1"/>
    <col min="12572" max="12572" width="15" style="3532" customWidth="1"/>
    <col min="12573" max="12573" width="14.85546875" style="3532" bestFit="1" customWidth="1"/>
    <col min="12574" max="12574" width="16.140625" style="3532" bestFit="1" customWidth="1"/>
    <col min="12575" max="12801" width="8.85546875" style="3532"/>
    <col min="12802" max="12802" width="24" style="3532" bestFit="1" customWidth="1"/>
    <col min="12803" max="12803" width="43.85546875" style="3532" customWidth="1"/>
    <col min="12804" max="12804" width="19.7109375" style="3532" bestFit="1" customWidth="1"/>
    <col min="12805" max="12805" width="12.42578125" style="3532" bestFit="1" customWidth="1"/>
    <col min="12806" max="12806" width="16.28515625" style="3532" bestFit="1" customWidth="1"/>
    <col min="12807" max="12807" width="13.42578125" style="3532" customWidth="1"/>
    <col min="12808" max="12808" width="15.28515625" style="3532" bestFit="1" customWidth="1"/>
    <col min="12809" max="12809" width="14.140625" style="3532" bestFit="1" customWidth="1"/>
    <col min="12810" max="12810" width="15.28515625" style="3532" customWidth="1"/>
    <col min="12811" max="12811" width="17.7109375" style="3532" customWidth="1"/>
    <col min="12812" max="12812" width="17" style="3532" bestFit="1" customWidth="1"/>
    <col min="12813" max="12813" width="12.7109375" style="3532" customWidth="1"/>
    <col min="12814" max="12814" width="13.7109375" style="3532" customWidth="1"/>
    <col min="12815" max="12815" width="13.85546875" style="3532" bestFit="1" customWidth="1"/>
    <col min="12816" max="12816" width="19.7109375" style="3532" bestFit="1" customWidth="1"/>
    <col min="12817" max="12817" width="16.140625" style="3532" customWidth="1"/>
    <col min="12818" max="12818" width="16.7109375" style="3532" bestFit="1" customWidth="1"/>
    <col min="12819" max="12819" width="15.42578125" style="3532" bestFit="1" customWidth="1"/>
    <col min="12820" max="12820" width="20.42578125" style="3532" bestFit="1" customWidth="1"/>
    <col min="12821" max="12821" width="16.42578125" style="3532" bestFit="1" customWidth="1"/>
    <col min="12822" max="12822" width="14.28515625" style="3532" customWidth="1"/>
    <col min="12823" max="12823" width="12.85546875" style="3532" bestFit="1" customWidth="1"/>
    <col min="12824" max="12824" width="11.28515625" style="3532" bestFit="1" customWidth="1"/>
    <col min="12825" max="12825" width="12.42578125" style="3532" bestFit="1" customWidth="1"/>
    <col min="12826" max="12826" width="14" style="3532" bestFit="1" customWidth="1"/>
    <col min="12827" max="12827" width="6" style="3532" bestFit="1" customWidth="1"/>
    <col min="12828" max="12828" width="15" style="3532" customWidth="1"/>
    <col min="12829" max="12829" width="14.85546875" style="3532" bestFit="1" customWidth="1"/>
    <col min="12830" max="12830" width="16.140625" style="3532" bestFit="1" customWidth="1"/>
    <col min="12831" max="13057" width="8.85546875" style="3532"/>
    <col min="13058" max="13058" width="24" style="3532" bestFit="1" customWidth="1"/>
    <col min="13059" max="13059" width="43.85546875" style="3532" customWidth="1"/>
    <col min="13060" max="13060" width="19.7109375" style="3532" bestFit="1" customWidth="1"/>
    <col min="13061" max="13061" width="12.42578125" style="3532" bestFit="1" customWidth="1"/>
    <col min="13062" max="13062" width="16.28515625" style="3532" bestFit="1" customWidth="1"/>
    <col min="13063" max="13063" width="13.42578125" style="3532" customWidth="1"/>
    <col min="13064" max="13064" width="15.28515625" style="3532" bestFit="1" customWidth="1"/>
    <col min="13065" max="13065" width="14.140625" style="3532" bestFit="1" customWidth="1"/>
    <col min="13066" max="13066" width="15.28515625" style="3532" customWidth="1"/>
    <col min="13067" max="13067" width="17.7109375" style="3532" customWidth="1"/>
    <col min="13068" max="13068" width="17" style="3532" bestFit="1" customWidth="1"/>
    <col min="13069" max="13069" width="12.7109375" style="3532" customWidth="1"/>
    <col min="13070" max="13070" width="13.7109375" style="3532" customWidth="1"/>
    <col min="13071" max="13071" width="13.85546875" style="3532" bestFit="1" customWidth="1"/>
    <col min="13072" max="13072" width="19.7109375" style="3532" bestFit="1" customWidth="1"/>
    <col min="13073" max="13073" width="16.140625" style="3532" customWidth="1"/>
    <col min="13074" max="13074" width="16.7109375" style="3532" bestFit="1" customWidth="1"/>
    <col min="13075" max="13075" width="15.42578125" style="3532" bestFit="1" customWidth="1"/>
    <col min="13076" max="13076" width="20.42578125" style="3532" bestFit="1" customWidth="1"/>
    <col min="13077" max="13077" width="16.42578125" style="3532" bestFit="1" customWidth="1"/>
    <col min="13078" max="13078" width="14.28515625" style="3532" customWidth="1"/>
    <col min="13079" max="13079" width="12.85546875" style="3532" bestFit="1" customWidth="1"/>
    <col min="13080" max="13080" width="11.28515625" style="3532" bestFit="1" customWidth="1"/>
    <col min="13081" max="13081" width="12.42578125" style="3532" bestFit="1" customWidth="1"/>
    <col min="13082" max="13082" width="14" style="3532" bestFit="1" customWidth="1"/>
    <col min="13083" max="13083" width="6" style="3532" bestFit="1" customWidth="1"/>
    <col min="13084" max="13084" width="15" style="3532" customWidth="1"/>
    <col min="13085" max="13085" width="14.85546875" style="3532" bestFit="1" customWidth="1"/>
    <col min="13086" max="13086" width="16.140625" style="3532" bestFit="1" customWidth="1"/>
    <col min="13087" max="13313" width="8.85546875" style="3532"/>
    <col min="13314" max="13314" width="24" style="3532" bestFit="1" customWidth="1"/>
    <col min="13315" max="13315" width="43.85546875" style="3532" customWidth="1"/>
    <col min="13316" max="13316" width="19.7109375" style="3532" bestFit="1" customWidth="1"/>
    <col min="13317" max="13317" width="12.42578125" style="3532" bestFit="1" customWidth="1"/>
    <col min="13318" max="13318" width="16.28515625" style="3532" bestFit="1" customWidth="1"/>
    <col min="13319" max="13319" width="13.42578125" style="3532" customWidth="1"/>
    <col min="13320" max="13320" width="15.28515625" style="3532" bestFit="1" customWidth="1"/>
    <col min="13321" max="13321" width="14.140625" style="3532" bestFit="1" customWidth="1"/>
    <col min="13322" max="13322" width="15.28515625" style="3532" customWidth="1"/>
    <col min="13323" max="13323" width="17.7109375" style="3532" customWidth="1"/>
    <col min="13324" max="13324" width="17" style="3532" bestFit="1" customWidth="1"/>
    <col min="13325" max="13325" width="12.7109375" style="3532" customWidth="1"/>
    <col min="13326" max="13326" width="13.7109375" style="3532" customWidth="1"/>
    <col min="13327" max="13327" width="13.85546875" style="3532" bestFit="1" customWidth="1"/>
    <col min="13328" max="13328" width="19.7109375" style="3532" bestFit="1" customWidth="1"/>
    <col min="13329" max="13329" width="16.140625" style="3532" customWidth="1"/>
    <col min="13330" max="13330" width="16.7109375" style="3532" bestFit="1" customWidth="1"/>
    <col min="13331" max="13331" width="15.42578125" style="3532" bestFit="1" customWidth="1"/>
    <col min="13332" max="13332" width="20.42578125" style="3532" bestFit="1" customWidth="1"/>
    <col min="13333" max="13333" width="16.42578125" style="3532" bestFit="1" customWidth="1"/>
    <col min="13334" max="13334" width="14.28515625" style="3532" customWidth="1"/>
    <col min="13335" max="13335" width="12.85546875" style="3532" bestFit="1" customWidth="1"/>
    <col min="13336" max="13336" width="11.28515625" style="3532" bestFit="1" customWidth="1"/>
    <col min="13337" max="13337" width="12.42578125" style="3532" bestFit="1" customWidth="1"/>
    <col min="13338" max="13338" width="14" style="3532" bestFit="1" customWidth="1"/>
    <col min="13339" max="13339" width="6" style="3532" bestFit="1" customWidth="1"/>
    <col min="13340" max="13340" width="15" style="3532" customWidth="1"/>
    <col min="13341" max="13341" width="14.85546875" style="3532" bestFit="1" customWidth="1"/>
    <col min="13342" max="13342" width="16.140625" style="3532" bestFit="1" customWidth="1"/>
    <col min="13343" max="13569" width="8.85546875" style="3532"/>
    <col min="13570" max="13570" width="24" style="3532" bestFit="1" customWidth="1"/>
    <col min="13571" max="13571" width="43.85546875" style="3532" customWidth="1"/>
    <col min="13572" max="13572" width="19.7109375" style="3532" bestFit="1" customWidth="1"/>
    <col min="13573" max="13573" width="12.42578125" style="3532" bestFit="1" customWidth="1"/>
    <col min="13574" max="13574" width="16.28515625" style="3532" bestFit="1" customWidth="1"/>
    <col min="13575" max="13575" width="13.42578125" style="3532" customWidth="1"/>
    <col min="13576" max="13576" width="15.28515625" style="3532" bestFit="1" customWidth="1"/>
    <col min="13577" max="13577" width="14.140625" style="3532" bestFit="1" customWidth="1"/>
    <col min="13578" max="13578" width="15.28515625" style="3532" customWidth="1"/>
    <col min="13579" max="13579" width="17.7109375" style="3532" customWidth="1"/>
    <col min="13580" max="13580" width="17" style="3532" bestFit="1" customWidth="1"/>
    <col min="13581" max="13581" width="12.7109375" style="3532" customWidth="1"/>
    <col min="13582" max="13582" width="13.7109375" style="3532" customWidth="1"/>
    <col min="13583" max="13583" width="13.85546875" style="3532" bestFit="1" customWidth="1"/>
    <col min="13584" max="13584" width="19.7109375" style="3532" bestFit="1" customWidth="1"/>
    <col min="13585" max="13585" width="16.140625" style="3532" customWidth="1"/>
    <col min="13586" max="13586" width="16.7109375" style="3532" bestFit="1" customWidth="1"/>
    <col min="13587" max="13587" width="15.42578125" style="3532" bestFit="1" customWidth="1"/>
    <col min="13588" max="13588" width="20.42578125" style="3532" bestFit="1" customWidth="1"/>
    <col min="13589" max="13589" width="16.42578125" style="3532" bestFit="1" customWidth="1"/>
    <col min="13590" max="13590" width="14.28515625" style="3532" customWidth="1"/>
    <col min="13591" max="13591" width="12.85546875" style="3532" bestFit="1" customWidth="1"/>
    <col min="13592" max="13592" width="11.28515625" style="3532" bestFit="1" customWidth="1"/>
    <col min="13593" max="13593" width="12.42578125" style="3532" bestFit="1" customWidth="1"/>
    <col min="13594" max="13594" width="14" style="3532" bestFit="1" customWidth="1"/>
    <col min="13595" max="13595" width="6" style="3532" bestFit="1" customWidth="1"/>
    <col min="13596" max="13596" width="15" style="3532" customWidth="1"/>
    <col min="13597" max="13597" width="14.85546875" style="3532" bestFit="1" customWidth="1"/>
    <col min="13598" max="13598" width="16.140625" style="3532" bestFit="1" customWidth="1"/>
    <col min="13599" max="13825" width="8.85546875" style="3532"/>
    <col min="13826" max="13826" width="24" style="3532" bestFit="1" customWidth="1"/>
    <col min="13827" max="13827" width="43.85546875" style="3532" customWidth="1"/>
    <col min="13828" max="13828" width="19.7109375" style="3532" bestFit="1" customWidth="1"/>
    <col min="13829" max="13829" width="12.42578125" style="3532" bestFit="1" customWidth="1"/>
    <col min="13830" max="13830" width="16.28515625" style="3532" bestFit="1" customWidth="1"/>
    <col min="13831" max="13831" width="13.42578125" style="3532" customWidth="1"/>
    <col min="13832" max="13832" width="15.28515625" style="3532" bestFit="1" customWidth="1"/>
    <col min="13833" max="13833" width="14.140625" style="3532" bestFit="1" customWidth="1"/>
    <col min="13834" max="13834" width="15.28515625" style="3532" customWidth="1"/>
    <col min="13835" max="13835" width="17.7109375" style="3532" customWidth="1"/>
    <col min="13836" max="13836" width="17" style="3532" bestFit="1" customWidth="1"/>
    <col min="13837" max="13837" width="12.7109375" style="3532" customWidth="1"/>
    <col min="13838" max="13838" width="13.7109375" style="3532" customWidth="1"/>
    <col min="13839" max="13839" width="13.85546875" style="3532" bestFit="1" customWidth="1"/>
    <col min="13840" max="13840" width="19.7109375" style="3532" bestFit="1" customWidth="1"/>
    <col min="13841" max="13841" width="16.140625" style="3532" customWidth="1"/>
    <col min="13842" max="13842" width="16.7109375" style="3532" bestFit="1" customWidth="1"/>
    <col min="13843" max="13843" width="15.42578125" style="3532" bestFit="1" customWidth="1"/>
    <col min="13844" max="13844" width="20.42578125" style="3532" bestFit="1" customWidth="1"/>
    <col min="13845" max="13845" width="16.42578125" style="3532" bestFit="1" customWidth="1"/>
    <col min="13846" max="13846" width="14.28515625" style="3532" customWidth="1"/>
    <col min="13847" max="13847" width="12.85546875" style="3532" bestFit="1" customWidth="1"/>
    <col min="13848" max="13848" width="11.28515625" style="3532" bestFit="1" customWidth="1"/>
    <col min="13849" max="13849" width="12.42578125" style="3532" bestFit="1" customWidth="1"/>
    <col min="13850" max="13850" width="14" style="3532" bestFit="1" customWidth="1"/>
    <col min="13851" max="13851" width="6" style="3532" bestFit="1" customWidth="1"/>
    <col min="13852" max="13852" width="15" style="3532" customWidth="1"/>
    <col min="13853" max="13853" width="14.85546875" style="3532" bestFit="1" customWidth="1"/>
    <col min="13854" max="13854" width="16.140625" style="3532" bestFit="1" customWidth="1"/>
    <col min="13855" max="14081" width="8.85546875" style="3532"/>
    <col min="14082" max="14082" width="24" style="3532" bestFit="1" customWidth="1"/>
    <col min="14083" max="14083" width="43.85546875" style="3532" customWidth="1"/>
    <col min="14084" max="14084" width="19.7109375" style="3532" bestFit="1" customWidth="1"/>
    <col min="14085" max="14085" width="12.42578125" style="3532" bestFit="1" customWidth="1"/>
    <col min="14086" max="14086" width="16.28515625" style="3532" bestFit="1" customWidth="1"/>
    <col min="14087" max="14087" width="13.42578125" style="3532" customWidth="1"/>
    <col min="14088" max="14088" width="15.28515625" style="3532" bestFit="1" customWidth="1"/>
    <col min="14089" max="14089" width="14.140625" style="3532" bestFit="1" customWidth="1"/>
    <col min="14090" max="14090" width="15.28515625" style="3532" customWidth="1"/>
    <col min="14091" max="14091" width="17.7109375" style="3532" customWidth="1"/>
    <col min="14092" max="14092" width="17" style="3532" bestFit="1" customWidth="1"/>
    <col min="14093" max="14093" width="12.7109375" style="3532" customWidth="1"/>
    <col min="14094" max="14094" width="13.7109375" style="3532" customWidth="1"/>
    <col min="14095" max="14095" width="13.85546875" style="3532" bestFit="1" customWidth="1"/>
    <col min="14096" max="14096" width="19.7109375" style="3532" bestFit="1" customWidth="1"/>
    <col min="14097" max="14097" width="16.140625" style="3532" customWidth="1"/>
    <col min="14098" max="14098" width="16.7109375" style="3532" bestFit="1" customWidth="1"/>
    <col min="14099" max="14099" width="15.42578125" style="3532" bestFit="1" customWidth="1"/>
    <col min="14100" max="14100" width="20.42578125" style="3532" bestFit="1" customWidth="1"/>
    <col min="14101" max="14101" width="16.42578125" style="3532" bestFit="1" customWidth="1"/>
    <col min="14102" max="14102" width="14.28515625" style="3532" customWidth="1"/>
    <col min="14103" max="14103" width="12.85546875" style="3532" bestFit="1" customWidth="1"/>
    <col min="14104" max="14104" width="11.28515625" style="3532" bestFit="1" customWidth="1"/>
    <col min="14105" max="14105" width="12.42578125" style="3532" bestFit="1" customWidth="1"/>
    <col min="14106" max="14106" width="14" style="3532" bestFit="1" customWidth="1"/>
    <col min="14107" max="14107" width="6" style="3532" bestFit="1" customWidth="1"/>
    <col min="14108" max="14108" width="15" style="3532" customWidth="1"/>
    <col min="14109" max="14109" width="14.85546875" style="3532" bestFit="1" customWidth="1"/>
    <col min="14110" max="14110" width="16.140625" style="3532" bestFit="1" customWidth="1"/>
    <col min="14111" max="14337" width="8.85546875" style="3532"/>
    <col min="14338" max="14338" width="24" style="3532" bestFit="1" customWidth="1"/>
    <col min="14339" max="14339" width="43.85546875" style="3532" customWidth="1"/>
    <col min="14340" max="14340" width="19.7109375" style="3532" bestFit="1" customWidth="1"/>
    <col min="14341" max="14341" width="12.42578125" style="3532" bestFit="1" customWidth="1"/>
    <col min="14342" max="14342" width="16.28515625" style="3532" bestFit="1" customWidth="1"/>
    <col min="14343" max="14343" width="13.42578125" style="3532" customWidth="1"/>
    <col min="14344" max="14344" width="15.28515625" style="3532" bestFit="1" customWidth="1"/>
    <col min="14345" max="14345" width="14.140625" style="3532" bestFit="1" customWidth="1"/>
    <col min="14346" max="14346" width="15.28515625" style="3532" customWidth="1"/>
    <col min="14347" max="14347" width="17.7109375" style="3532" customWidth="1"/>
    <col min="14348" max="14348" width="17" style="3532" bestFit="1" customWidth="1"/>
    <col min="14349" max="14349" width="12.7109375" style="3532" customWidth="1"/>
    <col min="14350" max="14350" width="13.7109375" style="3532" customWidth="1"/>
    <col min="14351" max="14351" width="13.85546875" style="3532" bestFit="1" customWidth="1"/>
    <col min="14352" max="14352" width="19.7109375" style="3532" bestFit="1" customWidth="1"/>
    <col min="14353" max="14353" width="16.140625" style="3532" customWidth="1"/>
    <col min="14354" max="14354" width="16.7109375" style="3532" bestFit="1" customWidth="1"/>
    <col min="14355" max="14355" width="15.42578125" style="3532" bestFit="1" customWidth="1"/>
    <col min="14356" max="14356" width="20.42578125" style="3532" bestFit="1" customWidth="1"/>
    <col min="14357" max="14357" width="16.42578125" style="3532" bestFit="1" customWidth="1"/>
    <col min="14358" max="14358" width="14.28515625" style="3532" customWidth="1"/>
    <col min="14359" max="14359" width="12.85546875" style="3532" bestFit="1" customWidth="1"/>
    <col min="14360" max="14360" width="11.28515625" style="3532" bestFit="1" customWidth="1"/>
    <col min="14361" max="14361" width="12.42578125" style="3532" bestFit="1" customWidth="1"/>
    <col min="14362" max="14362" width="14" style="3532" bestFit="1" customWidth="1"/>
    <col min="14363" max="14363" width="6" style="3532" bestFit="1" customWidth="1"/>
    <col min="14364" max="14364" width="15" style="3532" customWidth="1"/>
    <col min="14365" max="14365" width="14.85546875" style="3532" bestFit="1" customWidth="1"/>
    <col min="14366" max="14366" width="16.140625" style="3532" bestFit="1" customWidth="1"/>
    <col min="14367" max="14593" width="8.85546875" style="3532"/>
    <col min="14594" max="14594" width="24" style="3532" bestFit="1" customWidth="1"/>
    <col min="14595" max="14595" width="43.85546875" style="3532" customWidth="1"/>
    <col min="14596" max="14596" width="19.7109375" style="3532" bestFit="1" customWidth="1"/>
    <col min="14597" max="14597" width="12.42578125" style="3532" bestFit="1" customWidth="1"/>
    <col min="14598" max="14598" width="16.28515625" style="3532" bestFit="1" customWidth="1"/>
    <col min="14599" max="14599" width="13.42578125" style="3532" customWidth="1"/>
    <col min="14600" max="14600" width="15.28515625" style="3532" bestFit="1" customWidth="1"/>
    <col min="14601" max="14601" width="14.140625" style="3532" bestFit="1" customWidth="1"/>
    <col min="14602" max="14602" width="15.28515625" style="3532" customWidth="1"/>
    <col min="14603" max="14603" width="17.7109375" style="3532" customWidth="1"/>
    <col min="14604" max="14604" width="17" style="3532" bestFit="1" customWidth="1"/>
    <col min="14605" max="14605" width="12.7109375" style="3532" customWidth="1"/>
    <col min="14606" max="14606" width="13.7109375" style="3532" customWidth="1"/>
    <col min="14607" max="14607" width="13.85546875" style="3532" bestFit="1" customWidth="1"/>
    <col min="14608" max="14608" width="19.7109375" style="3532" bestFit="1" customWidth="1"/>
    <col min="14609" max="14609" width="16.140625" style="3532" customWidth="1"/>
    <col min="14610" max="14610" width="16.7109375" style="3532" bestFit="1" customWidth="1"/>
    <col min="14611" max="14611" width="15.42578125" style="3532" bestFit="1" customWidth="1"/>
    <col min="14612" max="14612" width="20.42578125" style="3532" bestFit="1" customWidth="1"/>
    <col min="14613" max="14613" width="16.42578125" style="3532" bestFit="1" customWidth="1"/>
    <col min="14614" max="14614" width="14.28515625" style="3532" customWidth="1"/>
    <col min="14615" max="14615" width="12.85546875" style="3532" bestFit="1" customWidth="1"/>
    <col min="14616" max="14616" width="11.28515625" style="3532" bestFit="1" customWidth="1"/>
    <col min="14617" max="14617" width="12.42578125" style="3532" bestFit="1" customWidth="1"/>
    <col min="14618" max="14618" width="14" style="3532" bestFit="1" customWidth="1"/>
    <col min="14619" max="14619" width="6" style="3532" bestFit="1" customWidth="1"/>
    <col min="14620" max="14620" width="15" style="3532" customWidth="1"/>
    <col min="14621" max="14621" width="14.85546875" style="3532" bestFit="1" customWidth="1"/>
    <col min="14622" max="14622" width="16.140625" style="3532" bestFit="1" customWidth="1"/>
    <col min="14623" max="14849" width="8.85546875" style="3532"/>
    <col min="14850" max="14850" width="24" style="3532" bestFit="1" customWidth="1"/>
    <col min="14851" max="14851" width="43.85546875" style="3532" customWidth="1"/>
    <col min="14852" max="14852" width="19.7109375" style="3532" bestFit="1" customWidth="1"/>
    <col min="14853" max="14853" width="12.42578125" style="3532" bestFit="1" customWidth="1"/>
    <col min="14854" max="14854" width="16.28515625" style="3532" bestFit="1" customWidth="1"/>
    <col min="14855" max="14855" width="13.42578125" style="3532" customWidth="1"/>
    <col min="14856" max="14856" width="15.28515625" style="3532" bestFit="1" customWidth="1"/>
    <col min="14857" max="14857" width="14.140625" style="3532" bestFit="1" customWidth="1"/>
    <col min="14858" max="14858" width="15.28515625" style="3532" customWidth="1"/>
    <col min="14859" max="14859" width="17.7109375" style="3532" customWidth="1"/>
    <col min="14860" max="14860" width="17" style="3532" bestFit="1" customWidth="1"/>
    <col min="14861" max="14861" width="12.7109375" style="3532" customWidth="1"/>
    <col min="14862" max="14862" width="13.7109375" style="3532" customWidth="1"/>
    <col min="14863" max="14863" width="13.85546875" style="3532" bestFit="1" customWidth="1"/>
    <col min="14864" max="14864" width="19.7109375" style="3532" bestFit="1" customWidth="1"/>
    <col min="14865" max="14865" width="16.140625" style="3532" customWidth="1"/>
    <col min="14866" max="14866" width="16.7109375" style="3532" bestFit="1" customWidth="1"/>
    <col min="14867" max="14867" width="15.42578125" style="3532" bestFit="1" customWidth="1"/>
    <col min="14868" max="14868" width="20.42578125" style="3532" bestFit="1" customWidth="1"/>
    <col min="14869" max="14869" width="16.42578125" style="3532" bestFit="1" customWidth="1"/>
    <col min="14870" max="14870" width="14.28515625" style="3532" customWidth="1"/>
    <col min="14871" max="14871" width="12.85546875" style="3532" bestFit="1" customWidth="1"/>
    <col min="14872" max="14872" width="11.28515625" style="3532" bestFit="1" customWidth="1"/>
    <col min="14873" max="14873" width="12.42578125" style="3532" bestFit="1" customWidth="1"/>
    <col min="14874" max="14874" width="14" style="3532" bestFit="1" customWidth="1"/>
    <col min="14875" max="14875" width="6" style="3532" bestFit="1" customWidth="1"/>
    <col min="14876" max="14876" width="15" style="3532" customWidth="1"/>
    <col min="14877" max="14877" width="14.85546875" style="3532" bestFit="1" customWidth="1"/>
    <col min="14878" max="14878" width="16.140625" style="3532" bestFit="1" customWidth="1"/>
    <col min="14879" max="15105" width="8.85546875" style="3532"/>
    <col min="15106" max="15106" width="24" style="3532" bestFit="1" customWidth="1"/>
    <col min="15107" max="15107" width="43.85546875" style="3532" customWidth="1"/>
    <col min="15108" max="15108" width="19.7109375" style="3532" bestFit="1" customWidth="1"/>
    <col min="15109" max="15109" width="12.42578125" style="3532" bestFit="1" customWidth="1"/>
    <col min="15110" max="15110" width="16.28515625" style="3532" bestFit="1" customWidth="1"/>
    <col min="15111" max="15111" width="13.42578125" style="3532" customWidth="1"/>
    <col min="15112" max="15112" width="15.28515625" style="3532" bestFit="1" customWidth="1"/>
    <col min="15113" max="15113" width="14.140625" style="3532" bestFit="1" customWidth="1"/>
    <col min="15114" max="15114" width="15.28515625" style="3532" customWidth="1"/>
    <col min="15115" max="15115" width="17.7109375" style="3532" customWidth="1"/>
    <col min="15116" max="15116" width="17" style="3532" bestFit="1" customWidth="1"/>
    <col min="15117" max="15117" width="12.7109375" style="3532" customWidth="1"/>
    <col min="15118" max="15118" width="13.7109375" style="3532" customWidth="1"/>
    <col min="15119" max="15119" width="13.85546875" style="3532" bestFit="1" customWidth="1"/>
    <col min="15120" max="15120" width="19.7109375" style="3532" bestFit="1" customWidth="1"/>
    <col min="15121" max="15121" width="16.140625" style="3532" customWidth="1"/>
    <col min="15122" max="15122" width="16.7109375" style="3532" bestFit="1" customWidth="1"/>
    <col min="15123" max="15123" width="15.42578125" style="3532" bestFit="1" customWidth="1"/>
    <col min="15124" max="15124" width="20.42578125" style="3532" bestFit="1" customWidth="1"/>
    <col min="15125" max="15125" width="16.42578125" style="3532" bestFit="1" customWidth="1"/>
    <col min="15126" max="15126" width="14.28515625" style="3532" customWidth="1"/>
    <col min="15127" max="15127" width="12.85546875" style="3532" bestFit="1" customWidth="1"/>
    <col min="15128" max="15128" width="11.28515625" style="3532" bestFit="1" customWidth="1"/>
    <col min="15129" max="15129" width="12.42578125" style="3532" bestFit="1" customWidth="1"/>
    <col min="15130" max="15130" width="14" style="3532" bestFit="1" customWidth="1"/>
    <col min="15131" max="15131" width="6" style="3532" bestFit="1" customWidth="1"/>
    <col min="15132" max="15132" width="15" style="3532" customWidth="1"/>
    <col min="15133" max="15133" width="14.85546875" style="3532" bestFit="1" customWidth="1"/>
    <col min="15134" max="15134" width="16.140625" style="3532" bestFit="1" customWidth="1"/>
    <col min="15135" max="15361" width="8.85546875" style="3532"/>
    <col min="15362" max="15362" width="24" style="3532" bestFit="1" customWidth="1"/>
    <col min="15363" max="15363" width="43.85546875" style="3532" customWidth="1"/>
    <col min="15364" max="15364" width="19.7109375" style="3532" bestFit="1" customWidth="1"/>
    <col min="15365" max="15365" width="12.42578125" style="3532" bestFit="1" customWidth="1"/>
    <col min="15366" max="15366" width="16.28515625" style="3532" bestFit="1" customWidth="1"/>
    <col min="15367" max="15367" width="13.42578125" style="3532" customWidth="1"/>
    <col min="15368" max="15368" width="15.28515625" style="3532" bestFit="1" customWidth="1"/>
    <col min="15369" max="15369" width="14.140625" style="3532" bestFit="1" customWidth="1"/>
    <col min="15370" max="15370" width="15.28515625" style="3532" customWidth="1"/>
    <col min="15371" max="15371" width="17.7109375" style="3532" customWidth="1"/>
    <col min="15372" max="15372" width="17" style="3532" bestFit="1" customWidth="1"/>
    <col min="15373" max="15373" width="12.7109375" style="3532" customWidth="1"/>
    <col min="15374" max="15374" width="13.7109375" style="3532" customWidth="1"/>
    <col min="15375" max="15375" width="13.85546875" style="3532" bestFit="1" customWidth="1"/>
    <col min="15376" max="15376" width="19.7109375" style="3532" bestFit="1" customWidth="1"/>
    <col min="15377" max="15377" width="16.140625" style="3532" customWidth="1"/>
    <col min="15378" max="15378" width="16.7109375" style="3532" bestFit="1" customWidth="1"/>
    <col min="15379" max="15379" width="15.42578125" style="3532" bestFit="1" customWidth="1"/>
    <col min="15380" max="15380" width="20.42578125" style="3532" bestFit="1" customWidth="1"/>
    <col min="15381" max="15381" width="16.42578125" style="3532" bestFit="1" customWidth="1"/>
    <col min="15382" max="15382" width="14.28515625" style="3532" customWidth="1"/>
    <col min="15383" max="15383" width="12.85546875" style="3532" bestFit="1" customWidth="1"/>
    <col min="15384" max="15384" width="11.28515625" style="3532" bestFit="1" customWidth="1"/>
    <col min="15385" max="15385" width="12.42578125" style="3532" bestFit="1" customWidth="1"/>
    <col min="15386" max="15386" width="14" style="3532" bestFit="1" customWidth="1"/>
    <col min="15387" max="15387" width="6" style="3532" bestFit="1" customWidth="1"/>
    <col min="15388" max="15388" width="15" style="3532" customWidth="1"/>
    <col min="15389" max="15389" width="14.85546875" style="3532" bestFit="1" customWidth="1"/>
    <col min="15390" max="15390" width="16.140625" style="3532" bestFit="1" customWidth="1"/>
    <col min="15391" max="15617" width="8.85546875" style="3532"/>
    <col min="15618" max="15618" width="24" style="3532" bestFit="1" customWidth="1"/>
    <col min="15619" max="15619" width="43.85546875" style="3532" customWidth="1"/>
    <col min="15620" max="15620" width="19.7109375" style="3532" bestFit="1" customWidth="1"/>
    <col min="15621" max="15621" width="12.42578125" style="3532" bestFit="1" customWidth="1"/>
    <col min="15622" max="15622" width="16.28515625" style="3532" bestFit="1" customWidth="1"/>
    <col min="15623" max="15623" width="13.42578125" style="3532" customWidth="1"/>
    <col min="15624" max="15624" width="15.28515625" style="3532" bestFit="1" customWidth="1"/>
    <col min="15625" max="15625" width="14.140625" style="3532" bestFit="1" customWidth="1"/>
    <col min="15626" max="15626" width="15.28515625" style="3532" customWidth="1"/>
    <col min="15627" max="15627" width="17.7109375" style="3532" customWidth="1"/>
    <col min="15628" max="15628" width="17" style="3532" bestFit="1" customWidth="1"/>
    <col min="15629" max="15629" width="12.7109375" style="3532" customWidth="1"/>
    <col min="15630" max="15630" width="13.7109375" style="3532" customWidth="1"/>
    <col min="15631" max="15631" width="13.85546875" style="3532" bestFit="1" customWidth="1"/>
    <col min="15632" max="15632" width="19.7109375" style="3532" bestFit="1" customWidth="1"/>
    <col min="15633" max="15633" width="16.140625" style="3532" customWidth="1"/>
    <col min="15634" max="15634" width="16.7109375" style="3532" bestFit="1" customWidth="1"/>
    <col min="15635" max="15635" width="15.42578125" style="3532" bestFit="1" customWidth="1"/>
    <col min="15636" max="15636" width="20.42578125" style="3532" bestFit="1" customWidth="1"/>
    <col min="15637" max="15637" width="16.42578125" style="3532" bestFit="1" customWidth="1"/>
    <col min="15638" max="15638" width="14.28515625" style="3532" customWidth="1"/>
    <col min="15639" max="15639" width="12.85546875" style="3532" bestFit="1" customWidth="1"/>
    <col min="15640" max="15640" width="11.28515625" style="3532" bestFit="1" customWidth="1"/>
    <col min="15641" max="15641" width="12.42578125" style="3532" bestFit="1" customWidth="1"/>
    <col min="15642" max="15642" width="14" style="3532" bestFit="1" customWidth="1"/>
    <col min="15643" max="15643" width="6" style="3532" bestFit="1" customWidth="1"/>
    <col min="15644" max="15644" width="15" style="3532" customWidth="1"/>
    <col min="15645" max="15645" width="14.85546875" style="3532" bestFit="1" customWidth="1"/>
    <col min="15646" max="15646" width="16.140625" style="3532" bestFit="1" customWidth="1"/>
    <col min="15647" max="15873" width="8.85546875" style="3532"/>
    <col min="15874" max="15874" width="24" style="3532" bestFit="1" customWidth="1"/>
    <col min="15875" max="15875" width="43.85546875" style="3532" customWidth="1"/>
    <col min="15876" max="15876" width="19.7109375" style="3532" bestFit="1" customWidth="1"/>
    <col min="15877" max="15877" width="12.42578125" style="3532" bestFit="1" customWidth="1"/>
    <col min="15878" max="15878" width="16.28515625" style="3532" bestFit="1" customWidth="1"/>
    <col min="15879" max="15879" width="13.42578125" style="3532" customWidth="1"/>
    <col min="15880" max="15880" width="15.28515625" style="3532" bestFit="1" customWidth="1"/>
    <col min="15881" max="15881" width="14.140625" style="3532" bestFit="1" customWidth="1"/>
    <col min="15882" max="15882" width="15.28515625" style="3532" customWidth="1"/>
    <col min="15883" max="15883" width="17.7109375" style="3532" customWidth="1"/>
    <col min="15884" max="15884" width="17" style="3532" bestFit="1" customWidth="1"/>
    <col min="15885" max="15885" width="12.7109375" style="3532" customWidth="1"/>
    <col min="15886" max="15886" width="13.7109375" style="3532" customWidth="1"/>
    <col min="15887" max="15887" width="13.85546875" style="3532" bestFit="1" customWidth="1"/>
    <col min="15888" max="15888" width="19.7109375" style="3532" bestFit="1" customWidth="1"/>
    <col min="15889" max="15889" width="16.140625" style="3532" customWidth="1"/>
    <col min="15890" max="15890" width="16.7109375" style="3532" bestFit="1" customWidth="1"/>
    <col min="15891" max="15891" width="15.42578125" style="3532" bestFit="1" customWidth="1"/>
    <col min="15892" max="15892" width="20.42578125" style="3532" bestFit="1" customWidth="1"/>
    <col min="15893" max="15893" width="16.42578125" style="3532" bestFit="1" customWidth="1"/>
    <col min="15894" max="15894" width="14.28515625" style="3532" customWidth="1"/>
    <col min="15895" max="15895" width="12.85546875" style="3532" bestFit="1" customWidth="1"/>
    <col min="15896" max="15896" width="11.28515625" style="3532" bestFit="1" customWidth="1"/>
    <col min="15897" max="15897" width="12.42578125" style="3532" bestFit="1" customWidth="1"/>
    <col min="15898" max="15898" width="14" style="3532" bestFit="1" customWidth="1"/>
    <col min="15899" max="15899" width="6" style="3532" bestFit="1" customWidth="1"/>
    <col min="15900" max="15900" width="15" style="3532" customWidth="1"/>
    <col min="15901" max="15901" width="14.85546875" style="3532" bestFit="1" customWidth="1"/>
    <col min="15902" max="15902" width="16.140625" style="3532" bestFit="1" customWidth="1"/>
    <col min="15903" max="16129" width="8.85546875" style="3532"/>
    <col min="16130" max="16130" width="24" style="3532" bestFit="1" customWidth="1"/>
    <col min="16131" max="16131" width="43.85546875" style="3532" customWidth="1"/>
    <col min="16132" max="16132" width="19.7109375" style="3532" bestFit="1" customWidth="1"/>
    <col min="16133" max="16133" width="12.42578125" style="3532" bestFit="1" customWidth="1"/>
    <col min="16134" max="16134" width="16.28515625" style="3532" bestFit="1" customWidth="1"/>
    <col min="16135" max="16135" width="13.42578125" style="3532" customWidth="1"/>
    <col min="16136" max="16136" width="15.28515625" style="3532" bestFit="1" customWidth="1"/>
    <col min="16137" max="16137" width="14.140625" style="3532" bestFit="1" customWidth="1"/>
    <col min="16138" max="16138" width="15.28515625" style="3532" customWidth="1"/>
    <col min="16139" max="16139" width="17.7109375" style="3532" customWidth="1"/>
    <col min="16140" max="16140" width="17" style="3532" bestFit="1" customWidth="1"/>
    <col min="16141" max="16141" width="12.7109375" style="3532" customWidth="1"/>
    <col min="16142" max="16142" width="13.7109375" style="3532" customWidth="1"/>
    <col min="16143" max="16143" width="13.85546875" style="3532" bestFit="1" customWidth="1"/>
    <col min="16144" max="16144" width="19.7109375" style="3532" bestFit="1" customWidth="1"/>
    <col min="16145" max="16145" width="16.140625" style="3532" customWidth="1"/>
    <col min="16146" max="16146" width="16.7109375" style="3532" bestFit="1" customWidth="1"/>
    <col min="16147" max="16147" width="15.42578125" style="3532" bestFit="1" customWidth="1"/>
    <col min="16148" max="16148" width="20.42578125" style="3532" bestFit="1" customWidth="1"/>
    <col min="16149" max="16149" width="16.42578125" style="3532" bestFit="1" customWidth="1"/>
    <col min="16150" max="16150" width="14.28515625" style="3532" customWidth="1"/>
    <col min="16151" max="16151" width="12.85546875" style="3532" bestFit="1" customWidth="1"/>
    <col min="16152" max="16152" width="11.28515625" style="3532" bestFit="1" customWidth="1"/>
    <col min="16153" max="16153" width="12.42578125" style="3532" bestFit="1" customWidth="1"/>
    <col min="16154" max="16154" width="14" style="3532" bestFit="1" customWidth="1"/>
    <col min="16155" max="16155" width="6" style="3532" bestFit="1" customWidth="1"/>
    <col min="16156" max="16156" width="15" style="3532" customWidth="1"/>
    <col min="16157" max="16157" width="14.85546875" style="3532" bestFit="1" customWidth="1"/>
    <col min="16158" max="16158" width="16.140625" style="3532" bestFit="1" customWidth="1"/>
    <col min="16159" max="16384" width="8.85546875" style="3532"/>
  </cols>
  <sheetData>
    <row r="1" spans="2:22" ht="42.75" customHeight="1" thickBot="1">
      <c r="B1" s="3512"/>
      <c r="F1" s="3536"/>
      <c r="G1" s="3536" t="str">
        <f>C3</f>
        <v>18230432--Gas</v>
      </c>
      <c r="H1" s="3536" t="str">
        <f>C4</f>
        <v>Residential Home Appliances--Gas Savings</v>
      </c>
      <c r="I1" s="3536"/>
    </row>
    <row r="2" spans="2:22" ht="16.5" thickBot="1">
      <c r="B2" s="3536" t="s">
        <v>109</v>
      </c>
      <c r="C2" s="3537" t="s">
        <v>574</v>
      </c>
      <c r="G2" s="3538" t="s">
        <v>8</v>
      </c>
      <c r="Q2" s="5133" t="s">
        <v>556</v>
      </c>
      <c r="R2" s="5133"/>
      <c r="S2" s="5124" t="s">
        <v>110</v>
      </c>
      <c r="T2" s="5125"/>
      <c r="U2" s="5126"/>
      <c r="V2" s="5118" t="s">
        <v>111</v>
      </c>
    </row>
    <row r="3" spans="2:22" ht="16.5" customHeight="1" thickBot="1">
      <c r="B3" s="3537" t="s">
        <v>6</v>
      </c>
      <c r="C3" s="3537" t="s">
        <v>1080</v>
      </c>
      <c r="D3" s="5135" t="s">
        <v>1081</v>
      </c>
      <c r="G3" s="3539" t="s">
        <v>9</v>
      </c>
      <c r="H3" s="3540" t="s">
        <v>10</v>
      </c>
      <c r="I3" s="3540" t="s">
        <v>11</v>
      </c>
      <c r="J3" s="3540" t="s">
        <v>12</v>
      </c>
      <c r="K3" s="3540" t="s">
        <v>13</v>
      </c>
      <c r="L3" s="3540" t="s">
        <v>14</v>
      </c>
      <c r="M3" s="3540" t="s">
        <v>15</v>
      </c>
      <c r="N3" s="3540" t="s">
        <v>16</v>
      </c>
      <c r="O3" s="3540" t="s">
        <v>112</v>
      </c>
      <c r="P3" s="3540" t="s">
        <v>113</v>
      </c>
      <c r="Q3" s="3541" t="s">
        <v>18</v>
      </c>
      <c r="R3" s="3541" t="s">
        <v>114</v>
      </c>
      <c r="S3" s="3542" t="s">
        <v>115</v>
      </c>
      <c r="T3" s="3542" t="s">
        <v>12</v>
      </c>
      <c r="U3" s="3543" t="s">
        <v>116</v>
      </c>
      <c r="V3" s="5119"/>
    </row>
    <row r="4" spans="2:22" ht="16.5" thickBot="1">
      <c r="B4" s="3537" t="s">
        <v>117</v>
      </c>
      <c r="C4" s="3537" t="s">
        <v>1079</v>
      </c>
      <c r="D4" s="5136"/>
      <c r="F4" s="3536">
        <v>2011</v>
      </c>
      <c r="G4" s="3544">
        <f>B13</f>
        <v>13836</v>
      </c>
      <c r="H4" s="3545">
        <f>B18</f>
        <v>5250</v>
      </c>
      <c r="I4" s="3545">
        <f>B23</f>
        <v>12024</v>
      </c>
      <c r="J4" s="3545">
        <f>B28</f>
        <v>30000</v>
      </c>
      <c r="K4" s="3545">
        <f>B33</f>
        <v>1500</v>
      </c>
      <c r="L4" s="3545">
        <f>B38</f>
        <v>74400</v>
      </c>
      <c r="M4" s="3545">
        <f>B43</f>
        <v>500</v>
      </c>
      <c r="N4" s="3545">
        <f>B48</f>
        <v>500</v>
      </c>
      <c r="O4" s="3545">
        <f>B53</f>
        <v>116400</v>
      </c>
      <c r="P4" s="3545">
        <v>0</v>
      </c>
      <c r="Q4" s="3546">
        <f>SUM(G4:P4)</f>
        <v>254410</v>
      </c>
      <c r="R4" s="3609"/>
      <c r="S4" s="3636">
        <f>O4/Q4</f>
        <v>0.4575291851735388</v>
      </c>
      <c r="T4" s="3636">
        <f>(J4+(H4*1.63))/Q4</f>
        <v>0.15155654258873472</v>
      </c>
      <c r="U4" s="3636">
        <f>L4/Q4</f>
        <v>0.29244133485318974</v>
      </c>
      <c r="V4" s="3497" t="e">
        <f>Q4/R4</f>
        <v>#DIV/0!</v>
      </c>
    </row>
    <row r="5" spans="2:22" ht="16.5" thickBot="1">
      <c r="B5" s="3536" t="s">
        <v>33</v>
      </c>
      <c r="D5" s="5136"/>
      <c r="F5" s="3536">
        <v>2012</v>
      </c>
      <c r="G5" s="3547">
        <f>D13</f>
        <v>0</v>
      </c>
      <c r="H5" s="3548">
        <f>D18</f>
        <v>0</v>
      </c>
      <c r="I5" s="3548">
        <f>D23</f>
        <v>0</v>
      </c>
      <c r="J5" s="3548">
        <f>D28</f>
        <v>0</v>
      </c>
      <c r="K5" s="3548">
        <f>D33</f>
        <v>0</v>
      </c>
      <c r="L5" s="3548">
        <f>D38</f>
        <v>0</v>
      </c>
      <c r="M5" s="3548">
        <f>D43</f>
        <v>0</v>
      </c>
      <c r="N5" s="3548">
        <f>D48</f>
        <v>0</v>
      </c>
      <c r="O5" s="3548">
        <f>D53</f>
        <v>0</v>
      </c>
      <c r="P5" s="3548">
        <f>D54</f>
        <v>0</v>
      </c>
      <c r="Q5" s="3549">
        <f>SUM(G5:P5)</f>
        <v>0</v>
      </c>
      <c r="R5" s="3610">
        <f>P55</f>
        <v>40914.649999999994</v>
      </c>
      <c r="S5" s="3637" t="e">
        <f>O5/Q5</f>
        <v>#DIV/0!</v>
      </c>
      <c r="T5" s="3637" t="e">
        <f>(J5+(H5*1.63))/Q5</f>
        <v>#DIV/0!</v>
      </c>
      <c r="U5" s="3637" t="e">
        <f>L5/Q5</f>
        <v>#DIV/0!</v>
      </c>
      <c r="V5" s="3498">
        <f>Q5/R5</f>
        <v>0</v>
      </c>
    </row>
    <row r="6" spans="2:22" ht="16.5" thickBot="1">
      <c r="B6" s="3536"/>
      <c r="D6" s="5137"/>
      <c r="F6" s="3536" t="s">
        <v>1168</v>
      </c>
      <c r="G6" s="3547">
        <v>0</v>
      </c>
      <c r="H6" s="3548">
        <v>0</v>
      </c>
      <c r="I6" s="3548">
        <v>0</v>
      </c>
      <c r="J6" s="3548">
        <v>0</v>
      </c>
      <c r="K6" s="3548">
        <v>0</v>
      </c>
      <c r="L6" s="3548">
        <v>0</v>
      </c>
      <c r="M6" s="3548">
        <v>0</v>
      </c>
      <c r="N6" s="3548">
        <v>0</v>
      </c>
      <c r="O6" s="3548">
        <v>0</v>
      </c>
      <c r="P6" s="3548">
        <v>0</v>
      </c>
      <c r="Q6" s="3549">
        <v>0</v>
      </c>
      <c r="R6" s="3610">
        <v>38920</v>
      </c>
      <c r="S6" s="3637"/>
      <c r="T6" s="3637"/>
      <c r="U6" s="3637"/>
      <c r="V6" s="3498"/>
    </row>
    <row r="7" spans="2:22" ht="16.5" thickBot="1">
      <c r="C7" s="3536" t="s">
        <v>373</v>
      </c>
      <c r="F7" s="4191" t="s">
        <v>1169</v>
      </c>
      <c r="G7" s="4195">
        <f>E13</f>
        <v>0</v>
      </c>
      <c r="H7" s="4196">
        <f>E18</f>
        <v>0</v>
      </c>
      <c r="I7" s="4196">
        <f>E23</f>
        <v>0</v>
      </c>
      <c r="J7" s="4196">
        <f>E28</f>
        <v>0</v>
      </c>
      <c r="K7" s="4196">
        <f>E33</f>
        <v>0</v>
      </c>
      <c r="L7" s="4196">
        <f>E38</f>
        <v>0</v>
      </c>
      <c r="M7" s="4196">
        <f>E43</f>
        <v>0</v>
      </c>
      <c r="N7" s="4196">
        <f>E48</f>
        <v>0</v>
      </c>
      <c r="O7" s="4196">
        <f>E53</f>
        <v>0</v>
      </c>
      <c r="P7" s="4196">
        <f>E54</f>
        <v>0</v>
      </c>
      <c r="Q7" s="4197">
        <f>SUM(G7:P7)</f>
        <v>0</v>
      </c>
      <c r="R7" s="4198">
        <f>Q55</f>
        <v>7997.5999999999995</v>
      </c>
      <c r="S7" s="3637" t="e">
        <f>O7/Q7</f>
        <v>#DIV/0!</v>
      </c>
      <c r="T7" s="3637" t="e">
        <f>(J7+(H7*1.63))/Q7</f>
        <v>#DIV/0!</v>
      </c>
      <c r="U7" s="3637" t="e">
        <f>L7/Q7</f>
        <v>#DIV/0!</v>
      </c>
      <c r="V7" s="3498">
        <f>Q7/R7</f>
        <v>0</v>
      </c>
    </row>
    <row r="8" spans="2:22" ht="16.5" thickBot="1">
      <c r="C8" s="3550" t="s">
        <v>374</v>
      </c>
      <c r="F8" s="3611" t="s">
        <v>1175</v>
      </c>
      <c r="G8" s="3612">
        <f>SUM(G5+G7)</f>
        <v>0</v>
      </c>
      <c r="H8" s="3612">
        <f t="shared" ref="H8:R8" si="0">SUM(H5+H7)</f>
        <v>0</v>
      </c>
      <c r="I8" s="3612">
        <f t="shared" si="0"/>
        <v>0</v>
      </c>
      <c r="J8" s="3612">
        <f t="shared" si="0"/>
        <v>0</v>
      </c>
      <c r="K8" s="3612">
        <f t="shared" si="0"/>
        <v>0</v>
      </c>
      <c r="L8" s="3612">
        <f t="shared" si="0"/>
        <v>0</v>
      </c>
      <c r="M8" s="3612">
        <f t="shared" si="0"/>
        <v>0</v>
      </c>
      <c r="N8" s="3612">
        <f t="shared" si="0"/>
        <v>0</v>
      </c>
      <c r="O8" s="3612">
        <f t="shared" si="0"/>
        <v>0</v>
      </c>
      <c r="P8" s="3612">
        <f t="shared" si="0"/>
        <v>0</v>
      </c>
      <c r="Q8" s="3612">
        <f t="shared" si="0"/>
        <v>0</v>
      </c>
      <c r="R8" s="3610">
        <f t="shared" si="0"/>
        <v>48912.249999999993</v>
      </c>
      <c r="S8" s="3637" t="e">
        <f>O8/Q8</f>
        <v>#DIV/0!</v>
      </c>
      <c r="T8" s="3637" t="e">
        <f>(J8+(H8*1.63))/Q8</f>
        <v>#DIV/0!</v>
      </c>
      <c r="U8" s="3637" t="e">
        <f>L8/Q8</f>
        <v>#DIV/0!</v>
      </c>
      <c r="V8" s="3498">
        <f>Q8/R8</f>
        <v>0</v>
      </c>
    </row>
    <row r="10" spans="2:22" ht="13.5" thickBot="1">
      <c r="C10" s="3551" t="s">
        <v>118</v>
      </c>
      <c r="D10" s="5120" t="s">
        <v>119</v>
      </c>
      <c r="E10" s="5120"/>
      <c r="I10" s="5121" t="s">
        <v>120</v>
      </c>
      <c r="J10" s="5121"/>
      <c r="K10" s="5121"/>
      <c r="L10" s="5121"/>
      <c r="M10" s="5131" t="s">
        <v>119</v>
      </c>
      <c r="N10" s="5131"/>
    </row>
    <row r="11" spans="2:22" ht="16.5" thickBot="1">
      <c r="B11" s="3552"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3553">
        <v>2011</v>
      </c>
      <c r="C12" s="3554" t="s">
        <v>127</v>
      </c>
      <c r="D12" s="3555">
        <v>2012</v>
      </c>
      <c r="E12" s="3555">
        <v>2013</v>
      </c>
      <c r="F12" s="3555" t="s">
        <v>128</v>
      </c>
      <c r="H12" s="3556"/>
      <c r="I12" s="5127" t="s">
        <v>129</v>
      </c>
      <c r="J12" s="5128"/>
      <c r="K12" s="5129"/>
      <c r="L12" s="3557" t="s">
        <v>130</v>
      </c>
      <c r="M12" s="3558" t="s">
        <v>131</v>
      </c>
      <c r="N12" s="3559" t="s">
        <v>132</v>
      </c>
      <c r="O12" s="3560" t="s">
        <v>133</v>
      </c>
      <c r="P12" s="3558" t="s">
        <v>134</v>
      </c>
      <c r="Q12" s="3558" t="s">
        <v>135</v>
      </c>
      <c r="R12" s="3560" t="s">
        <v>136</v>
      </c>
      <c r="T12" s="4861"/>
    </row>
    <row r="13" spans="2:22" ht="13.5" thickBot="1">
      <c r="B13" s="3615">
        <v>13836</v>
      </c>
      <c r="C13" s="3561" t="s">
        <v>138</v>
      </c>
      <c r="D13" s="3562">
        <f>SUM(D14:D17)</f>
        <v>0</v>
      </c>
      <c r="E13" s="3562">
        <f>SUM(E14:E17)</f>
        <v>0</v>
      </c>
      <c r="F13" s="3563">
        <f>D13+E13</f>
        <v>0</v>
      </c>
      <c r="H13" s="3535"/>
      <c r="I13" s="3648" t="s">
        <v>390</v>
      </c>
      <c r="J13" s="3649"/>
      <c r="K13" s="3650"/>
      <c r="L13" s="3651">
        <v>1.6</v>
      </c>
      <c r="M13" s="3652">
        <v>0</v>
      </c>
      <c r="N13" s="3652">
        <v>0</v>
      </c>
      <c r="O13" s="3564">
        <f>M13+N13</f>
        <v>0</v>
      </c>
      <c r="P13" s="3500">
        <f t="shared" ref="P13:R28" si="1">M13*$D63</f>
        <v>0</v>
      </c>
      <c r="Q13" s="3500">
        <f t="shared" si="1"/>
        <v>0</v>
      </c>
      <c r="R13" s="3501">
        <f t="shared" si="1"/>
        <v>0</v>
      </c>
      <c r="T13" s="3535"/>
    </row>
    <row r="14" spans="2:22">
      <c r="B14" s="3565"/>
      <c r="C14" s="3566" t="s">
        <v>239</v>
      </c>
      <c r="D14" s="3567"/>
      <c r="E14" s="3567"/>
      <c r="F14" s="3567">
        <f>SUM(D14:E14)</f>
        <v>0</v>
      </c>
      <c r="H14" s="3535"/>
      <c r="I14" s="3645" t="s">
        <v>391</v>
      </c>
      <c r="J14" s="3646"/>
      <c r="K14" s="3647"/>
      <c r="L14" s="3651">
        <v>2.2000000000000002</v>
      </c>
      <c r="M14" s="3652">
        <v>0</v>
      </c>
      <c r="N14" s="3652">
        <v>0</v>
      </c>
      <c r="O14" s="3564">
        <f t="shared" ref="O14:O54" si="2">M14+N14</f>
        <v>0</v>
      </c>
      <c r="P14" s="3500">
        <f t="shared" si="1"/>
        <v>0</v>
      </c>
      <c r="Q14" s="3500">
        <f t="shared" si="1"/>
        <v>0</v>
      </c>
      <c r="R14" s="3501">
        <f t="shared" si="1"/>
        <v>0</v>
      </c>
      <c r="T14" s="3535"/>
    </row>
    <row r="15" spans="2:22">
      <c r="B15" s="3571"/>
      <c r="C15" s="3566" t="s">
        <v>376</v>
      </c>
      <c r="D15" s="3567"/>
      <c r="E15" s="3567"/>
      <c r="F15" s="3567">
        <f t="shared" ref="F15:F25" si="3">SUM(D15:E15)</f>
        <v>0</v>
      </c>
      <c r="H15" s="3535"/>
      <c r="I15" s="3645" t="s">
        <v>392</v>
      </c>
      <c r="J15" s="3646"/>
      <c r="K15" s="3647"/>
      <c r="L15" s="3651">
        <v>2.4</v>
      </c>
      <c r="M15" s="3652">
        <v>0</v>
      </c>
      <c r="N15" s="3652">
        <v>0</v>
      </c>
      <c r="O15" s="3564">
        <f t="shared" si="2"/>
        <v>0</v>
      </c>
      <c r="P15" s="3500">
        <f t="shared" si="1"/>
        <v>0</v>
      </c>
      <c r="Q15" s="3500">
        <f t="shared" si="1"/>
        <v>0</v>
      </c>
      <c r="R15" s="3501">
        <f t="shared" si="1"/>
        <v>0</v>
      </c>
      <c r="T15" s="3535"/>
    </row>
    <row r="16" spans="2:22">
      <c r="B16" s="3571"/>
      <c r="C16" s="3572" t="s">
        <v>377</v>
      </c>
      <c r="D16" s="3567"/>
      <c r="E16" s="3567"/>
      <c r="F16" s="3567">
        <f t="shared" si="3"/>
        <v>0</v>
      </c>
      <c r="H16" s="3535"/>
      <c r="I16" s="3645" t="s">
        <v>393</v>
      </c>
      <c r="J16" s="3646"/>
      <c r="K16" s="3647"/>
      <c r="L16" s="3651">
        <v>0</v>
      </c>
      <c r="M16" s="3652">
        <v>1819.9999999999998</v>
      </c>
      <c r="N16" s="3652">
        <v>0</v>
      </c>
      <c r="O16" s="3564">
        <f t="shared" si="2"/>
        <v>1819.9999999999998</v>
      </c>
      <c r="P16" s="3500">
        <f t="shared" si="1"/>
        <v>0</v>
      </c>
      <c r="Q16" s="3500">
        <f t="shared" si="1"/>
        <v>0</v>
      </c>
      <c r="R16" s="3501">
        <f t="shared" si="1"/>
        <v>0</v>
      </c>
      <c r="T16" s="3535"/>
    </row>
    <row r="17" spans="2:20" ht="13.5" thickBot="1">
      <c r="B17" s="3571"/>
      <c r="C17" s="3572" t="s">
        <v>378</v>
      </c>
      <c r="D17" s="3567"/>
      <c r="E17" s="3567"/>
      <c r="F17" s="3567">
        <f t="shared" si="3"/>
        <v>0</v>
      </c>
      <c r="H17" s="3535"/>
      <c r="I17" s="3645" t="s">
        <v>394</v>
      </c>
      <c r="J17" s="3646"/>
      <c r="K17" s="3647"/>
      <c r="L17" s="3651">
        <v>0</v>
      </c>
      <c r="M17" s="3652">
        <v>2450</v>
      </c>
      <c r="N17" s="3652">
        <v>0</v>
      </c>
      <c r="O17" s="3564">
        <f t="shared" si="2"/>
        <v>2450</v>
      </c>
      <c r="P17" s="3500">
        <f t="shared" si="1"/>
        <v>0</v>
      </c>
      <c r="Q17" s="3500">
        <f t="shared" si="1"/>
        <v>0</v>
      </c>
      <c r="R17" s="3501">
        <f t="shared" si="1"/>
        <v>0</v>
      </c>
      <c r="T17" s="3535"/>
    </row>
    <row r="18" spans="2:20" ht="13.5" thickBot="1">
      <c r="B18" s="3578">
        <v>5250</v>
      </c>
      <c r="C18" s="3561" t="s">
        <v>143</v>
      </c>
      <c r="D18" s="3562">
        <f>SUM(D19:D22)</f>
        <v>0</v>
      </c>
      <c r="E18" s="3562">
        <f>SUM(E19:E22)</f>
        <v>0</v>
      </c>
      <c r="F18" s="3563">
        <f>D18+E18</f>
        <v>0</v>
      </c>
      <c r="H18" s="3535"/>
      <c r="I18" s="3645" t="s">
        <v>395</v>
      </c>
      <c r="J18" s="3646"/>
      <c r="K18" s="3647"/>
      <c r="L18" s="3651">
        <v>0</v>
      </c>
      <c r="M18" s="3652">
        <v>2334.5</v>
      </c>
      <c r="N18" s="3652">
        <v>0</v>
      </c>
      <c r="O18" s="3564">
        <f t="shared" si="2"/>
        <v>2334.5</v>
      </c>
      <c r="P18" s="3500">
        <f t="shared" si="1"/>
        <v>0</v>
      </c>
      <c r="Q18" s="3500">
        <f t="shared" si="1"/>
        <v>0</v>
      </c>
      <c r="R18" s="3501">
        <f t="shared" si="1"/>
        <v>0</v>
      </c>
      <c r="T18" s="3535"/>
    </row>
    <row r="19" spans="2:20">
      <c r="B19" s="3565"/>
      <c r="C19" s="3604" t="s">
        <v>379</v>
      </c>
      <c r="D19" s="3605"/>
      <c r="E19" s="3605"/>
      <c r="F19" s="3567">
        <f t="shared" si="3"/>
        <v>0</v>
      </c>
      <c r="H19" s="3535"/>
      <c r="I19" s="3645" t="s">
        <v>396</v>
      </c>
      <c r="J19" s="3646"/>
      <c r="K19" s="3647"/>
      <c r="L19" s="3651">
        <v>2.5</v>
      </c>
      <c r="M19" s="3652">
        <v>31.499999999999996</v>
      </c>
      <c r="N19" s="3652">
        <v>0</v>
      </c>
      <c r="O19" s="3564">
        <f t="shared" si="2"/>
        <v>31.499999999999996</v>
      </c>
      <c r="P19" s="3500">
        <f t="shared" si="1"/>
        <v>78.749999999999986</v>
      </c>
      <c r="Q19" s="3500">
        <f t="shared" si="1"/>
        <v>0</v>
      </c>
      <c r="R19" s="3501">
        <f t="shared" si="1"/>
        <v>78.749999999999986</v>
      </c>
      <c r="T19" s="3535"/>
    </row>
    <row r="20" spans="2:20">
      <c r="B20" s="3571"/>
      <c r="C20" s="3606" t="s">
        <v>380</v>
      </c>
      <c r="D20" s="3605"/>
      <c r="E20" s="3605"/>
      <c r="F20" s="3567">
        <f t="shared" si="3"/>
        <v>0</v>
      </c>
      <c r="H20" s="3535"/>
      <c r="I20" s="3645" t="s">
        <v>397</v>
      </c>
      <c r="J20" s="3646"/>
      <c r="K20" s="3647"/>
      <c r="L20" s="3651">
        <v>4.2</v>
      </c>
      <c r="M20" s="3652">
        <v>45.5</v>
      </c>
      <c r="N20" s="3652">
        <v>0</v>
      </c>
      <c r="O20" s="3564">
        <f t="shared" si="2"/>
        <v>45.5</v>
      </c>
      <c r="P20" s="3500">
        <f t="shared" si="1"/>
        <v>191.1</v>
      </c>
      <c r="Q20" s="3500">
        <f t="shared" si="1"/>
        <v>0</v>
      </c>
      <c r="R20" s="3501">
        <f t="shared" si="1"/>
        <v>191.1</v>
      </c>
      <c r="T20" s="3535"/>
    </row>
    <row r="21" spans="2:20">
      <c r="B21" s="3571"/>
      <c r="C21" s="3572" t="s">
        <v>141</v>
      </c>
      <c r="D21" s="3575">
        <v>0</v>
      </c>
      <c r="E21" s="3575"/>
      <c r="F21" s="3567">
        <f t="shared" si="3"/>
        <v>0</v>
      </c>
      <c r="H21" s="3535"/>
      <c r="I21" s="3645" t="s">
        <v>398</v>
      </c>
      <c r="J21" s="3646"/>
      <c r="K21" s="3647"/>
      <c r="L21" s="3651">
        <v>4.8</v>
      </c>
      <c r="M21" s="3652">
        <v>38.5</v>
      </c>
      <c r="N21" s="3652">
        <v>0</v>
      </c>
      <c r="O21" s="3564">
        <f t="shared" si="2"/>
        <v>38.5</v>
      </c>
      <c r="P21" s="3500">
        <f t="shared" si="1"/>
        <v>184.79999999999998</v>
      </c>
      <c r="Q21" s="3500">
        <f t="shared" si="1"/>
        <v>0</v>
      </c>
      <c r="R21" s="3501">
        <f t="shared" si="1"/>
        <v>184.79999999999998</v>
      </c>
      <c r="T21" s="3535"/>
    </row>
    <row r="22" spans="2:20" ht="13.5" thickBot="1">
      <c r="B22" s="3571"/>
      <c r="C22" s="3572" t="s">
        <v>142</v>
      </c>
      <c r="D22" s="3575">
        <v>0</v>
      </c>
      <c r="E22" s="3575"/>
      <c r="F22" s="3567">
        <f t="shared" si="3"/>
        <v>0</v>
      </c>
      <c r="H22" s="3535"/>
      <c r="I22" s="3645" t="s">
        <v>399</v>
      </c>
      <c r="J22" s="3646"/>
      <c r="K22" s="3647"/>
      <c r="L22" s="3651">
        <v>3.1</v>
      </c>
      <c r="M22" s="3652">
        <v>1889.9999999999998</v>
      </c>
      <c r="N22" s="3652">
        <v>0</v>
      </c>
      <c r="O22" s="3564">
        <f t="shared" si="2"/>
        <v>1889.9999999999998</v>
      </c>
      <c r="P22" s="3500">
        <f t="shared" si="1"/>
        <v>5858.9999999999991</v>
      </c>
      <c r="Q22" s="3500">
        <f t="shared" si="1"/>
        <v>0</v>
      </c>
      <c r="R22" s="3501">
        <f t="shared" si="1"/>
        <v>5858.9999999999991</v>
      </c>
      <c r="T22" s="3535"/>
    </row>
    <row r="23" spans="2:20" ht="13.5" thickBot="1">
      <c r="B23" s="3578">
        <v>12024</v>
      </c>
      <c r="C23" s="3561" t="s">
        <v>144</v>
      </c>
      <c r="D23" s="3562">
        <f>SUM(D24:D27)</f>
        <v>0</v>
      </c>
      <c r="E23" s="3562">
        <f>SUM(E24:E27)</f>
        <v>0</v>
      </c>
      <c r="F23" s="3563">
        <f>D23+E23</f>
        <v>0</v>
      </c>
      <c r="G23" s="3534"/>
      <c r="H23" s="3535"/>
      <c r="I23" s="3645" t="s">
        <v>400</v>
      </c>
      <c r="J23" s="3646"/>
      <c r="K23" s="3647"/>
      <c r="L23" s="3651">
        <v>4</v>
      </c>
      <c r="M23" s="3652">
        <v>2590</v>
      </c>
      <c r="N23" s="3652">
        <v>0</v>
      </c>
      <c r="O23" s="3564">
        <f t="shared" si="2"/>
        <v>2590</v>
      </c>
      <c r="P23" s="3500">
        <f t="shared" si="1"/>
        <v>10360</v>
      </c>
      <c r="Q23" s="3500">
        <f t="shared" si="1"/>
        <v>0</v>
      </c>
      <c r="R23" s="3501">
        <f t="shared" si="1"/>
        <v>10360</v>
      </c>
      <c r="T23" s="3535"/>
    </row>
    <row r="24" spans="2:20">
      <c r="B24" s="3565"/>
      <c r="C24" s="3566" t="s">
        <v>1434</v>
      </c>
      <c r="D24" s="3567">
        <f>0.63*D13</f>
        <v>0</v>
      </c>
      <c r="E24" s="3567">
        <f>0.707*E13</f>
        <v>0</v>
      </c>
      <c r="F24" s="3567">
        <f t="shared" si="3"/>
        <v>0</v>
      </c>
      <c r="H24" s="3535"/>
      <c r="I24" s="3645" t="s">
        <v>401</v>
      </c>
      <c r="J24" s="3646"/>
      <c r="K24" s="3647"/>
      <c r="L24" s="3651">
        <v>4.3</v>
      </c>
      <c r="M24" s="3652">
        <v>2450</v>
      </c>
      <c r="N24" s="3652">
        <v>0</v>
      </c>
      <c r="O24" s="3564">
        <f t="shared" si="2"/>
        <v>2450</v>
      </c>
      <c r="P24" s="3500">
        <f t="shared" si="1"/>
        <v>10535</v>
      </c>
      <c r="Q24" s="3500">
        <f t="shared" si="1"/>
        <v>0</v>
      </c>
      <c r="R24" s="3501">
        <f t="shared" si="1"/>
        <v>10535</v>
      </c>
      <c r="T24" s="3535"/>
    </row>
    <row r="25" spans="2:20">
      <c r="B25" s="3565"/>
      <c r="C25" s="3566" t="s">
        <v>1435</v>
      </c>
      <c r="D25" s="3573">
        <f>0.63*D18</f>
        <v>0</v>
      </c>
      <c r="E25" s="3573">
        <f>0.707*E18</f>
        <v>0</v>
      </c>
      <c r="F25" s="3567">
        <f t="shared" si="3"/>
        <v>0</v>
      </c>
      <c r="H25" s="3535"/>
      <c r="I25" s="3645" t="s">
        <v>402</v>
      </c>
      <c r="J25" s="3646"/>
      <c r="K25" s="3647"/>
      <c r="L25" s="3651">
        <v>5.6</v>
      </c>
      <c r="M25" s="3652">
        <v>489.99999999999994</v>
      </c>
      <c r="N25" s="3652">
        <v>0</v>
      </c>
      <c r="O25" s="3564">
        <f t="shared" si="2"/>
        <v>489.99999999999994</v>
      </c>
      <c r="P25" s="3500">
        <f t="shared" si="1"/>
        <v>2743.9999999999995</v>
      </c>
      <c r="Q25" s="3500">
        <f t="shared" si="1"/>
        <v>0</v>
      </c>
      <c r="R25" s="3501">
        <f t="shared" si="1"/>
        <v>2743.9999999999995</v>
      </c>
      <c r="T25" s="3535"/>
    </row>
    <row r="26" spans="2:20">
      <c r="B26" s="3571"/>
      <c r="C26" s="3572"/>
      <c r="D26" s="3575"/>
      <c r="E26" s="3575"/>
      <c r="F26" s="3575"/>
      <c r="H26" s="3535"/>
      <c r="I26" s="3645" t="s">
        <v>403</v>
      </c>
      <c r="J26" s="3646"/>
      <c r="K26" s="3647"/>
      <c r="L26" s="3651">
        <v>8.3000000000000007</v>
      </c>
      <c r="M26" s="3652">
        <v>630</v>
      </c>
      <c r="N26" s="3652">
        <v>0</v>
      </c>
      <c r="O26" s="3564">
        <f t="shared" si="2"/>
        <v>630</v>
      </c>
      <c r="P26" s="3500">
        <f t="shared" si="1"/>
        <v>5229</v>
      </c>
      <c r="Q26" s="3500">
        <f t="shared" si="1"/>
        <v>0</v>
      </c>
      <c r="R26" s="3501">
        <f t="shared" si="1"/>
        <v>5229</v>
      </c>
      <c r="T26" s="3535"/>
    </row>
    <row r="27" spans="2:20" ht="13.5" thickBot="1">
      <c r="B27" s="3571"/>
      <c r="C27" s="3572"/>
      <c r="D27" s="3575"/>
      <c r="E27" s="3575"/>
      <c r="F27" s="3575"/>
      <c r="H27" s="3535"/>
      <c r="I27" s="3645" t="s">
        <v>404</v>
      </c>
      <c r="J27" s="3646"/>
      <c r="K27" s="3647"/>
      <c r="L27" s="3651">
        <v>9.1</v>
      </c>
      <c r="M27" s="3652">
        <v>630</v>
      </c>
      <c r="N27" s="3652">
        <v>0</v>
      </c>
      <c r="O27" s="3564">
        <f t="shared" si="2"/>
        <v>630</v>
      </c>
      <c r="P27" s="3500">
        <f t="shared" si="1"/>
        <v>5733</v>
      </c>
      <c r="Q27" s="3500">
        <f t="shared" si="1"/>
        <v>0</v>
      </c>
      <c r="R27" s="3501">
        <f t="shared" si="1"/>
        <v>5733</v>
      </c>
      <c r="T27" s="3535"/>
    </row>
    <row r="28" spans="2:20" ht="13.5" thickBot="1">
      <c r="B28" s="3578">
        <v>30000</v>
      </c>
      <c r="C28" s="3561" t="s">
        <v>145</v>
      </c>
      <c r="D28" s="3562">
        <f>SUM(D29:D32)</f>
        <v>0</v>
      </c>
      <c r="E28" s="3562">
        <f>SUM(E29:E32)</f>
        <v>0</v>
      </c>
      <c r="F28" s="3563">
        <f>D28+E28</f>
        <v>0</v>
      </c>
      <c r="H28" s="3535"/>
      <c r="I28" s="4475" t="str">
        <f t="shared" ref="I28:I54" si="4">C78</f>
        <v>Clothes Washer MEF 2.4 -3.09 Electric WH / Gas Dryer</v>
      </c>
      <c r="J28" s="4476"/>
      <c r="K28" s="4477"/>
      <c r="L28" s="4580">
        <f t="shared" ref="L28:L54" si="5">D78</f>
        <v>1.9</v>
      </c>
      <c r="M28" s="3574">
        <v>0</v>
      </c>
      <c r="N28" s="4444">
        <v>41</v>
      </c>
      <c r="O28" s="3564">
        <f t="shared" si="2"/>
        <v>41</v>
      </c>
      <c r="P28" s="3500">
        <f t="shared" si="1"/>
        <v>0</v>
      </c>
      <c r="Q28" s="3500">
        <f t="shared" si="1"/>
        <v>77.899999999999991</v>
      </c>
      <c r="R28" s="3501">
        <f t="shared" si="1"/>
        <v>77.899999999999991</v>
      </c>
      <c r="T28" s="3535"/>
    </row>
    <row r="29" spans="2:20">
      <c r="B29" s="3565"/>
      <c r="C29" s="3566" t="s">
        <v>592</v>
      </c>
      <c r="D29" s="3567"/>
      <c r="E29" s="3567"/>
      <c r="F29" s="3567">
        <f t="shared" ref="F29:F37" si="6">SUM(D29:E29)</f>
        <v>0</v>
      </c>
      <c r="H29" s="3535"/>
      <c r="I29" s="4475" t="str">
        <f t="shared" si="4"/>
        <v>Clothes Washer MEF 3.1+ Electric WH / Gas Dryer</v>
      </c>
      <c r="J29" s="4476"/>
      <c r="K29" s="4477"/>
      <c r="L29" s="4580">
        <f t="shared" si="5"/>
        <v>3.4</v>
      </c>
      <c r="M29" s="3574">
        <v>0</v>
      </c>
      <c r="N29" s="4444">
        <v>10</v>
      </c>
      <c r="O29" s="3564">
        <f t="shared" si="2"/>
        <v>10</v>
      </c>
      <c r="P29" s="3500">
        <f t="shared" ref="P29:R44" si="7">M29*$D79</f>
        <v>0</v>
      </c>
      <c r="Q29" s="3500">
        <f t="shared" si="7"/>
        <v>34</v>
      </c>
      <c r="R29" s="3501">
        <f t="shared" si="7"/>
        <v>34</v>
      </c>
      <c r="T29" s="3535"/>
    </row>
    <row r="30" spans="2:20">
      <c r="B30" s="3571"/>
      <c r="C30" s="3572" t="s">
        <v>140</v>
      </c>
      <c r="D30" s="3573">
        <v>0</v>
      </c>
      <c r="E30" s="3573"/>
      <c r="F30" s="3567">
        <f t="shared" si="6"/>
        <v>0</v>
      </c>
      <c r="H30" s="3535"/>
      <c r="I30" s="4475" t="str">
        <f t="shared" si="4"/>
        <v>Clothes Washer MEF 2.4 -3.09 Gas WH / Electric Dryer</v>
      </c>
      <c r="J30" s="4476"/>
      <c r="K30" s="4477"/>
      <c r="L30" s="4580">
        <f t="shared" si="5"/>
        <v>1</v>
      </c>
      <c r="M30" s="3574">
        <v>0</v>
      </c>
      <c r="N30" s="4444">
        <v>4102</v>
      </c>
      <c r="O30" s="3564">
        <f t="shared" si="2"/>
        <v>4102</v>
      </c>
      <c r="P30" s="3500">
        <f t="shared" si="7"/>
        <v>0</v>
      </c>
      <c r="Q30" s="3500">
        <f t="shared" si="7"/>
        <v>4102</v>
      </c>
      <c r="R30" s="3501">
        <f t="shared" si="7"/>
        <v>4102</v>
      </c>
      <c r="T30" s="3535"/>
    </row>
    <row r="31" spans="2:20">
      <c r="B31" s="3571"/>
      <c r="C31" s="3572" t="s">
        <v>141</v>
      </c>
      <c r="D31" s="3573">
        <v>0</v>
      </c>
      <c r="E31" s="3573"/>
      <c r="F31" s="3567">
        <f t="shared" si="6"/>
        <v>0</v>
      </c>
      <c r="H31" s="3535"/>
      <c r="I31" s="4475" t="str">
        <f t="shared" si="4"/>
        <v>Clothes Washer MEF 3.1+ Gas / Electric Dryer</v>
      </c>
      <c r="J31" s="4476"/>
      <c r="K31" s="4477"/>
      <c r="L31" s="4580">
        <f t="shared" si="5"/>
        <v>1.6</v>
      </c>
      <c r="M31" s="3574">
        <v>0</v>
      </c>
      <c r="N31" s="4444">
        <v>704</v>
      </c>
      <c r="O31" s="3564">
        <f t="shared" si="2"/>
        <v>704</v>
      </c>
      <c r="P31" s="3500">
        <f t="shared" si="7"/>
        <v>0</v>
      </c>
      <c r="Q31" s="3500">
        <f t="shared" si="7"/>
        <v>1126.4000000000001</v>
      </c>
      <c r="R31" s="3501">
        <f t="shared" si="7"/>
        <v>1126.4000000000001</v>
      </c>
      <c r="T31" s="3535"/>
    </row>
    <row r="32" spans="2:20" ht="13.5" thickBot="1">
      <c r="B32" s="3571"/>
      <c r="C32" s="3572" t="s">
        <v>142</v>
      </c>
      <c r="D32" s="3573">
        <v>0</v>
      </c>
      <c r="E32" s="3573"/>
      <c r="F32" s="3567">
        <f t="shared" si="6"/>
        <v>0</v>
      </c>
      <c r="H32" s="3535"/>
      <c r="I32" s="4475" t="str">
        <f t="shared" si="4"/>
        <v>Clothes Washer MEF 2.4 -3.09 Gas WH / Gas Dryer</v>
      </c>
      <c r="J32" s="4476"/>
      <c r="K32" s="4477"/>
      <c r="L32" s="4580">
        <f t="shared" si="5"/>
        <v>2.9</v>
      </c>
      <c r="M32" s="3574">
        <v>0</v>
      </c>
      <c r="N32" s="4444">
        <v>687</v>
      </c>
      <c r="O32" s="3564">
        <f t="shared" si="2"/>
        <v>687</v>
      </c>
      <c r="P32" s="3500">
        <f t="shared" si="7"/>
        <v>0</v>
      </c>
      <c r="Q32" s="3500">
        <f t="shared" si="7"/>
        <v>1992.3</v>
      </c>
      <c r="R32" s="3501">
        <f t="shared" si="7"/>
        <v>1992.3</v>
      </c>
      <c r="T32" s="3535"/>
    </row>
    <row r="33" spans="2:20" ht="13.5" thickBot="1">
      <c r="B33" s="3578">
        <v>1500</v>
      </c>
      <c r="C33" s="3561" t="s">
        <v>146</v>
      </c>
      <c r="D33" s="3562">
        <f>SUM(D34:D37)</f>
        <v>0</v>
      </c>
      <c r="E33" s="3562">
        <f>SUM(E34:E37)</f>
        <v>0</v>
      </c>
      <c r="F33" s="3563">
        <f>D33+E33</f>
        <v>0</v>
      </c>
      <c r="H33" s="3535"/>
      <c r="I33" s="4475" t="str">
        <f t="shared" si="4"/>
        <v>Clothes Washer MEF 3.1+ Gas WH / Gas Dryer</v>
      </c>
      <c r="J33" s="4476"/>
      <c r="K33" s="4477"/>
      <c r="L33" s="4580">
        <f t="shared" si="5"/>
        <v>5</v>
      </c>
      <c r="M33" s="3574">
        <v>0</v>
      </c>
      <c r="N33" s="4444">
        <v>133</v>
      </c>
      <c r="O33" s="3564">
        <f t="shared" si="2"/>
        <v>133</v>
      </c>
      <c r="P33" s="3500">
        <f t="shared" si="7"/>
        <v>0</v>
      </c>
      <c r="Q33" s="3500">
        <f t="shared" si="7"/>
        <v>665</v>
      </c>
      <c r="R33" s="3501">
        <f t="shared" si="7"/>
        <v>665</v>
      </c>
      <c r="T33" s="3535"/>
    </row>
    <row r="34" spans="2:20">
      <c r="B34" s="3571"/>
      <c r="C34" s="3572" t="s">
        <v>139</v>
      </c>
      <c r="D34" s="3573">
        <v>0</v>
      </c>
      <c r="E34" s="3573">
        <v>0</v>
      </c>
      <c r="F34" s="3567">
        <f t="shared" si="6"/>
        <v>0</v>
      </c>
      <c r="H34" s="3535"/>
      <c r="I34" s="3568" t="str">
        <f t="shared" si="4"/>
        <v>Measure 22</v>
      </c>
      <c r="J34" s="3569"/>
      <c r="K34" s="3570"/>
      <c r="L34" s="3613">
        <f t="shared" si="5"/>
        <v>0</v>
      </c>
      <c r="M34" s="3574">
        <v>0</v>
      </c>
      <c r="N34" s="3574">
        <v>0</v>
      </c>
      <c r="O34" s="3564">
        <f t="shared" si="2"/>
        <v>0</v>
      </c>
      <c r="P34" s="3500">
        <f t="shared" si="7"/>
        <v>0</v>
      </c>
      <c r="Q34" s="3500">
        <f t="shared" si="7"/>
        <v>0</v>
      </c>
      <c r="R34" s="3501">
        <f t="shared" si="7"/>
        <v>0</v>
      </c>
      <c r="T34" s="3535"/>
    </row>
    <row r="35" spans="2:20">
      <c r="B35" s="3571"/>
      <c r="C35" s="3572" t="s">
        <v>140</v>
      </c>
      <c r="D35" s="3573">
        <v>0</v>
      </c>
      <c r="E35" s="3573"/>
      <c r="F35" s="3567">
        <f t="shared" si="6"/>
        <v>0</v>
      </c>
      <c r="H35" s="3535"/>
      <c r="I35" s="3568" t="str">
        <f t="shared" si="4"/>
        <v>Measure 23</v>
      </c>
      <c r="J35" s="3569"/>
      <c r="K35" s="3570"/>
      <c r="L35" s="3613">
        <f t="shared" si="5"/>
        <v>0</v>
      </c>
      <c r="M35" s="3574">
        <v>0</v>
      </c>
      <c r="N35" s="3574">
        <v>0</v>
      </c>
      <c r="O35" s="3564">
        <f t="shared" si="2"/>
        <v>0</v>
      </c>
      <c r="P35" s="3500">
        <f t="shared" si="7"/>
        <v>0</v>
      </c>
      <c r="Q35" s="3500">
        <f t="shared" si="7"/>
        <v>0</v>
      </c>
      <c r="R35" s="3501">
        <f t="shared" si="7"/>
        <v>0</v>
      </c>
      <c r="T35" s="3535"/>
    </row>
    <row r="36" spans="2:20">
      <c r="B36" s="3571"/>
      <c r="C36" s="3572" t="s">
        <v>141</v>
      </c>
      <c r="D36" s="3573">
        <v>0</v>
      </c>
      <c r="E36" s="3573"/>
      <c r="F36" s="3567">
        <f t="shared" si="6"/>
        <v>0</v>
      </c>
      <c r="H36" s="3535"/>
      <c r="I36" s="3568" t="str">
        <f t="shared" si="4"/>
        <v>Measure 24</v>
      </c>
      <c r="J36" s="3569"/>
      <c r="K36" s="3570"/>
      <c r="L36" s="3613">
        <f t="shared" si="5"/>
        <v>0</v>
      </c>
      <c r="M36" s="3574">
        <v>0</v>
      </c>
      <c r="N36" s="3574">
        <v>0</v>
      </c>
      <c r="O36" s="3564">
        <f t="shared" si="2"/>
        <v>0</v>
      </c>
      <c r="P36" s="3500">
        <f t="shared" si="7"/>
        <v>0</v>
      </c>
      <c r="Q36" s="3500">
        <f t="shared" si="7"/>
        <v>0</v>
      </c>
      <c r="R36" s="3501">
        <f t="shared" si="7"/>
        <v>0</v>
      </c>
      <c r="T36" s="3535"/>
    </row>
    <row r="37" spans="2:20" ht="13.5" thickBot="1">
      <c r="B37" s="3571"/>
      <c r="C37" s="3572" t="s">
        <v>142</v>
      </c>
      <c r="D37" s="3573">
        <v>0</v>
      </c>
      <c r="E37" s="3573"/>
      <c r="F37" s="3567">
        <f t="shared" si="6"/>
        <v>0</v>
      </c>
      <c r="H37" s="3535"/>
      <c r="I37" s="3568" t="str">
        <f t="shared" si="4"/>
        <v>Measure 25</v>
      </c>
      <c r="J37" s="3569"/>
      <c r="K37" s="3570"/>
      <c r="L37" s="3613">
        <f t="shared" si="5"/>
        <v>0</v>
      </c>
      <c r="M37" s="3574">
        <v>0</v>
      </c>
      <c r="N37" s="3574">
        <v>0</v>
      </c>
      <c r="O37" s="3564">
        <f t="shared" si="2"/>
        <v>0</v>
      </c>
      <c r="P37" s="3500">
        <f t="shared" si="7"/>
        <v>0</v>
      </c>
      <c r="Q37" s="3500">
        <f t="shared" si="7"/>
        <v>0</v>
      </c>
      <c r="R37" s="3501">
        <f t="shared" si="7"/>
        <v>0</v>
      </c>
      <c r="T37" s="3535"/>
    </row>
    <row r="38" spans="2:20" ht="13.5" thickBot="1">
      <c r="B38" s="3578">
        <v>74400</v>
      </c>
      <c r="C38" s="3561" t="s">
        <v>147</v>
      </c>
      <c r="D38" s="3562">
        <f>SUM(D39:D42)</f>
        <v>0</v>
      </c>
      <c r="E38" s="3562">
        <f>SUM(E39:E42)</f>
        <v>0</v>
      </c>
      <c r="F38" s="3563">
        <f>D38+E38</f>
        <v>0</v>
      </c>
      <c r="H38" s="3535"/>
      <c r="I38" s="3568" t="str">
        <f t="shared" si="4"/>
        <v>Measure 26</v>
      </c>
      <c r="J38" s="3569"/>
      <c r="K38" s="3576"/>
      <c r="L38" s="3613">
        <f t="shared" si="5"/>
        <v>0</v>
      </c>
      <c r="M38" s="3574">
        <v>0</v>
      </c>
      <c r="N38" s="3574">
        <v>0</v>
      </c>
      <c r="O38" s="3564">
        <f t="shared" si="2"/>
        <v>0</v>
      </c>
      <c r="P38" s="3500">
        <f t="shared" si="7"/>
        <v>0</v>
      </c>
      <c r="Q38" s="3500">
        <f t="shared" si="7"/>
        <v>0</v>
      </c>
      <c r="R38" s="3501">
        <f t="shared" si="7"/>
        <v>0</v>
      </c>
      <c r="T38" s="3535"/>
    </row>
    <row r="39" spans="2:20">
      <c r="B39" s="3571"/>
      <c r="C39" s="3572" t="s">
        <v>382</v>
      </c>
      <c r="D39" s="3573">
        <v>0</v>
      </c>
      <c r="E39" s="3573">
        <v>0</v>
      </c>
      <c r="F39" s="3567">
        <f t="shared" ref="F39:F52" si="8">SUM(D39:E39)</f>
        <v>0</v>
      </c>
      <c r="H39" s="3535"/>
      <c r="I39" s="3568" t="str">
        <f t="shared" si="4"/>
        <v>Measure 27</v>
      </c>
      <c r="J39" s="3569"/>
      <c r="K39" s="3576"/>
      <c r="L39" s="3613">
        <f t="shared" si="5"/>
        <v>0</v>
      </c>
      <c r="M39" s="3574">
        <v>0</v>
      </c>
      <c r="N39" s="3574">
        <v>0</v>
      </c>
      <c r="O39" s="3564">
        <f t="shared" si="2"/>
        <v>0</v>
      </c>
      <c r="P39" s="3500">
        <f t="shared" si="7"/>
        <v>0</v>
      </c>
      <c r="Q39" s="3500">
        <f t="shared" si="7"/>
        <v>0</v>
      </c>
      <c r="R39" s="3501">
        <f t="shared" si="7"/>
        <v>0</v>
      </c>
      <c r="T39" s="3535"/>
    </row>
    <row r="40" spans="2:20">
      <c r="B40" s="3571"/>
      <c r="C40" s="3572" t="s">
        <v>381</v>
      </c>
      <c r="D40" s="3607">
        <v>0</v>
      </c>
      <c r="E40" s="3608">
        <v>0</v>
      </c>
      <c r="F40" s="3567">
        <f t="shared" si="8"/>
        <v>0</v>
      </c>
      <c r="H40" s="3535"/>
      <c r="I40" s="3568" t="str">
        <f t="shared" si="4"/>
        <v>Measure 28</v>
      </c>
      <c r="J40" s="3569"/>
      <c r="K40" s="3576"/>
      <c r="L40" s="3613">
        <f t="shared" si="5"/>
        <v>0</v>
      </c>
      <c r="M40" s="3574">
        <v>0</v>
      </c>
      <c r="N40" s="3574">
        <v>0</v>
      </c>
      <c r="O40" s="3564">
        <f t="shared" si="2"/>
        <v>0</v>
      </c>
      <c r="P40" s="3500">
        <f t="shared" si="7"/>
        <v>0</v>
      </c>
      <c r="Q40" s="3500">
        <f t="shared" si="7"/>
        <v>0</v>
      </c>
      <c r="R40" s="3501">
        <f t="shared" si="7"/>
        <v>0</v>
      </c>
      <c r="T40" s="3535"/>
    </row>
    <row r="41" spans="2:20">
      <c r="B41" s="3571"/>
      <c r="C41" s="3572" t="s">
        <v>141</v>
      </c>
      <c r="D41" s="3573">
        <v>0</v>
      </c>
      <c r="E41" s="3573"/>
      <c r="F41" s="3567">
        <f t="shared" si="8"/>
        <v>0</v>
      </c>
      <c r="H41" s="3535"/>
      <c r="I41" s="3568" t="str">
        <f t="shared" si="4"/>
        <v>Measure 29</v>
      </c>
      <c r="J41" s="3569"/>
      <c r="K41" s="3576"/>
      <c r="L41" s="3613">
        <f t="shared" si="5"/>
        <v>0</v>
      </c>
      <c r="M41" s="3574">
        <v>0</v>
      </c>
      <c r="N41" s="3574">
        <v>0</v>
      </c>
      <c r="O41" s="3564">
        <f t="shared" si="2"/>
        <v>0</v>
      </c>
      <c r="P41" s="3500">
        <f t="shared" si="7"/>
        <v>0</v>
      </c>
      <c r="Q41" s="3500">
        <f t="shared" si="7"/>
        <v>0</v>
      </c>
      <c r="R41" s="3501">
        <f t="shared" si="7"/>
        <v>0</v>
      </c>
      <c r="T41" s="3535"/>
    </row>
    <row r="42" spans="2:20" ht="13.5" thickBot="1">
      <c r="B42" s="3571"/>
      <c r="C42" s="3572" t="s">
        <v>142</v>
      </c>
      <c r="D42" s="3573">
        <v>0</v>
      </c>
      <c r="E42" s="3573"/>
      <c r="F42" s="3567">
        <f t="shared" si="8"/>
        <v>0</v>
      </c>
      <c r="H42" s="3535"/>
      <c r="I42" s="3568" t="str">
        <f t="shared" si="4"/>
        <v>Measure 30</v>
      </c>
      <c r="J42" s="3569"/>
      <c r="K42" s="3576"/>
      <c r="L42" s="3613">
        <f t="shared" si="5"/>
        <v>0</v>
      </c>
      <c r="M42" s="3574">
        <v>0</v>
      </c>
      <c r="N42" s="3574">
        <v>0</v>
      </c>
      <c r="O42" s="3564">
        <f t="shared" si="2"/>
        <v>0</v>
      </c>
      <c r="P42" s="3500">
        <f t="shared" si="7"/>
        <v>0</v>
      </c>
      <c r="Q42" s="3500">
        <f t="shared" si="7"/>
        <v>0</v>
      </c>
      <c r="R42" s="3501">
        <f t="shared" si="7"/>
        <v>0</v>
      </c>
      <c r="T42" s="3535"/>
    </row>
    <row r="43" spans="2:20" ht="13.5" thickBot="1">
      <c r="B43" s="3578">
        <v>500</v>
      </c>
      <c r="C43" s="3561" t="s">
        <v>148</v>
      </c>
      <c r="D43" s="3562">
        <f>SUM(D44:D47)</f>
        <v>0</v>
      </c>
      <c r="E43" s="3562">
        <f>SUM(E44:E47)</f>
        <v>0</v>
      </c>
      <c r="F43" s="3563">
        <f>D43+E43</f>
        <v>0</v>
      </c>
      <c r="H43" s="3535"/>
      <c r="I43" s="3568" t="str">
        <f t="shared" si="4"/>
        <v>Measure 31</v>
      </c>
      <c r="J43" s="3569"/>
      <c r="K43" s="3576"/>
      <c r="L43" s="3613">
        <f t="shared" si="5"/>
        <v>0</v>
      </c>
      <c r="M43" s="3574">
        <v>0</v>
      </c>
      <c r="N43" s="3574">
        <v>0</v>
      </c>
      <c r="O43" s="3564">
        <f t="shared" si="2"/>
        <v>0</v>
      </c>
      <c r="P43" s="3500">
        <f t="shared" si="7"/>
        <v>0</v>
      </c>
      <c r="Q43" s="3500">
        <f t="shared" si="7"/>
        <v>0</v>
      </c>
      <c r="R43" s="3501">
        <f t="shared" si="7"/>
        <v>0</v>
      </c>
      <c r="T43" s="3535"/>
    </row>
    <row r="44" spans="2:20">
      <c r="B44" s="3571"/>
      <c r="C44" s="3572" t="s">
        <v>139</v>
      </c>
      <c r="D44" s="3573">
        <v>0</v>
      </c>
      <c r="E44" s="3573">
        <v>0</v>
      </c>
      <c r="F44" s="3567">
        <f t="shared" si="8"/>
        <v>0</v>
      </c>
      <c r="H44" s="3535"/>
      <c r="I44" s="3568" t="str">
        <f t="shared" si="4"/>
        <v>Measure 32</v>
      </c>
      <c r="J44" s="3569"/>
      <c r="K44" s="3576"/>
      <c r="L44" s="3613">
        <f t="shared" si="5"/>
        <v>0</v>
      </c>
      <c r="M44" s="3574">
        <v>0</v>
      </c>
      <c r="N44" s="3574">
        <v>0</v>
      </c>
      <c r="O44" s="3564">
        <f t="shared" si="2"/>
        <v>0</v>
      </c>
      <c r="P44" s="3500">
        <f t="shared" si="7"/>
        <v>0</v>
      </c>
      <c r="Q44" s="3500">
        <f t="shared" si="7"/>
        <v>0</v>
      </c>
      <c r="R44" s="3501">
        <f t="shared" si="7"/>
        <v>0</v>
      </c>
      <c r="T44" s="3535"/>
    </row>
    <row r="45" spans="2:20">
      <c r="B45" s="3571"/>
      <c r="C45" s="3572" t="s">
        <v>140</v>
      </c>
      <c r="D45" s="3573">
        <v>0</v>
      </c>
      <c r="E45" s="3573"/>
      <c r="F45" s="3567">
        <f t="shared" si="8"/>
        <v>0</v>
      </c>
      <c r="H45" s="3535"/>
      <c r="I45" s="3568" t="str">
        <f t="shared" si="4"/>
        <v>Measure 33</v>
      </c>
      <c r="J45" s="3569"/>
      <c r="K45" s="3576"/>
      <c r="L45" s="3613">
        <f t="shared" si="5"/>
        <v>0</v>
      </c>
      <c r="M45" s="3574">
        <v>0</v>
      </c>
      <c r="N45" s="3574">
        <v>0</v>
      </c>
      <c r="O45" s="3564">
        <f t="shared" si="2"/>
        <v>0</v>
      </c>
      <c r="P45" s="3500">
        <f t="shared" ref="P45:R54" si="9">M45*$D95</f>
        <v>0</v>
      </c>
      <c r="Q45" s="3500">
        <f t="shared" si="9"/>
        <v>0</v>
      </c>
      <c r="R45" s="3501">
        <f t="shared" si="9"/>
        <v>0</v>
      </c>
      <c r="T45" s="3535"/>
    </row>
    <row r="46" spans="2:20">
      <c r="B46" s="3571"/>
      <c r="C46" s="3572" t="s">
        <v>141</v>
      </c>
      <c r="D46" s="3573">
        <v>0</v>
      </c>
      <c r="E46" s="3573"/>
      <c r="F46" s="3567">
        <f t="shared" si="8"/>
        <v>0</v>
      </c>
      <c r="H46" s="3535"/>
      <c r="I46" s="3568" t="str">
        <f t="shared" si="4"/>
        <v>Measure 34</v>
      </c>
      <c r="J46" s="3569"/>
      <c r="K46" s="3576"/>
      <c r="L46" s="3613">
        <f t="shared" si="5"/>
        <v>0</v>
      </c>
      <c r="M46" s="3574">
        <v>0</v>
      </c>
      <c r="N46" s="3574">
        <v>0</v>
      </c>
      <c r="O46" s="3564">
        <f t="shared" si="2"/>
        <v>0</v>
      </c>
      <c r="P46" s="3500">
        <f t="shared" si="9"/>
        <v>0</v>
      </c>
      <c r="Q46" s="3500">
        <f t="shared" si="9"/>
        <v>0</v>
      </c>
      <c r="R46" s="3501">
        <f t="shared" si="9"/>
        <v>0</v>
      </c>
      <c r="T46" s="3535"/>
    </row>
    <row r="47" spans="2:20" ht="13.5" thickBot="1">
      <c r="B47" s="3571"/>
      <c r="C47" s="3572" t="s">
        <v>142</v>
      </c>
      <c r="D47" s="3573">
        <v>0</v>
      </c>
      <c r="E47" s="3573"/>
      <c r="F47" s="3567">
        <f t="shared" si="8"/>
        <v>0</v>
      </c>
      <c r="H47" s="3535"/>
      <c r="I47" s="3568" t="str">
        <f t="shared" si="4"/>
        <v>Measure 35</v>
      </c>
      <c r="J47" s="3569"/>
      <c r="K47" s="3576"/>
      <c r="L47" s="3613">
        <f t="shared" si="5"/>
        <v>0</v>
      </c>
      <c r="M47" s="3574">
        <v>0</v>
      </c>
      <c r="N47" s="3574">
        <v>0</v>
      </c>
      <c r="O47" s="3564">
        <f t="shared" si="2"/>
        <v>0</v>
      </c>
      <c r="P47" s="3500">
        <f t="shared" si="9"/>
        <v>0</v>
      </c>
      <c r="Q47" s="3500">
        <f t="shared" si="9"/>
        <v>0</v>
      </c>
      <c r="R47" s="3501">
        <f t="shared" si="9"/>
        <v>0</v>
      </c>
      <c r="T47" s="3535"/>
    </row>
    <row r="48" spans="2:20" ht="13.5" thickBot="1">
      <c r="B48" s="3578">
        <v>500</v>
      </c>
      <c r="C48" s="3561" t="s">
        <v>149</v>
      </c>
      <c r="D48" s="3562">
        <f>SUM(D49:D52)</f>
        <v>0</v>
      </c>
      <c r="E48" s="3562">
        <f>SUM(E49:E52)</f>
        <v>0</v>
      </c>
      <c r="F48" s="3563">
        <f>D48+E48</f>
        <v>0</v>
      </c>
      <c r="H48" s="3535"/>
      <c r="I48" s="3568" t="str">
        <f t="shared" si="4"/>
        <v>Measure 36</v>
      </c>
      <c r="J48" s="3569"/>
      <c r="K48" s="3576"/>
      <c r="L48" s="3613">
        <f t="shared" si="5"/>
        <v>0</v>
      </c>
      <c r="M48" s="3574">
        <v>0</v>
      </c>
      <c r="N48" s="3574">
        <v>0</v>
      </c>
      <c r="O48" s="3564">
        <f t="shared" si="2"/>
        <v>0</v>
      </c>
      <c r="P48" s="3500">
        <f t="shared" si="9"/>
        <v>0</v>
      </c>
      <c r="Q48" s="3500">
        <f t="shared" si="9"/>
        <v>0</v>
      </c>
      <c r="R48" s="3501">
        <f t="shared" si="9"/>
        <v>0</v>
      </c>
      <c r="T48" s="3535"/>
    </row>
    <row r="49" spans="2:25">
      <c r="B49" s="3571"/>
      <c r="C49" s="3572" t="s">
        <v>139</v>
      </c>
      <c r="D49" s="3573">
        <v>0</v>
      </c>
      <c r="E49" s="3573">
        <v>0</v>
      </c>
      <c r="F49" s="3567">
        <f t="shared" si="8"/>
        <v>0</v>
      </c>
      <c r="H49" s="3535"/>
      <c r="I49" s="3568" t="str">
        <f t="shared" si="4"/>
        <v>Measure 37</v>
      </c>
      <c r="J49" s="3569"/>
      <c r="K49" s="3576"/>
      <c r="L49" s="3613">
        <f t="shared" si="5"/>
        <v>0</v>
      </c>
      <c r="M49" s="3574">
        <v>0</v>
      </c>
      <c r="N49" s="3574">
        <v>0</v>
      </c>
      <c r="O49" s="3564">
        <f t="shared" si="2"/>
        <v>0</v>
      </c>
      <c r="P49" s="3500">
        <f t="shared" si="9"/>
        <v>0</v>
      </c>
      <c r="Q49" s="3500">
        <f t="shared" si="9"/>
        <v>0</v>
      </c>
      <c r="R49" s="3501">
        <f t="shared" si="9"/>
        <v>0</v>
      </c>
      <c r="T49" s="3535"/>
    </row>
    <row r="50" spans="2:25">
      <c r="B50" s="3571"/>
      <c r="C50" s="3572" t="s">
        <v>140</v>
      </c>
      <c r="D50" s="3573">
        <v>0</v>
      </c>
      <c r="E50" s="3573"/>
      <c r="F50" s="3567">
        <f t="shared" si="8"/>
        <v>0</v>
      </c>
      <c r="I50" s="3568" t="str">
        <f t="shared" si="4"/>
        <v>Measure 38</v>
      </c>
      <c r="J50" s="3569"/>
      <c r="K50" s="3570"/>
      <c r="L50" s="3613">
        <f t="shared" si="5"/>
        <v>0</v>
      </c>
      <c r="M50" s="3574">
        <v>0</v>
      </c>
      <c r="N50" s="3574">
        <v>0</v>
      </c>
      <c r="O50" s="3564">
        <f t="shared" si="2"/>
        <v>0</v>
      </c>
      <c r="P50" s="3500">
        <f t="shared" si="9"/>
        <v>0</v>
      </c>
      <c r="Q50" s="3500">
        <f t="shared" si="9"/>
        <v>0</v>
      </c>
      <c r="R50" s="3501">
        <f t="shared" si="9"/>
        <v>0</v>
      </c>
      <c r="T50" s="3535"/>
    </row>
    <row r="51" spans="2:25">
      <c r="B51" s="3571"/>
      <c r="C51" s="3572" t="s">
        <v>141</v>
      </c>
      <c r="D51" s="3573">
        <v>0</v>
      </c>
      <c r="E51" s="3573"/>
      <c r="F51" s="3567">
        <f t="shared" si="8"/>
        <v>0</v>
      </c>
      <c r="I51" s="3568" t="str">
        <f t="shared" si="4"/>
        <v>Measure 39</v>
      </c>
      <c r="J51" s="3569"/>
      <c r="K51" s="3570"/>
      <c r="L51" s="3613">
        <f t="shared" si="5"/>
        <v>0</v>
      </c>
      <c r="M51" s="3574">
        <v>0</v>
      </c>
      <c r="N51" s="3574">
        <v>0</v>
      </c>
      <c r="O51" s="3564">
        <f t="shared" si="2"/>
        <v>0</v>
      </c>
      <c r="P51" s="3500">
        <f t="shared" si="9"/>
        <v>0</v>
      </c>
      <c r="Q51" s="3500">
        <f t="shared" si="9"/>
        <v>0</v>
      </c>
      <c r="R51" s="3501">
        <f t="shared" si="9"/>
        <v>0</v>
      </c>
      <c r="T51" s="3535"/>
    </row>
    <row r="52" spans="2:25" ht="13.5" thickBot="1">
      <c r="B52" s="3571"/>
      <c r="C52" s="3572" t="s">
        <v>142</v>
      </c>
      <c r="D52" s="3573">
        <v>0</v>
      </c>
      <c r="E52" s="3573"/>
      <c r="F52" s="3567">
        <f t="shared" si="8"/>
        <v>0</v>
      </c>
      <c r="I52" s="3568" t="str">
        <f t="shared" si="4"/>
        <v>Measure 40</v>
      </c>
      <c r="J52" s="3569"/>
      <c r="K52" s="3570"/>
      <c r="L52" s="3613">
        <f t="shared" si="5"/>
        <v>0</v>
      </c>
      <c r="M52" s="3574">
        <v>0</v>
      </c>
      <c r="N52" s="3574">
        <v>0</v>
      </c>
      <c r="O52" s="3564">
        <f t="shared" si="2"/>
        <v>0</v>
      </c>
      <c r="P52" s="3500">
        <f t="shared" si="9"/>
        <v>0</v>
      </c>
      <c r="Q52" s="3500">
        <f t="shared" si="9"/>
        <v>0</v>
      </c>
      <c r="R52" s="3501">
        <f t="shared" si="9"/>
        <v>0</v>
      </c>
      <c r="T52" s="3535"/>
    </row>
    <row r="53" spans="2:25" ht="13.5" thickBot="1">
      <c r="B53" s="3578">
        <v>116400</v>
      </c>
      <c r="C53" s="3561" t="s">
        <v>150</v>
      </c>
      <c r="D53" s="3562">
        <f>T105</f>
        <v>0</v>
      </c>
      <c r="E53" s="3562">
        <f>U105</f>
        <v>0</v>
      </c>
      <c r="F53" s="3563">
        <f>V105</f>
        <v>0</v>
      </c>
      <c r="G53" s="3577" t="s">
        <v>151</v>
      </c>
      <c r="I53" s="3568" t="str">
        <f t="shared" si="4"/>
        <v>Measure 41</v>
      </c>
      <c r="J53" s="3569"/>
      <c r="K53" s="3570"/>
      <c r="L53" s="3613">
        <f t="shared" si="5"/>
        <v>0</v>
      </c>
      <c r="M53" s="3574">
        <v>0</v>
      </c>
      <c r="N53" s="3574">
        <v>0</v>
      </c>
      <c r="O53" s="3564">
        <f t="shared" si="2"/>
        <v>0</v>
      </c>
      <c r="P53" s="3500">
        <f t="shared" si="9"/>
        <v>0</v>
      </c>
      <c r="Q53" s="3500">
        <f t="shared" si="9"/>
        <v>0</v>
      </c>
      <c r="R53" s="3501">
        <f t="shared" si="9"/>
        <v>0</v>
      </c>
      <c r="T53" s="3535"/>
    </row>
    <row r="54" spans="2:25" ht="13.5" thickBot="1">
      <c r="B54" s="3578">
        <v>0</v>
      </c>
      <c r="C54" s="3561" t="s">
        <v>152</v>
      </c>
      <c r="D54" s="3562">
        <v>0</v>
      </c>
      <c r="E54" s="3562">
        <v>0</v>
      </c>
      <c r="F54" s="3563">
        <v>0</v>
      </c>
      <c r="I54" s="3568" t="str">
        <f t="shared" si="4"/>
        <v>Measure 42</v>
      </c>
      <c r="J54" s="3569"/>
      <c r="K54" s="3570"/>
      <c r="L54" s="3613">
        <f t="shared" si="5"/>
        <v>0</v>
      </c>
      <c r="M54" s="3574">
        <v>0</v>
      </c>
      <c r="N54" s="3574">
        <v>0</v>
      </c>
      <c r="O54" s="3564">
        <f t="shared" si="2"/>
        <v>0</v>
      </c>
      <c r="P54" s="3500">
        <f t="shared" si="9"/>
        <v>0</v>
      </c>
      <c r="Q54" s="3500">
        <f t="shared" si="9"/>
        <v>0</v>
      </c>
      <c r="R54" s="3501">
        <f t="shared" si="9"/>
        <v>0</v>
      </c>
      <c r="T54" s="3535"/>
    </row>
    <row r="55" spans="2:25">
      <c r="B55" s="3579">
        <f>B13+B18+B23+B28+B33+B38+B43+B48+B53+B54</f>
        <v>254410</v>
      </c>
      <c r="C55" s="3580" t="s">
        <v>153</v>
      </c>
      <c r="D55" s="3579">
        <f>D13+D18+D23+D28+D33+D38+D43+D48+D53+D54</f>
        <v>0</v>
      </c>
      <c r="E55" s="3579">
        <f>E13+E18+E23+E28+E33+E38+E43+E48+E53+E54</f>
        <v>0</v>
      </c>
      <c r="F55" s="3579">
        <f>F13+F18+F23+F28+F33+F38+F43+F48+F53+F54</f>
        <v>0</v>
      </c>
      <c r="O55" s="4587">
        <f>SUM(O13:O54)</f>
        <v>21077</v>
      </c>
      <c r="P55" s="3614">
        <f>SUM(P13:P54)</f>
        <v>40914.649999999994</v>
      </c>
      <c r="Q55" s="3614">
        <f>SUM(Q13:Q54)</f>
        <v>7997.5999999999995</v>
      </c>
      <c r="R55" s="3614">
        <f>SUM(R13:R54)</f>
        <v>48912.25</v>
      </c>
      <c r="T55" s="4894"/>
    </row>
    <row r="56" spans="2:25">
      <c r="C56" s="3580"/>
      <c r="D56" s="3579"/>
      <c r="E56" s="3579"/>
      <c r="F56" s="3579"/>
      <c r="T56" s="3535"/>
    </row>
    <row r="57" spans="2:25">
      <c r="C57" s="3580" t="s">
        <v>154</v>
      </c>
      <c r="D57" s="3579">
        <f>D55-D53</f>
        <v>0</v>
      </c>
      <c r="E57" s="3579">
        <f>E55-E53</f>
        <v>0</v>
      </c>
      <c r="F57" s="3579">
        <f>F55-F53</f>
        <v>0</v>
      </c>
    </row>
    <row r="58" spans="2:25">
      <c r="C58" s="3580" t="s">
        <v>155</v>
      </c>
      <c r="D58" s="3581">
        <f>D53</f>
        <v>0</v>
      </c>
      <c r="E58" s="3581">
        <f>E53</f>
        <v>0</v>
      </c>
      <c r="F58" s="3581">
        <f>F53</f>
        <v>0</v>
      </c>
      <c r="G58" s="3634" t="e">
        <f>F58/(F57+F58)</f>
        <v>#DIV/0!</v>
      </c>
      <c r="H58" s="3582" t="s">
        <v>156</v>
      </c>
    </row>
    <row r="59" spans="2:25" ht="13.5" thickBot="1"/>
    <row r="60" spans="2:25" ht="16.5" thickBot="1">
      <c r="B60" s="3583" t="s">
        <v>157</v>
      </c>
      <c r="C60" s="3584"/>
      <c r="D60" s="5130" t="s">
        <v>158</v>
      </c>
      <c r="E60" s="5131"/>
      <c r="F60" s="5131"/>
      <c r="G60" s="5131"/>
      <c r="H60" s="5131"/>
      <c r="K60" s="3585"/>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3586" t="s">
        <v>162</v>
      </c>
      <c r="C62" s="3587" t="s">
        <v>129</v>
      </c>
      <c r="D62" s="3587" t="s">
        <v>130</v>
      </c>
      <c r="E62" s="3587" t="s">
        <v>163</v>
      </c>
      <c r="F62" s="3587" t="s">
        <v>164</v>
      </c>
      <c r="G62" s="3587" t="s">
        <v>165</v>
      </c>
      <c r="H62" s="3587" t="s">
        <v>166</v>
      </c>
      <c r="I62" s="3587" t="s">
        <v>167</v>
      </c>
      <c r="J62" s="3587" t="s">
        <v>168</v>
      </c>
      <c r="K62" s="3588" t="s">
        <v>169</v>
      </c>
      <c r="L62" s="4441" t="s">
        <v>1211</v>
      </c>
      <c r="M62" s="3589" t="s">
        <v>170</v>
      </c>
      <c r="N62" s="3590" t="s">
        <v>171</v>
      </c>
      <c r="O62" s="3590" t="s">
        <v>172</v>
      </c>
      <c r="P62" s="3590" t="s">
        <v>173</v>
      </c>
      <c r="Q62" s="3591" t="s">
        <v>174</v>
      </c>
      <c r="R62" s="3591" t="s">
        <v>175</v>
      </c>
      <c r="S62" s="3591" t="s">
        <v>176</v>
      </c>
      <c r="T62" s="3542" t="s">
        <v>177</v>
      </c>
      <c r="U62" s="3542" t="s">
        <v>178</v>
      </c>
      <c r="V62" s="3543" t="s">
        <v>179</v>
      </c>
      <c r="W62" s="3542" t="s">
        <v>115</v>
      </c>
      <c r="X62" s="3542" t="s">
        <v>12</v>
      </c>
      <c r="Y62" s="3543" t="s">
        <v>116</v>
      </c>
    </row>
    <row r="63" spans="2:25">
      <c r="B63" s="3574"/>
      <c r="C63" s="3593" t="s">
        <v>390</v>
      </c>
      <c r="D63" s="3574">
        <v>1.6</v>
      </c>
      <c r="E63" s="3639" t="s">
        <v>731</v>
      </c>
      <c r="F63" s="3639" t="s">
        <v>186</v>
      </c>
      <c r="G63" s="3640">
        <v>0</v>
      </c>
      <c r="H63" s="3640">
        <v>0</v>
      </c>
      <c r="I63" s="3641">
        <v>0</v>
      </c>
      <c r="J63" s="3639">
        <v>14</v>
      </c>
      <c r="K63" s="3639" t="s">
        <v>233</v>
      </c>
      <c r="L63" s="4157"/>
      <c r="M63" s="3643" t="e">
        <v>#DIV/0!</v>
      </c>
      <c r="N63" s="3643" t="e">
        <v>#DIV/0!</v>
      </c>
      <c r="O63" s="3644">
        <v>0</v>
      </c>
      <c r="P63" s="3644">
        <v>0</v>
      </c>
      <c r="Q63" s="3644">
        <v>7490.1735551779084</v>
      </c>
      <c r="R63" s="3644">
        <v>8239.1909106956991</v>
      </c>
      <c r="S63" s="3642">
        <v>1.081</v>
      </c>
      <c r="T63" s="3499">
        <f t="shared" ref="T63:T104" si="10">M13*$H63</f>
        <v>0</v>
      </c>
      <c r="U63" s="3499">
        <f t="shared" ref="U63:U104" si="11">N13*$H63</f>
        <v>0</v>
      </c>
      <c r="V63" s="3499">
        <f t="shared" ref="V63:V104" si="12">O13*$H63</f>
        <v>0</v>
      </c>
      <c r="W63" s="3635" t="e">
        <f t="shared" ref="W63:W81" si="13">V63/(V63+(I63*F$57))</f>
        <v>#DIV/0!</v>
      </c>
      <c r="X63" s="3635" t="e">
        <f t="shared" ref="X63:X81" si="14">(I63*((F$18*1.63)+F$28))/(V63+(I63*F$57))</f>
        <v>#DIV/0!</v>
      </c>
      <c r="Y63" s="3635" t="e">
        <f t="shared" ref="Y63:Y81" si="15">(I63*F$38)/(V63+(I63*F$57))</f>
        <v>#DIV/0!</v>
      </c>
    </row>
    <row r="64" spans="2:25">
      <c r="B64" s="3593"/>
      <c r="C64" s="3593" t="s">
        <v>391</v>
      </c>
      <c r="D64" s="3593">
        <v>2.2000000000000002</v>
      </c>
      <c r="E64" s="3639" t="s">
        <v>731</v>
      </c>
      <c r="F64" s="3639" t="s">
        <v>186</v>
      </c>
      <c r="G64" s="3640">
        <v>0</v>
      </c>
      <c r="H64" s="3640">
        <v>0</v>
      </c>
      <c r="I64" s="3641">
        <v>0</v>
      </c>
      <c r="J64" s="3639">
        <v>14</v>
      </c>
      <c r="K64" s="3639" t="s">
        <v>233</v>
      </c>
      <c r="L64" s="4157"/>
      <c r="M64" s="3643" t="e">
        <v>#DIV/0!</v>
      </c>
      <c r="N64" s="3643" t="e">
        <v>#DIV/0!</v>
      </c>
      <c r="O64" s="3644">
        <v>0</v>
      </c>
      <c r="P64" s="3644">
        <v>0</v>
      </c>
      <c r="Q64" s="3644">
        <v>13731.984851159501</v>
      </c>
      <c r="R64" s="3644">
        <v>15105.18333627545</v>
      </c>
      <c r="S64" s="3642">
        <v>1.081</v>
      </c>
      <c r="T64" s="3499">
        <f t="shared" si="10"/>
        <v>0</v>
      </c>
      <c r="U64" s="3499">
        <f t="shared" si="11"/>
        <v>0</v>
      </c>
      <c r="V64" s="3499">
        <f t="shared" si="12"/>
        <v>0</v>
      </c>
      <c r="W64" s="3635" t="e">
        <f t="shared" si="13"/>
        <v>#DIV/0!</v>
      </c>
      <c r="X64" s="3635" t="e">
        <f t="shared" si="14"/>
        <v>#DIV/0!</v>
      </c>
      <c r="Y64" s="3635" t="e">
        <f t="shared" si="15"/>
        <v>#DIV/0!</v>
      </c>
    </row>
    <row r="65" spans="2:25">
      <c r="B65" s="3593"/>
      <c r="C65" s="3593" t="s">
        <v>392</v>
      </c>
      <c r="D65" s="3574">
        <v>2.4</v>
      </c>
      <c r="E65" s="3639" t="s">
        <v>731</v>
      </c>
      <c r="F65" s="3639" t="s">
        <v>186</v>
      </c>
      <c r="G65" s="3640">
        <v>0</v>
      </c>
      <c r="H65" s="3640">
        <v>0</v>
      </c>
      <c r="I65" s="3641">
        <v>0</v>
      </c>
      <c r="J65" s="3639">
        <v>14</v>
      </c>
      <c r="K65" s="3639" t="s">
        <v>233</v>
      </c>
      <c r="L65" s="4157"/>
      <c r="M65" s="3643" t="e">
        <v>#DIV/0!</v>
      </c>
      <c r="N65" s="3643" t="e">
        <v>#DIV/0!</v>
      </c>
      <c r="O65" s="3644">
        <v>0</v>
      </c>
      <c r="P65" s="3644">
        <v>0</v>
      </c>
      <c r="Q65" s="3644">
        <v>13482.312399320235</v>
      </c>
      <c r="R65" s="3644">
        <v>14830.543639252257</v>
      </c>
      <c r="S65" s="3642">
        <v>1.081</v>
      </c>
      <c r="T65" s="3499">
        <f t="shared" si="10"/>
        <v>0</v>
      </c>
      <c r="U65" s="3499">
        <f t="shared" si="11"/>
        <v>0</v>
      </c>
      <c r="V65" s="3499">
        <f t="shared" si="12"/>
        <v>0</v>
      </c>
      <c r="W65" s="3635" t="e">
        <f t="shared" si="13"/>
        <v>#DIV/0!</v>
      </c>
      <c r="X65" s="3635" t="e">
        <f t="shared" si="14"/>
        <v>#DIV/0!</v>
      </c>
      <c r="Y65" s="3635" t="e">
        <f t="shared" si="15"/>
        <v>#DIV/0!</v>
      </c>
    </row>
    <row r="66" spans="2:25">
      <c r="B66" s="3593"/>
      <c r="C66" s="3593" t="s">
        <v>393</v>
      </c>
      <c r="D66" s="3593">
        <v>0</v>
      </c>
      <c r="E66" s="3639" t="s">
        <v>731</v>
      </c>
      <c r="F66" s="3639" t="s">
        <v>186</v>
      </c>
      <c r="G66" s="3640">
        <v>0</v>
      </c>
      <c r="H66" s="3640">
        <v>0</v>
      </c>
      <c r="I66" s="3641">
        <v>0</v>
      </c>
      <c r="J66" s="3639">
        <v>14</v>
      </c>
      <c r="K66" s="3639" t="s">
        <v>233</v>
      </c>
      <c r="L66" s="4157"/>
      <c r="M66" s="3643" t="e">
        <v>#DIV/0!</v>
      </c>
      <c r="N66" s="3643" t="e">
        <v>#DIV/0!</v>
      </c>
      <c r="O66" s="3644">
        <v>0</v>
      </c>
      <c r="P66" s="3644">
        <v>0</v>
      </c>
      <c r="Q66" s="3644">
        <v>0</v>
      </c>
      <c r="R66" s="3644">
        <v>0</v>
      </c>
      <c r="S66" s="3642">
        <v>1.081</v>
      </c>
      <c r="T66" s="3499">
        <f t="shared" si="10"/>
        <v>0</v>
      </c>
      <c r="U66" s="3499">
        <f t="shared" si="11"/>
        <v>0</v>
      </c>
      <c r="V66" s="3499">
        <f t="shared" si="12"/>
        <v>0</v>
      </c>
      <c r="W66" s="3635" t="e">
        <f t="shared" si="13"/>
        <v>#DIV/0!</v>
      </c>
      <c r="X66" s="3635" t="e">
        <f t="shared" si="14"/>
        <v>#DIV/0!</v>
      </c>
      <c r="Y66" s="3635" t="e">
        <f t="shared" si="15"/>
        <v>#DIV/0!</v>
      </c>
    </row>
    <row r="67" spans="2:25">
      <c r="B67" s="3593"/>
      <c r="C67" s="3593" t="s">
        <v>394</v>
      </c>
      <c r="D67" s="3574">
        <v>0</v>
      </c>
      <c r="E67" s="3639" t="s">
        <v>731</v>
      </c>
      <c r="F67" s="3639" t="s">
        <v>186</v>
      </c>
      <c r="G67" s="3640">
        <v>0</v>
      </c>
      <c r="H67" s="3640">
        <v>0</v>
      </c>
      <c r="I67" s="3641">
        <v>0</v>
      </c>
      <c r="J67" s="3639">
        <v>14</v>
      </c>
      <c r="K67" s="3639" t="s">
        <v>233</v>
      </c>
      <c r="L67" s="4157"/>
      <c r="M67" s="3643" t="e">
        <v>#DIV/0!</v>
      </c>
      <c r="N67" s="3643" t="e">
        <v>#DIV/0!</v>
      </c>
      <c r="O67" s="3644">
        <v>0</v>
      </c>
      <c r="P67" s="3644">
        <v>0</v>
      </c>
      <c r="Q67" s="3644">
        <v>0</v>
      </c>
      <c r="R67" s="3644">
        <v>0</v>
      </c>
      <c r="S67" s="3642">
        <v>1.081</v>
      </c>
      <c r="T67" s="3499">
        <f t="shared" si="10"/>
        <v>0</v>
      </c>
      <c r="U67" s="3499">
        <f t="shared" si="11"/>
        <v>0</v>
      </c>
      <c r="V67" s="3499">
        <f t="shared" si="12"/>
        <v>0</v>
      </c>
      <c r="W67" s="3635" t="e">
        <f t="shared" si="13"/>
        <v>#DIV/0!</v>
      </c>
      <c r="X67" s="3635" t="e">
        <f t="shared" si="14"/>
        <v>#DIV/0!</v>
      </c>
      <c r="Y67" s="3635" t="e">
        <f t="shared" si="15"/>
        <v>#DIV/0!</v>
      </c>
    </row>
    <row r="68" spans="2:25">
      <c r="B68" s="3593"/>
      <c r="C68" s="3593" t="s">
        <v>395</v>
      </c>
      <c r="D68" s="3593">
        <v>0</v>
      </c>
      <c r="E68" s="3639" t="s">
        <v>731</v>
      </c>
      <c r="F68" s="3639" t="s">
        <v>186</v>
      </c>
      <c r="G68" s="3640">
        <v>0</v>
      </c>
      <c r="H68" s="3640">
        <v>0</v>
      </c>
      <c r="I68" s="3641">
        <v>0</v>
      </c>
      <c r="J68" s="3639">
        <v>14</v>
      </c>
      <c r="K68" s="3639" t="s">
        <v>233</v>
      </c>
      <c r="L68" s="4157"/>
      <c r="M68" s="3643" t="e">
        <v>#DIV/0!</v>
      </c>
      <c r="N68" s="3643" t="e">
        <v>#DIV/0!</v>
      </c>
      <c r="O68" s="3644">
        <v>0</v>
      </c>
      <c r="P68" s="3644">
        <v>0</v>
      </c>
      <c r="Q68" s="3644">
        <v>0</v>
      </c>
      <c r="R68" s="3644">
        <v>0</v>
      </c>
      <c r="S68" s="3642">
        <v>1.081</v>
      </c>
      <c r="T68" s="3499">
        <f t="shared" si="10"/>
        <v>0</v>
      </c>
      <c r="U68" s="3499">
        <f t="shared" si="11"/>
        <v>0</v>
      </c>
      <c r="V68" s="3499">
        <f t="shared" si="12"/>
        <v>0</v>
      </c>
      <c r="W68" s="3635" t="e">
        <f t="shared" si="13"/>
        <v>#DIV/0!</v>
      </c>
      <c r="X68" s="3635" t="e">
        <f t="shared" si="14"/>
        <v>#DIV/0!</v>
      </c>
      <c r="Y68" s="3635" t="e">
        <f t="shared" si="15"/>
        <v>#DIV/0!</v>
      </c>
    </row>
    <row r="69" spans="2:25">
      <c r="B69" s="3593"/>
      <c r="C69" s="3593" t="s">
        <v>396</v>
      </c>
      <c r="D69" s="3574">
        <v>2.5</v>
      </c>
      <c r="E69" s="3639" t="s">
        <v>731</v>
      </c>
      <c r="F69" s="3639" t="s">
        <v>186</v>
      </c>
      <c r="G69" s="3640">
        <v>0</v>
      </c>
      <c r="H69" s="3640">
        <v>0</v>
      </c>
      <c r="I69" s="3641">
        <v>0</v>
      </c>
      <c r="J69" s="3639">
        <v>14</v>
      </c>
      <c r="K69" s="3639" t="s">
        <v>233</v>
      </c>
      <c r="L69" s="4157"/>
      <c r="M69" s="3643" t="e">
        <v>#DIV/0!</v>
      </c>
      <c r="N69" s="3643" t="e">
        <v>#DIV/0!</v>
      </c>
      <c r="O69" s="3644">
        <v>0</v>
      </c>
      <c r="P69" s="3644">
        <v>0</v>
      </c>
      <c r="Q69" s="3644">
        <v>70.220377079792883</v>
      </c>
      <c r="R69" s="3644">
        <v>77.242414787772162</v>
      </c>
      <c r="S69" s="3642">
        <v>1.081</v>
      </c>
      <c r="T69" s="3499">
        <f t="shared" si="10"/>
        <v>0</v>
      </c>
      <c r="U69" s="3499">
        <f t="shared" si="11"/>
        <v>0</v>
      </c>
      <c r="V69" s="3499">
        <f t="shared" si="12"/>
        <v>0</v>
      </c>
      <c r="W69" s="3635" t="e">
        <f t="shared" si="13"/>
        <v>#DIV/0!</v>
      </c>
      <c r="X69" s="3635" t="e">
        <f t="shared" si="14"/>
        <v>#DIV/0!</v>
      </c>
      <c r="Y69" s="3635" t="e">
        <f t="shared" si="15"/>
        <v>#DIV/0!</v>
      </c>
    </row>
    <row r="70" spans="2:25">
      <c r="B70" s="3593"/>
      <c r="C70" s="3593" t="s">
        <v>397</v>
      </c>
      <c r="D70" s="3593">
        <v>4.2</v>
      </c>
      <c r="E70" s="3639" t="s">
        <v>731</v>
      </c>
      <c r="F70" s="3639" t="s">
        <v>186</v>
      </c>
      <c r="G70" s="3640">
        <v>0</v>
      </c>
      <c r="H70" s="3640">
        <v>0</v>
      </c>
      <c r="I70" s="3641">
        <v>0</v>
      </c>
      <c r="J70" s="3639">
        <v>14</v>
      </c>
      <c r="K70" s="3639" t="s">
        <v>233</v>
      </c>
      <c r="L70" s="4157"/>
      <c r="M70" s="3643" t="e">
        <v>#DIV/0!</v>
      </c>
      <c r="N70" s="3643" t="e">
        <v>#DIV/0!</v>
      </c>
      <c r="O70" s="3644">
        <v>0</v>
      </c>
      <c r="P70" s="3644">
        <v>0</v>
      </c>
      <c r="Q70" s="3644">
        <v>170.40144838029741</v>
      </c>
      <c r="R70" s="3644">
        <v>187.44159321832714</v>
      </c>
      <c r="S70" s="3642">
        <v>1.081</v>
      </c>
      <c r="T70" s="3499">
        <f t="shared" si="10"/>
        <v>0</v>
      </c>
      <c r="U70" s="3499">
        <f t="shared" si="11"/>
        <v>0</v>
      </c>
      <c r="V70" s="3499">
        <f t="shared" si="12"/>
        <v>0</v>
      </c>
      <c r="W70" s="3635" t="e">
        <f t="shared" si="13"/>
        <v>#DIV/0!</v>
      </c>
      <c r="X70" s="3635" t="e">
        <f t="shared" si="14"/>
        <v>#DIV/0!</v>
      </c>
      <c r="Y70" s="3635" t="e">
        <f t="shared" si="15"/>
        <v>#DIV/0!</v>
      </c>
    </row>
    <row r="71" spans="2:25">
      <c r="B71" s="3593"/>
      <c r="C71" s="3593" t="s">
        <v>398</v>
      </c>
      <c r="D71" s="3574">
        <v>4.8</v>
      </c>
      <c r="E71" s="3639" t="s">
        <v>731</v>
      </c>
      <c r="F71" s="3639" t="s">
        <v>186</v>
      </c>
      <c r="G71" s="3640">
        <v>0</v>
      </c>
      <c r="H71" s="3640">
        <v>0</v>
      </c>
      <c r="I71" s="3641">
        <v>0</v>
      </c>
      <c r="J71" s="3639">
        <v>14</v>
      </c>
      <c r="K71" s="3639" t="s">
        <v>233</v>
      </c>
      <c r="L71" s="4157"/>
      <c r="M71" s="3643" t="e">
        <v>#DIV/0!</v>
      </c>
      <c r="N71" s="3643" t="e">
        <v>#DIV/0!</v>
      </c>
      <c r="O71" s="3644">
        <v>0</v>
      </c>
      <c r="P71" s="3644">
        <v>0</v>
      </c>
      <c r="Q71" s="3644">
        <v>164.78381821391397</v>
      </c>
      <c r="R71" s="3644">
        <v>181.26220003530534</v>
      </c>
      <c r="S71" s="3642">
        <v>1.081</v>
      </c>
      <c r="T71" s="3499">
        <f t="shared" si="10"/>
        <v>0</v>
      </c>
      <c r="U71" s="3499">
        <f t="shared" si="11"/>
        <v>0</v>
      </c>
      <c r="V71" s="3499">
        <f t="shared" si="12"/>
        <v>0</v>
      </c>
      <c r="W71" s="3635" t="e">
        <f t="shared" si="13"/>
        <v>#DIV/0!</v>
      </c>
      <c r="X71" s="3635" t="e">
        <f t="shared" si="14"/>
        <v>#DIV/0!</v>
      </c>
      <c r="Y71" s="3635" t="e">
        <f t="shared" si="15"/>
        <v>#DIV/0!</v>
      </c>
    </row>
    <row r="72" spans="2:25">
      <c r="B72" s="3593"/>
      <c r="C72" s="3593" t="s">
        <v>399</v>
      </c>
      <c r="D72" s="3593">
        <v>3.1</v>
      </c>
      <c r="E72" s="3639" t="s">
        <v>731</v>
      </c>
      <c r="F72" s="3639" t="s">
        <v>186</v>
      </c>
      <c r="G72" s="3640">
        <v>0</v>
      </c>
      <c r="H72" s="3640">
        <v>0</v>
      </c>
      <c r="I72" s="3641">
        <v>0</v>
      </c>
      <c r="J72" s="3639">
        <v>14</v>
      </c>
      <c r="K72" s="3639" t="s">
        <v>233</v>
      </c>
      <c r="L72" s="4157"/>
      <c r="M72" s="3643" t="e">
        <v>#DIV/0!</v>
      </c>
      <c r="N72" s="3643" t="e">
        <v>#DIV/0!</v>
      </c>
      <c r="O72" s="3644">
        <v>0</v>
      </c>
      <c r="P72" s="3644">
        <v>0</v>
      </c>
      <c r="Q72" s="3644">
        <v>5224.3960547365905</v>
      </c>
      <c r="R72" s="3644">
        <v>5746.8356602102485</v>
      </c>
      <c r="S72" s="3642">
        <v>1.081</v>
      </c>
      <c r="T72" s="3499">
        <f t="shared" si="10"/>
        <v>0</v>
      </c>
      <c r="U72" s="3499">
        <f t="shared" si="11"/>
        <v>0</v>
      </c>
      <c r="V72" s="3499">
        <f t="shared" si="12"/>
        <v>0</v>
      </c>
      <c r="W72" s="3635" t="e">
        <f t="shared" si="13"/>
        <v>#DIV/0!</v>
      </c>
      <c r="X72" s="3635" t="e">
        <f t="shared" si="14"/>
        <v>#DIV/0!</v>
      </c>
      <c r="Y72" s="3635" t="e">
        <f t="shared" si="15"/>
        <v>#DIV/0!</v>
      </c>
    </row>
    <row r="73" spans="2:25">
      <c r="B73" s="3593"/>
      <c r="C73" s="3593" t="s">
        <v>400</v>
      </c>
      <c r="D73" s="3574">
        <v>4</v>
      </c>
      <c r="E73" s="3639" t="s">
        <v>731</v>
      </c>
      <c r="F73" s="3639" t="s">
        <v>186</v>
      </c>
      <c r="G73" s="3640">
        <v>0</v>
      </c>
      <c r="H73" s="3640">
        <v>0</v>
      </c>
      <c r="I73" s="3641">
        <v>0</v>
      </c>
      <c r="J73" s="3639">
        <v>14</v>
      </c>
      <c r="K73" s="3639" t="s">
        <v>233</v>
      </c>
      <c r="L73" s="4157"/>
      <c r="M73" s="3643" t="e">
        <v>#DIV/0!</v>
      </c>
      <c r="N73" s="3643" t="e">
        <v>#DIV/0!</v>
      </c>
      <c r="O73" s="3644">
        <v>0</v>
      </c>
      <c r="P73" s="3644">
        <v>0</v>
      </c>
      <c r="Q73" s="3644">
        <v>9237.8807180527529</v>
      </c>
      <c r="R73" s="3644">
        <v>10161.668789858028</v>
      </c>
      <c r="S73" s="3642">
        <v>1.081</v>
      </c>
      <c r="T73" s="3499">
        <f t="shared" si="10"/>
        <v>0</v>
      </c>
      <c r="U73" s="3499">
        <f t="shared" si="11"/>
        <v>0</v>
      </c>
      <c r="V73" s="3499">
        <f t="shared" si="12"/>
        <v>0</v>
      </c>
      <c r="W73" s="3635" t="e">
        <f t="shared" si="13"/>
        <v>#DIV/0!</v>
      </c>
      <c r="X73" s="3635" t="e">
        <f t="shared" si="14"/>
        <v>#DIV/0!</v>
      </c>
      <c r="Y73" s="3635" t="e">
        <f t="shared" si="15"/>
        <v>#DIV/0!</v>
      </c>
    </row>
    <row r="74" spans="2:25">
      <c r="B74" s="3593"/>
      <c r="C74" s="3593" t="s">
        <v>401</v>
      </c>
      <c r="D74" s="3593">
        <v>4.3</v>
      </c>
      <c r="E74" s="3639" t="s">
        <v>731</v>
      </c>
      <c r="F74" s="3639" t="s">
        <v>186</v>
      </c>
      <c r="G74" s="3640">
        <v>0</v>
      </c>
      <c r="H74" s="3640">
        <v>0</v>
      </c>
      <c r="I74" s="3641">
        <v>0</v>
      </c>
      <c r="J74" s="3639">
        <v>14</v>
      </c>
      <c r="K74" s="3639" t="s">
        <v>233</v>
      </c>
      <c r="L74" s="4157"/>
      <c r="M74" s="3643" t="e">
        <v>#DIV/0!</v>
      </c>
      <c r="N74" s="3643" t="e">
        <v>#DIV/0!</v>
      </c>
      <c r="O74" s="3644">
        <v>0</v>
      </c>
      <c r="P74" s="3644">
        <v>0</v>
      </c>
      <c r="Q74" s="3644">
        <v>9393.926000452293</v>
      </c>
      <c r="R74" s="3644">
        <v>10333.318600497521</v>
      </c>
      <c r="S74" s="3642">
        <v>1.081</v>
      </c>
      <c r="T74" s="3499">
        <f t="shared" si="10"/>
        <v>0</v>
      </c>
      <c r="U74" s="3499">
        <f t="shared" si="11"/>
        <v>0</v>
      </c>
      <c r="V74" s="3499">
        <f t="shared" si="12"/>
        <v>0</v>
      </c>
      <c r="W74" s="3635" t="e">
        <f t="shared" si="13"/>
        <v>#DIV/0!</v>
      </c>
      <c r="X74" s="3635" t="e">
        <f t="shared" si="14"/>
        <v>#DIV/0!</v>
      </c>
      <c r="Y74" s="3635" t="e">
        <f t="shared" si="15"/>
        <v>#DIV/0!</v>
      </c>
    </row>
    <row r="75" spans="2:25">
      <c r="B75" s="3593"/>
      <c r="C75" s="3593" t="s">
        <v>402</v>
      </c>
      <c r="D75" s="3574">
        <v>5.6</v>
      </c>
      <c r="E75" s="3639" t="s">
        <v>731</v>
      </c>
      <c r="F75" s="3639" t="s">
        <v>186</v>
      </c>
      <c r="G75" s="3640">
        <v>0</v>
      </c>
      <c r="H75" s="3640">
        <v>0</v>
      </c>
      <c r="I75" s="3641">
        <v>0</v>
      </c>
      <c r="J75" s="3639">
        <v>14</v>
      </c>
      <c r="K75" s="3639" t="s">
        <v>233</v>
      </c>
      <c r="L75" s="4157"/>
      <c r="M75" s="3643" t="e">
        <v>#DIV/0!</v>
      </c>
      <c r="N75" s="3643" t="e">
        <v>#DIV/0!</v>
      </c>
      <c r="O75" s="3644">
        <v>0</v>
      </c>
      <c r="P75" s="3644">
        <v>0</v>
      </c>
      <c r="Q75" s="3644">
        <v>2446.7900280247832</v>
      </c>
      <c r="R75" s="3644">
        <v>2691.4690308272611</v>
      </c>
      <c r="S75" s="3642">
        <v>1.081</v>
      </c>
      <c r="T75" s="3499">
        <f t="shared" si="10"/>
        <v>0</v>
      </c>
      <c r="U75" s="3499">
        <f t="shared" si="11"/>
        <v>0</v>
      </c>
      <c r="V75" s="3499">
        <f t="shared" si="12"/>
        <v>0</v>
      </c>
      <c r="W75" s="3635" t="e">
        <f t="shared" si="13"/>
        <v>#DIV/0!</v>
      </c>
      <c r="X75" s="3635" t="e">
        <f t="shared" si="14"/>
        <v>#DIV/0!</v>
      </c>
      <c r="Y75" s="3635" t="e">
        <f t="shared" si="15"/>
        <v>#DIV/0!</v>
      </c>
    </row>
    <row r="76" spans="2:25">
      <c r="B76" s="3593"/>
      <c r="C76" s="3593" t="s">
        <v>403</v>
      </c>
      <c r="D76" s="3593">
        <v>8.3000000000000007</v>
      </c>
      <c r="E76" s="3639" t="s">
        <v>731</v>
      </c>
      <c r="F76" s="3639" t="s">
        <v>186</v>
      </c>
      <c r="G76" s="3640">
        <v>0</v>
      </c>
      <c r="H76" s="3640">
        <v>0</v>
      </c>
      <c r="I76" s="3641">
        <v>0.12780263304219883</v>
      </c>
      <c r="J76" s="3639">
        <v>14</v>
      </c>
      <c r="K76" s="3639" t="s">
        <v>233</v>
      </c>
      <c r="L76" s="4157"/>
      <c r="M76" s="3643" t="e">
        <v>#DIV/0!</v>
      </c>
      <c r="N76" s="3643" t="e">
        <v>#DIV/0!</v>
      </c>
      <c r="O76" s="3644">
        <v>0</v>
      </c>
      <c r="P76" s="3644">
        <v>0</v>
      </c>
      <c r="Q76" s="3644">
        <v>4662.6330380982481</v>
      </c>
      <c r="R76" s="3644">
        <v>5128.8963419080719</v>
      </c>
      <c r="S76" s="3642">
        <v>1.081</v>
      </c>
      <c r="T76" s="3499">
        <f t="shared" si="10"/>
        <v>0</v>
      </c>
      <c r="U76" s="3499">
        <f t="shared" si="11"/>
        <v>0</v>
      </c>
      <c r="V76" s="3499">
        <f t="shared" si="12"/>
        <v>0</v>
      </c>
      <c r="W76" s="3635" t="e">
        <f t="shared" si="13"/>
        <v>#DIV/0!</v>
      </c>
      <c r="X76" s="3635" t="e">
        <f t="shared" si="14"/>
        <v>#DIV/0!</v>
      </c>
      <c r="Y76" s="3635" t="e">
        <f t="shared" si="15"/>
        <v>#DIV/0!</v>
      </c>
    </row>
    <row r="77" spans="2:25">
      <c r="B77" s="3593"/>
      <c r="C77" s="3593" t="s">
        <v>404</v>
      </c>
      <c r="D77" s="3574">
        <v>9.1</v>
      </c>
      <c r="E77" s="3639" t="s">
        <v>731</v>
      </c>
      <c r="F77" s="3639" t="s">
        <v>186</v>
      </c>
      <c r="G77" s="3640">
        <v>0</v>
      </c>
      <c r="H77" s="3640">
        <v>0</v>
      </c>
      <c r="I77" s="3641">
        <v>0.14012095911855535</v>
      </c>
      <c r="J77" s="3639">
        <v>14</v>
      </c>
      <c r="K77" s="3639" t="s">
        <v>233</v>
      </c>
      <c r="L77" s="4157"/>
      <c r="M77" s="3643" t="e">
        <v>#DIV/0!</v>
      </c>
      <c r="N77" s="3643" t="e">
        <v>#DIV/0!</v>
      </c>
      <c r="O77" s="3644">
        <v>0</v>
      </c>
      <c r="P77" s="3644">
        <v>0</v>
      </c>
      <c r="Q77" s="3644">
        <v>5112.0434514089229</v>
      </c>
      <c r="R77" s="3644">
        <v>5623.2477965498147</v>
      </c>
      <c r="S77" s="3642">
        <v>1.081</v>
      </c>
      <c r="T77" s="3499">
        <f t="shared" si="10"/>
        <v>0</v>
      </c>
      <c r="U77" s="3499">
        <f t="shared" si="11"/>
        <v>0</v>
      </c>
      <c r="V77" s="3499">
        <f t="shared" si="12"/>
        <v>0</v>
      </c>
      <c r="W77" s="3635" t="e">
        <f t="shared" si="13"/>
        <v>#DIV/0!</v>
      </c>
      <c r="X77" s="3635" t="e">
        <f t="shared" si="14"/>
        <v>#DIV/0!</v>
      </c>
      <c r="Y77" s="3635" t="e">
        <f t="shared" si="15"/>
        <v>#DIV/0!</v>
      </c>
    </row>
    <row r="78" spans="2:25">
      <c r="B78" s="3593"/>
      <c r="C78" s="4670" t="s">
        <v>1296</v>
      </c>
      <c r="D78" s="4671">
        <v>1.9</v>
      </c>
      <c r="E78" s="3593" t="s">
        <v>559</v>
      </c>
      <c r="F78" s="3593" t="s">
        <v>186</v>
      </c>
      <c r="G78" s="3594"/>
      <c r="H78" s="3594"/>
      <c r="I78" s="3633">
        <v>0</v>
      </c>
      <c r="J78" s="3574"/>
      <c r="K78" s="3574"/>
      <c r="L78" s="3574"/>
      <c r="M78" s="3509" t="e">
        <f t="shared" ref="M78:N104" si="16">Q78/O78</f>
        <v>#DIV/0!</v>
      </c>
      <c r="N78" s="3509" t="e">
        <f t="shared" si="16"/>
        <v>#DIV/0!</v>
      </c>
      <c r="O78" s="3548">
        <f t="shared" ref="O78:O104" si="17">(($I78*$F$57)+$V78)/$S78</f>
        <v>0</v>
      </c>
      <c r="P78" s="3548">
        <f t="shared" ref="P78:P104" si="18">(($I78*$F$57)+($G78*$O28))/$S78</f>
        <v>0</v>
      </c>
      <c r="Q78" s="3548">
        <f>IF(K78=0, 0, (HLOOKUP(K78,'[1]G-CESTD'!$A$5:$G$35,J78+1,FALSE)*R28))</f>
        <v>0</v>
      </c>
      <c r="R78" s="3548">
        <f>IF(K78=0, 0, (HLOOKUP(K78,'[1]G-CESTD'!$A$5:$G$35,J78+1,FALSE)*R28))</f>
        <v>0</v>
      </c>
      <c r="S78" s="3592">
        <v>1.081</v>
      </c>
      <c r="T78" s="3499">
        <f t="shared" si="10"/>
        <v>0</v>
      </c>
      <c r="U78" s="3499">
        <f t="shared" si="11"/>
        <v>0</v>
      </c>
      <c r="V78" s="3499">
        <f t="shared" si="12"/>
        <v>0</v>
      </c>
      <c r="W78" s="3635" t="e">
        <f t="shared" si="13"/>
        <v>#DIV/0!</v>
      </c>
      <c r="X78" s="3635" t="e">
        <f t="shared" si="14"/>
        <v>#DIV/0!</v>
      </c>
      <c r="Y78" s="3635" t="e">
        <f t="shared" si="15"/>
        <v>#DIV/0!</v>
      </c>
    </row>
    <row r="79" spans="2:25">
      <c r="B79" s="3593"/>
      <c r="C79" s="4670" t="s">
        <v>1297</v>
      </c>
      <c r="D79" s="4671">
        <v>3.4</v>
      </c>
      <c r="E79" s="3593" t="s">
        <v>559</v>
      </c>
      <c r="F79" s="3593" t="s">
        <v>186</v>
      </c>
      <c r="G79" s="3594"/>
      <c r="H79" s="3594"/>
      <c r="I79" s="3633">
        <v>0</v>
      </c>
      <c r="J79" s="3574"/>
      <c r="K79" s="3574"/>
      <c r="L79" s="3574"/>
      <c r="M79" s="3509" t="e">
        <f t="shared" si="16"/>
        <v>#DIV/0!</v>
      </c>
      <c r="N79" s="3509" t="e">
        <f t="shared" si="16"/>
        <v>#DIV/0!</v>
      </c>
      <c r="O79" s="3548">
        <f t="shared" si="17"/>
        <v>0</v>
      </c>
      <c r="P79" s="3548">
        <f t="shared" si="18"/>
        <v>0</v>
      </c>
      <c r="Q79" s="3548">
        <f>IF(K79=0, 0, (HLOOKUP(K79,'[1]G-CESTD'!$A$5:$G$35,J79+1,FALSE)*R29))</f>
        <v>0</v>
      </c>
      <c r="R79" s="3548">
        <f>IF(K79=0, 0, (HLOOKUP(K79,'[1]G-CESTD'!$A$5:$G$35,J79+1,FALSE)*R29))</f>
        <v>0</v>
      </c>
      <c r="S79" s="3592">
        <v>1.081</v>
      </c>
      <c r="T79" s="3499">
        <f t="shared" si="10"/>
        <v>0</v>
      </c>
      <c r="U79" s="3499">
        <f t="shared" si="11"/>
        <v>0</v>
      </c>
      <c r="V79" s="3499">
        <f t="shared" si="12"/>
        <v>0</v>
      </c>
      <c r="W79" s="3635" t="e">
        <f t="shared" si="13"/>
        <v>#DIV/0!</v>
      </c>
      <c r="X79" s="3635" t="e">
        <f t="shared" si="14"/>
        <v>#DIV/0!</v>
      </c>
      <c r="Y79" s="3635" t="e">
        <f t="shared" si="15"/>
        <v>#DIV/0!</v>
      </c>
    </row>
    <row r="80" spans="2:25">
      <c r="B80" s="3593"/>
      <c r="C80" s="4670" t="s">
        <v>1298</v>
      </c>
      <c r="D80" s="4671">
        <v>1</v>
      </c>
      <c r="E80" s="3593" t="s">
        <v>559</v>
      </c>
      <c r="F80" s="3593" t="s">
        <v>186</v>
      </c>
      <c r="G80" s="3594"/>
      <c r="H80" s="3594"/>
      <c r="I80" s="3633">
        <v>0</v>
      </c>
      <c r="J80" s="3574"/>
      <c r="K80" s="3574"/>
      <c r="L80" s="3574"/>
      <c r="M80" s="3509" t="e">
        <f t="shared" si="16"/>
        <v>#DIV/0!</v>
      </c>
      <c r="N80" s="3509" t="e">
        <f t="shared" si="16"/>
        <v>#DIV/0!</v>
      </c>
      <c r="O80" s="3548">
        <f t="shared" si="17"/>
        <v>0</v>
      </c>
      <c r="P80" s="3548">
        <f t="shared" si="18"/>
        <v>0</v>
      </c>
      <c r="Q80" s="3548">
        <f>IF(K80=0, 0, (HLOOKUP(K80,'[1]G-CESTD'!$A$5:$G$35,J80+1,FALSE)*R30))</f>
        <v>0</v>
      </c>
      <c r="R80" s="3548">
        <f>IF(K80=0, 0, (HLOOKUP(K80,'[1]G-CESTD'!$A$5:$G$35,J80+1,FALSE)*R30))</f>
        <v>0</v>
      </c>
      <c r="S80" s="3592">
        <v>1.081</v>
      </c>
      <c r="T80" s="3499">
        <f t="shared" si="10"/>
        <v>0</v>
      </c>
      <c r="U80" s="3499">
        <f t="shared" si="11"/>
        <v>0</v>
      </c>
      <c r="V80" s="3499">
        <f t="shared" si="12"/>
        <v>0</v>
      </c>
      <c r="W80" s="3635" t="e">
        <f t="shared" si="13"/>
        <v>#DIV/0!</v>
      </c>
      <c r="X80" s="3635" t="e">
        <f t="shared" si="14"/>
        <v>#DIV/0!</v>
      </c>
      <c r="Y80" s="3635" t="e">
        <f t="shared" si="15"/>
        <v>#DIV/0!</v>
      </c>
    </row>
    <row r="81" spans="2:25">
      <c r="B81" s="3593"/>
      <c r="C81" s="4670" t="s">
        <v>1299</v>
      </c>
      <c r="D81" s="4671">
        <v>1.6</v>
      </c>
      <c r="E81" s="3593" t="s">
        <v>559</v>
      </c>
      <c r="F81" s="3593" t="s">
        <v>186</v>
      </c>
      <c r="G81" s="3594"/>
      <c r="H81" s="3594"/>
      <c r="I81" s="3633">
        <v>0</v>
      </c>
      <c r="J81" s="3574"/>
      <c r="K81" s="3574"/>
      <c r="L81" s="3574"/>
      <c r="M81" s="3509" t="e">
        <f t="shared" si="16"/>
        <v>#DIV/0!</v>
      </c>
      <c r="N81" s="3509" t="e">
        <f t="shared" si="16"/>
        <v>#DIV/0!</v>
      </c>
      <c r="O81" s="3548">
        <f t="shared" si="17"/>
        <v>0</v>
      </c>
      <c r="P81" s="3548">
        <f t="shared" si="18"/>
        <v>0</v>
      </c>
      <c r="Q81" s="3548">
        <f>IF(K81=0, 0, (HLOOKUP(K81,'[1]G-CESTD'!$A$5:$G$35,J81+1,FALSE)*R31))</f>
        <v>0</v>
      </c>
      <c r="R81" s="3548">
        <f>IF(K81=0, 0, (HLOOKUP(K81,'[1]G-CESTD'!$A$5:$G$35,J81+1,FALSE)*R31))</f>
        <v>0</v>
      </c>
      <c r="S81" s="3592">
        <v>1.081</v>
      </c>
      <c r="T81" s="3499">
        <f t="shared" si="10"/>
        <v>0</v>
      </c>
      <c r="U81" s="3499">
        <f t="shared" si="11"/>
        <v>0</v>
      </c>
      <c r="V81" s="3499">
        <f t="shared" si="12"/>
        <v>0</v>
      </c>
      <c r="W81" s="3635" t="e">
        <f t="shared" si="13"/>
        <v>#DIV/0!</v>
      </c>
      <c r="X81" s="3635" t="e">
        <f t="shared" si="14"/>
        <v>#DIV/0!</v>
      </c>
      <c r="Y81" s="3635" t="e">
        <f t="shared" si="15"/>
        <v>#DIV/0!</v>
      </c>
    </row>
    <row r="82" spans="2:25">
      <c r="B82" s="3593"/>
      <c r="C82" s="4670" t="s">
        <v>1300</v>
      </c>
      <c r="D82" s="4671">
        <v>2.9</v>
      </c>
      <c r="E82" s="3593" t="s">
        <v>559</v>
      </c>
      <c r="F82" s="3593" t="s">
        <v>186</v>
      </c>
      <c r="G82" s="3594"/>
      <c r="H82" s="3594"/>
      <c r="I82" s="3633">
        <v>0</v>
      </c>
      <c r="J82" s="3574"/>
      <c r="K82" s="3574"/>
      <c r="L82" s="3574"/>
      <c r="M82" s="3509" t="e">
        <f t="shared" si="16"/>
        <v>#DIV/0!</v>
      </c>
      <c r="N82" s="3509" t="e">
        <f t="shared" si="16"/>
        <v>#DIV/0!</v>
      </c>
      <c r="O82" s="3548">
        <f t="shared" si="17"/>
        <v>0</v>
      </c>
      <c r="P82" s="3548">
        <f t="shared" si="18"/>
        <v>0</v>
      </c>
      <c r="Q82" s="3548">
        <f>IF(K82=0, 0, (HLOOKUP(K82,'[1]G-CESTD'!$A$5:$G$35,J82+1,FALSE)*R32))</f>
        <v>0</v>
      </c>
      <c r="R82" s="3548">
        <f>IF(K82=0, 0, (HLOOKUP(K82,'[1]G-CESTD'!$A$5:$G$35,J82+1,FALSE)*R32))</f>
        <v>0</v>
      </c>
      <c r="S82" s="3592">
        <v>1.081</v>
      </c>
      <c r="T82" s="3499">
        <f t="shared" si="10"/>
        <v>0</v>
      </c>
      <c r="U82" s="3499">
        <f t="shared" si="11"/>
        <v>0</v>
      </c>
      <c r="V82" s="3499">
        <f t="shared" si="12"/>
        <v>0</v>
      </c>
    </row>
    <row r="83" spans="2:25">
      <c r="B83" s="3593"/>
      <c r="C83" s="4670" t="s">
        <v>1301</v>
      </c>
      <c r="D83" s="4671">
        <v>5</v>
      </c>
      <c r="E83" s="3593" t="s">
        <v>559</v>
      </c>
      <c r="F83" s="3593" t="s">
        <v>186</v>
      </c>
      <c r="G83" s="3594"/>
      <c r="H83" s="3594"/>
      <c r="I83" s="3633">
        <v>0</v>
      </c>
      <c r="J83" s="3574"/>
      <c r="K83" s="3574"/>
      <c r="L83" s="3574"/>
      <c r="M83" s="3509" t="e">
        <f t="shared" si="16"/>
        <v>#DIV/0!</v>
      </c>
      <c r="N83" s="3509" t="e">
        <f t="shared" si="16"/>
        <v>#DIV/0!</v>
      </c>
      <c r="O83" s="3548">
        <f t="shared" si="17"/>
        <v>0</v>
      </c>
      <c r="P83" s="3548">
        <f t="shared" si="18"/>
        <v>0</v>
      </c>
      <c r="Q83" s="3548">
        <f>IF(K83=0, 0, (HLOOKUP(K83,'[1]G-CESTD'!$A$5:$G$35,J83+1,FALSE)*R33))</f>
        <v>0</v>
      </c>
      <c r="R83" s="3548">
        <f>IF(K83=0, 0, (HLOOKUP(K83,'[1]G-CESTD'!$A$5:$G$35,J83+1,FALSE)*R33))</f>
        <v>0</v>
      </c>
      <c r="S83" s="3592">
        <v>1.081</v>
      </c>
      <c r="T83" s="3499">
        <f t="shared" si="10"/>
        <v>0</v>
      </c>
      <c r="U83" s="3499">
        <f t="shared" si="11"/>
        <v>0</v>
      </c>
      <c r="V83" s="3499">
        <f t="shared" si="12"/>
        <v>0</v>
      </c>
    </row>
    <row r="84" spans="2:25">
      <c r="B84" s="3593"/>
      <c r="C84" s="3593" t="s">
        <v>206</v>
      </c>
      <c r="D84" s="3595">
        <v>0</v>
      </c>
      <c r="E84" s="3593" t="s">
        <v>559</v>
      </c>
      <c r="F84" s="3593" t="s">
        <v>186</v>
      </c>
      <c r="G84" s="3594"/>
      <c r="H84" s="3594"/>
      <c r="I84" s="3633">
        <v>0</v>
      </c>
      <c r="J84" s="3574"/>
      <c r="K84" s="3574"/>
      <c r="L84" s="3574"/>
      <c r="M84" s="3509" t="e">
        <f t="shared" si="16"/>
        <v>#DIV/0!</v>
      </c>
      <c r="N84" s="3509" t="e">
        <f t="shared" si="16"/>
        <v>#DIV/0!</v>
      </c>
      <c r="O84" s="3548">
        <f t="shared" si="17"/>
        <v>0</v>
      </c>
      <c r="P84" s="3548">
        <f t="shared" si="18"/>
        <v>0</v>
      </c>
      <c r="Q84" s="3548">
        <f>IF(K84=0, 0, (HLOOKUP(K84,'[1]G-CESTD'!$A$5:$G$35,J84+1,FALSE)*R34))</f>
        <v>0</v>
      </c>
      <c r="R84" s="3548">
        <f>IF(K84=0, 0, (HLOOKUP(K84,'[1]G-CESTD'!$A$5:$G$35,J84+1,FALSE)*R34))</f>
        <v>0</v>
      </c>
      <c r="S84" s="3592">
        <v>1.081</v>
      </c>
      <c r="T84" s="3499">
        <f t="shared" si="10"/>
        <v>0</v>
      </c>
      <c r="U84" s="3499">
        <f t="shared" si="11"/>
        <v>0</v>
      </c>
      <c r="V84" s="3499">
        <f t="shared" si="12"/>
        <v>0</v>
      </c>
    </row>
    <row r="85" spans="2:25">
      <c r="B85" s="3593"/>
      <c r="C85" s="3593" t="s">
        <v>207</v>
      </c>
      <c r="D85" s="3595">
        <v>0</v>
      </c>
      <c r="E85" s="3593" t="s">
        <v>559</v>
      </c>
      <c r="F85" s="3593" t="s">
        <v>186</v>
      </c>
      <c r="G85" s="3594"/>
      <c r="H85" s="3594"/>
      <c r="I85" s="3633">
        <v>0</v>
      </c>
      <c r="J85" s="3574"/>
      <c r="K85" s="3574"/>
      <c r="L85" s="3574"/>
      <c r="M85" s="3509" t="e">
        <f t="shared" si="16"/>
        <v>#DIV/0!</v>
      </c>
      <c r="N85" s="3509" t="e">
        <f t="shared" si="16"/>
        <v>#DIV/0!</v>
      </c>
      <c r="O85" s="3548">
        <f t="shared" si="17"/>
        <v>0</v>
      </c>
      <c r="P85" s="3548">
        <f t="shared" si="18"/>
        <v>0</v>
      </c>
      <c r="Q85" s="3548">
        <f>IF(K85=0, 0, (HLOOKUP(K85,'[1]G-CESTD'!$A$5:$G$35,J85+1,FALSE)*R35))</f>
        <v>0</v>
      </c>
      <c r="R85" s="3548">
        <f>IF(K85=0, 0, (HLOOKUP(K85,'[1]G-CESTD'!$A$5:$G$35,J85+1,FALSE)*R35))</f>
        <v>0</v>
      </c>
      <c r="S85" s="3592">
        <v>1.081</v>
      </c>
      <c r="T85" s="3499">
        <f t="shared" si="10"/>
        <v>0</v>
      </c>
      <c r="U85" s="3499">
        <f t="shared" si="11"/>
        <v>0</v>
      </c>
      <c r="V85" s="3499">
        <f t="shared" si="12"/>
        <v>0</v>
      </c>
    </row>
    <row r="86" spans="2:25">
      <c r="B86" s="3593"/>
      <c r="C86" s="3593" t="s">
        <v>208</v>
      </c>
      <c r="D86" s="3595">
        <v>0</v>
      </c>
      <c r="E86" s="3593" t="s">
        <v>559</v>
      </c>
      <c r="F86" s="3593" t="s">
        <v>186</v>
      </c>
      <c r="G86" s="3594"/>
      <c r="H86" s="3594"/>
      <c r="I86" s="3633">
        <v>0</v>
      </c>
      <c r="J86" s="3574"/>
      <c r="K86" s="3574"/>
      <c r="L86" s="3574"/>
      <c r="M86" s="3509" t="e">
        <f t="shared" si="16"/>
        <v>#DIV/0!</v>
      </c>
      <c r="N86" s="3509" t="e">
        <f t="shared" si="16"/>
        <v>#DIV/0!</v>
      </c>
      <c r="O86" s="3548">
        <f t="shared" si="17"/>
        <v>0</v>
      </c>
      <c r="P86" s="3548">
        <f t="shared" si="18"/>
        <v>0</v>
      </c>
      <c r="Q86" s="3548">
        <f>IF(K86=0, 0, (HLOOKUP(K86,'[1]G-CESTD'!$A$5:$G$35,J86+1,FALSE)*R36))</f>
        <v>0</v>
      </c>
      <c r="R86" s="3548">
        <f>IF(K86=0, 0, (HLOOKUP(K86,'[1]G-CESTD'!$A$5:$G$35,J86+1,FALSE)*R36))</f>
        <v>0</v>
      </c>
      <c r="S86" s="3592">
        <v>1.081</v>
      </c>
      <c r="T86" s="3499">
        <f t="shared" si="10"/>
        <v>0</v>
      </c>
      <c r="U86" s="3499">
        <f t="shared" si="11"/>
        <v>0</v>
      </c>
      <c r="V86" s="3499">
        <f t="shared" si="12"/>
        <v>0</v>
      </c>
    </row>
    <row r="87" spans="2:25">
      <c r="B87" s="3593"/>
      <c r="C87" s="3593" t="s">
        <v>209</v>
      </c>
      <c r="D87" s="3595">
        <v>0</v>
      </c>
      <c r="E87" s="3593" t="s">
        <v>559</v>
      </c>
      <c r="F87" s="3593" t="s">
        <v>186</v>
      </c>
      <c r="G87" s="3594"/>
      <c r="H87" s="3594"/>
      <c r="I87" s="3633">
        <v>0</v>
      </c>
      <c r="J87" s="3574"/>
      <c r="K87" s="3574"/>
      <c r="L87" s="3574"/>
      <c r="M87" s="3509" t="e">
        <f t="shared" si="16"/>
        <v>#DIV/0!</v>
      </c>
      <c r="N87" s="3509" t="e">
        <f t="shared" si="16"/>
        <v>#DIV/0!</v>
      </c>
      <c r="O87" s="3548">
        <f t="shared" si="17"/>
        <v>0</v>
      </c>
      <c r="P87" s="3548">
        <f t="shared" si="18"/>
        <v>0</v>
      </c>
      <c r="Q87" s="3548">
        <f>IF(K87=0, 0, (HLOOKUP(K87,'[1]G-CESTD'!$A$5:$G$35,J87+1,FALSE)*R37))</f>
        <v>0</v>
      </c>
      <c r="R87" s="3548">
        <f>IF(K87=0, 0, (HLOOKUP(K87,'[1]G-CESTD'!$A$5:$G$35,J87+1,FALSE)*R37))</f>
        <v>0</v>
      </c>
      <c r="S87" s="3592">
        <v>1.081</v>
      </c>
      <c r="T87" s="3499">
        <f t="shared" si="10"/>
        <v>0</v>
      </c>
      <c r="U87" s="3499">
        <f t="shared" si="11"/>
        <v>0</v>
      </c>
      <c r="V87" s="3499">
        <f t="shared" si="12"/>
        <v>0</v>
      </c>
    </row>
    <row r="88" spans="2:25">
      <c r="B88" s="3593"/>
      <c r="C88" s="3593" t="s">
        <v>210</v>
      </c>
      <c r="D88" s="3595">
        <v>0</v>
      </c>
      <c r="E88" s="3593" t="s">
        <v>559</v>
      </c>
      <c r="F88" s="3593" t="s">
        <v>186</v>
      </c>
      <c r="G88" s="3594"/>
      <c r="H88" s="3594"/>
      <c r="I88" s="3633">
        <v>0</v>
      </c>
      <c r="J88" s="3574"/>
      <c r="K88" s="3574"/>
      <c r="L88" s="3574"/>
      <c r="M88" s="3509" t="e">
        <f t="shared" si="16"/>
        <v>#DIV/0!</v>
      </c>
      <c r="N88" s="3509" t="e">
        <f t="shared" si="16"/>
        <v>#DIV/0!</v>
      </c>
      <c r="O88" s="3548">
        <f t="shared" si="17"/>
        <v>0</v>
      </c>
      <c r="P88" s="3548">
        <f t="shared" si="18"/>
        <v>0</v>
      </c>
      <c r="Q88" s="3548">
        <f>IF(K88=0, 0, (HLOOKUP(K88,'[1]G-CESTD'!$A$5:$G$35,J88+1,FALSE)*R38))</f>
        <v>0</v>
      </c>
      <c r="R88" s="3548">
        <f>IF(K88=0, 0, (HLOOKUP(K88,'[1]G-CESTD'!$A$5:$G$35,J88+1,FALSE)*R38))</f>
        <v>0</v>
      </c>
      <c r="S88" s="3592">
        <v>1.081</v>
      </c>
      <c r="T88" s="3499">
        <f t="shared" si="10"/>
        <v>0</v>
      </c>
      <c r="U88" s="3499">
        <f t="shared" si="11"/>
        <v>0</v>
      </c>
      <c r="V88" s="3499">
        <f t="shared" si="12"/>
        <v>0</v>
      </c>
    </row>
    <row r="89" spans="2:25">
      <c r="B89" s="3593"/>
      <c r="C89" s="3593" t="s">
        <v>211</v>
      </c>
      <c r="D89" s="3595">
        <v>0</v>
      </c>
      <c r="E89" s="3593" t="s">
        <v>559</v>
      </c>
      <c r="F89" s="3593" t="s">
        <v>186</v>
      </c>
      <c r="G89" s="3594"/>
      <c r="H89" s="3594"/>
      <c r="I89" s="3633">
        <v>0</v>
      </c>
      <c r="J89" s="3574"/>
      <c r="K89" s="3574"/>
      <c r="L89" s="3574"/>
      <c r="M89" s="3509" t="e">
        <f t="shared" si="16"/>
        <v>#DIV/0!</v>
      </c>
      <c r="N89" s="3509" t="e">
        <f t="shared" si="16"/>
        <v>#DIV/0!</v>
      </c>
      <c r="O89" s="3548">
        <f t="shared" si="17"/>
        <v>0</v>
      </c>
      <c r="P89" s="3548">
        <f t="shared" si="18"/>
        <v>0</v>
      </c>
      <c r="Q89" s="3548">
        <f>IF(K89=0, 0, (HLOOKUP(K89,'[1]G-CESTD'!$A$5:$G$35,J89+1,FALSE)*R39))</f>
        <v>0</v>
      </c>
      <c r="R89" s="3548">
        <f>IF(K89=0, 0, (HLOOKUP(K89,'[1]G-CESTD'!$A$5:$G$35,J89+1,FALSE)*R39))</f>
        <v>0</v>
      </c>
      <c r="S89" s="3592">
        <v>1.081</v>
      </c>
      <c r="T89" s="3499">
        <f t="shared" si="10"/>
        <v>0</v>
      </c>
      <c r="U89" s="3499">
        <f t="shared" si="11"/>
        <v>0</v>
      </c>
      <c r="V89" s="3499">
        <f t="shared" si="12"/>
        <v>0</v>
      </c>
    </row>
    <row r="90" spans="2:25">
      <c r="B90" s="3593"/>
      <c r="C90" s="3593" t="s">
        <v>212</v>
      </c>
      <c r="D90" s="3595">
        <v>0</v>
      </c>
      <c r="E90" s="3593" t="s">
        <v>559</v>
      </c>
      <c r="F90" s="3593" t="s">
        <v>186</v>
      </c>
      <c r="G90" s="3594"/>
      <c r="H90" s="3594"/>
      <c r="I90" s="3633">
        <v>0</v>
      </c>
      <c r="J90" s="3574"/>
      <c r="K90" s="3574"/>
      <c r="L90" s="3574"/>
      <c r="M90" s="3509" t="e">
        <f t="shared" si="16"/>
        <v>#DIV/0!</v>
      </c>
      <c r="N90" s="3509" t="e">
        <f t="shared" si="16"/>
        <v>#DIV/0!</v>
      </c>
      <c r="O90" s="3548">
        <f t="shared" si="17"/>
        <v>0</v>
      </c>
      <c r="P90" s="3548">
        <f t="shared" si="18"/>
        <v>0</v>
      </c>
      <c r="Q90" s="3548">
        <f>IF(K90=0, 0, (HLOOKUP(K90,'[1]G-CESTD'!$A$5:$G$35,J90+1,FALSE)*R40))</f>
        <v>0</v>
      </c>
      <c r="R90" s="3548">
        <f>IF(K90=0, 0, (HLOOKUP(K90,'[1]G-CESTD'!$A$5:$G$35,J90+1,FALSE)*R40))</f>
        <v>0</v>
      </c>
      <c r="S90" s="3592">
        <v>1.081</v>
      </c>
      <c r="T90" s="3499">
        <f t="shared" si="10"/>
        <v>0</v>
      </c>
      <c r="U90" s="3499">
        <f t="shared" si="11"/>
        <v>0</v>
      </c>
      <c r="V90" s="3499">
        <f t="shared" si="12"/>
        <v>0</v>
      </c>
    </row>
    <row r="91" spans="2:25">
      <c r="B91" s="3593"/>
      <c r="C91" s="3593" t="s">
        <v>213</v>
      </c>
      <c r="D91" s="3595">
        <v>0</v>
      </c>
      <c r="E91" s="3593" t="s">
        <v>559</v>
      </c>
      <c r="F91" s="3593" t="s">
        <v>186</v>
      </c>
      <c r="G91" s="3594"/>
      <c r="H91" s="3594"/>
      <c r="I91" s="3633">
        <v>0</v>
      </c>
      <c r="J91" s="3574"/>
      <c r="K91" s="3574"/>
      <c r="L91" s="3574"/>
      <c r="M91" s="3509" t="e">
        <f t="shared" si="16"/>
        <v>#DIV/0!</v>
      </c>
      <c r="N91" s="3509" t="e">
        <f t="shared" si="16"/>
        <v>#DIV/0!</v>
      </c>
      <c r="O91" s="3548">
        <f t="shared" si="17"/>
        <v>0</v>
      </c>
      <c r="P91" s="3548">
        <f t="shared" si="18"/>
        <v>0</v>
      </c>
      <c r="Q91" s="3548">
        <f>IF(K91=0, 0, (HLOOKUP(K91,'[1]G-CESTD'!$A$5:$G$35,J91+1,FALSE)*R41))</f>
        <v>0</v>
      </c>
      <c r="R91" s="3548">
        <f>IF(K91=0, 0, (HLOOKUP(K91,'[1]G-CESTD'!$A$5:$G$35,J91+1,FALSE)*R41))</f>
        <v>0</v>
      </c>
      <c r="S91" s="3592">
        <v>1.081</v>
      </c>
      <c r="T91" s="3499">
        <f t="shared" si="10"/>
        <v>0</v>
      </c>
      <c r="U91" s="3499">
        <f t="shared" si="11"/>
        <v>0</v>
      </c>
      <c r="V91" s="3499">
        <f t="shared" si="12"/>
        <v>0</v>
      </c>
    </row>
    <row r="92" spans="2:25">
      <c r="B92" s="3593"/>
      <c r="C92" s="3593" t="s">
        <v>214</v>
      </c>
      <c r="D92" s="3595">
        <v>0</v>
      </c>
      <c r="E92" s="3593" t="s">
        <v>559</v>
      </c>
      <c r="F92" s="3593" t="s">
        <v>186</v>
      </c>
      <c r="G92" s="3594"/>
      <c r="H92" s="3594"/>
      <c r="I92" s="3633">
        <v>0</v>
      </c>
      <c r="J92" s="3574"/>
      <c r="K92" s="3574"/>
      <c r="L92" s="3574"/>
      <c r="M92" s="3509" t="e">
        <f t="shared" si="16"/>
        <v>#DIV/0!</v>
      </c>
      <c r="N92" s="3509" t="e">
        <f t="shared" si="16"/>
        <v>#DIV/0!</v>
      </c>
      <c r="O92" s="3548">
        <f t="shared" si="17"/>
        <v>0</v>
      </c>
      <c r="P92" s="3548">
        <f t="shared" si="18"/>
        <v>0</v>
      </c>
      <c r="Q92" s="3548">
        <f>IF(K92=0, 0, (HLOOKUP(K92,'[1]G-CESTD'!$A$5:$G$35,J92+1,FALSE)*R42))</f>
        <v>0</v>
      </c>
      <c r="R92" s="3548">
        <f>IF(K92=0, 0, (HLOOKUP(K92,'[1]G-CESTD'!$A$5:$G$35,J92+1,FALSE)*R42))</f>
        <v>0</v>
      </c>
      <c r="S92" s="3592">
        <v>1.081</v>
      </c>
      <c r="T92" s="3499">
        <f t="shared" si="10"/>
        <v>0</v>
      </c>
      <c r="U92" s="3499">
        <f t="shared" si="11"/>
        <v>0</v>
      </c>
      <c r="V92" s="3499">
        <f t="shared" si="12"/>
        <v>0</v>
      </c>
    </row>
    <row r="93" spans="2:25">
      <c r="B93" s="3593"/>
      <c r="C93" s="3593" t="s">
        <v>215</v>
      </c>
      <c r="D93" s="3595">
        <v>0</v>
      </c>
      <c r="E93" s="3593" t="s">
        <v>559</v>
      </c>
      <c r="F93" s="3593" t="s">
        <v>186</v>
      </c>
      <c r="G93" s="3594"/>
      <c r="H93" s="3594"/>
      <c r="I93" s="3633">
        <v>0</v>
      </c>
      <c r="J93" s="3574"/>
      <c r="K93" s="3574"/>
      <c r="L93" s="3574"/>
      <c r="M93" s="3509" t="e">
        <f t="shared" si="16"/>
        <v>#DIV/0!</v>
      </c>
      <c r="N93" s="3509" t="e">
        <f t="shared" si="16"/>
        <v>#DIV/0!</v>
      </c>
      <c r="O93" s="3548">
        <f t="shared" si="17"/>
        <v>0</v>
      </c>
      <c r="P93" s="3548">
        <f t="shared" si="18"/>
        <v>0</v>
      </c>
      <c r="Q93" s="3548">
        <f>IF(K93=0, 0, (HLOOKUP(K93,'[1]G-CESTD'!$A$5:$G$35,J93+1,FALSE)*R43))</f>
        <v>0</v>
      </c>
      <c r="R93" s="3548">
        <f>IF(K93=0, 0, (HLOOKUP(K93,'[1]G-CESTD'!$A$5:$G$35,J93+1,FALSE)*R43))</f>
        <v>0</v>
      </c>
      <c r="S93" s="3592">
        <v>1.081</v>
      </c>
      <c r="T93" s="3499">
        <f t="shared" si="10"/>
        <v>0</v>
      </c>
      <c r="U93" s="3499">
        <f t="shared" si="11"/>
        <v>0</v>
      </c>
      <c r="V93" s="3499">
        <f t="shared" si="12"/>
        <v>0</v>
      </c>
    </row>
    <row r="94" spans="2:25">
      <c r="B94" s="3593"/>
      <c r="C94" s="3593" t="s">
        <v>216</v>
      </c>
      <c r="D94" s="3595">
        <v>0</v>
      </c>
      <c r="E94" s="3593" t="s">
        <v>559</v>
      </c>
      <c r="F94" s="3593" t="s">
        <v>186</v>
      </c>
      <c r="G94" s="3594"/>
      <c r="H94" s="3594"/>
      <c r="I94" s="3633">
        <v>0</v>
      </c>
      <c r="J94" s="3574"/>
      <c r="K94" s="3574"/>
      <c r="L94" s="3574"/>
      <c r="M94" s="3509" t="e">
        <f t="shared" si="16"/>
        <v>#DIV/0!</v>
      </c>
      <c r="N94" s="3509" t="e">
        <f t="shared" si="16"/>
        <v>#DIV/0!</v>
      </c>
      <c r="O94" s="3548">
        <f t="shared" si="17"/>
        <v>0</v>
      </c>
      <c r="P94" s="3548">
        <f t="shared" si="18"/>
        <v>0</v>
      </c>
      <c r="Q94" s="3548">
        <f>IF(K94=0, 0, (HLOOKUP(K94,'[1]G-CESTD'!$A$5:$G$35,J94+1,FALSE)*R44))</f>
        <v>0</v>
      </c>
      <c r="R94" s="3548">
        <f>IF(K94=0, 0, (HLOOKUP(K94,'[1]G-CESTD'!$A$5:$G$35,J94+1,FALSE)*R44))</f>
        <v>0</v>
      </c>
      <c r="S94" s="3592">
        <v>1.081</v>
      </c>
      <c r="T94" s="3499">
        <f t="shared" si="10"/>
        <v>0</v>
      </c>
      <c r="U94" s="3499">
        <f t="shared" si="11"/>
        <v>0</v>
      </c>
      <c r="V94" s="3499">
        <f t="shared" si="12"/>
        <v>0</v>
      </c>
    </row>
    <row r="95" spans="2:25">
      <c r="B95" s="3593"/>
      <c r="C95" s="3593" t="s">
        <v>217</v>
      </c>
      <c r="D95" s="3595">
        <v>0</v>
      </c>
      <c r="E95" s="3593" t="s">
        <v>559</v>
      </c>
      <c r="F95" s="3593" t="s">
        <v>186</v>
      </c>
      <c r="G95" s="3594"/>
      <c r="H95" s="3594"/>
      <c r="I95" s="3633">
        <v>0</v>
      </c>
      <c r="J95" s="3574"/>
      <c r="K95" s="3574"/>
      <c r="L95" s="3574"/>
      <c r="M95" s="3509" t="e">
        <f t="shared" si="16"/>
        <v>#DIV/0!</v>
      </c>
      <c r="N95" s="3509" t="e">
        <f t="shared" si="16"/>
        <v>#DIV/0!</v>
      </c>
      <c r="O95" s="3548">
        <f t="shared" si="17"/>
        <v>0</v>
      </c>
      <c r="P95" s="3548">
        <f t="shared" si="18"/>
        <v>0</v>
      </c>
      <c r="Q95" s="3548">
        <f>IF(K95=0, 0, (HLOOKUP(K95,'[1]G-CESTD'!$A$5:$G$35,J95+1,FALSE)*R45))</f>
        <v>0</v>
      </c>
      <c r="R95" s="3548">
        <f>IF(K95=0, 0, (HLOOKUP(K95,'[1]G-CESTD'!$A$5:$G$35,J95+1,FALSE)*R45))</f>
        <v>0</v>
      </c>
      <c r="S95" s="3592">
        <v>1.081</v>
      </c>
      <c r="T95" s="3499">
        <f t="shared" si="10"/>
        <v>0</v>
      </c>
      <c r="U95" s="3499">
        <f t="shared" si="11"/>
        <v>0</v>
      </c>
      <c r="V95" s="3499">
        <f t="shared" si="12"/>
        <v>0</v>
      </c>
    </row>
    <row r="96" spans="2:25">
      <c r="B96" s="3593"/>
      <c r="C96" s="3593" t="s">
        <v>218</v>
      </c>
      <c r="D96" s="3595">
        <v>0</v>
      </c>
      <c r="E96" s="3593" t="s">
        <v>559</v>
      </c>
      <c r="F96" s="3593" t="s">
        <v>186</v>
      </c>
      <c r="G96" s="3594"/>
      <c r="H96" s="3594"/>
      <c r="I96" s="3633">
        <v>0</v>
      </c>
      <c r="J96" s="3574"/>
      <c r="K96" s="3574"/>
      <c r="L96" s="3574"/>
      <c r="M96" s="3509" t="e">
        <f t="shared" si="16"/>
        <v>#DIV/0!</v>
      </c>
      <c r="N96" s="3509" t="e">
        <f t="shared" si="16"/>
        <v>#DIV/0!</v>
      </c>
      <c r="O96" s="3548">
        <f t="shared" si="17"/>
        <v>0</v>
      </c>
      <c r="P96" s="3548">
        <f t="shared" si="18"/>
        <v>0</v>
      </c>
      <c r="Q96" s="3548">
        <f>IF(K96=0, 0, (HLOOKUP(K96,'[1]G-CESTD'!$A$5:$G$35,J96+1,FALSE)*R46))</f>
        <v>0</v>
      </c>
      <c r="R96" s="3548">
        <f>IF(K96=0, 0, (HLOOKUP(K96,'[1]G-CESTD'!$A$5:$G$35,J96+1,FALSE)*R46))</f>
        <v>0</v>
      </c>
      <c r="S96" s="3592">
        <v>1.081</v>
      </c>
      <c r="T96" s="3499">
        <f t="shared" si="10"/>
        <v>0</v>
      </c>
      <c r="U96" s="3499">
        <f t="shared" si="11"/>
        <v>0</v>
      </c>
      <c r="V96" s="3499">
        <f t="shared" si="12"/>
        <v>0</v>
      </c>
    </row>
    <row r="97" spans="2:22">
      <c r="B97" s="3593"/>
      <c r="C97" s="3593" t="s">
        <v>219</v>
      </c>
      <c r="D97" s="3595">
        <v>0</v>
      </c>
      <c r="E97" s="3593" t="s">
        <v>559</v>
      </c>
      <c r="F97" s="3593" t="s">
        <v>186</v>
      </c>
      <c r="G97" s="3594"/>
      <c r="H97" s="3594"/>
      <c r="I97" s="3633">
        <v>0</v>
      </c>
      <c r="J97" s="3574"/>
      <c r="K97" s="3574"/>
      <c r="L97" s="3574"/>
      <c r="M97" s="3509" t="e">
        <f t="shared" si="16"/>
        <v>#DIV/0!</v>
      </c>
      <c r="N97" s="3509" t="e">
        <f t="shared" si="16"/>
        <v>#DIV/0!</v>
      </c>
      <c r="O97" s="3548">
        <f t="shared" si="17"/>
        <v>0</v>
      </c>
      <c r="P97" s="3548">
        <f t="shared" si="18"/>
        <v>0</v>
      </c>
      <c r="Q97" s="3548">
        <f>IF(K97=0, 0, (HLOOKUP(K97,'[1]G-CESTD'!$A$5:$G$35,J97+1,FALSE)*R47))</f>
        <v>0</v>
      </c>
      <c r="R97" s="3548">
        <f>IF(K97=0, 0, (HLOOKUP(K97,'[1]G-CESTD'!$A$5:$G$35,J97+1,FALSE)*R47))</f>
        <v>0</v>
      </c>
      <c r="S97" s="3592">
        <v>1.081</v>
      </c>
      <c r="T97" s="3499">
        <f t="shared" si="10"/>
        <v>0</v>
      </c>
      <c r="U97" s="3499">
        <f t="shared" si="11"/>
        <v>0</v>
      </c>
      <c r="V97" s="3499">
        <f t="shared" si="12"/>
        <v>0</v>
      </c>
    </row>
    <row r="98" spans="2:22">
      <c r="B98" s="3593"/>
      <c r="C98" s="3593" t="s">
        <v>220</v>
      </c>
      <c r="D98" s="3595">
        <v>0</v>
      </c>
      <c r="E98" s="3593" t="s">
        <v>559</v>
      </c>
      <c r="F98" s="3593" t="s">
        <v>186</v>
      </c>
      <c r="G98" s="3594"/>
      <c r="H98" s="3594"/>
      <c r="I98" s="3633">
        <v>0</v>
      </c>
      <c r="J98" s="3574"/>
      <c r="K98" s="3574"/>
      <c r="L98" s="3574"/>
      <c r="M98" s="3509" t="e">
        <f t="shared" si="16"/>
        <v>#DIV/0!</v>
      </c>
      <c r="N98" s="3509" t="e">
        <f t="shared" si="16"/>
        <v>#DIV/0!</v>
      </c>
      <c r="O98" s="3548">
        <f t="shared" si="17"/>
        <v>0</v>
      </c>
      <c r="P98" s="3548">
        <f t="shared" si="18"/>
        <v>0</v>
      </c>
      <c r="Q98" s="3548">
        <f>IF(K98=0, 0, (HLOOKUP(K98,'[1]G-CESTD'!$A$5:$G$35,J98+1,FALSE)*R48))</f>
        <v>0</v>
      </c>
      <c r="R98" s="3548">
        <f>IF(K98=0, 0, (HLOOKUP(K98,'[1]G-CESTD'!$A$5:$G$35,J98+1,FALSE)*R48))</f>
        <v>0</v>
      </c>
      <c r="S98" s="3592">
        <v>1.081</v>
      </c>
      <c r="T98" s="3499">
        <f t="shared" si="10"/>
        <v>0</v>
      </c>
      <c r="U98" s="3499">
        <f t="shared" si="11"/>
        <v>0</v>
      </c>
      <c r="V98" s="3499">
        <f t="shared" si="12"/>
        <v>0</v>
      </c>
    </row>
    <row r="99" spans="2:22">
      <c r="B99" s="3593"/>
      <c r="C99" s="3593" t="s">
        <v>221</v>
      </c>
      <c r="D99" s="3595">
        <v>0</v>
      </c>
      <c r="E99" s="3593" t="s">
        <v>559</v>
      </c>
      <c r="F99" s="3593" t="s">
        <v>186</v>
      </c>
      <c r="G99" s="3594"/>
      <c r="H99" s="3594"/>
      <c r="I99" s="3633">
        <v>0</v>
      </c>
      <c r="J99" s="3574"/>
      <c r="K99" s="3574"/>
      <c r="L99" s="3574"/>
      <c r="M99" s="3509" t="e">
        <f t="shared" si="16"/>
        <v>#DIV/0!</v>
      </c>
      <c r="N99" s="3509" t="e">
        <f t="shared" si="16"/>
        <v>#DIV/0!</v>
      </c>
      <c r="O99" s="3548">
        <f t="shared" si="17"/>
        <v>0</v>
      </c>
      <c r="P99" s="3548">
        <f t="shared" si="18"/>
        <v>0</v>
      </c>
      <c r="Q99" s="3548">
        <f>IF(K99=0, 0, (HLOOKUP(K99,'[1]G-CESTD'!$A$5:$G$35,J99+1,FALSE)*R49))</f>
        <v>0</v>
      </c>
      <c r="R99" s="3548">
        <f>IF(K99=0, 0, (HLOOKUP(K99,'[1]G-CESTD'!$A$5:$G$35,J99+1,FALSE)*R49))</f>
        <v>0</v>
      </c>
      <c r="S99" s="3592">
        <v>1.081</v>
      </c>
      <c r="T99" s="3499">
        <f t="shared" si="10"/>
        <v>0</v>
      </c>
      <c r="U99" s="3499">
        <f t="shared" si="11"/>
        <v>0</v>
      </c>
      <c r="V99" s="3499">
        <f t="shared" si="12"/>
        <v>0</v>
      </c>
    </row>
    <row r="100" spans="2:22">
      <c r="B100" s="3593"/>
      <c r="C100" s="3593" t="s">
        <v>222</v>
      </c>
      <c r="D100" s="3595">
        <v>0</v>
      </c>
      <c r="E100" s="3593" t="s">
        <v>559</v>
      </c>
      <c r="F100" s="3593" t="s">
        <v>186</v>
      </c>
      <c r="G100" s="3594"/>
      <c r="H100" s="3594"/>
      <c r="I100" s="3633">
        <v>0</v>
      </c>
      <c r="J100" s="3574"/>
      <c r="K100" s="3574"/>
      <c r="L100" s="3574"/>
      <c r="M100" s="3509" t="e">
        <f t="shared" si="16"/>
        <v>#DIV/0!</v>
      </c>
      <c r="N100" s="3509" t="e">
        <f t="shared" si="16"/>
        <v>#DIV/0!</v>
      </c>
      <c r="O100" s="3548">
        <f t="shared" si="17"/>
        <v>0</v>
      </c>
      <c r="P100" s="3548">
        <f t="shared" si="18"/>
        <v>0</v>
      </c>
      <c r="Q100" s="3548">
        <f>IF(K100=0, 0, (HLOOKUP(K100,'[1]G-CESTD'!$A$5:$G$35,J100+1,FALSE)*R50))</f>
        <v>0</v>
      </c>
      <c r="R100" s="3548">
        <f>IF(K100=0, 0, (HLOOKUP(K100,'[1]G-CESTD'!$A$5:$G$35,J100+1,FALSE)*R50))</f>
        <v>0</v>
      </c>
      <c r="S100" s="3592">
        <v>1.081</v>
      </c>
      <c r="T100" s="3499">
        <f t="shared" si="10"/>
        <v>0</v>
      </c>
      <c r="U100" s="3499">
        <f t="shared" si="11"/>
        <v>0</v>
      </c>
      <c r="V100" s="3499">
        <f t="shared" si="12"/>
        <v>0</v>
      </c>
    </row>
    <row r="101" spans="2:22">
      <c r="B101" s="3593"/>
      <c r="C101" s="3593" t="s">
        <v>223</v>
      </c>
      <c r="D101" s="3595">
        <v>0</v>
      </c>
      <c r="E101" s="3593" t="s">
        <v>559</v>
      </c>
      <c r="F101" s="3593" t="s">
        <v>186</v>
      </c>
      <c r="G101" s="3594"/>
      <c r="H101" s="3594"/>
      <c r="I101" s="3633">
        <v>0</v>
      </c>
      <c r="J101" s="3574"/>
      <c r="K101" s="3574"/>
      <c r="L101" s="3574"/>
      <c r="M101" s="3509" t="e">
        <f t="shared" si="16"/>
        <v>#DIV/0!</v>
      </c>
      <c r="N101" s="3509" t="e">
        <f t="shared" si="16"/>
        <v>#DIV/0!</v>
      </c>
      <c r="O101" s="3548">
        <f t="shared" si="17"/>
        <v>0</v>
      </c>
      <c r="P101" s="3548">
        <f t="shared" si="18"/>
        <v>0</v>
      </c>
      <c r="Q101" s="3548">
        <f>IF(K101=0, 0, (HLOOKUP(K101,'[1]G-CESTD'!$A$5:$G$35,J101+1,FALSE)*R51))</f>
        <v>0</v>
      </c>
      <c r="R101" s="3548">
        <f>IF(K101=0, 0, (HLOOKUP(K101,'[1]G-CESTD'!$A$5:$G$35,J101+1,FALSE)*R51))</f>
        <v>0</v>
      </c>
      <c r="S101" s="3592">
        <v>1.081</v>
      </c>
      <c r="T101" s="3499">
        <f t="shared" si="10"/>
        <v>0</v>
      </c>
      <c r="U101" s="3499">
        <f t="shared" si="11"/>
        <v>0</v>
      </c>
      <c r="V101" s="3499">
        <f t="shared" si="12"/>
        <v>0</v>
      </c>
    </row>
    <row r="102" spans="2:22">
      <c r="B102" s="3593"/>
      <c r="C102" s="3593" t="s">
        <v>224</v>
      </c>
      <c r="D102" s="3595">
        <v>0</v>
      </c>
      <c r="E102" s="3593" t="s">
        <v>559</v>
      </c>
      <c r="F102" s="3593" t="s">
        <v>186</v>
      </c>
      <c r="G102" s="3594"/>
      <c r="H102" s="3594"/>
      <c r="I102" s="3633">
        <v>0</v>
      </c>
      <c r="J102" s="3574"/>
      <c r="K102" s="3574"/>
      <c r="L102" s="3574"/>
      <c r="M102" s="3509" t="e">
        <f t="shared" si="16"/>
        <v>#DIV/0!</v>
      </c>
      <c r="N102" s="3509" t="e">
        <f t="shared" si="16"/>
        <v>#DIV/0!</v>
      </c>
      <c r="O102" s="3548">
        <f t="shared" si="17"/>
        <v>0</v>
      </c>
      <c r="P102" s="3548">
        <f t="shared" si="18"/>
        <v>0</v>
      </c>
      <c r="Q102" s="3548">
        <f>IF(K102=0, 0, (HLOOKUP(K102,'[1]G-CESTD'!$A$5:$G$35,J102+1,FALSE)*R52))</f>
        <v>0</v>
      </c>
      <c r="R102" s="3548">
        <f>IF(K102=0, 0, (HLOOKUP(K102,'[1]G-CESTD'!$A$5:$G$35,J102+1,FALSE)*R52))</f>
        <v>0</v>
      </c>
      <c r="S102" s="3592">
        <v>1.081</v>
      </c>
      <c r="T102" s="3499">
        <f t="shared" si="10"/>
        <v>0</v>
      </c>
      <c r="U102" s="3499">
        <f t="shared" si="11"/>
        <v>0</v>
      </c>
      <c r="V102" s="3499">
        <f t="shared" si="12"/>
        <v>0</v>
      </c>
    </row>
    <row r="103" spans="2:22">
      <c r="B103" s="3593"/>
      <c r="C103" s="3593" t="s">
        <v>225</v>
      </c>
      <c r="D103" s="3595">
        <v>0</v>
      </c>
      <c r="E103" s="3593" t="s">
        <v>559</v>
      </c>
      <c r="F103" s="3593" t="s">
        <v>186</v>
      </c>
      <c r="G103" s="3594"/>
      <c r="H103" s="3594"/>
      <c r="I103" s="3633">
        <v>0</v>
      </c>
      <c r="J103" s="3574"/>
      <c r="K103" s="3574"/>
      <c r="L103" s="3574"/>
      <c r="M103" s="3509" t="e">
        <f t="shared" si="16"/>
        <v>#DIV/0!</v>
      </c>
      <c r="N103" s="3509" t="e">
        <f t="shared" si="16"/>
        <v>#DIV/0!</v>
      </c>
      <c r="O103" s="3548">
        <f t="shared" si="17"/>
        <v>0</v>
      </c>
      <c r="P103" s="3548">
        <f t="shared" si="18"/>
        <v>0</v>
      </c>
      <c r="Q103" s="3548">
        <f>IF(K103=0, 0, (HLOOKUP(K103,'[1]G-CESTD'!$A$5:$G$35,J103+1,FALSE)*R53))</f>
        <v>0</v>
      </c>
      <c r="R103" s="3548">
        <f>IF(K103=0, 0, (HLOOKUP(K103,'[1]G-CESTD'!$A$5:$G$35,J103+1,FALSE)*R53))</f>
        <v>0</v>
      </c>
      <c r="S103" s="3592">
        <v>1.081</v>
      </c>
      <c r="T103" s="3499">
        <f t="shared" si="10"/>
        <v>0</v>
      </c>
      <c r="U103" s="3499">
        <f t="shared" si="11"/>
        <v>0</v>
      </c>
      <c r="V103" s="3499">
        <f t="shared" si="12"/>
        <v>0</v>
      </c>
    </row>
    <row r="104" spans="2:22" ht="13.5" thickBot="1">
      <c r="B104" s="3593"/>
      <c r="C104" s="3593" t="s">
        <v>226</v>
      </c>
      <c r="D104" s="3595">
        <v>0</v>
      </c>
      <c r="E104" s="3593" t="s">
        <v>559</v>
      </c>
      <c r="F104" s="3593" t="s">
        <v>186</v>
      </c>
      <c r="G104" s="3594"/>
      <c r="H104" s="3594"/>
      <c r="I104" s="3633">
        <v>0</v>
      </c>
      <c r="J104" s="3574"/>
      <c r="K104" s="3574"/>
      <c r="L104" s="3574"/>
      <c r="M104" s="3509" t="e">
        <f t="shared" si="16"/>
        <v>#DIV/0!</v>
      </c>
      <c r="N104" s="3509" t="e">
        <f t="shared" si="16"/>
        <v>#DIV/0!</v>
      </c>
      <c r="O104" s="3548">
        <f t="shared" si="17"/>
        <v>0</v>
      </c>
      <c r="P104" s="3548">
        <f t="shared" si="18"/>
        <v>0</v>
      </c>
      <c r="Q104" s="3548">
        <f>IF(K104=0, 0, (HLOOKUP(K104,'[1]G-CESTD'!$A$5:$G$35,J104+1,FALSE)*R54))</f>
        <v>0</v>
      </c>
      <c r="R104" s="3548">
        <f>IF(K104=0, 0, (HLOOKUP(K104,'[1]G-CESTD'!$A$5:$G$35,J104+1,FALSE)*R54))</f>
        <v>0</v>
      </c>
      <c r="S104" s="3592">
        <v>1.081</v>
      </c>
      <c r="T104" s="3499">
        <f t="shared" si="10"/>
        <v>0</v>
      </c>
      <c r="U104" s="3499">
        <f t="shared" si="11"/>
        <v>0</v>
      </c>
      <c r="V104" s="3499">
        <f t="shared" si="12"/>
        <v>0</v>
      </c>
    </row>
    <row r="105" spans="2:22" ht="13.5" thickBot="1">
      <c r="G105" s="3596">
        <f>SUMPRODUCT(G63:G104,O13:O54)</f>
        <v>0</v>
      </c>
      <c r="H105" s="3597">
        <f>V105</f>
        <v>0</v>
      </c>
      <c r="I105" s="3598">
        <f>SUM(I63:I104)</f>
        <v>0.26792359216075418</v>
      </c>
      <c r="J105" s="3599">
        <f>ROUND(SUMPRODUCT(J63:J104,R13:R54)/R55,0)</f>
        <v>12</v>
      </c>
      <c r="K105" s="3580"/>
      <c r="L105" s="3580"/>
      <c r="M105" s="3510" t="e">
        <f>Q105/O105</f>
        <v>#DIV/0!</v>
      </c>
      <c r="N105" s="3511" t="e">
        <f>R105/P105</f>
        <v>#DIV/0!</v>
      </c>
      <c r="O105" s="3602">
        <f>SUM(O63:O104)</f>
        <v>0</v>
      </c>
      <c r="P105" s="3602">
        <f>SUM(P63:P104)</f>
        <v>0</v>
      </c>
      <c r="Q105" s="3602">
        <f>SUM(Q63:Q104)</f>
        <v>71187.545740105255</v>
      </c>
      <c r="R105" s="3602">
        <f>SUM(R63:R104)</f>
        <v>78306.300314115753</v>
      </c>
      <c r="S105" s="3600">
        <v>1.081</v>
      </c>
      <c r="T105" s="3601">
        <f>SUM(T63:T104)</f>
        <v>0</v>
      </c>
      <c r="U105" s="3601">
        <f>SUM(U63:U104)</f>
        <v>0</v>
      </c>
      <c r="V105" s="3601">
        <f>SUM(V63:V104)</f>
        <v>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18" top="0.34" bottom="0.28000000000000003" header="0.3" footer="0.3"/>
      <pageSetup paperSize="17" scale="52"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7">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 ref="D3:D6"/>
  </mergeCells>
  <pageMargins left="0.17" right="0.18" top="0.34" bottom="0.28000000000000003" header="0.3" footer="0.3"/>
  <pageSetup paperSize="17" scale="53" orientation="landscape" r:id="rId2"/>
  <drawing r:id="rId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sheetPr>
    <tabColor theme="7" tint="0.59999389629810485"/>
    <pageSetUpPr fitToPage="1"/>
  </sheetPr>
  <dimension ref="B1:Y105"/>
  <sheetViews>
    <sheetView zoomScaleNormal="10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7109375" style="3532" customWidth="1"/>
    <col min="2" max="2" width="18.42578125" style="3532" customWidth="1"/>
    <col min="3" max="3" width="38.42578125" style="3532" customWidth="1"/>
    <col min="4" max="4" width="15.28515625" style="3533" customWidth="1"/>
    <col min="5" max="5" width="15.28515625" style="3532" customWidth="1"/>
    <col min="6" max="6" width="16.42578125" style="3532" customWidth="1"/>
    <col min="7" max="7" width="13.42578125" style="3532" customWidth="1"/>
    <col min="8" max="8" width="15.42578125" style="3532" bestFit="1" customWidth="1"/>
    <col min="9" max="9" width="14.28515625" style="3532" bestFit="1" customWidth="1"/>
    <col min="10" max="10" width="15.28515625" style="3532" customWidth="1"/>
    <col min="11" max="11" width="15.85546875" style="3532" customWidth="1"/>
    <col min="12" max="12" width="17.140625" style="3532" bestFit="1" customWidth="1"/>
    <col min="13" max="13" width="12.7109375" style="3532" customWidth="1"/>
    <col min="14" max="14" width="13.7109375" style="3532" customWidth="1"/>
    <col min="15" max="15" width="14" style="3532" bestFit="1" customWidth="1"/>
    <col min="16" max="18" width="19.28515625" style="3532" bestFit="1" customWidth="1"/>
    <col min="19" max="19" width="20.42578125" style="3532" bestFit="1" customWidth="1"/>
    <col min="20" max="20" width="20.7109375" style="3532" bestFit="1" customWidth="1"/>
    <col min="21" max="21" width="16.42578125" style="3532" bestFit="1" customWidth="1"/>
    <col min="22" max="22" width="14.28515625" style="3532" customWidth="1"/>
    <col min="23" max="23" width="12.85546875" style="3532" bestFit="1" customWidth="1"/>
    <col min="24" max="24" width="11.28515625" style="3532" bestFit="1" customWidth="1"/>
    <col min="25" max="25" width="12.42578125" style="3532" bestFit="1" customWidth="1"/>
    <col min="26" max="26" width="14" style="3532" bestFit="1" customWidth="1"/>
    <col min="27" max="27" width="6" style="3532" bestFit="1" customWidth="1"/>
    <col min="28" max="28" width="15" style="3532" customWidth="1"/>
    <col min="29" max="29" width="14.85546875" style="3532" bestFit="1" customWidth="1"/>
    <col min="30" max="30" width="16.140625" style="3532" bestFit="1" customWidth="1"/>
    <col min="31" max="257" width="8.85546875" style="3532"/>
    <col min="258" max="258" width="24.140625" style="3532" bestFit="1" customWidth="1"/>
    <col min="259" max="259" width="43.85546875" style="3532" customWidth="1"/>
    <col min="260" max="260" width="19.85546875" style="3532" bestFit="1" customWidth="1"/>
    <col min="261" max="261" width="17.140625" style="3532" bestFit="1" customWidth="1"/>
    <col min="262" max="262" width="18.85546875" style="3532" bestFit="1" customWidth="1"/>
    <col min="263" max="263" width="13.42578125" style="3532" customWidth="1"/>
    <col min="264" max="264" width="15.42578125" style="3532" bestFit="1" customWidth="1"/>
    <col min="265" max="265" width="14.28515625" style="3532" bestFit="1" customWidth="1"/>
    <col min="266" max="266" width="15.28515625" style="3532" customWidth="1"/>
    <col min="267" max="267" width="15.85546875" style="3532" customWidth="1"/>
    <col min="268" max="268" width="17.140625" style="3532" bestFit="1" customWidth="1"/>
    <col min="269" max="269" width="12.7109375" style="3532" customWidth="1"/>
    <col min="270" max="270" width="13.7109375" style="3532" customWidth="1"/>
    <col min="271" max="271" width="14" style="3532" bestFit="1" customWidth="1"/>
    <col min="272" max="274" width="19.28515625" style="3532" bestFit="1" customWidth="1"/>
    <col min="275" max="275" width="20.42578125" style="3532" bestFit="1" customWidth="1"/>
    <col min="276" max="276" width="20.7109375" style="3532" bestFit="1" customWidth="1"/>
    <col min="277" max="277" width="16.42578125" style="3532" bestFit="1" customWidth="1"/>
    <col min="278" max="278" width="14.28515625" style="3532" customWidth="1"/>
    <col min="279" max="279" width="12.85546875" style="3532" bestFit="1" customWidth="1"/>
    <col min="280" max="280" width="11.28515625" style="3532" bestFit="1" customWidth="1"/>
    <col min="281" max="281" width="12.42578125" style="3532" bestFit="1" customWidth="1"/>
    <col min="282" max="282" width="14" style="3532" bestFit="1" customWidth="1"/>
    <col min="283" max="283" width="6" style="3532" bestFit="1" customWidth="1"/>
    <col min="284" max="284" width="15" style="3532" customWidth="1"/>
    <col min="285" max="285" width="14.85546875" style="3532" bestFit="1" customWidth="1"/>
    <col min="286" max="286" width="16.140625" style="3532" bestFit="1" customWidth="1"/>
    <col min="287" max="513" width="8.85546875" style="3532"/>
    <col min="514" max="514" width="24.140625" style="3532" bestFit="1" customWidth="1"/>
    <col min="515" max="515" width="43.85546875" style="3532" customWidth="1"/>
    <col min="516" max="516" width="19.85546875" style="3532" bestFit="1" customWidth="1"/>
    <col min="517" max="517" width="17.140625" style="3532" bestFit="1" customWidth="1"/>
    <col min="518" max="518" width="18.85546875" style="3532" bestFit="1" customWidth="1"/>
    <col min="519" max="519" width="13.42578125" style="3532" customWidth="1"/>
    <col min="520" max="520" width="15.42578125" style="3532" bestFit="1" customWidth="1"/>
    <col min="521" max="521" width="14.28515625" style="3532" bestFit="1" customWidth="1"/>
    <col min="522" max="522" width="15.28515625" style="3532" customWidth="1"/>
    <col min="523" max="523" width="15.85546875" style="3532" customWidth="1"/>
    <col min="524" max="524" width="17.140625" style="3532" bestFit="1" customWidth="1"/>
    <col min="525" max="525" width="12.7109375" style="3532" customWidth="1"/>
    <col min="526" max="526" width="13.7109375" style="3532" customWidth="1"/>
    <col min="527" max="527" width="14" style="3532" bestFit="1" customWidth="1"/>
    <col min="528" max="530" width="19.28515625" style="3532" bestFit="1" customWidth="1"/>
    <col min="531" max="531" width="20.42578125" style="3532" bestFit="1" customWidth="1"/>
    <col min="532" max="532" width="20.7109375" style="3532" bestFit="1" customWidth="1"/>
    <col min="533" max="533" width="16.42578125" style="3532" bestFit="1" customWidth="1"/>
    <col min="534" max="534" width="14.28515625" style="3532" customWidth="1"/>
    <col min="535" max="535" width="12.85546875" style="3532" bestFit="1" customWidth="1"/>
    <col min="536" max="536" width="11.28515625" style="3532" bestFit="1" customWidth="1"/>
    <col min="537" max="537" width="12.42578125" style="3532" bestFit="1" customWidth="1"/>
    <col min="538" max="538" width="14" style="3532" bestFit="1" customWidth="1"/>
    <col min="539" max="539" width="6" style="3532" bestFit="1" customWidth="1"/>
    <col min="540" max="540" width="15" style="3532" customWidth="1"/>
    <col min="541" max="541" width="14.85546875" style="3532" bestFit="1" customWidth="1"/>
    <col min="542" max="542" width="16.140625" style="3532" bestFit="1" customWidth="1"/>
    <col min="543" max="769" width="8.85546875" style="3532"/>
    <col min="770" max="770" width="24.140625" style="3532" bestFit="1" customWidth="1"/>
    <col min="771" max="771" width="43.85546875" style="3532" customWidth="1"/>
    <col min="772" max="772" width="19.85546875" style="3532" bestFit="1" customWidth="1"/>
    <col min="773" max="773" width="17.140625" style="3532" bestFit="1" customWidth="1"/>
    <col min="774" max="774" width="18.85546875" style="3532" bestFit="1" customWidth="1"/>
    <col min="775" max="775" width="13.42578125" style="3532" customWidth="1"/>
    <col min="776" max="776" width="15.42578125" style="3532" bestFit="1" customWidth="1"/>
    <col min="777" max="777" width="14.28515625" style="3532" bestFit="1" customWidth="1"/>
    <col min="778" max="778" width="15.28515625" style="3532" customWidth="1"/>
    <col min="779" max="779" width="15.85546875" style="3532" customWidth="1"/>
    <col min="780" max="780" width="17.140625" style="3532" bestFit="1" customWidth="1"/>
    <col min="781" max="781" width="12.7109375" style="3532" customWidth="1"/>
    <col min="782" max="782" width="13.7109375" style="3532" customWidth="1"/>
    <col min="783" max="783" width="14" style="3532" bestFit="1" customWidth="1"/>
    <col min="784" max="786" width="19.28515625" style="3532" bestFit="1" customWidth="1"/>
    <col min="787" max="787" width="20.42578125" style="3532" bestFit="1" customWidth="1"/>
    <col min="788" max="788" width="20.7109375" style="3532" bestFit="1" customWidth="1"/>
    <col min="789" max="789" width="16.42578125" style="3532" bestFit="1" customWidth="1"/>
    <col min="790" max="790" width="14.28515625" style="3532" customWidth="1"/>
    <col min="791" max="791" width="12.85546875" style="3532" bestFit="1" customWidth="1"/>
    <col min="792" max="792" width="11.28515625" style="3532" bestFit="1" customWidth="1"/>
    <col min="793" max="793" width="12.42578125" style="3532" bestFit="1" customWidth="1"/>
    <col min="794" max="794" width="14" style="3532" bestFit="1" customWidth="1"/>
    <col min="795" max="795" width="6" style="3532" bestFit="1" customWidth="1"/>
    <col min="796" max="796" width="15" style="3532" customWidth="1"/>
    <col min="797" max="797" width="14.85546875" style="3532" bestFit="1" customWidth="1"/>
    <col min="798" max="798" width="16.140625" style="3532" bestFit="1" customWidth="1"/>
    <col min="799" max="1025" width="8.85546875" style="3532"/>
    <col min="1026" max="1026" width="24.140625" style="3532" bestFit="1" customWidth="1"/>
    <col min="1027" max="1027" width="43.85546875" style="3532" customWidth="1"/>
    <col min="1028" max="1028" width="19.85546875" style="3532" bestFit="1" customWidth="1"/>
    <col min="1029" max="1029" width="17.140625" style="3532" bestFit="1" customWidth="1"/>
    <col min="1030" max="1030" width="18.85546875" style="3532" bestFit="1" customWidth="1"/>
    <col min="1031" max="1031" width="13.42578125" style="3532" customWidth="1"/>
    <col min="1032" max="1032" width="15.42578125" style="3532" bestFit="1" customWidth="1"/>
    <col min="1033" max="1033" width="14.28515625" style="3532" bestFit="1" customWidth="1"/>
    <col min="1034" max="1034" width="15.28515625" style="3532" customWidth="1"/>
    <col min="1035" max="1035" width="15.85546875" style="3532" customWidth="1"/>
    <col min="1036" max="1036" width="17.140625" style="3532" bestFit="1" customWidth="1"/>
    <col min="1037" max="1037" width="12.7109375" style="3532" customWidth="1"/>
    <col min="1038" max="1038" width="13.7109375" style="3532" customWidth="1"/>
    <col min="1039" max="1039" width="14" style="3532" bestFit="1" customWidth="1"/>
    <col min="1040" max="1042" width="19.28515625" style="3532" bestFit="1" customWidth="1"/>
    <col min="1043" max="1043" width="20.42578125" style="3532" bestFit="1" customWidth="1"/>
    <col min="1044" max="1044" width="20.7109375" style="3532" bestFit="1" customWidth="1"/>
    <col min="1045" max="1045" width="16.42578125" style="3532" bestFit="1" customWidth="1"/>
    <col min="1046" max="1046" width="14.28515625" style="3532" customWidth="1"/>
    <col min="1047" max="1047" width="12.85546875" style="3532" bestFit="1" customWidth="1"/>
    <col min="1048" max="1048" width="11.28515625" style="3532" bestFit="1" customWidth="1"/>
    <col min="1049" max="1049" width="12.42578125" style="3532" bestFit="1" customWidth="1"/>
    <col min="1050" max="1050" width="14" style="3532" bestFit="1" customWidth="1"/>
    <col min="1051" max="1051" width="6" style="3532" bestFit="1" customWidth="1"/>
    <col min="1052" max="1052" width="15" style="3532" customWidth="1"/>
    <col min="1053" max="1053" width="14.85546875" style="3532" bestFit="1" customWidth="1"/>
    <col min="1054" max="1054" width="16.140625" style="3532" bestFit="1" customWidth="1"/>
    <col min="1055" max="1281" width="8.85546875" style="3532"/>
    <col min="1282" max="1282" width="24.140625" style="3532" bestFit="1" customWidth="1"/>
    <col min="1283" max="1283" width="43.85546875" style="3532" customWidth="1"/>
    <col min="1284" max="1284" width="19.85546875" style="3532" bestFit="1" customWidth="1"/>
    <col min="1285" max="1285" width="17.140625" style="3532" bestFit="1" customWidth="1"/>
    <col min="1286" max="1286" width="18.85546875" style="3532" bestFit="1" customWidth="1"/>
    <col min="1287" max="1287" width="13.42578125" style="3532" customWidth="1"/>
    <col min="1288" max="1288" width="15.42578125" style="3532" bestFit="1" customWidth="1"/>
    <col min="1289" max="1289" width="14.28515625" style="3532" bestFit="1" customWidth="1"/>
    <col min="1290" max="1290" width="15.28515625" style="3532" customWidth="1"/>
    <col min="1291" max="1291" width="15.85546875" style="3532" customWidth="1"/>
    <col min="1292" max="1292" width="17.140625" style="3532" bestFit="1" customWidth="1"/>
    <col min="1293" max="1293" width="12.7109375" style="3532" customWidth="1"/>
    <col min="1294" max="1294" width="13.7109375" style="3532" customWidth="1"/>
    <col min="1295" max="1295" width="14" style="3532" bestFit="1" customWidth="1"/>
    <col min="1296" max="1298" width="19.28515625" style="3532" bestFit="1" customWidth="1"/>
    <col min="1299" max="1299" width="20.42578125" style="3532" bestFit="1" customWidth="1"/>
    <col min="1300" max="1300" width="20.7109375" style="3532" bestFit="1" customWidth="1"/>
    <col min="1301" max="1301" width="16.42578125" style="3532" bestFit="1" customWidth="1"/>
    <col min="1302" max="1302" width="14.28515625" style="3532" customWidth="1"/>
    <col min="1303" max="1303" width="12.85546875" style="3532" bestFit="1" customWidth="1"/>
    <col min="1304" max="1304" width="11.28515625" style="3532" bestFit="1" customWidth="1"/>
    <col min="1305" max="1305" width="12.42578125" style="3532" bestFit="1" customWidth="1"/>
    <col min="1306" max="1306" width="14" style="3532" bestFit="1" customWidth="1"/>
    <col min="1307" max="1307" width="6" style="3532" bestFit="1" customWidth="1"/>
    <col min="1308" max="1308" width="15" style="3532" customWidth="1"/>
    <col min="1309" max="1309" width="14.85546875" style="3532" bestFit="1" customWidth="1"/>
    <col min="1310" max="1310" width="16.140625" style="3532" bestFit="1" customWidth="1"/>
    <col min="1311" max="1537" width="8.85546875" style="3532"/>
    <col min="1538" max="1538" width="24.140625" style="3532" bestFit="1" customWidth="1"/>
    <col min="1539" max="1539" width="43.85546875" style="3532" customWidth="1"/>
    <col min="1540" max="1540" width="19.85546875" style="3532" bestFit="1" customWidth="1"/>
    <col min="1541" max="1541" width="17.140625" style="3532" bestFit="1" customWidth="1"/>
    <col min="1542" max="1542" width="18.85546875" style="3532" bestFit="1" customWidth="1"/>
    <col min="1543" max="1543" width="13.42578125" style="3532" customWidth="1"/>
    <col min="1544" max="1544" width="15.42578125" style="3532" bestFit="1" customWidth="1"/>
    <col min="1545" max="1545" width="14.28515625" style="3532" bestFit="1" customWidth="1"/>
    <col min="1546" max="1546" width="15.28515625" style="3532" customWidth="1"/>
    <col min="1547" max="1547" width="15.85546875" style="3532" customWidth="1"/>
    <col min="1548" max="1548" width="17.140625" style="3532" bestFit="1" customWidth="1"/>
    <col min="1549" max="1549" width="12.7109375" style="3532" customWidth="1"/>
    <col min="1550" max="1550" width="13.7109375" style="3532" customWidth="1"/>
    <col min="1551" max="1551" width="14" style="3532" bestFit="1" customWidth="1"/>
    <col min="1552" max="1554" width="19.28515625" style="3532" bestFit="1" customWidth="1"/>
    <col min="1555" max="1555" width="20.42578125" style="3532" bestFit="1" customWidth="1"/>
    <col min="1556" max="1556" width="20.7109375" style="3532" bestFit="1" customWidth="1"/>
    <col min="1557" max="1557" width="16.42578125" style="3532" bestFit="1" customWidth="1"/>
    <col min="1558" max="1558" width="14.28515625" style="3532" customWidth="1"/>
    <col min="1559" max="1559" width="12.85546875" style="3532" bestFit="1" customWidth="1"/>
    <col min="1560" max="1560" width="11.28515625" style="3532" bestFit="1" customWidth="1"/>
    <col min="1561" max="1561" width="12.42578125" style="3532" bestFit="1" customWidth="1"/>
    <col min="1562" max="1562" width="14" style="3532" bestFit="1" customWidth="1"/>
    <col min="1563" max="1563" width="6" style="3532" bestFit="1" customWidth="1"/>
    <col min="1564" max="1564" width="15" style="3532" customWidth="1"/>
    <col min="1565" max="1565" width="14.85546875" style="3532" bestFit="1" customWidth="1"/>
    <col min="1566" max="1566" width="16.140625" style="3532" bestFit="1" customWidth="1"/>
    <col min="1567" max="1793" width="8.85546875" style="3532"/>
    <col min="1794" max="1794" width="24.140625" style="3532" bestFit="1" customWidth="1"/>
    <col min="1795" max="1795" width="43.85546875" style="3532" customWidth="1"/>
    <col min="1796" max="1796" width="19.85546875" style="3532" bestFit="1" customWidth="1"/>
    <col min="1797" max="1797" width="17.140625" style="3532" bestFit="1" customWidth="1"/>
    <col min="1798" max="1798" width="18.85546875" style="3532" bestFit="1" customWidth="1"/>
    <col min="1799" max="1799" width="13.42578125" style="3532" customWidth="1"/>
    <col min="1800" max="1800" width="15.42578125" style="3532" bestFit="1" customWidth="1"/>
    <col min="1801" max="1801" width="14.28515625" style="3532" bestFit="1" customWidth="1"/>
    <col min="1802" max="1802" width="15.28515625" style="3532" customWidth="1"/>
    <col min="1803" max="1803" width="15.85546875" style="3532" customWidth="1"/>
    <col min="1804" max="1804" width="17.140625" style="3532" bestFit="1" customWidth="1"/>
    <col min="1805" max="1805" width="12.7109375" style="3532" customWidth="1"/>
    <col min="1806" max="1806" width="13.7109375" style="3532" customWidth="1"/>
    <col min="1807" max="1807" width="14" style="3532" bestFit="1" customWidth="1"/>
    <col min="1808" max="1810" width="19.28515625" style="3532" bestFit="1" customWidth="1"/>
    <col min="1811" max="1811" width="20.42578125" style="3532" bestFit="1" customWidth="1"/>
    <col min="1812" max="1812" width="20.7109375" style="3532" bestFit="1" customWidth="1"/>
    <col min="1813" max="1813" width="16.42578125" style="3532" bestFit="1" customWidth="1"/>
    <col min="1814" max="1814" width="14.28515625" style="3532" customWidth="1"/>
    <col min="1815" max="1815" width="12.85546875" style="3532" bestFit="1" customWidth="1"/>
    <col min="1816" max="1816" width="11.28515625" style="3532" bestFit="1" customWidth="1"/>
    <col min="1817" max="1817" width="12.42578125" style="3532" bestFit="1" customWidth="1"/>
    <col min="1818" max="1818" width="14" style="3532" bestFit="1" customWidth="1"/>
    <col min="1819" max="1819" width="6" style="3532" bestFit="1" customWidth="1"/>
    <col min="1820" max="1820" width="15" style="3532" customWidth="1"/>
    <col min="1821" max="1821" width="14.85546875" style="3532" bestFit="1" customWidth="1"/>
    <col min="1822" max="1822" width="16.140625" style="3532" bestFit="1" customWidth="1"/>
    <col min="1823" max="2049" width="8.85546875" style="3532"/>
    <col min="2050" max="2050" width="24.140625" style="3532" bestFit="1" customWidth="1"/>
    <col min="2051" max="2051" width="43.85546875" style="3532" customWidth="1"/>
    <col min="2052" max="2052" width="19.85546875" style="3532" bestFit="1" customWidth="1"/>
    <col min="2053" max="2053" width="17.140625" style="3532" bestFit="1" customWidth="1"/>
    <col min="2054" max="2054" width="18.85546875" style="3532" bestFit="1" customWidth="1"/>
    <col min="2055" max="2055" width="13.42578125" style="3532" customWidth="1"/>
    <col min="2056" max="2056" width="15.42578125" style="3532" bestFit="1" customWidth="1"/>
    <col min="2057" max="2057" width="14.28515625" style="3532" bestFit="1" customWidth="1"/>
    <col min="2058" max="2058" width="15.28515625" style="3532" customWidth="1"/>
    <col min="2059" max="2059" width="15.85546875" style="3532" customWidth="1"/>
    <col min="2060" max="2060" width="17.140625" style="3532" bestFit="1" customWidth="1"/>
    <col min="2061" max="2061" width="12.7109375" style="3532" customWidth="1"/>
    <col min="2062" max="2062" width="13.7109375" style="3532" customWidth="1"/>
    <col min="2063" max="2063" width="14" style="3532" bestFit="1" customWidth="1"/>
    <col min="2064" max="2066" width="19.28515625" style="3532" bestFit="1" customWidth="1"/>
    <col min="2067" max="2067" width="20.42578125" style="3532" bestFit="1" customWidth="1"/>
    <col min="2068" max="2068" width="20.7109375" style="3532" bestFit="1" customWidth="1"/>
    <col min="2069" max="2069" width="16.42578125" style="3532" bestFit="1" customWidth="1"/>
    <col min="2070" max="2070" width="14.28515625" style="3532" customWidth="1"/>
    <col min="2071" max="2071" width="12.85546875" style="3532" bestFit="1" customWidth="1"/>
    <col min="2072" max="2072" width="11.28515625" style="3532" bestFit="1" customWidth="1"/>
    <col min="2073" max="2073" width="12.42578125" style="3532" bestFit="1" customWidth="1"/>
    <col min="2074" max="2074" width="14" style="3532" bestFit="1" customWidth="1"/>
    <col min="2075" max="2075" width="6" style="3532" bestFit="1" customWidth="1"/>
    <col min="2076" max="2076" width="15" style="3532" customWidth="1"/>
    <col min="2077" max="2077" width="14.85546875" style="3532" bestFit="1" customWidth="1"/>
    <col min="2078" max="2078" width="16.140625" style="3532" bestFit="1" customWidth="1"/>
    <col min="2079" max="2305" width="8.85546875" style="3532"/>
    <col min="2306" max="2306" width="24.140625" style="3532" bestFit="1" customWidth="1"/>
    <col min="2307" max="2307" width="43.85546875" style="3532" customWidth="1"/>
    <col min="2308" max="2308" width="19.85546875" style="3532" bestFit="1" customWidth="1"/>
    <col min="2309" max="2309" width="17.140625" style="3532" bestFit="1" customWidth="1"/>
    <col min="2310" max="2310" width="18.85546875" style="3532" bestFit="1" customWidth="1"/>
    <col min="2311" max="2311" width="13.42578125" style="3532" customWidth="1"/>
    <col min="2312" max="2312" width="15.42578125" style="3532" bestFit="1" customWidth="1"/>
    <col min="2313" max="2313" width="14.28515625" style="3532" bestFit="1" customWidth="1"/>
    <col min="2314" max="2314" width="15.28515625" style="3532" customWidth="1"/>
    <col min="2315" max="2315" width="15.85546875" style="3532" customWidth="1"/>
    <col min="2316" max="2316" width="17.140625" style="3532" bestFit="1" customWidth="1"/>
    <col min="2317" max="2317" width="12.7109375" style="3532" customWidth="1"/>
    <col min="2318" max="2318" width="13.7109375" style="3532" customWidth="1"/>
    <col min="2319" max="2319" width="14" style="3532" bestFit="1" customWidth="1"/>
    <col min="2320" max="2322" width="19.28515625" style="3532" bestFit="1" customWidth="1"/>
    <col min="2323" max="2323" width="20.42578125" style="3532" bestFit="1" customWidth="1"/>
    <col min="2324" max="2324" width="20.7109375" style="3532" bestFit="1" customWidth="1"/>
    <col min="2325" max="2325" width="16.42578125" style="3532" bestFit="1" customWidth="1"/>
    <col min="2326" max="2326" width="14.28515625" style="3532" customWidth="1"/>
    <col min="2327" max="2327" width="12.85546875" style="3532" bestFit="1" customWidth="1"/>
    <col min="2328" max="2328" width="11.28515625" style="3532" bestFit="1" customWidth="1"/>
    <col min="2329" max="2329" width="12.42578125" style="3532" bestFit="1" customWidth="1"/>
    <col min="2330" max="2330" width="14" style="3532" bestFit="1" customWidth="1"/>
    <col min="2331" max="2331" width="6" style="3532" bestFit="1" customWidth="1"/>
    <col min="2332" max="2332" width="15" style="3532" customWidth="1"/>
    <col min="2333" max="2333" width="14.85546875" style="3532" bestFit="1" customWidth="1"/>
    <col min="2334" max="2334" width="16.140625" style="3532" bestFit="1" customWidth="1"/>
    <col min="2335" max="2561" width="8.85546875" style="3532"/>
    <col min="2562" max="2562" width="24.140625" style="3532" bestFit="1" customWidth="1"/>
    <col min="2563" max="2563" width="43.85546875" style="3532" customWidth="1"/>
    <col min="2564" max="2564" width="19.85546875" style="3532" bestFit="1" customWidth="1"/>
    <col min="2565" max="2565" width="17.140625" style="3532" bestFit="1" customWidth="1"/>
    <col min="2566" max="2566" width="18.85546875" style="3532" bestFit="1" customWidth="1"/>
    <col min="2567" max="2567" width="13.42578125" style="3532" customWidth="1"/>
    <col min="2568" max="2568" width="15.42578125" style="3532" bestFit="1" customWidth="1"/>
    <col min="2569" max="2569" width="14.28515625" style="3532" bestFit="1" customWidth="1"/>
    <col min="2570" max="2570" width="15.28515625" style="3532" customWidth="1"/>
    <col min="2571" max="2571" width="15.85546875" style="3532" customWidth="1"/>
    <col min="2572" max="2572" width="17.140625" style="3532" bestFit="1" customWidth="1"/>
    <col min="2573" max="2573" width="12.7109375" style="3532" customWidth="1"/>
    <col min="2574" max="2574" width="13.7109375" style="3532" customWidth="1"/>
    <col min="2575" max="2575" width="14" style="3532" bestFit="1" customWidth="1"/>
    <col min="2576" max="2578" width="19.28515625" style="3532" bestFit="1" customWidth="1"/>
    <col min="2579" max="2579" width="20.42578125" style="3532" bestFit="1" customWidth="1"/>
    <col min="2580" max="2580" width="20.7109375" style="3532" bestFit="1" customWidth="1"/>
    <col min="2581" max="2581" width="16.42578125" style="3532" bestFit="1" customWidth="1"/>
    <col min="2582" max="2582" width="14.28515625" style="3532" customWidth="1"/>
    <col min="2583" max="2583" width="12.85546875" style="3532" bestFit="1" customWidth="1"/>
    <col min="2584" max="2584" width="11.28515625" style="3532" bestFit="1" customWidth="1"/>
    <col min="2585" max="2585" width="12.42578125" style="3532" bestFit="1" customWidth="1"/>
    <col min="2586" max="2586" width="14" style="3532" bestFit="1" customWidth="1"/>
    <col min="2587" max="2587" width="6" style="3532" bestFit="1" customWidth="1"/>
    <col min="2588" max="2588" width="15" style="3532" customWidth="1"/>
    <col min="2589" max="2589" width="14.85546875" style="3532" bestFit="1" customWidth="1"/>
    <col min="2590" max="2590" width="16.140625" style="3532" bestFit="1" customWidth="1"/>
    <col min="2591" max="2817" width="8.85546875" style="3532"/>
    <col min="2818" max="2818" width="24.140625" style="3532" bestFit="1" customWidth="1"/>
    <col min="2819" max="2819" width="43.85546875" style="3532" customWidth="1"/>
    <col min="2820" max="2820" width="19.85546875" style="3532" bestFit="1" customWidth="1"/>
    <col min="2821" max="2821" width="17.140625" style="3532" bestFit="1" customWidth="1"/>
    <col min="2822" max="2822" width="18.85546875" style="3532" bestFit="1" customWidth="1"/>
    <col min="2823" max="2823" width="13.42578125" style="3532" customWidth="1"/>
    <col min="2824" max="2824" width="15.42578125" style="3532" bestFit="1" customWidth="1"/>
    <col min="2825" max="2825" width="14.28515625" style="3532" bestFit="1" customWidth="1"/>
    <col min="2826" max="2826" width="15.28515625" style="3532" customWidth="1"/>
    <col min="2827" max="2827" width="15.85546875" style="3532" customWidth="1"/>
    <col min="2828" max="2828" width="17.140625" style="3532" bestFit="1" customWidth="1"/>
    <col min="2829" max="2829" width="12.7109375" style="3532" customWidth="1"/>
    <col min="2830" max="2830" width="13.7109375" style="3532" customWidth="1"/>
    <col min="2831" max="2831" width="14" style="3532" bestFit="1" customWidth="1"/>
    <col min="2832" max="2834" width="19.28515625" style="3532" bestFit="1" customWidth="1"/>
    <col min="2835" max="2835" width="20.42578125" style="3532" bestFit="1" customWidth="1"/>
    <col min="2836" max="2836" width="20.7109375" style="3532" bestFit="1" customWidth="1"/>
    <col min="2837" max="2837" width="16.42578125" style="3532" bestFit="1" customWidth="1"/>
    <col min="2838" max="2838" width="14.28515625" style="3532" customWidth="1"/>
    <col min="2839" max="2839" width="12.85546875" style="3532" bestFit="1" customWidth="1"/>
    <col min="2840" max="2840" width="11.28515625" style="3532" bestFit="1" customWidth="1"/>
    <col min="2841" max="2841" width="12.42578125" style="3532" bestFit="1" customWidth="1"/>
    <col min="2842" max="2842" width="14" style="3532" bestFit="1" customWidth="1"/>
    <col min="2843" max="2843" width="6" style="3532" bestFit="1" customWidth="1"/>
    <col min="2844" max="2844" width="15" style="3532" customWidth="1"/>
    <col min="2845" max="2845" width="14.85546875" style="3532" bestFit="1" customWidth="1"/>
    <col min="2846" max="2846" width="16.140625" style="3532" bestFit="1" customWidth="1"/>
    <col min="2847" max="3073" width="8.85546875" style="3532"/>
    <col min="3074" max="3074" width="24.140625" style="3532" bestFit="1" customWidth="1"/>
    <col min="3075" max="3075" width="43.85546875" style="3532" customWidth="1"/>
    <col min="3076" max="3076" width="19.85546875" style="3532" bestFit="1" customWidth="1"/>
    <col min="3077" max="3077" width="17.140625" style="3532" bestFit="1" customWidth="1"/>
    <col min="3078" max="3078" width="18.85546875" style="3532" bestFit="1" customWidth="1"/>
    <col min="3079" max="3079" width="13.42578125" style="3532" customWidth="1"/>
    <col min="3080" max="3080" width="15.42578125" style="3532" bestFit="1" customWidth="1"/>
    <col min="3081" max="3081" width="14.28515625" style="3532" bestFit="1" customWidth="1"/>
    <col min="3082" max="3082" width="15.28515625" style="3532" customWidth="1"/>
    <col min="3083" max="3083" width="15.85546875" style="3532" customWidth="1"/>
    <col min="3084" max="3084" width="17.140625" style="3532" bestFit="1" customWidth="1"/>
    <col min="3085" max="3085" width="12.7109375" style="3532" customWidth="1"/>
    <col min="3086" max="3086" width="13.7109375" style="3532" customWidth="1"/>
    <col min="3087" max="3087" width="14" style="3532" bestFit="1" customWidth="1"/>
    <col min="3088" max="3090" width="19.28515625" style="3532" bestFit="1" customWidth="1"/>
    <col min="3091" max="3091" width="20.42578125" style="3532" bestFit="1" customWidth="1"/>
    <col min="3092" max="3092" width="20.7109375" style="3532" bestFit="1" customWidth="1"/>
    <col min="3093" max="3093" width="16.42578125" style="3532" bestFit="1" customWidth="1"/>
    <col min="3094" max="3094" width="14.28515625" style="3532" customWidth="1"/>
    <col min="3095" max="3095" width="12.85546875" style="3532" bestFit="1" customWidth="1"/>
    <col min="3096" max="3096" width="11.28515625" style="3532" bestFit="1" customWidth="1"/>
    <col min="3097" max="3097" width="12.42578125" style="3532" bestFit="1" customWidth="1"/>
    <col min="3098" max="3098" width="14" style="3532" bestFit="1" customWidth="1"/>
    <col min="3099" max="3099" width="6" style="3532" bestFit="1" customWidth="1"/>
    <col min="3100" max="3100" width="15" style="3532" customWidth="1"/>
    <col min="3101" max="3101" width="14.85546875" style="3532" bestFit="1" customWidth="1"/>
    <col min="3102" max="3102" width="16.140625" style="3532" bestFit="1" customWidth="1"/>
    <col min="3103" max="3329" width="8.85546875" style="3532"/>
    <col min="3330" max="3330" width="24.140625" style="3532" bestFit="1" customWidth="1"/>
    <col min="3331" max="3331" width="43.85546875" style="3532" customWidth="1"/>
    <col min="3332" max="3332" width="19.85546875" style="3532" bestFit="1" customWidth="1"/>
    <col min="3333" max="3333" width="17.140625" style="3532" bestFit="1" customWidth="1"/>
    <col min="3334" max="3334" width="18.85546875" style="3532" bestFit="1" customWidth="1"/>
    <col min="3335" max="3335" width="13.42578125" style="3532" customWidth="1"/>
    <col min="3336" max="3336" width="15.42578125" style="3532" bestFit="1" customWidth="1"/>
    <col min="3337" max="3337" width="14.28515625" style="3532" bestFit="1" customWidth="1"/>
    <col min="3338" max="3338" width="15.28515625" style="3532" customWidth="1"/>
    <col min="3339" max="3339" width="15.85546875" style="3532" customWidth="1"/>
    <col min="3340" max="3340" width="17.140625" style="3532" bestFit="1" customWidth="1"/>
    <col min="3341" max="3341" width="12.7109375" style="3532" customWidth="1"/>
    <col min="3342" max="3342" width="13.7109375" style="3532" customWidth="1"/>
    <col min="3343" max="3343" width="14" style="3532" bestFit="1" customWidth="1"/>
    <col min="3344" max="3346" width="19.28515625" style="3532" bestFit="1" customWidth="1"/>
    <col min="3347" max="3347" width="20.42578125" style="3532" bestFit="1" customWidth="1"/>
    <col min="3348" max="3348" width="20.7109375" style="3532" bestFit="1" customWidth="1"/>
    <col min="3349" max="3349" width="16.42578125" style="3532" bestFit="1" customWidth="1"/>
    <col min="3350" max="3350" width="14.28515625" style="3532" customWidth="1"/>
    <col min="3351" max="3351" width="12.85546875" style="3532" bestFit="1" customWidth="1"/>
    <col min="3352" max="3352" width="11.28515625" style="3532" bestFit="1" customWidth="1"/>
    <col min="3353" max="3353" width="12.42578125" style="3532" bestFit="1" customWidth="1"/>
    <col min="3354" max="3354" width="14" style="3532" bestFit="1" customWidth="1"/>
    <col min="3355" max="3355" width="6" style="3532" bestFit="1" customWidth="1"/>
    <col min="3356" max="3356" width="15" style="3532" customWidth="1"/>
    <col min="3357" max="3357" width="14.85546875" style="3532" bestFit="1" customWidth="1"/>
    <col min="3358" max="3358" width="16.140625" style="3532" bestFit="1" customWidth="1"/>
    <col min="3359" max="3585" width="8.85546875" style="3532"/>
    <col min="3586" max="3586" width="24.140625" style="3532" bestFit="1" customWidth="1"/>
    <col min="3587" max="3587" width="43.85546875" style="3532" customWidth="1"/>
    <col min="3588" max="3588" width="19.85546875" style="3532" bestFit="1" customWidth="1"/>
    <col min="3589" max="3589" width="17.140625" style="3532" bestFit="1" customWidth="1"/>
    <col min="3590" max="3590" width="18.85546875" style="3532" bestFit="1" customWidth="1"/>
    <col min="3591" max="3591" width="13.42578125" style="3532" customWidth="1"/>
    <col min="3592" max="3592" width="15.42578125" style="3532" bestFit="1" customWidth="1"/>
    <col min="3593" max="3593" width="14.28515625" style="3532" bestFit="1" customWidth="1"/>
    <col min="3594" max="3594" width="15.28515625" style="3532" customWidth="1"/>
    <col min="3595" max="3595" width="15.85546875" style="3532" customWidth="1"/>
    <col min="3596" max="3596" width="17.140625" style="3532" bestFit="1" customWidth="1"/>
    <col min="3597" max="3597" width="12.7109375" style="3532" customWidth="1"/>
    <col min="3598" max="3598" width="13.7109375" style="3532" customWidth="1"/>
    <col min="3599" max="3599" width="14" style="3532" bestFit="1" customWidth="1"/>
    <col min="3600" max="3602" width="19.28515625" style="3532" bestFit="1" customWidth="1"/>
    <col min="3603" max="3603" width="20.42578125" style="3532" bestFit="1" customWidth="1"/>
    <col min="3604" max="3604" width="20.7109375" style="3532" bestFit="1" customWidth="1"/>
    <col min="3605" max="3605" width="16.42578125" style="3532" bestFit="1" customWidth="1"/>
    <col min="3606" max="3606" width="14.28515625" style="3532" customWidth="1"/>
    <col min="3607" max="3607" width="12.85546875" style="3532" bestFit="1" customWidth="1"/>
    <col min="3608" max="3608" width="11.28515625" style="3532" bestFit="1" customWidth="1"/>
    <col min="3609" max="3609" width="12.42578125" style="3532" bestFit="1" customWidth="1"/>
    <col min="3610" max="3610" width="14" style="3532" bestFit="1" customWidth="1"/>
    <col min="3611" max="3611" width="6" style="3532" bestFit="1" customWidth="1"/>
    <col min="3612" max="3612" width="15" style="3532" customWidth="1"/>
    <col min="3613" max="3613" width="14.85546875" style="3532" bestFit="1" customWidth="1"/>
    <col min="3614" max="3614" width="16.140625" style="3532" bestFit="1" customWidth="1"/>
    <col min="3615" max="3841" width="8.85546875" style="3532"/>
    <col min="3842" max="3842" width="24.140625" style="3532" bestFit="1" customWidth="1"/>
    <col min="3843" max="3843" width="43.85546875" style="3532" customWidth="1"/>
    <col min="3844" max="3844" width="19.85546875" style="3532" bestFit="1" customWidth="1"/>
    <col min="3845" max="3845" width="17.140625" style="3532" bestFit="1" customWidth="1"/>
    <col min="3846" max="3846" width="18.85546875" style="3532" bestFit="1" customWidth="1"/>
    <col min="3847" max="3847" width="13.42578125" style="3532" customWidth="1"/>
    <col min="3848" max="3848" width="15.42578125" style="3532" bestFit="1" customWidth="1"/>
    <col min="3849" max="3849" width="14.28515625" style="3532" bestFit="1" customWidth="1"/>
    <col min="3850" max="3850" width="15.28515625" style="3532" customWidth="1"/>
    <col min="3851" max="3851" width="15.85546875" style="3532" customWidth="1"/>
    <col min="3852" max="3852" width="17.140625" style="3532" bestFit="1" customWidth="1"/>
    <col min="3853" max="3853" width="12.7109375" style="3532" customWidth="1"/>
    <col min="3854" max="3854" width="13.7109375" style="3532" customWidth="1"/>
    <col min="3855" max="3855" width="14" style="3532" bestFit="1" customWidth="1"/>
    <col min="3856" max="3858" width="19.28515625" style="3532" bestFit="1" customWidth="1"/>
    <col min="3859" max="3859" width="20.42578125" style="3532" bestFit="1" customWidth="1"/>
    <col min="3860" max="3860" width="20.7109375" style="3532" bestFit="1" customWidth="1"/>
    <col min="3861" max="3861" width="16.42578125" style="3532" bestFit="1" customWidth="1"/>
    <col min="3862" max="3862" width="14.28515625" style="3532" customWidth="1"/>
    <col min="3863" max="3863" width="12.85546875" style="3532" bestFit="1" customWidth="1"/>
    <col min="3864" max="3864" width="11.28515625" style="3532" bestFit="1" customWidth="1"/>
    <col min="3865" max="3865" width="12.42578125" style="3532" bestFit="1" customWidth="1"/>
    <col min="3866" max="3866" width="14" style="3532" bestFit="1" customWidth="1"/>
    <col min="3867" max="3867" width="6" style="3532" bestFit="1" customWidth="1"/>
    <col min="3868" max="3868" width="15" style="3532" customWidth="1"/>
    <col min="3869" max="3869" width="14.85546875" style="3532" bestFit="1" customWidth="1"/>
    <col min="3870" max="3870" width="16.140625" style="3532" bestFit="1" customWidth="1"/>
    <col min="3871" max="4097" width="8.85546875" style="3532"/>
    <col min="4098" max="4098" width="24.140625" style="3532" bestFit="1" customWidth="1"/>
    <col min="4099" max="4099" width="43.85546875" style="3532" customWidth="1"/>
    <col min="4100" max="4100" width="19.85546875" style="3532" bestFit="1" customWidth="1"/>
    <col min="4101" max="4101" width="17.140625" style="3532" bestFit="1" customWidth="1"/>
    <col min="4102" max="4102" width="18.85546875" style="3532" bestFit="1" customWidth="1"/>
    <col min="4103" max="4103" width="13.42578125" style="3532" customWidth="1"/>
    <col min="4104" max="4104" width="15.42578125" style="3532" bestFit="1" customWidth="1"/>
    <col min="4105" max="4105" width="14.28515625" style="3532" bestFit="1" customWidth="1"/>
    <col min="4106" max="4106" width="15.28515625" style="3532" customWidth="1"/>
    <col min="4107" max="4107" width="15.85546875" style="3532" customWidth="1"/>
    <col min="4108" max="4108" width="17.140625" style="3532" bestFit="1" customWidth="1"/>
    <col min="4109" max="4109" width="12.7109375" style="3532" customWidth="1"/>
    <col min="4110" max="4110" width="13.7109375" style="3532" customWidth="1"/>
    <col min="4111" max="4111" width="14" style="3532" bestFit="1" customWidth="1"/>
    <col min="4112" max="4114" width="19.28515625" style="3532" bestFit="1" customWidth="1"/>
    <col min="4115" max="4115" width="20.42578125" style="3532" bestFit="1" customWidth="1"/>
    <col min="4116" max="4116" width="20.7109375" style="3532" bestFit="1" customWidth="1"/>
    <col min="4117" max="4117" width="16.42578125" style="3532" bestFit="1" customWidth="1"/>
    <col min="4118" max="4118" width="14.28515625" style="3532" customWidth="1"/>
    <col min="4119" max="4119" width="12.85546875" style="3532" bestFit="1" customWidth="1"/>
    <col min="4120" max="4120" width="11.28515625" style="3532" bestFit="1" customWidth="1"/>
    <col min="4121" max="4121" width="12.42578125" style="3532" bestFit="1" customWidth="1"/>
    <col min="4122" max="4122" width="14" style="3532" bestFit="1" customWidth="1"/>
    <col min="4123" max="4123" width="6" style="3532" bestFit="1" customWidth="1"/>
    <col min="4124" max="4124" width="15" style="3532" customWidth="1"/>
    <col min="4125" max="4125" width="14.85546875" style="3532" bestFit="1" customWidth="1"/>
    <col min="4126" max="4126" width="16.140625" style="3532" bestFit="1" customWidth="1"/>
    <col min="4127" max="4353" width="8.85546875" style="3532"/>
    <col min="4354" max="4354" width="24.140625" style="3532" bestFit="1" customWidth="1"/>
    <col min="4355" max="4355" width="43.85546875" style="3532" customWidth="1"/>
    <col min="4356" max="4356" width="19.85546875" style="3532" bestFit="1" customWidth="1"/>
    <col min="4357" max="4357" width="17.140625" style="3532" bestFit="1" customWidth="1"/>
    <col min="4358" max="4358" width="18.85546875" style="3532" bestFit="1" customWidth="1"/>
    <col min="4359" max="4359" width="13.42578125" style="3532" customWidth="1"/>
    <col min="4360" max="4360" width="15.42578125" style="3532" bestFit="1" customWidth="1"/>
    <col min="4361" max="4361" width="14.28515625" style="3532" bestFit="1" customWidth="1"/>
    <col min="4362" max="4362" width="15.28515625" style="3532" customWidth="1"/>
    <col min="4363" max="4363" width="15.85546875" style="3532" customWidth="1"/>
    <col min="4364" max="4364" width="17.140625" style="3532" bestFit="1" customWidth="1"/>
    <col min="4365" max="4365" width="12.7109375" style="3532" customWidth="1"/>
    <col min="4366" max="4366" width="13.7109375" style="3532" customWidth="1"/>
    <col min="4367" max="4367" width="14" style="3532" bestFit="1" customWidth="1"/>
    <col min="4368" max="4370" width="19.28515625" style="3532" bestFit="1" customWidth="1"/>
    <col min="4371" max="4371" width="20.42578125" style="3532" bestFit="1" customWidth="1"/>
    <col min="4372" max="4372" width="20.7109375" style="3532" bestFit="1" customWidth="1"/>
    <col min="4373" max="4373" width="16.42578125" style="3532" bestFit="1" customWidth="1"/>
    <col min="4374" max="4374" width="14.28515625" style="3532" customWidth="1"/>
    <col min="4375" max="4375" width="12.85546875" style="3532" bestFit="1" customWidth="1"/>
    <col min="4376" max="4376" width="11.28515625" style="3532" bestFit="1" customWidth="1"/>
    <col min="4377" max="4377" width="12.42578125" style="3532" bestFit="1" customWidth="1"/>
    <col min="4378" max="4378" width="14" style="3532" bestFit="1" customWidth="1"/>
    <col min="4379" max="4379" width="6" style="3532" bestFit="1" customWidth="1"/>
    <col min="4380" max="4380" width="15" style="3532" customWidth="1"/>
    <col min="4381" max="4381" width="14.85546875" style="3532" bestFit="1" customWidth="1"/>
    <col min="4382" max="4382" width="16.140625" style="3532" bestFit="1" customWidth="1"/>
    <col min="4383" max="4609" width="8.85546875" style="3532"/>
    <col min="4610" max="4610" width="24.140625" style="3532" bestFit="1" customWidth="1"/>
    <col min="4611" max="4611" width="43.85546875" style="3532" customWidth="1"/>
    <col min="4612" max="4612" width="19.85546875" style="3532" bestFit="1" customWidth="1"/>
    <col min="4613" max="4613" width="17.140625" style="3532" bestFit="1" customWidth="1"/>
    <col min="4614" max="4614" width="18.85546875" style="3532" bestFit="1" customWidth="1"/>
    <col min="4615" max="4615" width="13.42578125" style="3532" customWidth="1"/>
    <col min="4616" max="4616" width="15.42578125" style="3532" bestFit="1" customWidth="1"/>
    <col min="4617" max="4617" width="14.28515625" style="3532" bestFit="1" customWidth="1"/>
    <col min="4618" max="4618" width="15.28515625" style="3532" customWidth="1"/>
    <col min="4619" max="4619" width="15.85546875" style="3532" customWidth="1"/>
    <col min="4620" max="4620" width="17.140625" style="3532" bestFit="1" customWidth="1"/>
    <col min="4621" max="4621" width="12.7109375" style="3532" customWidth="1"/>
    <col min="4622" max="4622" width="13.7109375" style="3532" customWidth="1"/>
    <col min="4623" max="4623" width="14" style="3532" bestFit="1" customWidth="1"/>
    <col min="4624" max="4626" width="19.28515625" style="3532" bestFit="1" customWidth="1"/>
    <col min="4627" max="4627" width="20.42578125" style="3532" bestFit="1" customWidth="1"/>
    <col min="4628" max="4628" width="20.7109375" style="3532" bestFit="1" customWidth="1"/>
    <col min="4629" max="4629" width="16.42578125" style="3532" bestFit="1" customWidth="1"/>
    <col min="4630" max="4630" width="14.28515625" style="3532" customWidth="1"/>
    <col min="4631" max="4631" width="12.85546875" style="3532" bestFit="1" customWidth="1"/>
    <col min="4632" max="4632" width="11.28515625" style="3532" bestFit="1" customWidth="1"/>
    <col min="4633" max="4633" width="12.42578125" style="3532" bestFit="1" customWidth="1"/>
    <col min="4634" max="4634" width="14" style="3532" bestFit="1" customWidth="1"/>
    <col min="4635" max="4635" width="6" style="3532" bestFit="1" customWidth="1"/>
    <col min="4636" max="4636" width="15" style="3532" customWidth="1"/>
    <col min="4637" max="4637" width="14.85546875" style="3532" bestFit="1" customWidth="1"/>
    <col min="4638" max="4638" width="16.140625" style="3532" bestFit="1" customWidth="1"/>
    <col min="4639" max="4865" width="8.85546875" style="3532"/>
    <col min="4866" max="4866" width="24.140625" style="3532" bestFit="1" customWidth="1"/>
    <col min="4867" max="4867" width="43.85546875" style="3532" customWidth="1"/>
    <col min="4868" max="4868" width="19.85546875" style="3532" bestFit="1" customWidth="1"/>
    <col min="4869" max="4869" width="17.140625" style="3532" bestFit="1" customWidth="1"/>
    <col min="4870" max="4870" width="18.85546875" style="3532" bestFit="1" customWidth="1"/>
    <col min="4871" max="4871" width="13.42578125" style="3532" customWidth="1"/>
    <col min="4872" max="4872" width="15.42578125" style="3532" bestFit="1" customWidth="1"/>
    <col min="4873" max="4873" width="14.28515625" style="3532" bestFit="1" customWidth="1"/>
    <col min="4874" max="4874" width="15.28515625" style="3532" customWidth="1"/>
    <col min="4875" max="4875" width="15.85546875" style="3532" customWidth="1"/>
    <col min="4876" max="4876" width="17.140625" style="3532" bestFit="1" customWidth="1"/>
    <col min="4877" max="4877" width="12.7109375" style="3532" customWidth="1"/>
    <col min="4878" max="4878" width="13.7109375" style="3532" customWidth="1"/>
    <col min="4879" max="4879" width="14" style="3532" bestFit="1" customWidth="1"/>
    <col min="4880" max="4882" width="19.28515625" style="3532" bestFit="1" customWidth="1"/>
    <col min="4883" max="4883" width="20.42578125" style="3532" bestFit="1" customWidth="1"/>
    <col min="4884" max="4884" width="20.7109375" style="3532" bestFit="1" customWidth="1"/>
    <col min="4885" max="4885" width="16.42578125" style="3532" bestFit="1" customWidth="1"/>
    <col min="4886" max="4886" width="14.28515625" style="3532" customWidth="1"/>
    <col min="4887" max="4887" width="12.85546875" style="3532" bestFit="1" customWidth="1"/>
    <col min="4888" max="4888" width="11.28515625" style="3532" bestFit="1" customWidth="1"/>
    <col min="4889" max="4889" width="12.42578125" style="3532" bestFit="1" customWidth="1"/>
    <col min="4890" max="4890" width="14" style="3532" bestFit="1" customWidth="1"/>
    <col min="4891" max="4891" width="6" style="3532" bestFit="1" customWidth="1"/>
    <col min="4892" max="4892" width="15" style="3532" customWidth="1"/>
    <col min="4893" max="4893" width="14.85546875" style="3532" bestFit="1" customWidth="1"/>
    <col min="4894" max="4894" width="16.140625" style="3532" bestFit="1" customWidth="1"/>
    <col min="4895" max="5121" width="8.85546875" style="3532"/>
    <col min="5122" max="5122" width="24.140625" style="3532" bestFit="1" customWidth="1"/>
    <col min="5123" max="5123" width="43.85546875" style="3532" customWidth="1"/>
    <col min="5124" max="5124" width="19.85546875" style="3532" bestFit="1" customWidth="1"/>
    <col min="5125" max="5125" width="17.140625" style="3532" bestFit="1" customWidth="1"/>
    <col min="5126" max="5126" width="18.85546875" style="3532" bestFit="1" customWidth="1"/>
    <col min="5127" max="5127" width="13.42578125" style="3532" customWidth="1"/>
    <col min="5128" max="5128" width="15.42578125" style="3532" bestFit="1" customWidth="1"/>
    <col min="5129" max="5129" width="14.28515625" style="3532" bestFit="1" customWidth="1"/>
    <col min="5130" max="5130" width="15.28515625" style="3532" customWidth="1"/>
    <col min="5131" max="5131" width="15.85546875" style="3532" customWidth="1"/>
    <col min="5132" max="5132" width="17.140625" style="3532" bestFit="1" customWidth="1"/>
    <col min="5133" max="5133" width="12.7109375" style="3532" customWidth="1"/>
    <col min="5134" max="5134" width="13.7109375" style="3532" customWidth="1"/>
    <col min="5135" max="5135" width="14" style="3532" bestFit="1" customWidth="1"/>
    <col min="5136" max="5138" width="19.28515625" style="3532" bestFit="1" customWidth="1"/>
    <col min="5139" max="5139" width="20.42578125" style="3532" bestFit="1" customWidth="1"/>
    <col min="5140" max="5140" width="20.7109375" style="3532" bestFit="1" customWidth="1"/>
    <col min="5141" max="5141" width="16.42578125" style="3532" bestFit="1" customWidth="1"/>
    <col min="5142" max="5142" width="14.28515625" style="3532" customWidth="1"/>
    <col min="5143" max="5143" width="12.85546875" style="3532" bestFit="1" customWidth="1"/>
    <col min="5144" max="5144" width="11.28515625" style="3532" bestFit="1" customWidth="1"/>
    <col min="5145" max="5145" width="12.42578125" style="3532" bestFit="1" customWidth="1"/>
    <col min="5146" max="5146" width="14" style="3532" bestFit="1" customWidth="1"/>
    <col min="5147" max="5147" width="6" style="3532" bestFit="1" customWidth="1"/>
    <col min="5148" max="5148" width="15" style="3532" customWidth="1"/>
    <col min="5149" max="5149" width="14.85546875" style="3532" bestFit="1" customWidth="1"/>
    <col min="5150" max="5150" width="16.140625" style="3532" bestFit="1" customWidth="1"/>
    <col min="5151" max="5377" width="8.85546875" style="3532"/>
    <col min="5378" max="5378" width="24.140625" style="3532" bestFit="1" customWidth="1"/>
    <col min="5379" max="5379" width="43.85546875" style="3532" customWidth="1"/>
    <col min="5380" max="5380" width="19.85546875" style="3532" bestFit="1" customWidth="1"/>
    <col min="5381" max="5381" width="17.140625" style="3532" bestFit="1" customWidth="1"/>
    <col min="5382" max="5382" width="18.85546875" style="3532" bestFit="1" customWidth="1"/>
    <col min="5383" max="5383" width="13.42578125" style="3532" customWidth="1"/>
    <col min="5384" max="5384" width="15.42578125" style="3532" bestFit="1" customWidth="1"/>
    <col min="5385" max="5385" width="14.28515625" style="3532" bestFit="1" customWidth="1"/>
    <col min="5386" max="5386" width="15.28515625" style="3532" customWidth="1"/>
    <col min="5387" max="5387" width="15.85546875" style="3532" customWidth="1"/>
    <col min="5388" max="5388" width="17.140625" style="3532" bestFit="1" customWidth="1"/>
    <col min="5389" max="5389" width="12.7109375" style="3532" customWidth="1"/>
    <col min="5390" max="5390" width="13.7109375" style="3532" customWidth="1"/>
    <col min="5391" max="5391" width="14" style="3532" bestFit="1" customWidth="1"/>
    <col min="5392" max="5394" width="19.28515625" style="3532" bestFit="1" customWidth="1"/>
    <col min="5395" max="5395" width="20.42578125" style="3532" bestFit="1" customWidth="1"/>
    <col min="5396" max="5396" width="20.7109375" style="3532" bestFit="1" customWidth="1"/>
    <col min="5397" max="5397" width="16.42578125" style="3532" bestFit="1" customWidth="1"/>
    <col min="5398" max="5398" width="14.28515625" style="3532" customWidth="1"/>
    <col min="5399" max="5399" width="12.85546875" style="3532" bestFit="1" customWidth="1"/>
    <col min="5400" max="5400" width="11.28515625" style="3532" bestFit="1" customWidth="1"/>
    <col min="5401" max="5401" width="12.42578125" style="3532" bestFit="1" customWidth="1"/>
    <col min="5402" max="5402" width="14" style="3532" bestFit="1" customWidth="1"/>
    <col min="5403" max="5403" width="6" style="3532" bestFit="1" customWidth="1"/>
    <col min="5404" max="5404" width="15" style="3532" customWidth="1"/>
    <col min="5405" max="5405" width="14.85546875" style="3532" bestFit="1" customWidth="1"/>
    <col min="5406" max="5406" width="16.140625" style="3532" bestFit="1" customWidth="1"/>
    <col min="5407" max="5633" width="8.85546875" style="3532"/>
    <col min="5634" max="5634" width="24.140625" style="3532" bestFit="1" customWidth="1"/>
    <col min="5635" max="5635" width="43.85546875" style="3532" customWidth="1"/>
    <col min="5636" max="5636" width="19.85546875" style="3532" bestFit="1" customWidth="1"/>
    <col min="5637" max="5637" width="17.140625" style="3532" bestFit="1" customWidth="1"/>
    <col min="5638" max="5638" width="18.85546875" style="3532" bestFit="1" customWidth="1"/>
    <col min="5639" max="5639" width="13.42578125" style="3532" customWidth="1"/>
    <col min="5640" max="5640" width="15.42578125" style="3532" bestFit="1" customWidth="1"/>
    <col min="5641" max="5641" width="14.28515625" style="3532" bestFit="1" customWidth="1"/>
    <col min="5642" max="5642" width="15.28515625" style="3532" customWidth="1"/>
    <col min="5643" max="5643" width="15.85546875" style="3532" customWidth="1"/>
    <col min="5644" max="5644" width="17.140625" style="3532" bestFit="1" customWidth="1"/>
    <col min="5645" max="5645" width="12.7109375" style="3532" customWidth="1"/>
    <col min="5646" max="5646" width="13.7109375" style="3532" customWidth="1"/>
    <col min="5647" max="5647" width="14" style="3532" bestFit="1" customWidth="1"/>
    <col min="5648" max="5650" width="19.28515625" style="3532" bestFit="1" customWidth="1"/>
    <col min="5651" max="5651" width="20.42578125" style="3532" bestFit="1" customWidth="1"/>
    <col min="5652" max="5652" width="20.7109375" style="3532" bestFit="1" customWidth="1"/>
    <col min="5653" max="5653" width="16.42578125" style="3532" bestFit="1" customWidth="1"/>
    <col min="5654" max="5654" width="14.28515625" style="3532" customWidth="1"/>
    <col min="5655" max="5655" width="12.85546875" style="3532" bestFit="1" customWidth="1"/>
    <col min="5656" max="5656" width="11.28515625" style="3532" bestFit="1" customWidth="1"/>
    <col min="5657" max="5657" width="12.42578125" style="3532" bestFit="1" customWidth="1"/>
    <col min="5658" max="5658" width="14" style="3532" bestFit="1" customWidth="1"/>
    <col min="5659" max="5659" width="6" style="3532" bestFit="1" customWidth="1"/>
    <col min="5660" max="5660" width="15" style="3532" customWidth="1"/>
    <col min="5661" max="5661" width="14.85546875" style="3532" bestFit="1" customWidth="1"/>
    <col min="5662" max="5662" width="16.140625" style="3532" bestFit="1" customWidth="1"/>
    <col min="5663" max="5889" width="8.85546875" style="3532"/>
    <col min="5890" max="5890" width="24.140625" style="3532" bestFit="1" customWidth="1"/>
    <col min="5891" max="5891" width="43.85546875" style="3532" customWidth="1"/>
    <col min="5892" max="5892" width="19.85546875" style="3532" bestFit="1" customWidth="1"/>
    <col min="5893" max="5893" width="17.140625" style="3532" bestFit="1" customWidth="1"/>
    <col min="5894" max="5894" width="18.85546875" style="3532" bestFit="1" customWidth="1"/>
    <col min="5895" max="5895" width="13.42578125" style="3532" customWidth="1"/>
    <col min="5896" max="5896" width="15.42578125" style="3532" bestFit="1" customWidth="1"/>
    <col min="5897" max="5897" width="14.28515625" style="3532" bestFit="1" customWidth="1"/>
    <col min="5898" max="5898" width="15.28515625" style="3532" customWidth="1"/>
    <col min="5899" max="5899" width="15.85546875" style="3532" customWidth="1"/>
    <col min="5900" max="5900" width="17.140625" style="3532" bestFit="1" customWidth="1"/>
    <col min="5901" max="5901" width="12.7109375" style="3532" customWidth="1"/>
    <col min="5902" max="5902" width="13.7109375" style="3532" customWidth="1"/>
    <col min="5903" max="5903" width="14" style="3532" bestFit="1" customWidth="1"/>
    <col min="5904" max="5906" width="19.28515625" style="3532" bestFit="1" customWidth="1"/>
    <col min="5907" max="5907" width="20.42578125" style="3532" bestFit="1" customWidth="1"/>
    <col min="5908" max="5908" width="20.7109375" style="3532" bestFit="1" customWidth="1"/>
    <col min="5909" max="5909" width="16.42578125" style="3532" bestFit="1" customWidth="1"/>
    <col min="5910" max="5910" width="14.28515625" style="3532" customWidth="1"/>
    <col min="5911" max="5911" width="12.85546875" style="3532" bestFit="1" customWidth="1"/>
    <col min="5912" max="5912" width="11.28515625" style="3532" bestFit="1" customWidth="1"/>
    <col min="5913" max="5913" width="12.42578125" style="3532" bestFit="1" customWidth="1"/>
    <col min="5914" max="5914" width="14" style="3532" bestFit="1" customWidth="1"/>
    <col min="5915" max="5915" width="6" style="3532" bestFit="1" customWidth="1"/>
    <col min="5916" max="5916" width="15" style="3532" customWidth="1"/>
    <col min="5917" max="5917" width="14.85546875" style="3532" bestFit="1" customWidth="1"/>
    <col min="5918" max="5918" width="16.140625" style="3532" bestFit="1" customWidth="1"/>
    <col min="5919" max="6145" width="8.85546875" style="3532"/>
    <col min="6146" max="6146" width="24.140625" style="3532" bestFit="1" customWidth="1"/>
    <col min="6147" max="6147" width="43.85546875" style="3532" customWidth="1"/>
    <col min="6148" max="6148" width="19.85546875" style="3532" bestFit="1" customWidth="1"/>
    <col min="6149" max="6149" width="17.140625" style="3532" bestFit="1" customWidth="1"/>
    <col min="6150" max="6150" width="18.85546875" style="3532" bestFit="1" customWidth="1"/>
    <col min="6151" max="6151" width="13.42578125" style="3532" customWidth="1"/>
    <col min="6152" max="6152" width="15.42578125" style="3532" bestFit="1" customWidth="1"/>
    <col min="6153" max="6153" width="14.28515625" style="3532" bestFit="1" customWidth="1"/>
    <col min="6154" max="6154" width="15.28515625" style="3532" customWidth="1"/>
    <col min="6155" max="6155" width="15.85546875" style="3532" customWidth="1"/>
    <col min="6156" max="6156" width="17.140625" style="3532" bestFit="1" customWidth="1"/>
    <col min="6157" max="6157" width="12.7109375" style="3532" customWidth="1"/>
    <col min="6158" max="6158" width="13.7109375" style="3532" customWidth="1"/>
    <col min="6159" max="6159" width="14" style="3532" bestFit="1" customWidth="1"/>
    <col min="6160" max="6162" width="19.28515625" style="3532" bestFit="1" customWidth="1"/>
    <col min="6163" max="6163" width="20.42578125" style="3532" bestFit="1" customWidth="1"/>
    <col min="6164" max="6164" width="20.7109375" style="3532" bestFit="1" customWidth="1"/>
    <col min="6165" max="6165" width="16.42578125" style="3532" bestFit="1" customWidth="1"/>
    <col min="6166" max="6166" width="14.28515625" style="3532" customWidth="1"/>
    <col min="6167" max="6167" width="12.85546875" style="3532" bestFit="1" customWidth="1"/>
    <col min="6168" max="6168" width="11.28515625" style="3532" bestFit="1" customWidth="1"/>
    <col min="6169" max="6169" width="12.42578125" style="3532" bestFit="1" customWidth="1"/>
    <col min="6170" max="6170" width="14" style="3532" bestFit="1" customWidth="1"/>
    <col min="6171" max="6171" width="6" style="3532" bestFit="1" customWidth="1"/>
    <col min="6172" max="6172" width="15" style="3532" customWidth="1"/>
    <col min="6173" max="6173" width="14.85546875" style="3532" bestFit="1" customWidth="1"/>
    <col min="6174" max="6174" width="16.140625" style="3532" bestFit="1" customWidth="1"/>
    <col min="6175" max="6401" width="8.85546875" style="3532"/>
    <col min="6402" max="6402" width="24.140625" style="3532" bestFit="1" customWidth="1"/>
    <col min="6403" max="6403" width="43.85546875" style="3532" customWidth="1"/>
    <col min="6404" max="6404" width="19.85546875" style="3532" bestFit="1" customWidth="1"/>
    <col min="6405" max="6405" width="17.140625" style="3532" bestFit="1" customWidth="1"/>
    <col min="6406" max="6406" width="18.85546875" style="3532" bestFit="1" customWidth="1"/>
    <col min="6407" max="6407" width="13.42578125" style="3532" customWidth="1"/>
    <col min="6408" max="6408" width="15.42578125" style="3532" bestFit="1" customWidth="1"/>
    <col min="6409" max="6409" width="14.28515625" style="3532" bestFit="1" customWidth="1"/>
    <col min="6410" max="6410" width="15.28515625" style="3532" customWidth="1"/>
    <col min="6411" max="6411" width="15.85546875" style="3532" customWidth="1"/>
    <col min="6412" max="6412" width="17.140625" style="3532" bestFit="1" customWidth="1"/>
    <col min="6413" max="6413" width="12.7109375" style="3532" customWidth="1"/>
    <col min="6414" max="6414" width="13.7109375" style="3532" customWidth="1"/>
    <col min="6415" max="6415" width="14" style="3532" bestFit="1" customWidth="1"/>
    <col min="6416" max="6418" width="19.28515625" style="3532" bestFit="1" customWidth="1"/>
    <col min="6419" max="6419" width="20.42578125" style="3532" bestFit="1" customWidth="1"/>
    <col min="6420" max="6420" width="20.7109375" style="3532" bestFit="1" customWidth="1"/>
    <col min="6421" max="6421" width="16.42578125" style="3532" bestFit="1" customWidth="1"/>
    <col min="6422" max="6422" width="14.28515625" style="3532" customWidth="1"/>
    <col min="6423" max="6423" width="12.85546875" style="3532" bestFit="1" customWidth="1"/>
    <col min="6424" max="6424" width="11.28515625" style="3532" bestFit="1" customWidth="1"/>
    <col min="6425" max="6425" width="12.42578125" style="3532" bestFit="1" customWidth="1"/>
    <col min="6426" max="6426" width="14" style="3532" bestFit="1" customWidth="1"/>
    <col min="6427" max="6427" width="6" style="3532" bestFit="1" customWidth="1"/>
    <col min="6428" max="6428" width="15" style="3532" customWidth="1"/>
    <col min="6429" max="6429" width="14.85546875" style="3532" bestFit="1" customWidth="1"/>
    <col min="6430" max="6430" width="16.140625" style="3532" bestFit="1" customWidth="1"/>
    <col min="6431" max="6657" width="8.85546875" style="3532"/>
    <col min="6658" max="6658" width="24.140625" style="3532" bestFit="1" customWidth="1"/>
    <col min="6659" max="6659" width="43.85546875" style="3532" customWidth="1"/>
    <col min="6660" max="6660" width="19.85546875" style="3532" bestFit="1" customWidth="1"/>
    <col min="6661" max="6661" width="17.140625" style="3532" bestFit="1" customWidth="1"/>
    <col min="6662" max="6662" width="18.85546875" style="3532" bestFit="1" customWidth="1"/>
    <col min="6663" max="6663" width="13.42578125" style="3532" customWidth="1"/>
    <col min="6664" max="6664" width="15.42578125" style="3532" bestFit="1" customWidth="1"/>
    <col min="6665" max="6665" width="14.28515625" style="3532" bestFit="1" customWidth="1"/>
    <col min="6666" max="6666" width="15.28515625" style="3532" customWidth="1"/>
    <col min="6667" max="6667" width="15.85546875" style="3532" customWidth="1"/>
    <col min="6668" max="6668" width="17.140625" style="3532" bestFit="1" customWidth="1"/>
    <col min="6669" max="6669" width="12.7109375" style="3532" customWidth="1"/>
    <col min="6670" max="6670" width="13.7109375" style="3532" customWidth="1"/>
    <col min="6671" max="6671" width="14" style="3532" bestFit="1" customWidth="1"/>
    <col min="6672" max="6674" width="19.28515625" style="3532" bestFit="1" customWidth="1"/>
    <col min="6675" max="6675" width="20.42578125" style="3532" bestFit="1" customWidth="1"/>
    <col min="6676" max="6676" width="20.7109375" style="3532" bestFit="1" customWidth="1"/>
    <col min="6677" max="6677" width="16.42578125" style="3532" bestFit="1" customWidth="1"/>
    <col min="6678" max="6678" width="14.28515625" style="3532" customWidth="1"/>
    <col min="6679" max="6679" width="12.85546875" style="3532" bestFit="1" customWidth="1"/>
    <col min="6680" max="6680" width="11.28515625" style="3532" bestFit="1" customWidth="1"/>
    <col min="6681" max="6681" width="12.42578125" style="3532" bestFit="1" customWidth="1"/>
    <col min="6682" max="6682" width="14" style="3532" bestFit="1" customWidth="1"/>
    <col min="6683" max="6683" width="6" style="3532" bestFit="1" customWidth="1"/>
    <col min="6684" max="6684" width="15" style="3532" customWidth="1"/>
    <col min="6685" max="6685" width="14.85546875" style="3532" bestFit="1" customWidth="1"/>
    <col min="6686" max="6686" width="16.140625" style="3532" bestFit="1" customWidth="1"/>
    <col min="6687" max="6913" width="8.85546875" style="3532"/>
    <col min="6914" max="6914" width="24.140625" style="3532" bestFit="1" customWidth="1"/>
    <col min="6915" max="6915" width="43.85546875" style="3532" customWidth="1"/>
    <col min="6916" max="6916" width="19.85546875" style="3532" bestFit="1" customWidth="1"/>
    <col min="6917" max="6917" width="17.140625" style="3532" bestFit="1" customWidth="1"/>
    <col min="6918" max="6918" width="18.85546875" style="3532" bestFit="1" customWidth="1"/>
    <col min="6919" max="6919" width="13.42578125" style="3532" customWidth="1"/>
    <col min="6920" max="6920" width="15.42578125" style="3532" bestFit="1" customWidth="1"/>
    <col min="6921" max="6921" width="14.28515625" style="3532" bestFit="1" customWidth="1"/>
    <col min="6922" max="6922" width="15.28515625" style="3532" customWidth="1"/>
    <col min="6923" max="6923" width="15.85546875" style="3532" customWidth="1"/>
    <col min="6924" max="6924" width="17.140625" style="3532" bestFit="1" customWidth="1"/>
    <col min="6925" max="6925" width="12.7109375" style="3532" customWidth="1"/>
    <col min="6926" max="6926" width="13.7109375" style="3532" customWidth="1"/>
    <col min="6927" max="6927" width="14" style="3532" bestFit="1" customWidth="1"/>
    <col min="6928" max="6930" width="19.28515625" style="3532" bestFit="1" customWidth="1"/>
    <col min="6931" max="6931" width="20.42578125" style="3532" bestFit="1" customWidth="1"/>
    <col min="6932" max="6932" width="20.7109375" style="3532" bestFit="1" customWidth="1"/>
    <col min="6933" max="6933" width="16.42578125" style="3532" bestFit="1" customWidth="1"/>
    <col min="6934" max="6934" width="14.28515625" style="3532" customWidth="1"/>
    <col min="6935" max="6935" width="12.85546875" style="3532" bestFit="1" customWidth="1"/>
    <col min="6936" max="6936" width="11.28515625" style="3532" bestFit="1" customWidth="1"/>
    <col min="6937" max="6937" width="12.42578125" style="3532" bestFit="1" customWidth="1"/>
    <col min="6938" max="6938" width="14" style="3532" bestFit="1" customWidth="1"/>
    <col min="6939" max="6939" width="6" style="3532" bestFit="1" customWidth="1"/>
    <col min="6940" max="6940" width="15" style="3532" customWidth="1"/>
    <col min="6941" max="6941" width="14.85546875" style="3532" bestFit="1" customWidth="1"/>
    <col min="6942" max="6942" width="16.140625" style="3532" bestFit="1" customWidth="1"/>
    <col min="6943" max="7169" width="8.85546875" style="3532"/>
    <col min="7170" max="7170" width="24.140625" style="3532" bestFit="1" customWidth="1"/>
    <col min="7171" max="7171" width="43.85546875" style="3532" customWidth="1"/>
    <col min="7172" max="7172" width="19.85546875" style="3532" bestFit="1" customWidth="1"/>
    <col min="7173" max="7173" width="17.140625" style="3532" bestFit="1" customWidth="1"/>
    <col min="7174" max="7174" width="18.85546875" style="3532" bestFit="1" customWidth="1"/>
    <col min="7175" max="7175" width="13.42578125" style="3532" customWidth="1"/>
    <col min="7176" max="7176" width="15.42578125" style="3532" bestFit="1" customWidth="1"/>
    <col min="7177" max="7177" width="14.28515625" style="3532" bestFit="1" customWidth="1"/>
    <col min="7178" max="7178" width="15.28515625" style="3532" customWidth="1"/>
    <col min="7179" max="7179" width="15.85546875" style="3532" customWidth="1"/>
    <col min="7180" max="7180" width="17.140625" style="3532" bestFit="1" customWidth="1"/>
    <col min="7181" max="7181" width="12.7109375" style="3532" customWidth="1"/>
    <col min="7182" max="7182" width="13.7109375" style="3532" customWidth="1"/>
    <col min="7183" max="7183" width="14" style="3532" bestFit="1" customWidth="1"/>
    <col min="7184" max="7186" width="19.28515625" style="3532" bestFit="1" customWidth="1"/>
    <col min="7187" max="7187" width="20.42578125" style="3532" bestFit="1" customWidth="1"/>
    <col min="7188" max="7188" width="20.7109375" style="3532" bestFit="1" customWidth="1"/>
    <col min="7189" max="7189" width="16.42578125" style="3532" bestFit="1" customWidth="1"/>
    <col min="7190" max="7190" width="14.28515625" style="3532" customWidth="1"/>
    <col min="7191" max="7191" width="12.85546875" style="3532" bestFit="1" customWidth="1"/>
    <col min="7192" max="7192" width="11.28515625" style="3532" bestFit="1" customWidth="1"/>
    <col min="7193" max="7193" width="12.42578125" style="3532" bestFit="1" customWidth="1"/>
    <col min="7194" max="7194" width="14" style="3532" bestFit="1" customWidth="1"/>
    <col min="7195" max="7195" width="6" style="3532" bestFit="1" customWidth="1"/>
    <col min="7196" max="7196" width="15" style="3532" customWidth="1"/>
    <col min="7197" max="7197" width="14.85546875" style="3532" bestFit="1" customWidth="1"/>
    <col min="7198" max="7198" width="16.140625" style="3532" bestFit="1" customWidth="1"/>
    <col min="7199" max="7425" width="8.85546875" style="3532"/>
    <col min="7426" max="7426" width="24.140625" style="3532" bestFit="1" customWidth="1"/>
    <col min="7427" max="7427" width="43.85546875" style="3532" customWidth="1"/>
    <col min="7428" max="7428" width="19.85546875" style="3532" bestFit="1" customWidth="1"/>
    <col min="7429" max="7429" width="17.140625" style="3532" bestFit="1" customWidth="1"/>
    <col min="7430" max="7430" width="18.85546875" style="3532" bestFit="1" customWidth="1"/>
    <col min="7431" max="7431" width="13.42578125" style="3532" customWidth="1"/>
    <col min="7432" max="7432" width="15.42578125" style="3532" bestFit="1" customWidth="1"/>
    <col min="7433" max="7433" width="14.28515625" style="3532" bestFit="1" customWidth="1"/>
    <col min="7434" max="7434" width="15.28515625" style="3532" customWidth="1"/>
    <col min="7435" max="7435" width="15.85546875" style="3532" customWidth="1"/>
    <col min="7436" max="7436" width="17.140625" style="3532" bestFit="1" customWidth="1"/>
    <col min="7437" max="7437" width="12.7109375" style="3532" customWidth="1"/>
    <col min="7438" max="7438" width="13.7109375" style="3532" customWidth="1"/>
    <col min="7439" max="7439" width="14" style="3532" bestFit="1" customWidth="1"/>
    <col min="7440" max="7442" width="19.28515625" style="3532" bestFit="1" customWidth="1"/>
    <col min="7443" max="7443" width="20.42578125" style="3532" bestFit="1" customWidth="1"/>
    <col min="7444" max="7444" width="20.7109375" style="3532" bestFit="1" customWidth="1"/>
    <col min="7445" max="7445" width="16.42578125" style="3532" bestFit="1" customWidth="1"/>
    <col min="7446" max="7446" width="14.28515625" style="3532" customWidth="1"/>
    <col min="7447" max="7447" width="12.85546875" style="3532" bestFit="1" customWidth="1"/>
    <col min="7448" max="7448" width="11.28515625" style="3532" bestFit="1" customWidth="1"/>
    <col min="7449" max="7449" width="12.42578125" style="3532" bestFit="1" customWidth="1"/>
    <col min="7450" max="7450" width="14" style="3532" bestFit="1" customWidth="1"/>
    <col min="7451" max="7451" width="6" style="3532" bestFit="1" customWidth="1"/>
    <col min="7452" max="7452" width="15" style="3532" customWidth="1"/>
    <col min="7453" max="7453" width="14.85546875" style="3532" bestFit="1" customWidth="1"/>
    <col min="7454" max="7454" width="16.140625" style="3532" bestFit="1" customWidth="1"/>
    <col min="7455" max="7681" width="8.85546875" style="3532"/>
    <col min="7682" max="7682" width="24.140625" style="3532" bestFit="1" customWidth="1"/>
    <col min="7683" max="7683" width="43.85546875" style="3532" customWidth="1"/>
    <col min="7684" max="7684" width="19.85546875" style="3532" bestFit="1" customWidth="1"/>
    <col min="7685" max="7685" width="17.140625" style="3532" bestFit="1" customWidth="1"/>
    <col min="7686" max="7686" width="18.85546875" style="3532" bestFit="1" customWidth="1"/>
    <col min="7687" max="7687" width="13.42578125" style="3532" customWidth="1"/>
    <col min="7688" max="7688" width="15.42578125" style="3532" bestFit="1" customWidth="1"/>
    <col min="7689" max="7689" width="14.28515625" style="3532" bestFit="1" customWidth="1"/>
    <col min="7690" max="7690" width="15.28515625" style="3532" customWidth="1"/>
    <col min="7691" max="7691" width="15.85546875" style="3532" customWidth="1"/>
    <col min="7692" max="7692" width="17.140625" style="3532" bestFit="1" customWidth="1"/>
    <col min="7693" max="7693" width="12.7109375" style="3532" customWidth="1"/>
    <col min="7694" max="7694" width="13.7109375" style="3532" customWidth="1"/>
    <col min="7695" max="7695" width="14" style="3532" bestFit="1" customWidth="1"/>
    <col min="7696" max="7698" width="19.28515625" style="3532" bestFit="1" customWidth="1"/>
    <col min="7699" max="7699" width="20.42578125" style="3532" bestFit="1" customWidth="1"/>
    <col min="7700" max="7700" width="20.7109375" style="3532" bestFit="1" customWidth="1"/>
    <col min="7701" max="7701" width="16.42578125" style="3532" bestFit="1" customWidth="1"/>
    <col min="7702" max="7702" width="14.28515625" style="3532" customWidth="1"/>
    <col min="7703" max="7703" width="12.85546875" style="3532" bestFit="1" customWidth="1"/>
    <col min="7704" max="7704" width="11.28515625" style="3532" bestFit="1" customWidth="1"/>
    <col min="7705" max="7705" width="12.42578125" style="3532" bestFit="1" customWidth="1"/>
    <col min="7706" max="7706" width="14" style="3532" bestFit="1" customWidth="1"/>
    <col min="7707" max="7707" width="6" style="3532" bestFit="1" customWidth="1"/>
    <col min="7708" max="7708" width="15" style="3532" customWidth="1"/>
    <col min="7709" max="7709" width="14.85546875" style="3532" bestFit="1" customWidth="1"/>
    <col min="7710" max="7710" width="16.140625" style="3532" bestFit="1" customWidth="1"/>
    <col min="7711" max="7937" width="8.85546875" style="3532"/>
    <col min="7938" max="7938" width="24.140625" style="3532" bestFit="1" customWidth="1"/>
    <col min="7939" max="7939" width="43.85546875" style="3532" customWidth="1"/>
    <col min="7940" max="7940" width="19.85546875" style="3532" bestFit="1" customWidth="1"/>
    <col min="7941" max="7941" width="17.140625" style="3532" bestFit="1" customWidth="1"/>
    <col min="7942" max="7942" width="18.85546875" style="3532" bestFit="1" customWidth="1"/>
    <col min="7943" max="7943" width="13.42578125" style="3532" customWidth="1"/>
    <col min="7944" max="7944" width="15.42578125" style="3532" bestFit="1" customWidth="1"/>
    <col min="7945" max="7945" width="14.28515625" style="3532" bestFit="1" customWidth="1"/>
    <col min="7946" max="7946" width="15.28515625" style="3532" customWidth="1"/>
    <col min="7947" max="7947" width="15.85546875" style="3532" customWidth="1"/>
    <col min="7948" max="7948" width="17.140625" style="3532" bestFit="1" customWidth="1"/>
    <col min="7949" max="7949" width="12.7109375" style="3532" customWidth="1"/>
    <col min="7950" max="7950" width="13.7109375" style="3532" customWidth="1"/>
    <col min="7951" max="7951" width="14" style="3532" bestFit="1" customWidth="1"/>
    <col min="7952" max="7954" width="19.28515625" style="3532" bestFit="1" customWidth="1"/>
    <col min="7955" max="7955" width="20.42578125" style="3532" bestFit="1" customWidth="1"/>
    <col min="7956" max="7956" width="20.7109375" style="3532" bestFit="1" customWidth="1"/>
    <col min="7957" max="7957" width="16.42578125" style="3532" bestFit="1" customWidth="1"/>
    <col min="7958" max="7958" width="14.28515625" style="3532" customWidth="1"/>
    <col min="7959" max="7959" width="12.85546875" style="3532" bestFit="1" customWidth="1"/>
    <col min="7960" max="7960" width="11.28515625" style="3532" bestFit="1" customWidth="1"/>
    <col min="7961" max="7961" width="12.42578125" style="3532" bestFit="1" customWidth="1"/>
    <col min="7962" max="7962" width="14" style="3532" bestFit="1" customWidth="1"/>
    <col min="7963" max="7963" width="6" style="3532" bestFit="1" customWidth="1"/>
    <col min="7964" max="7964" width="15" style="3532" customWidth="1"/>
    <col min="7965" max="7965" width="14.85546875" style="3532" bestFit="1" customWidth="1"/>
    <col min="7966" max="7966" width="16.140625" style="3532" bestFit="1" customWidth="1"/>
    <col min="7967" max="8193" width="8.85546875" style="3532"/>
    <col min="8194" max="8194" width="24.140625" style="3532" bestFit="1" customWidth="1"/>
    <col min="8195" max="8195" width="43.85546875" style="3532" customWidth="1"/>
    <col min="8196" max="8196" width="19.85546875" style="3532" bestFit="1" customWidth="1"/>
    <col min="8197" max="8197" width="17.140625" style="3532" bestFit="1" customWidth="1"/>
    <col min="8198" max="8198" width="18.85546875" style="3532" bestFit="1" customWidth="1"/>
    <col min="8199" max="8199" width="13.42578125" style="3532" customWidth="1"/>
    <col min="8200" max="8200" width="15.42578125" style="3532" bestFit="1" customWidth="1"/>
    <col min="8201" max="8201" width="14.28515625" style="3532" bestFit="1" customWidth="1"/>
    <col min="8202" max="8202" width="15.28515625" style="3532" customWidth="1"/>
    <col min="8203" max="8203" width="15.85546875" style="3532" customWidth="1"/>
    <col min="8204" max="8204" width="17.140625" style="3532" bestFit="1" customWidth="1"/>
    <col min="8205" max="8205" width="12.7109375" style="3532" customWidth="1"/>
    <col min="8206" max="8206" width="13.7109375" style="3532" customWidth="1"/>
    <col min="8207" max="8207" width="14" style="3532" bestFit="1" customWidth="1"/>
    <col min="8208" max="8210" width="19.28515625" style="3532" bestFit="1" customWidth="1"/>
    <col min="8211" max="8211" width="20.42578125" style="3532" bestFit="1" customWidth="1"/>
    <col min="8212" max="8212" width="20.7109375" style="3532" bestFit="1" customWidth="1"/>
    <col min="8213" max="8213" width="16.42578125" style="3532" bestFit="1" customWidth="1"/>
    <col min="8214" max="8214" width="14.28515625" style="3532" customWidth="1"/>
    <col min="8215" max="8215" width="12.85546875" style="3532" bestFit="1" customWidth="1"/>
    <col min="8216" max="8216" width="11.28515625" style="3532" bestFit="1" customWidth="1"/>
    <col min="8217" max="8217" width="12.42578125" style="3532" bestFit="1" customWidth="1"/>
    <col min="8218" max="8218" width="14" style="3532" bestFit="1" customWidth="1"/>
    <col min="8219" max="8219" width="6" style="3532" bestFit="1" customWidth="1"/>
    <col min="8220" max="8220" width="15" style="3532" customWidth="1"/>
    <col min="8221" max="8221" width="14.85546875" style="3532" bestFit="1" customWidth="1"/>
    <col min="8222" max="8222" width="16.140625" style="3532" bestFit="1" customWidth="1"/>
    <col min="8223" max="8449" width="8.85546875" style="3532"/>
    <col min="8450" max="8450" width="24.140625" style="3532" bestFit="1" customWidth="1"/>
    <col min="8451" max="8451" width="43.85546875" style="3532" customWidth="1"/>
    <col min="8452" max="8452" width="19.85546875" style="3532" bestFit="1" customWidth="1"/>
    <col min="8453" max="8453" width="17.140625" style="3532" bestFit="1" customWidth="1"/>
    <col min="8454" max="8454" width="18.85546875" style="3532" bestFit="1" customWidth="1"/>
    <col min="8455" max="8455" width="13.42578125" style="3532" customWidth="1"/>
    <col min="8456" max="8456" width="15.42578125" style="3532" bestFit="1" customWidth="1"/>
    <col min="8457" max="8457" width="14.28515625" style="3532" bestFit="1" customWidth="1"/>
    <col min="8458" max="8458" width="15.28515625" style="3532" customWidth="1"/>
    <col min="8459" max="8459" width="15.85546875" style="3532" customWidth="1"/>
    <col min="8460" max="8460" width="17.140625" style="3532" bestFit="1" customWidth="1"/>
    <col min="8461" max="8461" width="12.7109375" style="3532" customWidth="1"/>
    <col min="8462" max="8462" width="13.7109375" style="3532" customWidth="1"/>
    <col min="8463" max="8463" width="14" style="3532" bestFit="1" customWidth="1"/>
    <col min="8464" max="8466" width="19.28515625" style="3532" bestFit="1" customWidth="1"/>
    <col min="8467" max="8467" width="20.42578125" style="3532" bestFit="1" customWidth="1"/>
    <col min="8468" max="8468" width="20.7109375" style="3532" bestFit="1" customWidth="1"/>
    <col min="8469" max="8469" width="16.42578125" style="3532" bestFit="1" customWidth="1"/>
    <col min="8470" max="8470" width="14.28515625" style="3532" customWidth="1"/>
    <col min="8471" max="8471" width="12.85546875" style="3532" bestFit="1" customWidth="1"/>
    <col min="8472" max="8472" width="11.28515625" style="3532" bestFit="1" customWidth="1"/>
    <col min="8473" max="8473" width="12.42578125" style="3532" bestFit="1" customWidth="1"/>
    <col min="8474" max="8474" width="14" style="3532" bestFit="1" customWidth="1"/>
    <col min="8475" max="8475" width="6" style="3532" bestFit="1" customWidth="1"/>
    <col min="8476" max="8476" width="15" style="3532" customWidth="1"/>
    <col min="8477" max="8477" width="14.85546875" style="3532" bestFit="1" customWidth="1"/>
    <col min="8478" max="8478" width="16.140625" style="3532" bestFit="1" customWidth="1"/>
    <col min="8479" max="8705" width="8.85546875" style="3532"/>
    <col min="8706" max="8706" width="24.140625" style="3532" bestFit="1" customWidth="1"/>
    <col min="8707" max="8707" width="43.85546875" style="3532" customWidth="1"/>
    <col min="8708" max="8708" width="19.85546875" style="3532" bestFit="1" customWidth="1"/>
    <col min="8709" max="8709" width="17.140625" style="3532" bestFit="1" customWidth="1"/>
    <col min="8710" max="8710" width="18.85546875" style="3532" bestFit="1" customWidth="1"/>
    <col min="8711" max="8711" width="13.42578125" style="3532" customWidth="1"/>
    <col min="8712" max="8712" width="15.42578125" style="3532" bestFit="1" customWidth="1"/>
    <col min="8713" max="8713" width="14.28515625" style="3532" bestFit="1" customWidth="1"/>
    <col min="8714" max="8714" width="15.28515625" style="3532" customWidth="1"/>
    <col min="8715" max="8715" width="15.85546875" style="3532" customWidth="1"/>
    <col min="8716" max="8716" width="17.140625" style="3532" bestFit="1" customWidth="1"/>
    <col min="8717" max="8717" width="12.7109375" style="3532" customWidth="1"/>
    <col min="8718" max="8718" width="13.7109375" style="3532" customWidth="1"/>
    <col min="8719" max="8719" width="14" style="3532" bestFit="1" customWidth="1"/>
    <col min="8720" max="8722" width="19.28515625" style="3532" bestFit="1" customWidth="1"/>
    <col min="8723" max="8723" width="20.42578125" style="3532" bestFit="1" customWidth="1"/>
    <col min="8724" max="8724" width="20.7109375" style="3532" bestFit="1" customWidth="1"/>
    <col min="8725" max="8725" width="16.42578125" style="3532" bestFit="1" customWidth="1"/>
    <col min="8726" max="8726" width="14.28515625" style="3532" customWidth="1"/>
    <col min="8727" max="8727" width="12.85546875" style="3532" bestFit="1" customWidth="1"/>
    <col min="8728" max="8728" width="11.28515625" style="3532" bestFit="1" customWidth="1"/>
    <col min="8729" max="8729" width="12.42578125" style="3532" bestFit="1" customWidth="1"/>
    <col min="8730" max="8730" width="14" style="3532" bestFit="1" customWidth="1"/>
    <col min="8731" max="8731" width="6" style="3532" bestFit="1" customWidth="1"/>
    <col min="8732" max="8732" width="15" style="3532" customWidth="1"/>
    <col min="8733" max="8733" width="14.85546875" style="3532" bestFit="1" customWidth="1"/>
    <col min="8734" max="8734" width="16.140625" style="3532" bestFit="1" customWidth="1"/>
    <col min="8735" max="8961" width="8.85546875" style="3532"/>
    <col min="8962" max="8962" width="24.140625" style="3532" bestFit="1" customWidth="1"/>
    <col min="8963" max="8963" width="43.85546875" style="3532" customWidth="1"/>
    <col min="8964" max="8964" width="19.85546875" style="3532" bestFit="1" customWidth="1"/>
    <col min="8965" max="8965" width="17.140625" style="3532" bestFit="1" customWidth="1"/>
    <col min="8966" max="8966" width="18.85546875" style="3532" bestFit="1" customWidth="1"/>
    <col min="8967" max="8967" width="13.42578125" style="3532" customWidth="1"/>
    <col min="8968" max="8968" width="15.42578125" style="3532" bestFit="1" customWidth="1"/>
    <col min="8969" max="8969" width="14.28515625" style="3532" bestFit="1" customWidth="1"/>
    <col min="8970" max="8970" width="15.28515625" style="3532" customWidth="1"/>
    <col min="8971" max="8971" width="15.85546875" style="3532" customWidth="1"/>
    <col min="8972" max="8972" width="17.140625" style="3532" bestFit="1" customWidth="1"/>
    <col min="8973" max="8973" width="12.7109375" style="3532" customWidth="1"/>
    <col min="8974" max="8974" width="13.7109375" style="3532" customWidth="1"/>
    <col min="8975" max="8975" width="14" style="3532" bestFit="1" customWidth="1"/>
    <col min="8976" max="8978" width="19.28515625" style="3532" bestFit="1" customWidth="1"/>
    <col min="8979" max="8979" width="20.42578125" style="3532" bestFit="1" customWidth="1"/>
    <col min="8980" max="8980" width="20.7109375" style="3532" bestFit="1" customWidth="1"/>
    <col min="8981" max="8981" width="16.42578125" style="3532" bestFit="1" customWidth="1"/>
    <col min="8982" max="8982" width="14.28515625" style="3532" customWidth="1"/>
    <col min="8983" max="8983" width="12.85546875" style="3532" bestFit="1" customWidth="1"/>
    <col min="8984" max="8984" width="11.28515625" style="3532" bestFit="1" customWidth="1"/>
    <col min="8985" max="8985" width="12.42578125" style="3532" bestFit="1" customWidth="1"/>
    <col min="8986" max="8986" width="14" style="3532" bestFit="1" customWidth="1"/>
    <col min="8987" max="8987" width="6" style="3532" bestFit="1" customWidth="1"/>
    <col min="8988" max="8988" width="15" style="3532" customWidth="1"/>
    <col min="8989" max="8989" width="14.85546875" style="3532" bestFit="1" customWidth="1"/>
    <col min="8990" max="8990" width="16.140625" style="3532" bestFit="1" customWidth="1"/>
    <col min="8991" max="9217" width="8.85546875" style="3532"/>
    <col min="9218" max="9218" width="24.140625" style="3532" bestFit="1" customWidth="1"/>
    <col min="9219" max="9219" width="43.85546875" style="3532" customWidth="1"/>
    <col min="9220" max="9220" width="19.85546875" style="3532" bestFit="1" customWidth="1"/>
    <col min="9221" max="9221" width="17.140625" style="3532" bestFit="1" customWidth="1"/>
    <col min="9222" max="9222" width="18.85546875" style="3532" bestFit="1" customWidth="1"/>
    <col min="9223" max="9223" width="13.42578125" style="3532" customWidth="1"/>
    <col min="9224" max="9224" width="15.42578125" style="3532" bestFit="1" customWidth="1"/>
    <col min="9225" max="9225" width="14.28515625" style="3532" bestFit="1" customWidth="1"/>
    <col min="9226" max="9226" width="15.28515625" style="3532" customWidth="1"/>
    <col min="9227" max="9227" width="15.85546875" style="3532" customWidth="1"/>
    <col min="9228" max="9228" width="17.140625" style="3532" bestFit="1" customWidth="1"/>
    <col min="9229" max="9229" width="12.7109375" style="3532" customWidth="1"/>
    <col min="9230" max="9230" width="13.7109375" style="3532" customWidth="1"/>
    <col min="9231" max="9231" width="14" style="3532" bestFit="1" customWidth="1"/>
    <col min="9232" max="9234" width="19.28515625" style="3532" bestFit="1" customWidth="1"/>
    <col min="9235" max="9235" width="20.42578125" style="3532" bestFit="1" customWidth="1"/>
    <col min="9236" max="9236" width="20.7109375" style="3532" bestFit="1" customWidth="1"/>
    <col min="9237" max="9237" width="16.42578125" style="3532" bestFit="1" customWidth="1"/>
    <col min="9238" max="9238" width="14.28515625" style="3532" customWidth="1"/>
    <col min="9239" max="9239" width="12.85546875" style="3532" bestFit="1" customWidth="1"/>
    <col min="9240" max="9240" width="11.28515625" style="3532" bestFit="1" customWidth="1"/>
    <col min="9241" max="9241" width="12.42578125" style="3532" bestFit="1" customWidth="1"/>
    <col min="9242" max="9242" width="14" style="3532" bestFit="1" customWidth="1"/>
    <col min="9243" max="9243" width="6" style="3532" bestFit="1" customWidth="1"/>
    <col min="9244" max="9244" width="15" style="3532" customWidth="1"/>
    <col min="9245" max="9245" width="14.85546875" style="3532" bestFit="1" customWidth="1"/>
    <col min="9246" max="9246" width="16.140625" style="3532" bestFit="1" customWidth="1"/>
    <col min="9247" max="9473" width="8.85546875" style="3532"/>
    <col min="9474" max="9474" width="24.140625" style="3532" bestFit="1" customWidth="1"/>
    <col min="9475" max="9475" width="43.85546875" style="3532" customWidth="1"/>
    <col min="9476" max="9476" width="19.85546875" style="3532" bestFit="1" customWidth="1"/>
    <col min="9477" max="9477" width="17.140625" style="3532" bestFit="1" customWidth="1"/>
    <col min="9478" max="9478" width="18.85546875" style="3532" bestFit="1" customWidth="1"/>
    <col min="9479" max="9479" width="13.42578125" style="3532" customWidth="1"/>
    <col min="9480" max="9480" width="15.42578125" style="3532" bestFit="1" customWidth="1"/>
    <col min="9481" max="9481" width="14.28515625" style="3532" bestFit="1" customWidth="1"/>
    <col min="9482" max="9482" width="15.28515625" style="3532" customWidth="1"/>
    <col min="9483" max="9483" width="15.85546875" style="3532" customWidth="1"/>
    <col min="9484" max="9484" width="17.140625" style="3532" bestFit="1" customWidth="1"/>
    <col min="9485" max="9485" width="12.7109375" style="3532" customWidth="1"/>
    <col min="9486" max="9486" width="13.7109375" style="3532" customWidth="1"/>
    <col min="9487" max="9487" width="14" style="3532" bestFit="1" customWidth="1"/>
    <col min="9488" max="9490" width="19.28515625" style="3532" bestFit="1" customWidth="1"/>
    <col min="9491" max="9491" width="20.42578125" style="3532" bestFit="1" customWidth="1"/>
    <col min="9492" max="9492" width="20.7109375" style="3532" bestFit="1" customWidth="1"/>
    <col min="9493" max="9493" width="16.42578125" style="3532" bestFit="1" customWidth="1"/>
    <col min="9494" max="9494" width="14.28515625" style="3532" customWidth="1"/>
    <col min="9495" max="9495" width="12.85546875" style="3532" bestFit="1" customWidth="1"/>
    <col min="9496" max="9496" width="11.28515625" style="3532" bestFit="1" customWidth="1"/>
    <col min="9497" max="9497" width="12.42578125" style="3532" bestFit="1" customWidth="1"/>
    <col min="9498" max="9498" width="14" style="3532" bestFit="1" customWidth="1"/>
    <col min="9499" max="9499" width="6" style="3532" bestFit="1" customWidth="1"/>
    <col min="9500" max="9500" width="15" style="3532" customWidth="1"/>
    <col min="9501" max="9501" width="14.85546875" style="3532" bestFit="1" customWidth="1"/>
    <col min="9502" max="9502" width="16.140625" style="3532" bestFit="1" customWidth="1"/>
    <col min="9503" max="9729" width="8.85546875" style="3532"/>
    <col min="9730" max="9730" width="24.140625" style="3532" bestFit="1" customWidth="1"/>
    <col min="9731" max="9731" width="43.85546875" style="3532" customWidth="1"/>
    <col min="9732" max="9732" width="19.85546875" style="3532" bestFit="1" customWidth="1"/>
    <col min="9733" max="9733" width="17.140625" style="3532" bestFit="1" customWidth="1"/>
    <col min="9734" max="9734" width="18.85546875" style="3532" bestFit="1" customWidth="1"/>
    <col min="9735" max="9735" width="13.42578125" style="3532" customWidth="1"/>
    <col min="9736" max="9736" width="15.42578125" style="3532" bestFit="1" customWidth="1"/>
    <col min="9737" max="9737" width="14.28515625" style="3532" bestFit="1" customWidth="1"/>
    <col min="9738" max="9738" width="15.28515625" style="3532" customWidth="1"/>
    <col min="9739" max="9739" width="15.85546875" style="3532" customWidth="1"/>
    <col min="9740" max="9740" width="17.140625" style="3532" bestFit="1" customWidth="1"/>
    <col min="9741" max="9741" width="12.7109375" style="3532" customWidth="1"/>
    <col min="9742" max="9742" width="13.7109375" style="3532" customWidth="1"/>
    <col min="9743" max="9743" width="14" style="3532" bestFit="1" customWidth="1"/>
    <col min="9744" max="9746" width="19.28515625" style="3532" bestFit="1" customWidth="1"/>
    <col min="9747" max="9747" width="20.42578125" style="3532" bestFit="1" customWidth="1"/>
    <col min="9748" max="9748" width="20.7109375" style="3532" bestFit="1" customWidth="1"/>
    <col min="9749" max="9749" width="16.42578125" style="3532" bestFit="1" customWidth="1"/>
    <col min="9750" max="9750" width="14.28515625" style="3532" customWidth="1"/>
    <col min="9751" max="9751" width="12.85546875" style="3532" bestFit="1" customWidth="1"/>
    <col min="9752" max="9752" width="11.28515625" style="3532" bestFit="1" customWidth="1"/>
    <col min="9753" max="9753" width="12.42578125" style="3532" bestFit="1" customWidth="1"/>
    <col min="9754" max="9754" width="14" style="3532" bestFit="1" customWidth="1"/>
    <col min="9755" max="9755" width="6" style="3532" bestFit="1" customWidth="1"/>
    <col min="9756" max="9756" width="15" style="3532" customWidth="1"/>
    <col min="9757" max="9757" width="14.85546875" style="3532" bestFit="1" customWidth="1"/>
    <col min="9758" max="9758" width="16.140625" style="3532" bestFit="1" customWidth="1"/>
    <col min="9759" max="9985" width="8.85546875" style="3532"/>
    <col min="9986" max="9986" width="24.140625" style="3532" bestFit="1" customWidth="1"/>
    <col min="9987" max="9987" width="43.85546875" style="3532" customWidth="1"/>
    <col min="9988" max="9988" width="19.85546875" style="3532" bestFit="1" customWidth="1"/>
    <col min="9989" max="9989" width="17.140625" style="3532" bestFit="1" customWidth="1"/>
    <col min="9990" max="9990" width="18.85546875" style="3532" bestFit="1" customWidth="1"/>
    <col min="9991" max="9991" width="13.42578125" style="3532" customWidth="1"/>
    <col min="9992" max="9992" width="15.42578125" style="3532" bestFit="1" customWidth="1"/>
    <col min="9993" max="9993" width="14.28515625" style="3532" bestFit="1" customWidth="1"/>
    <col min="9994" max="9994" width="15.28515625" style="3532" customWidth="1"/>
    <col min="9995" max="9995" width="15.85546875" style="3532" customWidth="1"/>
    <col min="9996" max="9996" width="17.140625" style="3532" bestFit="1" customWidth="1"/>
    <col min="9997" max="9997" width="12.7109375" style="3532" customWidth="1"/>
    <col min="9998" max="9998" width="13.7109375" style="3532" customWidth="1"/>
    <col min="9999" max="9999" width="14" style="3532" bestFit="1" customWidth="1"/>
    <col min="10000" max="10002" width="19.28515625" style="3532" bestFit="1" customWidth="1"/>
    <col min="10003" max="10003" width="20.42578125" style="3532" bestFit="1" customWidth="1"/>
    <col min="10004" max="10004" width="20.7109375" style="3532" bestFit="1" customWidth="1"/>
    <col min="10005" max="10005" width="16.42578125" style="3532" bestFit="1" customWidth="1"/>
    <col min="10006" max="10006" width="14.28515625" style="3532" customWidth="1"/>
    <col min="10007" max="10007" width="12.85546875" style="3532" bestFit="1" customWidth="1"/>
    <col min="10008" max="10008" width="11.28515625" style="3532" bestFit="1" customWidth="1"/>
    <col min="10009" max="10009" width="12.42578125" style="3532" bestFit="1" customWidth="1"/>
    <col min="10010" max="10010" width="14" style="3532" bestFit="1" customWidth="1"/>
    <col min="10011" max="10011" width="6" style="3532" bestFit="1" customWidth="1"/>
    <col min="10012" max="10012" width="15" style="3532" customWidth="1"/>
    <col min="10013" max="10013" width="14.85546875" style="3532" bestFit="1" customWidth="1"/>
    <col min="10014" max="10014" width="16.140625" style="3532" bestFit="1" customWidth="1"/>
    <col min="10015" max="10241" width="8.85546875" style="3532"/>
    <col min="10242" max="10242" width="24.140625" style="3532" bestFit="1" customWidth="1"/>
    <col min="10243" max="10243" width="43.85546875" style="3532" customWidth="1"/>
    <col min="10244" max="10244" width="19.85546875" style="3532" bestFit="1" customWidth="1"/>
    <col min="10245" max="10245" width="17.140625" style="3532" bestFit="1" customWidth="1"/>
    <col min="10246" max="10246" width="18.85546875" style="3532" bestFit="1" customWidth="1"/>
    <col min="10247" max="10247" width="13.42578125" style="3532" customWidth="1"/>
    <col min="10248" max="10248" width="15.42578125" style="3532" bestFit="1" customWidth="1"/>
    <col min="10249" max="10249" width="14.28515625" style="3532" bestFit="1" customWidth="1"/>
    <col min="10250" max="10250" width="15.28515625" style="3532" customWidth="1"/>
    <col min="10251" max="10251" width="15.85546875" style="3532" customWidth="1"/>
    <col min="10252" max="10252" width="17.140625" style="3532" bestFit="1" customWidth="1"/>
    <col min="10253" max="10253" width="12.7109375" style="3532" customWidth="1"/>
    <col min="10254" max="10254" width="13.7109375" style="3532" customWidth="1"/>
    <col min="10255" max="10255" width="14" style="3532" bestFit="1" customWidth="1"/>
    <col min="10256" max="10258" width="19.28515625" style="3532" bestFit="1" customWidth="1"/>
    <col min="10259" max="10259" width="20.42578125" style="3532" bestFit="1" customWidth="1"/>
    <col min="10260" max="10260" width="20.7109375" style="3532" bestFit="1" customWidth="1"/>
    <col min="10261" max="10261" width="16.42578125" style="3532" bestFit="1" customWidth="1"/>
    <col min="10262" max="10262" width="14.28515625" style="3532" customWidth="1"/>
    <col min="10263" max="10263" width="12.85546875" style="3532" bestFit="1" customWidth="1"/>
    <col min="10264" max="10264" width="11.28515625" style="3532" bestFit="1" customWidth="1"/>
    <col min="10265" max="10265" width="12.42578125" style="3532" bestFit="1" customWidth="1"/>
    <col min="10266" max="10266" width="14" style="3532" bestFit="1" customWidth="1"/>
    <col min="10267" max="10267" width="6" style="3532" bestFit="1" customWidth="1"/>
    <col min="10268" max="10268" width="15" style="3532" customWidth="1"/>
    <col min="10269" max="10269" width="14.85546875" style="3532" bestFit="1" customWidth="1"/>
    <col min="10270" max="10270" width="16.140625" style="3532" bestFit="1" customWidth="1"/>
    <col min="10271" max="10497" width="8.85546875" style="3532"/>
    <col min="10498" max="10498" width="24.140625" style="3532" bestFit="1" customWidth="1"/>
    <col min="10499" max="10499" width="43.85546875" style="3532" customWidth="1"/>
    <col min="10500" max="10500" width="19.85546875" style="3532" bestFit="1" customWidth="1"/>
    <col min="10501" max="10501" width="17.140625" style="3532" bestFit="1" customWidth="1"/>
    <col min="10502" max="10502" width="18.85546875" style="3532" bestFit="1" customWidth="1"/>
    <col min="10503" max="10503" width="13.42578125" style="3532" customWidth="1"/>
    <col min="10504" max="10504" width="15.42578125" style="3532" bestFit="1" customWidth="1"/>
    <col min="10505" max="10505" width="14.28515625" style="3532" bestFit="1" customWidth="1"/>
    <col min="10506" max="10506" width="15.28515625" style="3532" customWidth="1"/>
    <col min="10507" max="10507" width="15.85546875" style="3532" customWidth="1"/>
    <col min="10508" max="10508" width="17.140625" style="3532" bestFit="1" customWidth="1"/>
    <col min="10509" max="10509" width="12.7109375" style="3532" customWidth="1"/>
    <col min="10510" max="10510" width="13.7109375" style="3532" customWidth="1"/>
    <col min="10511" max="10511" width="14" style="3532" bestFit="1" customWidth="1"/>
    <col min="10512" max="10514" width="19.28515625" style="3532" bestFit="1" customWidth="1"/>
    <col min="10515" max="10515" width="20.42578125" style="3532" bestFit="1" customWidth="1"/>
    <col min="10516" max="10516" width="20.7109375" style="3532" bestFit="1" customWidth="1"/>
    <col min="10517" max="10517" width="16.42578125" style="3532" bestFit="1" customWidth="1"/>
    <col min="10518" max="10518" width="14.28515625" style="3532" customWidth="1"/>
    <col min="10519" max="10519" width="12.85546875" style="3532" bestFit="1" customWidth="1"/>
    <col min="10520" max="10520" width="11.28515625" style="3532" bestFit="1" customWidth="1"/>
    <col min="10521" max="10521" width="12.42578125" style="3532" bestFit="1" customWidth="1"/>
    <col min="10522" max="10522" width="14" style="3532" bestFit="1" customWidth="1"/>
    <col min="10523" max="10523" width="6" style="3532" bestFit="1" customWidth="1"/>
    <col min="10524" max="10524" width="15" style="3532" customWidth="1"/>
    <col min="10525" max="10525" width="14.85546875" style="3532" bestFit="1" customWidth="1"/>
    <col min="10526" max="10526" width="16.140625" style="3532" bestFit="1" customWidth="1"/>
    <col min="10527" max="10753" width="8.85546875" style="3532"/>
    <col min="10754" max="10754" width="24.140625" style="3532" bestFit="1" customWidth="1"/>
    <col min="10755" max="10755" width="43.85546875" style="3532" customWidth="1"/>
    <col min="10756" max="10756" width="19.85546875" style="3532" bestFit="1" customWidth="1"/>
    <col min="10757" max="10757" width="17.140625" style="3532" bestFit="1" customWidth="1"/>
    <col min="10758" max="10758" width="18.85546875" style="3532" bestFit="1" customWidth="1"/>
    <col min="10759" max="10759" width="13.42578125" style="3532" customWidth="1"/>
    <col min="10760" max="10760" width="15.42578125" style="3532" bestFit="1" customWidth="1"/>
    <col min="10761" max="10761" width="14.28515625" style="3532" bestFit="1" customWidth="1"/>
    <col min="10762" max="10762" width="15.28515625" style="3532" customWidth="1"/>
    <col min="10763" max="10763" width="15.85546875" style="3532" customWidth="1"/>
    <col min="10764" max="10764" width="17.140625" style="3532" bestFit="1" customWidth="1"/>
    <col min="10765" max="10765" width="12.7109375" style="3532" customWidth="1"/>
    <col min="10766" max="10766" width="13.7109375" style="3532" customWidth="1"/>
    <col min="10767" max="10767" width="14" style="3532" bestFit="1" customWidth="1"/>
    <col min="10768" max="10770" width="19.28515625" style="3532" bestFit="1" customWidth="1"/>
    <col min="10771" max="10771" width="20.42578125" style="3532" bestFit="1" customWidth="1"/>
    <col min="10772" max="10772" width="20.7109375" style="3532" bestFit="1" customWidth="1"/>
    <col min="10773" max="10773" width="16.42578125" style="3532" bestFit="1" customWidth="1"/>
    <col min="10774" max="10774" width="14.28515625" style="3532" customWidth="1"/>
    <col min="10775" max="10775" width="12.85546875" style="3532" bestFit="1" customWidth="1"/>
    <col min="10776" max="10776" width="11.28515625" style="3532" bestFit="1" customWidth="1"/>
    <col min="10777" max="10777" width="12.42578125" style="3532" bestFit="1" customWidth="1"/>
    <col min="10778" max="10778" width="14" style="3532" bestFit="1" customWidth="1"/>
    <col min="10779" max="10779" width="6" style="3532" bestFit="1" customWidth="1"/>
    <col min="10780" max="10780" width="15" style="3532" customWidth="1"/>
    <col min="10781" max="10781" width="14.85546875" style="3532" bestFit="1" customWidth="1"/>
    <col min="10782" max="10782" width="16.140625" style="3532" bestFit="1" customWidth="1"/>
    <col min="10783" max="11009" width="8.85546875" style="3532"/>
    <col min="11010" max="11010" width="24.140625" style="3532" bestFit="1" customWidth="1"/>
    <col min="11011" max="11011" width="43.85546875" style="3532" customWidth="1"/>
    <col min="11012" max="11012" width="19.85546875" style="3532" bestFit="1" customWidth="1"/>
    <col min="11013" max="11013" width="17.140625" style="3532" bestFit="1" customWidth="1"/>
    <col min="11014" max="11014" width="18.85546875" style="3532" bestFit="1" customWidth="1"/>
    <col min="11015" max="11015" width="13.42578125" style="3532" customWidth="1"/>
    <col min="11016" max="11016" width="15.42578125" style="3532" bestFit="1" customWidth="1"/>
    <col min="11017" max="11017" width="14.28515625" style="3532" bestFit="1" customWidth="1"/>
    <col min="11018" max="11018" width="15.28515625" style="3532" customWidth="1"/>
    <col min="11019" max="11019" width="15.85546875" style="3532" customWidth="1"/>
    <col min="11020" max="11020" width="17.140625" style="3532" bestFit="1" customWidth="1"/>
    <col min="11021" max="11021" width="12.7109375" style="3532" customWidth="1"/>
    <col min="11022" max="11022" width="13.7109375" style="3532" customWidth="1"/>
    <col min="11023" max="11023" width="14" style="3532" bestFit="1" customWidth="1"/>
    <col min="11024" max="11026" width="19.28515625" style="3532" bestFit="1" customWidth="1"/>
    <col min="11027" max="11027" width="20.42578125" style="3532" bestFit="1" customWidth="1"/>
    <col min="11028" max="11028" width="20.7109375" style="3532" bestFit="1" customWidth="1"/>
    <col min="11029" max="11029" width="16.42578125" style="3532" bestFit="1" customWidth="1"/>
    <col min="11030" max="11030" width="14.28515625" style="3532" customWidth="1"/>
    <col min="11031" max="11031" width="12.85546875" style="3532" bestFit="1" customWidth="1"/>
    <col min="11032" max="11032" width="11.28515625" style="3532" bestFit="1" customWidth="1"/>
    <col min="11033" max="11033" width="12.42578125" style="3532" bestFit="1" customWidth="1"/>
    <col min="11034" max="11034" width="14" style="3532" bestFit="1" customWidth="1"/>
    <col min="11035" max="11035" width="6" style="3532" bestFit="1" customWidth="1"/>
    <col min="11036" max="11036" width="15" style="3532" customWidth="1"/>
    <col min="11037" max="11037" width="14.85546875" style="3532" bestFit="1" customWidth="1"/>
    <col min="11038" max="11038" width="16.140625" style="3532" bestFit="1" customWidth="1"/>
    <col min="11039" max="11265" width="8.85546875" style="3532"/>
    <col min="11266" max="11266" width="24.140625" style="3532" bestFit="1" customWidth="1"/>
    <col min="11267" max="11267" width="43.85546875" style="3532" customWidth="1"/>
    <col min="11268" max="11268" width="19.85546875" style="3532" bestFit="1" customWidth="1"/>
    <col min="11269" max="11269" width="17.140625" style="3532" bestFit="1" customWidth="1"/>
    <col min="11270" max="11270" width="18.85546875" style="3532" bestFit="1" customWidth="1"/>
    <col min="11271" max="11271" width="13.42578125" style="3532" customWidth="1"/>
    <col min="11272" max="11272" width="15.42578125" style="3532" bestFit="1" customWidth="1"/>
    <col min="11273" max="11273" width="14.28515625" style="3532" bestFit="1" customWidth="1"/>
    <col min="11274" max="11274" width="15.28515625" style="3532" customWidth="1"/>
    <col min="11275" max="11275" width="15.85546875" style="3532" customWidth="1"/>
    <col min="11276" max="11276" width="17.140625" style="3532" bestFit="1" customWidth="1"/>
    <col min="11277" max="11277" width="12.7109375" style="3532" customWidth="1"/>
    <col min="11278" max="11278" width="13.7109375" style="3532" customWidth="1"/>
    <col min="11279" max="11279" width="14" style="3532" bestFit="1" customWidth="1"/>
    <col min="11280" max="11282" width="19.28515625" style="3532" bestFit="1" customWidth="1"/>
    <col min="11283" max="11283" width="20.42578125" style="3532" bestFit="1" customWidth="1"/>
    <col min="11284" max="11284" width="20.7109375" style="3532" bestFit="1" customWidth="1"/>
    <col min="11285" max="11285" width="16.42578125" style="3532" bestFit="1" customWidth="1"/>
    <col min="11286" max="11286" width="14.28515625" style="3532" customWidth="1"/>
    <col min="11287" max="11287" width="12.85546875" style="3532" bestFit="1" customWidth="1"/>
    <col min="11288" max="11288" width="11.28515625" style="3532" bestFit="1" customWidth="1"/>
    <col min="11289" max="11289" width="12.42578125" style="3532" bestFit="1" customWidth="1"/>
    <col min="11290" max="11290" width="14" style="3532" bestFit="1" customWidth="1"/>
    <col min="11291" max="11291" width="6" style="3532" bestFit="1" customWidth="1"/>
    <col min="11292" max="11292" width="15" style="3532" customWidth="1"/>
    <col min="11293" max="11293" width="14.85546875" style="3532" bestFit="1" customWidth="1"/>
    <col min="11294" max="11294" width="16.140625" style="3532" bestFit="1" customWidth="1"/>
    <col min="11295" max="11521" width="8.85546875" style="3532"/>
    <col min="11522" max="11522" width="24.140625" style="3532" bestFit="1" customWidth="1"/>
    <col min="11523" max="11523" width="43.85546875" style="3532" customWidth="1"/>
    <col min="11524" max="11524" width="19.85546875" style="3532" bestFit="1" customWidth="1"/>
    <col min="11525" max="11525" width="17.140625" style="3532" bestFit="1" customWidth="1"/>
    <col min="11526" max="11526" width="18.85546875" style="3532" bestFit="1" customWidth="1"/>
    <col min="11527" max="11527" width="13.42578125" style="3532" customWidth="1"/>
    <col min="11528" max="11528" width="15.42578125" style="3532" bestFit="1" customWidth="1"/>
    <col min="11529" max="11529" width="14.28515625" style="3532" bestFit="1" customWidth="1"/>
    <col min="11530" max="11530" width="15.28515625" style="3532" customWidth="1"/>
    <col min="11531" max="11531" width="15.85546875" style="3532" customWidth="1"/>
    <col min="11532" max="11532" width="17.140625" style="3532" bestFit="1" customWidth="1"/>
    <col min="11533" max="11533" width="12.7109375" style="3532" customWidth="1"/>
    <col min="11534" max="11534" width="13.7109375" style="3532" customWidth="1"/>
    <col min="11535" max="11535" width="14" style="3532" bestFit="1" customWidth="1"/>
    <col min="11536" max="11538" width="19.28515625" style="3532" bestFit="1" customWidth="1"/>
    <col min="11539" max="11539" width="20.42578125" style="3532" bestFit="1" customWidth="1"/>
    <col min="11540" max="11540" width="20.7109375" style="3532" bestFit="1" customWidth="1"/>
    <col min="11541" max="11541" width="16.42578125" style="3532" bestFit="1" customWidth="1"/>
    <col min="11542" max="11542" width="14.28515625" style="3532" customWidth="1"/>
    <col min="11543" max="11543" width="12.85546875" style="3532" bestFit="1" customWidth="1"/>
    <col min="11544" max="11544" width="11.28515625" style="3532" bestFit="1" customWidth="1"/>
    <col min="11545" max="11545" width="12.42578125" style="3532" bestFit="1" customWidth="1"/>
    <col min="11546" max="11546" width="14" style="3532" bestFit="1" customWidth="1"/>
    <col min="11547" max="11547" width="6" style="3532" bestFit="1" customWidth="1"/>
    <col min="11548" max="11548" width="15" style="3532" customWidth="1"/>
    <col min="11549" max="11549" width="14.85546875" style="3532" bestFit="1" customWidth="1"/>
    <col min="11550" max="11550" width="16.140625" style="3532" bestFit="1" customWidth="1"/>
    <col min="11551" max="11777" width="8.85546875" style="3532"/>
    <col min="11778" max="11778" width="24.140625" style="3532" bestFit="1" customWidth="1"/>
    <col min="11779" max="11779" width="43.85546875" style="3532" customWidth="1"/>
    <col min="11780" max="11780" width="19.85546875" style="3532" bestFit="1" customWidth="1"/>
    <col min="11781" max="11781" width="17.140625" style="3532" bestFit="1" customWidth="1"/>
    <col min="11782" max="11782" width="18.85546875" style="3532" bestFit="1" customWidth="1"/>
    <col min="11783" max="11783" width="13.42578125" style="3532" customWidth="1"/>
    <col min="11784" max="11784" width="15.42578125" style="3532" bestFit="1" customWidth="1"/>
    <col min="11785" max="11785" width="14.28515625" style="3532" bestFit="1" customWidth="1"/>
    <col min="11786" max="11786" width="15.28515625" style="3532" customWidth="1"/>
    <col min="11787" max="11787" width="15.85546875" style="3532" customWidth="1"/>
    <col min="11788" max="11788" width="17.140625" style="3532" bestFit="1" customWidth="1"/>
    <col min="11789" max="11789" width="12.7109375" style="3532" customWidth="1"/>
    <col min="11790" max="11790" width="13.7109375" style="3532" customWidth="1"/>
    <col min="11791" max="11791" width="14" style="3532" bestFit="1" customWidth="1"/>
    <col min="11792" max="11794" width="19.28515625" style="3532" bestFit="1" customWidth="1"/>
    <col min="11795" max="11795" width="20.42578125" style="3532" bestFit="1" customWidth="1"/>
    <col min="11796" max="11796" width="20.7109375" style="3532" bestFit="1" customWidth="1"/>
    <col min="11797" max="11797" width="16.42578125" style="3532" bestFit="1" customWidth="1"/>
    <col min="11798" max="11798" width="14.28515625" style="3532" customWidth="1"/>
    <col min="11799" max="11799" width="12.85546875" style="3532" bestFit="1" customWidth="1"/>
    <col min="11800" max="11800" width="11.28515625" style="3532" bestFit="1" customWidth="1"/>
    <col min="11801" max="11801" width="12.42578125" style="3532" bestFit="1" customWidth="1"/>
    <col min="11802" max="11802" width="14" style="3532" bestFit="1" customWidth="1"/>
    <col min="11803" max="11803" width="6" style="3532" bestFit="1" customWidth="1"/>
    <col min="11804" max="11804" width="15" style="3532" customWidth="1"/>
    <col min="11805" max="11805" width="14.85546875" style="3532" bestFit="1" customWidth="1"/>
    <col min="11806" max="11806" width="16.140625" style="3532" bestFit="1" customWidth="1"/>
    <col min="11807" max="12033" width="8.85546875" style="3532"/>
    <col min="12034" max="12034" width="24.140625" style="3532" bestFit="1" customWidth="1"/>
    <col min="12035" max="12035" width="43.85546875" style="3532" customWidth="1"/>
    <col min="12036" max="12036" width="19.85546875" style="3532" bestFit="1" customWidth="1"/>
    <col min="12037" max="12037" width="17.140625" style="3532" bestFit="1" customWidth="1"/>
    <col min="12038" max="12038" width="18.85546875" style="3532" bestFit="1" customWidth="1"/>
    <col min="12039" max="12039" width="13.42578125" style="3532" customWidth="1"/>
    <col min="12040" max="12040" width="15.42578125" style="3532" bestFit="1" customWidth="1"/>
    <col min="12041" max="12041" width="14.28515625" style="3532" bestFit="1" customWidth="1"/>
    <col min="12042" max="12042" width="15.28515625" style="3532" customWidth="1"/>
    <col min="12043" max="12043" width="15.85546875" style="3532" customWidth="1"/>
    <col min="12044" max="12044" width="17.140625" style="3532" bestFit="1" customWidth="1"/>
    <col min="12045" max="12045" width="12.7109375" style="3532" customWidth="1"/>
    <col min="12046" max="12046" width="13.7109375" style="3532" customWidth="1"/>
    <col min="12047" max="12047" width="14" style="3532" bestFit="1" customWidth="1"/>
    <col min="12048" max="12050" width="19.28515625" style="3532" bestFit="1" customWidth="1"/>
    <col min="12051" max="12051" width="20.42578125" style="3532" bestFit="1" customWidth="1"/>
    <col min="12052" max="12052" width="20.7109375" style="3532" bestFit="1" customWidth="1"/>
    <col min="12053" max="12053" width="16.42578125" style="3532" bestFit="1" customWidth="1"/>
    <col min="12054" max="12054" width="14.28515625" style="3532" customWidth="1"/>
    <col min="12055" max="12055" width="12.85546875" style="3532" bestFit="1" customWidth="1"/>
    <col min="12056" max="12056" width="11.28515625" style="3532" bestFit="1" customWidth="1"/>
    <col min="12057" max="12057" width="12.42578125" style="3532" bestFit="1" customWidth="1"/>
    <col min="12058" max="12058" width="14" style="3532" bestFit="1" customWidth="1"/>
    <col min="12059" max="12059" width="6" style="3532" bestFit="1" customWidth="1"/>
    <col min="12060" max="12060" width="15" style="3532" customWidth="1"/>
    <col min="12061" max="12061" width="14.85546875" style="3532" bestFit="1" customWidth="1"/>
    <col min="12062" max="12062" width="16.140625" style="3532" bestFit="1" customWidth="1"/>
    <col min="12063" max="12289" width="8.85546875" style="3532"/>
    <col min="12290" max="12290" width="24.140625" style="3532" bestFit="1" customWidth="1"/>
    <col min="12291" max="12291" width="43.85546875" style="3532" customWidth="1"/>
    <col min="12292" max="12292" width="19.85546875" style="3532" bestFit="1" customWidth="1"/>
    <col min="12293" max="12293" width="17.140625" style="3532" bestFit="1" customWidth="1"/>
    <col min="12294" max="12294" width="18.85546875" style="3532" bestFit="1" customWidth="1"/>
    <col min="12295" max="12295" width="13.42578125" style="3532" customWidth="1"/>
    <col min="12296" max="12296" width="15.42578125" style="3532" bestFit="1" customWidth="1"/>
    <col min="12297" max="12297" width="14.28515625" style="3532" bestFit="1" customWidth="1"/>
    <col min="12298" max="12298" width="15.28515625" style="3532" customWidth="1"/>
    <col min="12299" max="12299" width="15.85546875" style="3532" customWidth="1"/>
    <col min="12300" max="12300" width="17.140625" style="3532" bestFit="1" customWidth="1"/>
    <col min="12301" max="12301" width="12.7109375" style="3532" customWidth="1"/>
    <col min="12302" max="12302" width="13.7109375" style="3532" customWidth="1"/>
    <col min="12303" max="12303" width="14" style="3532" bestFit="1" customWidth="1"/>
    <col min="12304" max="12306" width="19.28515625" style="3532" bestFit="1" customWidth="1"/>
    <col min="12307" max="12307" width="20.42578125" style="3532" bestFit="1" customWidth="1"/>
    <col min="12308" max="12308" width="20.7109375" style="3532" bestFit="1" customWidth="1"/>
    <col min="12309" max="12309" width="16.42578125" style="3532" bestFit="1" customWidth="1"/>
    <col min="12310" max="12310" width="14.28515625" style="3532" customWidth="1"/>
    <col min="12311" max="12311" width="12.85546875" style="3532" bestFit="1" customWidth="1"/>
    <col min="12312" max="12312" width="11.28515625" style="3532" bestFit="1" customWidth="1"/>
    <col min="12313" max="12313" width="12.42578125" style="3532" bestFit="1" customWidth="1"/>
    <col min="12314" max="12314" width="14" style="3532" bestFit="1" customWidth="1"/>
    <col min="12315" max="12315" width="6" style="3532" bestFit="1" customWidth="1"/>
    <col min="12316" max="12316" width="15" style="3532" customWidth="1"/>
    <col min="12317" max="12317" width="14.85546875" style="3532" bestFit="1" customWidth="1"/>
    <col min="12318" max="12318" width="16.140625" style="3532" bestFit="1" customWidth="1"/>
    <col min="12319" max="12545" width="8.85546875" style="3532"/>
    <col min="12546" max="12546" width="24.140625" style="3532" bestFit="1" customWidth="1"/>
    <col min="12547" max="12547" width="43.85546875" style="3532" customWidth="1"/>
    <col min="12548" max="12548" width="19.85546875" style="3532" bestFit="1" customWidth="1"/>
    <col min="12549" max="12549" width="17.140625" style="3532" bestFit="1" customWidth="1"/>
    <col min="12550" max="12550" width="18.85546875" style="3532" bestFit="1" customWidth="1"/>
    <col min="12551" max="12551" width="13.42578125" style="3532" customWidth="1"/>
    <col min="12552" max="12552" width="15.42578125" style="3532" bestFit="1" customWidth="1"/>
    <col min="12553" max="12553" width="14.28515625" style="3532" bestFit="1" customWidth="1"/>
    <col min="12554" max="12554" width="15.28515625" style="3532" customWidth="1"/>
    <col min="12555" max="12555" width="15.85546875" style="3532" customWidth="1"/>
    <col min="12556" max="12556" width="17.140625" style="3532" bestFit="1" customWidth="1"/>
    <col min="12557" max="12557" width="12.7109375" style="3532" customWidth="1"/>
    <col min="12558" max="12558" width="13.7109375" style="3532" customWidth="1"/>
    <col min="12559" max="12559" width="14" style="3532" bestFit="1" customWidth="1"/>
    <col min="12560" max="12562" width="19.28515625" style="3532" bestFit="1" customWidth="1"/>
    <col min="12563" max="12563" width="20.42578125" style="3532" bestFit="1" customWidth="1"/>
    <col min="12564" max="12564" width="20.7109375" style="3532" bestFit="1" customWidth="1"/>
    <col min="12565" max="12565" width="16.42578125" style="3532" bestFit="1" customWidth="1"/>
    <col min="12566" max="12566" width="14.28515625" style="3532" customWidth="1"/>
    <col min="12567" max="12567" width="12.85546875" style="3532" bestFit="1" customWidth="1"/>
    <col min="12568" max="12568" width="11.28515625" style="3532" bestFit="1" customWidth="1"/>
    <col min="12569" max="12569" width="12.42578125" style="3532" bestFit="1" customWidth="1"/>
    <col min="12570" max="12570" width="14" style="3532" bestFit="1" customWidth="1"/>
    <col min="12571" max="12571" width="6" style="3532" bestFit="1" customWidth="1"/>
    <col min="12572" max="12572" width="15" style="3532" customWidth="1"/>
    <col min="12573" max="12573" width="14.85546875" style="3532" bestFit="1" customWidth="1"/>
    <col min="12574" max="12574" width="16.140625" style="3532" bestFit="1" customWidth="1"/>
    <col min="12575" max="12801" width="8.85546875" style="3532"/>
    <col min="12802" max="12802" width="24.140625" style="3532" bestFit="1" customWidth="1"/>
    <col min="12803" max="12803" width="43.85546875" style="3532" customWidth="1"/>
    <col min="12804" max="12804" width="19.85546875" style="3532" bestFit="1" customWidth="1"/>
    <col min="12805" max="12805" width="17.140625" style="3532" bestFit="1" customWidth="1"/>
    <col min="12806" max="12806" width="18.85546875" style="3532" bestFit="1" customWidth="1"/>
    <col min="12807" max="12807" width="13.42578125" style="3532" customWidth="1"/>
    <col min="12808" max="12808" width="15.42578125" style="3532" bestFit="1" customWidth="1"/>
    <col min="12809" max="12809" width="14.28515625" style="3532" bestFit="1" customWidth="1"/>
    <col min="12810" max="12810" width="15.28515625" style="3532" customWidth="1"/>
    <col min="12811" max="12811" width="15.85546875" style="3532" customWidth="1"/>
    <col min="12812" max="12812" width="17.140625" style="3532" bestFit="1" customWidth="1"/>
    <col min="12813" max="12813" width="12.7109375" style="3532" customWidth="1"/>
    <col min="12814" max="12814" width="13.7109375" style="3532" customWidth="1"/>
    <col min="12815" max="12815" width="14" style="3532" bestFit="1" customWidth="1"/>
    <col min="12816" max="12818" width="19.28515625" style="3532" bestFit="1" customWidth="1"/>
    <col min="12819" max="12819" width="20.42578125" style="3532" bestFit="1" customWidth="1"/>
    <col min="12820" max="12820" width="20.7109375" style="3532" bestFit="1" customWidth="1"/>
    <col min="12821" max="12821" width="16.42578125" style="3532" bestFit="1" customWidth="1"/>
    <col min="12822" max="12822" width="14.28515625" style="3532" customWidth="1"/>
    <col min="12823" max="12823" width="12.85546875" style="3532" bestFit="1" customWidth="1"/>
    <col min="12824" max="12824" width="11.28515625" style="3532" bestFit="1" customWidth="1"/>
    <col min="12825" max="12825" width="12.42578125" style="3532" bestFit="1" customWidth="1"/>
    <col min="12826" max="12826" width="14" style="3532" bestFit="1" customWidth="1"/>
    <col min="12827" max="12827" width="6" style="3532" bestFit="1" customWidth="1"/>
    <col min="12828" max="12828" width="15" style="3532" customWidth="1"/>
    <col min="12829" max="12829" width="14.85546875" style="3532" bestFit="1" customWidth="1"/>
    <col min="12830" max="12830" width="16.140625" style="3532" bestFit="1" customWidth="1"/>
    <col min="12831" max="13057" width="8.85546875" style="3532"/>
    <col min="13058" max="13058" width="24.140625" style="3532" bestFit="1" customWidth="1"/>
    <col min="13059" max="13059" width="43.85546875" style="3532" customWidth="1"/>
    <col min="13060" max="13060" width="19.85546875" style="3532" bestFit="1" customWidth="1"/>
    <col min="13061" max="13061" width="17.140625" style="3532" bestFit="1" customWidth="1"/>
    <col min="13062" max="13062" width="18.85546875" style="3532" bestFit="1" customWidth="1"/>
    <col min="13063" max="13063" width="13.42578125" style="3532" customWidth="1"/>
    <col min="13064" max="13064" width="15.42578125" style="3532" bestFit="1" customWidth="1"/>
    <col min="13065" max="13065" width="14.28515625" style="3532" bestFit="1" customWidth="1"/>
    <col min="13066" max="13066" width="15.28515625" style="3532" customWidth="1"/>
    <col min="13067" max="13067" width="15.85546875" style="3532" customWidth="1"/>
    <col min="13068" max="13068" width="17.140625" style="3532" bestFit="1" customWidth="1"/>
    <col min="13069" max="13069" width="12.7109375" style="3532" customWidth="1"/>
    <col min="13070" max="13070" width="13.7109375" style="3532" customWidth="1"/>
    <col min="13071" max="13071" width="14" style="3532" bestFit="1" customWidth="1"/>
    <col min="13072" max="13074" width="19.28515625" style="3532" bestFit="1" customWidth="1"/>
    <col min="13075" max="13075" width="20.42578125" style="3532" bestFit="1" customWidth="1"/>
    <col min="13076" max="13076" width="20.7109375" style="3532" bestFit="1" customWidth="1"/>
    <col min="13077" max="13077" width="16.42578125" style="3532" bestFit="1" customWidth="1"/>
    <col min="13078" max="13078" width="14.28515625" style="3532" customWidth="1"/>
    <col min="13079" max="13079" width="12.85546875" style="3532" bestFit="1" customWidth="1"/>
    <col min="13080" max="13080" width="11.28515625" style="3532" bestFit="1" customWidth="1"/>
    <col min="13081" max="13081" width="12.42578125" style="3532" bestFit="1" customWidth="1"/>
    <col min="13082" max="13082" width="14" style="3532" bestFit="1" customWidth="1"/>
    <col min="13083" max="13083" width="6" style="3532" bestFit="1" customWidth="1"/>
    <col min="13084" max="13084" width="15" style="3532" customWidth="1"/>
    <col min="13085" max="13085" width="14.85546875" style="3532" bestFit="1" customWidth="1"/>
    <col min="13086" max="13086" width="16.140625" style="3532" bestFit="1" customWidth="1"/>
    <col min="13087" max="13313" width="8.85546875" style="3532"/>
    <col min="13314" max="13314" width="24.140625" style="3532" bestFit="1" customWidth="1"/>
    <col min="13315" max="13315" width="43.85546875" style="3532" customWidth="1"/>
    <col min="13316" max="13316" width="19.85546875" style="3532" bestFit="1" customWidth="1"/>
    <col min="13317" max="13317" width="17.140625" style="3532" bestFit="1" customWidth="1"/>
    <col min="13318" max="13318" width="18.85546875" style="3532" bestFit="1" customWidth="1"/>
    <col min="13319" max="13319" width="13.42578125" style="3532" customWidth="1"/>
    <col min="13320" max="13320" width="15.42578125" style="3532" bestFit="1" customWidth="1"/>
    <col min="13321" max="13321" width="14.28515625" style="3532" bestFit="1" customWidth="1"/>
    <col min="13322" max="13322" width="15.28515625" style="3532" customWidth="1"/>
    <col min="13323" max="13323" width="15.85546875" style="3532" customWidth="1"/>
    <col min="13324" max="13324" width="17.140625" style="3532" bestFit="1" customWidth="1"/>
    <col min="13325" max="13325" width="12.7109375" style="3532" customWidth="1"/>
    <col min="13326" max="13326" width="13.7109375" style="3532" customWidth="1"/>
    <col min="13327" max="13327" width="14" style="3532" bestFit="1" customWidth="1"/>
    <col min="13328" max="13330" width="19.28515625" style="3532" bestFit="1" customWidth="1"/>
    <col min="13331" max="13331" width="20.42578125" style="3532" bestFit="1" customWidth="1"/>
    <col min="13332" max="13332" width="20.7109375" style="3532" bestFit="1" customWidth="1"/>
    <col min="13333" max="13333" width="16.42578125" style="3532" bestFit="1" customWidth="1"/>
    <col min="13334" max="13334" width="14.28515625" style="3532" customWidth="1"/>
    <col min="13335" max="13335" width="12.85546875" style="3532" bestFit="1" customWidth="1"/>
    <col min="13336" max="13336" width="11.28515625" style="3532" bestFit="1" customWidth="1"/>
    <col min="13337" max="13337" width="12.42578125" style="3532" bestFit="1" customWidth="1"/>
    <col min="13338" max="13338" width="14" style="3532" bestFit="1" customWidth="1"/>
    <col min="13339" max="13339" width="6" style="3532" bestFit="1" customWidth="1"/>
    <col min="13340" max="13340" width="15" style="3532" customWidth="1"/>
    <col min="13341" max="13341" width="14.85546875" style="3532" bestFit="1" customWidth="1"/>
    <col min="13342" max="13342" width="16.140625" style="3532" bestFit="1" customWidth="1"/>
    <col min="13343" max="13569" width="8.85546875" style="3532"/>
    <col min="13570" max="13570" width="24.140625" style="3532" bestFit="1" customWidth="1"/>
    <col min="13571" max="13571" width="43.85546875" style="3532" customWidth="1"/>
    <col min="13572" max="13572" width="19.85546875" style="3532" bestFit="1" customWidth="1"/>
    <col min="13573" max="13573" width="17.140625" style="3532" bestFit="1" customWidth="1"/>
    <col min="13574" max="13574" width="18.85546875" style="3532" bestFit="1" customWidth="1"/>
    <col min="13575" max="13575" width="13.42578125" style="3532" customWidth="1"/>
    <col min="13576" max="13576" width="15.42578125" style="3532" bestFit="1" customWidth="1"/>
    <col min="13577" max="13577" width="14.28515625" style="3532" bestFit="1" customWidth="1"/>
    <col min="13578" max="13578" width="15.28515625" style="3532" customWidth="1"/>
    <col min="13579" max="13579" width="15.85546875" style="3532" customWidth="1"/>
    <col min="13580" max="13580" width="17.140625" style="3532" bestFit="1" customWidth="1"/>
    <col min="13581" max="13581" width="12.7109375" style="3532" customWidth="1"/>
    <col min="13582" max="13582" width="13.7109375" style="3532" customWidth="1"/>
    <col min="13583" max="13583" width="14" style="3532" bestFit="1" customWidth="1"/>
    <col min="13584" max="13586" width="19.28515625" style="3532" bestFit="1" customWidth="1"/>
    <col min="13587" max="13587" width="20.42578125" style="3532" bestFit="1" customWidth="1"/>
    <col min="13588" max="13588" width="20.7109375" style="3532" bestFit="1" customWidth="1"/>
    <col min="13589" max="13589" width="16.42578125" style="3532" bestFit="1" customWidth="1"/>
    <col min="13590" max="13590" width="14.28515625" style="3532" customWidth="1"/>
    <col min="13591" max="13591" width="12.85546875" style="3532" bestFit="1" customWidth="1"/>
    <col min="13592" max="13592" width="11.28515625" style="3532" bestFit="1" customWidth="1"/>
    <col min="13593" max="13593" width="12.42578125" style="3532" bestFit="1" customWidth="1"/>
    <col min="13594" max="13594" width="14" style="3532" bestFit="1" customWidth="1"/>
    <col min="13595" max="13595" width="6" style="3532" bestFit="1" customWidth="1"/>
    <col min="13596" max="13596" width="15" style="3532" customWidth="1"/>
    <col min="13597" max="13597" width="14.85546875" style="3532" bestFit="1" customWidth="1"/>
    <col min="13598" max="13598" width="16.140625" style="3532" bestFit="1" customWidth="1"/>
    <col min="13599" max="13825" width="8.85546875" style="3532"/>
    <col min="13826" max="13826" width="24.140625" style="3532" bestFit="1" customWidth="1"/>
    <col min="13827" max="13827" width="43.85546875" style="3532" customWidth="1"/>
    <col min="13828" max="13828" width="19.85546875" style="3532" bestFit="1" customWidth="1"/>
    <col min="13829" max="13829" width="17.140625" style="3532" bestFit="1" customWidth="1"/>
    <col min="13830" max="13830" width="18.85546875" style="3532" bestFit="1" customWidth="1"/>
    <col min="13831" max="13831" width="13.42578125" style="3532" customWidth="1"/>
    <col min="13832" max="13832" width="15.42578125" style="3532" bestFit="1" customWidth="1"/>
    <col min="13833" max="13833" width="14.28515625" style="3532" bestFit="1" customWidth="1"/>
    <col min="13834" max="13834" width="15.28515625" style="3532" customWidth="1"/>
    <col min="13835" max="13835" width="15.85546875" style="3532" customWidth="1"/>
    <col min="13836" max="13836" width="17.140625" style="3532" bestFit="1" customWidth="1"/>
    <col min="13837" max="13837" width="12.7109375" style="3532" customWidth="1"/>
    <col min="13838" max="13838" width="13.7109375" style="3532" customWidth="1"/>
    <col min="13839" max="13839" width="14" style="3532" bestFit="1" customWidth="1"/>
    <col min="13840" max="13842" width="19.28515625" style="3532" bestFit="1" customWidth="1"/>
    <col min="13843" max="13843" width="20.42578125" style="3532" bestFit="1" customWidth="1"/>
    <col min="13844" max="13844" width="20.7109375" style="3532" bestFit="1" customWidth="1"/>
    <col min="13845" max="13845" width="16.42578125" style="3532" bestFit="1" customWidth="1"/>
    <col min="13846" max="13846" width="14.28515625" style="3532" customWidth="1"/>
    <col min="13847" max="13847" width="12.85546875" style="3532" bestFit="1" customWidth="1"/>
    <col min="13848" max="13848" width="11.28515625" style="3532" bestFit="1" customWidth="1"/>
    <col min="13849" max="13849" width="12.42578125" style="3532" bestFit="1" customWidth="1"/>
    <col min="13850" max="13850" width="14" style="3532" bestFit="1" customWidth="1"/>
    <col min="13851" max="13851" width="6" style="3532" bestFit="1" customWidth="1"/>
    <col min="13852" max="13852" width="15" style="3532" customWidth="1"/>
    <col min="13853" max="13853" width="14.85546875" style="3532" bestFit="1" customWidth="1"/>
    <col min="13854" max="13854" width="16.140625" style="3532" bestFit="1" customWidth="1"/>
    <col min="13855" max="14081" width="8.85546875" style="3532"/>
    <col min="14082" max="14082" width="24.140625" style="3532" bestFit="1" customWidth="1"/>
    <col min="14083" max="14083" width="43.85546875" style="3532" customWidth="1"/>
    <col min="14084" max="14084" width="19.85546875" style="3532" bestFit="1" customWidth="1"/>
    <col min="14085" max="14085" width="17.140625" style="3532" bestFit="1" customWidth="1"/>
    <col min="14086" max="14086" width="18.85546875" style="3532" bestFit="1" customWidth="1"/>
    <col min="14087" max="14087" width="13.42578125" style="3532" customWidth="1"/>
    <col min="14088" max="14088" width="15.42578125" style="3532" bestFit="1" customWidth="1"/>
    <col min="14089" max="14089" width="14.28515625" style="3532" bestFit="1" customWidth="1"/>
    <col min="14090" max="14090" width="15.28515625" style="3532" customWidth="1"/>
    <col min="14091" max="14091" width="15.85546875" style="3532" customWidth="1"/>
    <col min="14092" max="14092" width="17.140625" style="3532" bestFit="1" customWidth="1"/>
    <col min="14093" max="14093" width="12.7109375" style="3532" customWidth="1"/>
    <col min="14094" max="14094" width="13.7109375" style="3532" customWidth="1"/>
    <col min="14095" max="14095" width="14" style="3532" bestFit="1" customWidth="1"/>
    <col min="14096" max="14098" width="19.28515625" style="3532" bestFit="1" customWidth="1"/>
    <col min="14099" max="14099" width="20.42578125" style="3532" bestFit="1" customWidth="1"/>
    <col min="14100" max="14100" width="20.7109375" style="3532" bestFit="1" customWidth="1"/>
    <col min="14101" max="14101" width="16.42578125" style="3532" bestFit="1" customWidth="1"/>
    <col min="14102" max="14102" width="14.28515625" style="3532" customWidth="1"/>
    <col min="14103" max="14103" width="12.85546875" style="3532" bestFit="1" customWidth="1"/>
    <col min="14104" max="14104" width="11.28515625" style="3532" bestFit="1" customWidth="1"/>
    <col min="14105" max="14105" width="12.42578125" style="3532" bestFit="1" customWidth="1"/>
    <col min="14106" max="14106" width="14" style="3532" bestFit="1" customWidth="1"/>
    <col min="14107" max="14107" width="6" style="3532" bestFit="1" customWidth="1"/>
    <col min="14108" max="14108" width="15" style="3532" customWidth="1"/>
    <col min="14109" max="14109" width="14.85546875" style="3532" bestFit="1" customWidth="1"/>
    <col min="14110" max="14110" width="16.140625" style="3532" bestFit="1" customWidth="1"/>
    <col min="14111" max="14337" width="8.85546875" style="3532"/>
    <col min="14338" max="14338" width="24.140625" style="3532" bestFit="1" customWidth="1"/>
    <col min="14339" max="14339" width="43.85546875" style="3532" customWidth="1"/>
    <col min="14340" max="14340" width="19.85546875" style="3532" bestFit="1" customWidth="1"/>
    <col min="14341" max="14341" width="17.140625" style="3532" bestFit="1" customWidth="1"/>
    <col min="14342" max="14342" width="18.85546875" style="3532" bestFit="1" customWidth="1"/>
    <col min="14343" max="14343" width="13.42578125" style="3532" customWidth="1"/>
    <col min="14344" max="14344" width="15.42578125" style="3532" bestFit="1" customWidth="1"/>
    <col min="14345" max="14345" width="14.28515625" style="3532" bestFit="1" customWidth="1"/>
    <col min="14346" max="14346" width="15.28515625" style="3532" customWidth="1"/>
    <col min="14347" max="14347" width="15.85546875" style="3532" customWidth="1"/>
    <col min="14348" max="14348" width="17.140625" style="3532" bestFit="1" customWidth="1"/>
    <col min="14349" max="14349" width="12.7109375" style="3532" customWidth="1"/>
    <col min="14350" max="14350" width="13.7109375" style="3532" customWidth="1"/>
    <col min="14351" max="14351" width="14" style="3532" bestFit="1" customWidth="1"/>
    <col min="14352" max="14354" width="19.28515625" style="3532" bestFit="1" customWidth="1"/>
    <col min="14355" max="14355" width="20.42578125" style="3532" bestFit="1" customWidth="1"/>
    <col min="14356" max="14356" width="20.7109375" style="3532" bestFit="1" customWidth="1"/>
    <col min="14357" max="14357" width="16.42578125" style="3532" bestFit="1" customWidth="1"/>
    <col min="14358" max="14358" width="14.28515625" style="3532" customWidth="1"/>
    <col min="14359" max="14359" width="12.85546875" style="3532" bestFit="1" customWidth="1"/>
    <col min="14360" max="14360" width="11.28515625" style="3532" bestFit="1" customWidth="1"/>
    <col min="14361" max="14361" width="12.42578125" style="3532" bestFit="1" customWidth="1"/>
    <col min="14362" max="14362" width="14" style="3532" bestFit="1" customWidth="1"/>
    <col min="14363" max="14363" width="6" style="3532" bestFit="1" customWidth="1"/>
    <col min="14364" max="14364" width="15" style="3532" customWidth="1"/>
    <col min="14365" max="14365" width="14.85546875" style="3532" bestFit="1" customWidth="1"/>
    <col min="14366" max="14366" width="16.140625" style="3532" bestFit="1" customWidth="1"/>
    <col min="14367" max="14593" width="8.85546875" style="3532"/>
    <col min="14594" max="14594" width="24.140625" style="3532" bestFit="1" customWidth="1"/>
    <col min="14595" max="14595" width="43.85546875" style="3532" customWidth="1"/>
    <col min="14596" max="14596" width="19.85546875" style="3532" bestFit="1" customWidth="1"/>
    <col min="14597" max="14597" width="17.140625" style="3532" bestFit="1" customWidth="1"/>
    <col min="14598" max="14598" width="18.85546875" style="3532" bestFit="1" customWidth="1"/>
    <col min="14599" max="14599" width="13.42578125" style="3532" customWidth="1"/>
    <col min="14600" max="14600" width="15.42578125" style="3532" bestFit="1" customWidth="1"/>
    <col min="14601" max="14601" width="14.28515625" style="3532" bestFit="1" customWidth="1"/>
    <col min="14602" max="14602" width="15.28515625" style="3532" customWidth="1"/>
    <col min="14603" max="14603" width="15.85546875" style="3532" customWidth="1"/>
    <col min="14604" max="14604" width="17.140625" style="3532" bestFit="1" customWidth="1"/>
    <col min="14605" max="14605" width="12.7109375" style="3532" customWidth="1"/>
    <col min="14606" max="14606" width="13.7109375" style="3532" customWidth="1"/>
    <col min="14607" max="14607" width="14" style="3532" bestFit="1" customWidth="1"/>
    <col min="14608" max="14610" width="19.28515625" style="3532" bestFit="1" customWidth="1"/>
    <col min="14611" max="14611" width="20.42578125" style="3532" bestFit="1" customWidth="1"/>
    <col min="14612" max="14612" width="20.7109375" style="3532" bestFit="1" customWidth="1"/>
    <col min="14613" max="14613" width="16.42578125" style="3532" bestFit="1" customWidth="1"/>
    <col min="14614" max="14614" width="14.28515625" style="3532" customWidth="1"/>
    <col min="14615" max="14615" width="12.85546875" style="3532" bestFit="1" customWidth="1"/>
    <col min="14616" max="14616" width="11.28515625" style="3532" bestFit="1" customWidth="1"/>
    <col min="14617" max="14617" width="12.42578125" style="3532" bestFit="1" customWidth="1"/>
    <col min="14618" max="14618" width="14" style="3532" bestFit="1" customWidth="1"/>
    <col min="14619" max="14619" width="6" style="3532" bestFit="1" customWidth="1"/>
    <col min="14620" max="14620" width="15" style="3532" customWidth="1"/>
    <col min="14621" max="14621" width="14.85546875" style="3532" bestFit="1" customWidth="1"/>
    <col min="14622" max="14622" width="16.140625" style="3532" bestFit="1" customWidth="1"/>
    <col min="14623" max="14849" width="8.85546875" style="3532"/>
    <col min="14850" max="14850" width="24.140625" style="3532" bestFit="1" customWidth="1"/>
    <col min="14851" max="14851" width="43.85546875" style="3532" customWidth="1"/>
    <col min="14852" max="14852" width="19.85546875" style="3532" bestFit="1" customWidth="1"/>
    <col min="14853" max="14853" width="17.140625" style="3532" bestFit="1" customWidth="1"/>
    <col min="14854" max="14854" width="18.85546875" style="3532" bestFit="1" customWidth="1"/>
    <col min="14855" max="14855" width="13.42578125" style="3532" customWidth="1"/>
    <col min="14856" max="14856" width="15.42578125" style="3532" bestFit="1" customWidth="1"/>
    <col min="14857" max="14857" width="14.28515625" style="3532" bestFit="1" customWidth="1"/>
    <col min="14858" max="14858" width="15.28515625" style="3532" customWidth="1"/>
    <col min="14859" max="14859" width="15.85546875" style="3532" customWidth="1"/>
    <col min="14860" max="14860" width="17.140625" style="3532" bestFit="1" customWidth="1"/>
    <col min="14861" max="14861" width="12.7109375" style="3532" customWidth="1"/>
    <col min="14862" max="14862" width="13.7109375" style="3532" customWidth="1"/>
    <col min="14863" max="14863" width="14" style="3532" bestFit="1" customWidth="1"/>
    <col min="14864" max="14866" width="19.28515625" style="3532" bestFit="1" customWidth="1"/>
    <col min="14867" max="14867" width="20.42578125" style="3532" bestFit="1" customWidth="1"/>
    <col min="14868" max="14868" width="20.7109375" style="3532" bestFit="1" customWidth="1"/>
    <col min="14869" max="14869" width="16.42578125" style="3532" bestFit="1" customWidth="1"/>
    <col min="14870" max="14870" width="14.28515625" style="3532" customWidth="1"/>
    <col min="14871" max="14871" width="12.85546875" style="3532" bestFit="1" customWidth="1"/>
    <col min="14872" max="14872" width="11.28515625" style="3532" bestFit="1" customWidth="1"/>
    <col min="14873" max="14873" width="12.42578125" style="3532" bestFit="1" customWidth="1"/>
    <col min="14874" max="14874" width="14" style="3532" bestFit="1" customWidth="1"/>
    <col min="14875" max="14875" width="6" style="3532" bestFit="1" customWidth="1"/>
    <col min="14876" max="14876" width="15" style="3532" customWidth="1"/>
    <col min="14877" max="14877" width="14.85546875" style="3532" bestFit="1" customWidth="1"/>
    <col min="14878" max="14878" width="16.140625" style="3532" bestFit="1" customWidth="1"/>
    <col min="14879" max="15105" width="8.85546875" style="3532"/>
    <col min="15106" max="15106" width="24.140625" style="3532" bestFit="1" customWidth="1"/>
    <col min="15107" max="15107" width="43.85546875" style="3532" customWidth="1"/>
    <col min="15108" max="15108" width="19.85546875" style="3532" bestFit="1" customWidth="1"/>
    <col min="15109" max="15109" width="17.140625" style="3532" bestFit="1" customWidth="1"/>
    <col min="15110" max="15110" width="18.85546875" style="3532" bestFit="1" customWidth="1"/>
    <col min="15111" max="15111" width="13.42578125" style="3532" customWidth="1"/>
    <col min="15112" max="15112" width="15.42578125" style="3532" bestFit="1" customWidth="1"/>
    <col min="15113" max="15113" width="14.28515625" style="3532" bestFit="1" customWidth="1"/>
    <col min="15114" max="15114" width="15.28515625" style="3532" customWidth="1"/>
    <col min="15115" max="15115" width="15.85546875" style="3532" customWidth="1"/>
    <col min="15116" max="15116" width="17.140625" style="3532" bestFit="1" customWidth="1"/>
    <col min="15117" max="15117" width="12.7109375" style="3532" customWidth="1"/>
    <col min="15118" max="15118" width="13.7109375" style="3532" customWidth="1"/>
    <col min="15119" max="15119" width="14" style="3532" bestFit="1" customWidth="1"/>
    <col min="15120" max="15122" width="19.28515625" style="3532" bestFit="1" customWidth="1"/>
    <col min="15123" max="15123" width="20.42578125" style="3532" bestFit="1" customWidth="1"/>
    <col min="15124" max="15124" width="20.7109375" style="3532" bestFit="1" customWidth="1"/>
    <col min="15125" max="15125" width="16.42578125" style="3532" bestFit="1" customWidth="1"/>
    <col min="15126" max="15126" width="14.28515625" style="3532" customWidth="1"/>
    <col min="15127" max="15127" width="12.85546875" style="3532" bestFit="1" customWidth="1"/>
    <col min="15128" max="15128" width="11.28515625" style="3532" bestFit="1" customWidth="1"/>
    <col min="15129" max="15129" width="12.42578125" style="3532" bestFit="1" customWidth="1"/>
    <col min="15130" max="15130" width="14" style="3532" bestFit="1" customWidth="1"/>
    <col min="15131" max="15131" width="6" style="3532" bestFit="1" customWidth="1"/>
    <col min="15132" max="15132" width="15" style="3532" customWidth="1"/>
    <col min="15133" max="15133" width="14.85546875" style="3532" bestFit="1" customWidth="1"/>
    <col min="15134" max="15134" width="16.140625" style="3532" bestFit="1" customWidth="1"/>
    <col min="15135" max="15361" width="8.85546875" style="3532"/>
    <col min="15362" max="15362" width="24.140625" style="3532" bestFit="1" customWidth="1"/>
    <col min="15363" max="15363" width="43.85546875" style="3532" customWidth="1"/>
    <col min="15364" max="15364" width="19.85546875" style="3532" bestFit="1" customWidth="1"/>
    <col min="15365" max="15365" width="17.140625" style="3532" bestFit="1" customWidth="1"/>
    <col min="15366" max="15366" width="18.85546875" style="3532" bestFit="1" customWidth="1"/>
    <col min="15367" max="15367" width="13.42578125" style="3532" customWidth="1"/>
    <col min="15368" max="15368" width="15.42578125" style="3532" bestFit="1" customWidth="1"/>
    <col min="15369" max="15369" width="14.28515625" style="3532" bestFit="1" customWidth="1"/>
    <col min="15370" max="15370" width="15.28515625" style="3532" customWidth="1"/>
    <col min="15371" max="15371" width="15.85546875" style="3532" customWidth="1"/>
    <col min="15372" max="15372" width="17.140625" style="3532" bestFit="1" customWidth="1"/>
    <col min="15373" max="15373" width="12.7109375" style="3532" customWidth="1"/>
    <col min="15374" max="15374" width="13.7109375" style="3532" customWidth="1"/>
    <col min="15375" max="15375" width="14" style="3532" bestFit="1" customWidth="1"/>
    <col min="15376" max="15378" width="19.28515625" style="3532" bestFit="1" customWidth="1"/>
    <col min="15379" max="15379" width="20.42578125" style="3532" bestFit="1" customWidth="1"/>
    <col min="15380" max="15380" width="20.7109375" style="3532" bestFit="1" customWidth="1"/>
    <col min="15381" max="15381" width="16.42578125" style="3532" bestFit="1" customWidth="1"/>
    <col min="15382" max="15382" width="14.28515625" style="3532" customWidth="1"/>
    <col min="15383" max="15383" width="12.85546875" style="3532" bestFit="1" customWidth="1"/>
    <col min="15384" max="15384" width="11.28515625" style="3532" bestFit="1" customWidth="1"/>
    <col min="15385" max="15385" width="12.42578125" style="3532" bestFit="1" customWidth="1"/>
    <col min="15386" max="15386" width="14" style="3532" bestFit="1" customWidth="1"/>
    <col min="15387" max="15387" width="6" style="3532" bestFit="1" customWidth="1"/>
    <col min="15388" max="15388" width="15" style="3532" customWidth="1"/>
    <col min="15389" max="15389" width="14.85546875" style="3532" bestFit="1" customWidth="1"/>
    <col min="15390" max="15390" width="16.140625" style="3532" bestFit="1" customWidth="1"/>
    <col min="15391" max="15617" width="8.85546875" style="3532"/>
    <col min="15618" max="15618" width="24.140625" style="3532" bestFit="1" customWidth="1"/>
    <col min="15619" max="15619" width="43.85546875" style="3532" customWidth="1"/>
    <col min="15620" max="15620" width="19.85546875" style="3532" bestFit="1" customWidth="1"/>
    <col min="15621" max="15621" width="17.140625" style="3532" bestFit="1" customWidth="1"/>
    <col min="15622" max="15622" width="18.85546875" style="3532" bestFit="1" customWidth="1"/>
    <col min="15623" max="15623" width="13.42578125" style="3532" customWidth="1"/>
    <col min="15624" max="15624" width="15.42578125" style="3532" bestFit="1" customWidth="1"/>
    <col min="15625" max="15625" width="14.28515625" style="3532" bestFit="1" customWidth="1"/>
    <col min="15626" max="15626" width="15.28515625" style="3532" customWidth="1"/>
    <col min="15627" max="15627" width="15.85546875" style="3532" customWidth="1"/>
    <col min="15628" max="15628" width="17.140625" style="3532" bestFit="1" customWidth="1"/>
    <col min="15629" max="15629" width="12.7109375" style="3532" customWidth="1"/>
    <col min="15630" max="15630" width="13.7109375" style="3532" customWidth="1"/>
    <col min="15631" max="15631" width="14" style="3532" bestFit="1" customWidth="1"/>
    <col min="15632" max="15634" width="19.28515625" style="3532" bestFit="1" customWidth="1"/>
    <col min="15635" max="15635" width="20.42578125" style="3532" bestFit="1" customWidth="1"/>
    <col min="15636" max="15636" width="20.7109375" style="3532" bestFit="1" customWidth="1"/>
    <col min="15637" max="15637" width="16.42578125" style="3532" bestFit="1" customWidth="1"/>
    <col min="15638" max="15638" width="14.28515625" style="3532" customWidth="1"/>
    <col min="15639" max="15639" width="12.85546875" style="3532" bestFit="1" customWidth="1"/>
    <col min="15640" max="15640" width="11.28515625" style="3532" bestFit="1" customWidth="1"/>
    <col min="15641" max="15641" width="12.42578125" style="3532" bestFit="1" customWidth="1"/>
    <col min="15642" max="15642" width="14" style="3532" bestFit="1" customWidth="1"/>
    <col min="15643" max="15643" width="6" style="3532" bestFit="1" customWidth="1"/>
    <col min="15644" max="15644" width="15" style="3532" customWidth="1"/>
    <col min="15645" max="15645" width="14.85546875" style="3532" bestFit="1" customWidth="1"/>
    <col min="15646" max="15646" width="16.140625" style="3532" bestFit="1" customWidth="1"/>
    <col min="15647" max="15873" width="8.85546875" style="3532"/>
    <col min="15874" max="15874" width="24.140625" style="3532" bestFit="1" customWidth="1"/>
    <col min="15875" max="15875" width="43.85546875" style="3532" customWidth="1"/>
    <col min="15876" max="15876" width="19.85546875" style="3532" bestFit="1" customWidth="1"/>
    <col min="15877" max="15877" width="17.140625" style="3532" bestFit="1" customWidth="1"/>
    <col min="15878" max="15878" width="18.85546875" style="3532" bestFit="1" customWidth="1"/>
    <col min="15879" max="15879" width="13.42578125" style="3532" customWidth="1"/>
    <col min="15880" max="15880" width="15.42578125" style="3532" bestFit="1" customWidth="1"/>
    <col min="15881" max="15881" width="14.28515625" style="3532" bestFit="1" customWidth="1"/>
    <col min="15882" max="15882" width="15.28515625" style="3532" customWidth="1"/>
    <col min="15883" max="15883" width="15.85546875" style="3532" customWidth="1"/>
    <col min="15884" max="15884" width="17.140625" style="3532" bestFit="1" customWidth="1"/>
    <col min="15885" max="15885" width="12.7109375" style="3532" customWidth="1"/>
    <col min="15886" max="15886" width="13.7109375" style="3532" customWidth="1"/>
    <col min="15887" max="15887" width="14" style="3532" bestFit="1" customWidth="1"/>
    <col min="15888" max="15890" width="19.28515625" style="3532" bestFit="1" customWidth="1"/>
    <col min="15891" max="15891" width="20.42578125" style="3532" bestFit="1" customWidth="1"/>
    <col min="15892" max="15892" width="20.7109375" style="3532" bestFit="1" customWidth="1"/>
    <col min="15893" max="15893" width="16.42578125" style="3532" bestFit="1" customWidth="1"/>
    <col min="15894" max="15894" width="14.28515625" style="3532" customWidth="1"/>
    <col min="15895" max="15895" width="12.85546875" style="3532" bestFit="1" customWidth="1"/>
    <col min="15896" max="15896" width="11.28515625" style="3532" bestFit="1" customWidth="1"/>
    <col min="15897" max="15897" width="12.42578125" style="3532" bestFit="1" customWidth="1"/>
    <col min="15898" max="15898" width="14" style="3532" bestFit="1" customWidth="1"/>
    <col min="15899" max="15899" width="6" style="3532" bestFit="1" customWidth="1"/>
    <col min="15900" max="15900" width="15" style="3532" customWidth="1"/>
    <col min="15901" max="15901" width="14.85546875" style="3532" bestFit="1" customWidth="1"/>
    <col min="15902" max="15902" width="16.140625" style="3532" bestFit="1" customWidth="1"/>
    <col min="15903" max="16129" width="8.85546875" style="3532"/>
    <col min="16130" max="16130" width="24.140625" style="3532" bestFit="1" customWidth="1"/>
    <col min="16131" max="16131" width="43.85546875" style="3532" customWidth="1"/>
    <col min="16132" max="16132" width="19.85546875" style="3532" bestFit="1" customWidth="1"/>
    <col min="16133" max="16133" width="17.140625" style="3532" bestFit="1" customWidth="1"/>
    <col min="16134" max="16134" width="18.85546875" style="3532" bestFit="1" customWidth="1"/>
    <col min="16135" max="16135" width="13.42578125" style="3532" customWidth="1"/>
    <col min="16136" max="16136" width="15.42578125" style="3532" bestFit="1" customWidth="1"/>
    <col min="16137" max="16137" width="14.28515625" style="3532" bestFit="1" customWidth="1"/>
    <col min="16138" max="16138" width="15.28515625" style="3532" customWidth="1"/>
    <col min="16139" max="16139" width="15.85546875" style="3532" customWidth="1"/>
    <col min="16140" max="16140" width="17.140625" style="3532" bestFit="1" customWidth="1"/>
    <col min="16141" max="16141" width="12.7109375" style="3532" customWidth="1"/>
    <col min="16142" max="16142" width="13.7109375" style="3532" customWidth="1"/>
    <col min="16143" max="16143" width="14" style="3532" bestFit="1" customWidth="1"/>
    <col min="16144" max="16146" width="19.28515625" style="3532" bestFit="1" customWidth="1"/>
    <col min="16147" max="16147" width="20.42578125" style="3532" bestFit="1" customWidth="1"/>
    <col min="16148" max="16148" width="20.7109375" style="3532" bestFit="1" customWidth="1"/>
    <col min="16149" max="16149" width="16.42578125" style="3532" bestFit="1" customWidth="1"/>
    <col min="16150" max="16150" width="14.28515625" style="3532" customWidth="1"/>
    <col min="16151" max="16151" width="12.85546875" style="3532" bestFit="1" customWidth="1"/>
    <col min="16152" max="16152" width="11.28515625" style="3532" bestFit="1" customWidth="1"/>
    <col min="16153" max="16153" width="12.42578125" style="3532" bestFit="1" customWidth="1"/>
    <col min="16154" max="16154" width="14" style="3532" bestFit="1" customWidth="1"/>
    <col min="16155" max="16155" width="6" style="3532" bestFit="1" customWidth="1"/>
    <col min="16156" max="16156" width="15" style="3532" customWidth="1"/>
    <col min="16157" max="16157" width="14.85546875" style="3532" bestFit="1" customWidth="1"/>
    <col min="16158" max="16158" width="16.140625" style="3532" bestFit="1" customWidth="1"/>
    <col min="16159" max="16384" width="8.85546875" style="3532"/>
  </cols>
  <sheetData>
    <row r="1" spans="2:22" ht="44.25" customHeight="1" thickBot="1">
      <c r="B1" s="3512"/>
      <c r="F1" s="3536"/>
      <c r="G1" s="4361">
        <f>C3</f>
        <v>18230680</v>
      </c>
      <c r="H1" s="3536" t="str">
        <f>C4</f>
        <v>SF Existing - Mobile Home Duct Sealing</v>
      </c>
      <c r="I1" s="3536"/>
    </row>
    <row r="2" spans="2:22" ht="16.5" thickBot="1">
      <c r="B2" s="3536" t="s">
        <v>109</v>
      </c>
      <c r="C2" s="3537" t="s">
        <v>574</v>
      </c>
      <c r="G2" s="3538" t="s">
        <v>8</v>
      </c>
      <c r="Q2" s="5133" t="s">
        <v>556</v>
      </c>
      <c r="R2" s="5133"/>
      <c r="S2" s="5124" t="s">
        <v>110</v>
      </c>
      <c r="T2" s="5125"/>
      <c r="U2" s="5126"/>
      <c r="V2" s="5118" t="s">
        <v>111</v>
      </c>
    </row>
    <row r="3" spans="2:22" ht="16.5" thickBot="1">
      <c r="B3" s="3537" t="s">
        <v>6</v>
      </c>
      <c r="C3" s="4360">
        <v>18230680</v>
      </c>
      <c r="G3" s="3539" t="s">
        <v>9</v>
      </c>
      <c r="H3" s="3540" t="s">
        <v>10</v>
      </c>
      <c r="I3" s="3540" t="s">
        <v>11</v>
      </c>
      <c r="J3" s="3540" t="s">
        <v>12</v>
      </c>
      <c r="K3" s="3540" t="s">
        <v>13</v>
      </c>
      <c r="L3" s="3540" t="s">
        <v>14</v>
      </c>
      <c r="M3" s="3540" t="s">
        <v>15</v>
      </c>
      <c r="N3" s="3540" t="s">
        <v>16</v>
      </c>
      <c r="O3" s="3540" t="s">
        <v>112</v>
      </c>
      <c r="P3" s="3540" t="s">
        <v>113</v>
      </c>
      <c r="Q3" s="3541" t="s">
        <v>18</v>
      </c>
      <c r="R3" s="3541" t="s">
        <v>114</v>
      </c>
      <c r="S3" s="3542" t="s">
        <v>115</v>
      </c>
      <c r="T3" s="3542" t="s">
        <v>12</v>
      </c>
      <c r="U3" s="3543" t="s">
        <v>116</v>
      </c>
      <c r="V3" s="5119"/>
    </row>
    <row r="4" spans="2:22" ht="16.5" thickBot="1">
      <c r="B4" s="3537" t="s">
        <v>117</v>
      </c>
      <c r="C4" s="4360" t="s">
        <v>1189</v>
      </c>
      <c r="D4" s="181" t="s">
        <v>1372</v>
      </c>
      <c r="F4" s="3536">
        <v>2011</v>
      </c>
      <c r="G4" s="3544">
        <f>B13</f>
        <v>46121</v>
      </c>
      <c r="H4" s="3545">
        <f>B18</f>
        <v>9224</v>
      </c>
      <c r="I4" s="3545">
        <f>B23</f>
        <v>34867</v>
      </c>
      <c r="J4" s="3545">
        <f>B28</f>
        <v>45000</v>
      </c>
      <c r="K4" s="3545">
        <f>B33</f>
        <v>2940</v>
      </c>
      <c r="L4" s="3545">
        <f>B38</f>
        <v>1451772</v>
      </c>
      <c r="M4" s="3545">
        <f>B43</f>
        <v>2400</v>
      </c>
      <c r="N4" s="3545">
        <f>B48</f>
        <v>16200</v>
      </c>
      <c r="O4" s="3545">
        <f>B53</f>
        <v>2603178</v>
      </c>
      <c r="P4" s="3545">
        <f>B54</f>
        <v>0</v>
      </c>
      <c r="Q4" s="3546">
        <f>B55</f>
        <v>4211702</v>
      </c>
      <c r="R4" s="3609">
        <f>T55</f>
        <v>0</v>
      </c>
      <c r="S4" s="3636">
        <f>O4/Q4</f>
        <v>0.618082191000218</v>
      </c>
      <c r="T4" s="3636">
        <f>(J4+(H4*1.63))/Q4</f>
        <v>1.4254360826098331E-2</v>
      </c>
      <c r="U4" s="3636">
        <f>L4/Q4</f>
        <v>0.34469960125383992</v>
      </c>
      <c r="V4" s="3497" t="e">
        <f>Q4/R4</f>
        <v>#DIV/0!</v>
      </c>
    </row>
    <row r="5" spans="2:22" ht="16.5" thickBot="1">
      <c r="B5" s="3536" t="s">
        <v>33</v>
      </c>
      <c r="C5" s="4360" t="s">
        <v>1191</v>
      </c>
      <c r="F5" s="3536">
        <v>2012</v>
      </c>
      <c r="G5" s="3547">
        <f>D13</f>
        <v>0</v>
      </c>
      <c r="H5" s="3548">
        <f>D18</f>
        <v>0</v>
      </c>
      <c r="I5" s="3548">
        <f>D23</f>
        <v>0</v>
      </c>
      <c r="J5" s="3548">
        <f>D28</f>
        <v>0</v>
      </c>
      <c r="K5" s="3548">
        <f>D33</f>
        <v>0</v>
      </c>
      <c r="L5" s="3548">
        <f>D38</f>
        <v>0</v>
      </c>
      <c r="M5" s="3548">
        <f>D43</f>
        <v>0</v>
      </c>
      <c r="N5" s="3548">
        <f>D48</f>
        <v>0</v>
      </c>
      <c r="O5" s="3548">
        <f>D53</f>
        <v>0</v>
      </c>
      <c r="P5" s="3548">
        <f>D54</f>
        <v>0</v>
      </c>
      <c r="Q5" s="3549">
        <f>SUM(G5:P5)</f>
        <v>0</v>
      </c>
      <c r="R5" s="3610">
        <f>P55</f>
        <v>0</v>
      </c>
      <c r="S5" s="3637" t="e">
        <f>O5/Q5</f>
        <v>#DIV/0!</v>
      </c>
      <c r="T5" s="3637" t="e">
        <f>(J5+(H5*1.63))/Q5</f>
        <v>#DIV/0!</v>
      </c>
      <c r="U5" s="3637" t="e">
        <f>L5/Q5</f>
        <v>#DIV/0!</v>
      </c>
      <c r="V5" s="3498" t="e">
        <f>Q5/R5</f>
        <v>#DIV/0!</v>
      </c>
    </row>
    <row r="6" spans="2:22" ht="16.5" thickBot="1">
      <c r="B6" s="3536"/>
      <c r="F6" s="4249" t="s">
        <v>1168</v>
      </c>
      <c r="G6" s="3547">
        <v>343509</v>
      </c>
      <c r="H6" s="3548">
        <v>18450</v>
      </c>
      <c r="I6" s="3548">
        <v>228034.17</v>
      </c>
      <c r="J6" s="3548">
        <v>45000</v>
      </c>
      <c r="K6" s="3548">
        <v>3000</v>
      </c>
      <c r="L6" s="3548">
        <v>72874</v>
      </c>
      <c r="M6" s="3548">
        <v>200000</v>
      </c>
      <c r="N6" s="3548">
        <v>16200</v>
      </c>
      <c r="O6" s="3548">
        <v>2135137.1799999997</v>
      </c>
      <c r="P6" s="3548">
        <v>0</v>
      </c>
      <c r="Q6" s="3549">
        <v>3062204.3499999996</v>
      </c>
      <c r="R6" s="3610">
        <v>546779.47400000005</v>
      </c>
      <c r="S6" s="3637">
        <v>0.69725496275256749</v>
      </c>
      <c r="T6" s="3637">
        <v>2.4516162678692562E-2</v>
      </c>
      <c r="U6" s="3637">
        <v>2.3797889255823181E-2</v>
      </c>
      <c r="V6" s="3498">
        <v>5.6004376455433649</v>
      </c>
    </row>
    <row r="7" spans="2:22" ht="16.5" thickBot="1">
      <c r="C7" s="3536" t="s">
        <v>229</v>
      </c>
      <c r="F7" s="4281" t="s">
        <v>1169</v>
      </c>
      <c r="G7" s="4195">
        <f>E13</f>
        <v>0</v>
      </c>
      <c r="H7" s="4196">
        <f>E18</f>
        <v>0</v>
      </c>
      <c r="I7" s="4196">
        <f>E23</f>
        <v>0</v>
      </c>
      <c r="J7" s="4196">
        <f>E28</f>
        <v>0</v>
      </c>
      <c r="K7" s="4196">
        <f>E33</f>
        <v>0</v>
      </c>
      <c r="L7" s="4196">
        <f>E38</f>
        <v>0</v>
      </c>
      <c r="M7" s="4196">
        <f>E43</f>
        <v>0</v>
      </c>
      <c r="N7" s="4196">
        <f>E48</f>
        <v>0</v>
      </c>
      <c r="O7" s="4196">
        <f>E53</f>
        <v>0</v>
      </c>
      <c r="P7" s="4196">
        <f>E54</f>
        <v>0</v>
      </c>
      <c r="Q7" s="4197">
        <f>SUM(G7:P7)</f>
        <v>0</v>
      </c>
      <c r="R7" s="4198">
        <f>Q55</f>
        <v>0</v>
      </c>
      <c r="S7" s="3637" t="e">
        <f>O7/Q7</f>
        <v>#DIV/0!</v>
      </c>
      <c r="T7" s="3637" t="e">
        <f>(J7+(H7*1.63))/Q7</f>
        <v>#DIV/0!</v>
      </c>
      <c r="U7" s="3637" t="e">
        <f>L7/Q7</f>
        <v>#DIV/0!</v>
      </c>
      <c r="V7" s="3498" t="e">
        <f>Q7/R7</f>
        <v>#DIV/0!</v>
      </c>
    </row>
    <row r="8" spans="2:22" ht="16.5" thickBot="1">
      <c r="C8" s="3550" t="s">
        <v>230</v>
      </c>
      <c r="F8" s="3611" t="s">
        <v>1175</v>
      </c>
      <c r="G8" s="3612">
        <f>SUM(G5+G7)</f>
        <v>0</v>
      </c>
      <c r="H8" s="3612">
        <f t="shared" ref="H8:R8" si="0">SUM(H5+H7)</f>
        <v>0</v>
      </c>
      <c r="I8" s="3612">
        <f t="shared" si="0"/>
        <v>0</v>
      </c>
      <c r="J8" s="3612">
        <f t="shared" si="0"/>
        <v>0</v>
      </c>
      <c r="K8" s="3612">
        <f t="shared" si="0"/>
        <v>0</v>
      </c>
      <c r="L8" s="3612">
        <f t="shared" si="0"/>
        <v>0</v>
      </c>
      <c r="M8" s="3612">
        <f t="shared" si="0"/>
        <v>0</v>
      </c>
      <c r="N8" s="3612">
        <f t="shared" si="0"/>
        <v>0</v>
      </c>
      <c r="O8" s="3612">
        <f t="shared" si="0"/>
        <v>0</v>
      </c>
      <c r="P8" s="3612">
        <f t="shared" si="0"/>
        <v>0</v>
      </c>
      <c r="Q8" s="3612">
        <f t="shared" si="0"/>
        <v>0</v>
      </c>
      <c r="R8" s="3610">
        <f t="shared" si="0"/>
        <v>0</v>
      </c>
      <c r="S8" s="3637" t="e">
        <f>O8/Q8</f>
        <v>#DIV/0!</v>
      </c>
      <c r="T8" s="3637" t="e">
        <f>(J8+(H8*1.63))/Q8</f>
        <v>#DIV/0!</v>
      </c>
      <c r="U8" s="3637" t="e">
        <f>L8/Q8</f>
        <v>#DIV/0!</v>
      </c>
      <c r="V8" s="3498" t="e">
        <f>Q8/R8</f>
        <v>#DIV/0!</v>
      </c>
    </row>
    <row r="10" spans="2:22" ht="13.5" thickBot="1">
      <c r="C10" s="3551" t="s">
        <v>118</v>
      </c>
      <c r="D10" s="5120" t="s">
        <v>119</v>
      </c>
      <c r="E10" s="5120"/>
      <c r="I10" s="5121" t="s">
        <v>120</v>
      </c>
      <c r="J10" s="5121"/>
      <c r="K10" s="5121"/>
      <c r="L10" s="5121"/>
      <c r="M10" s="5131" t="s">
        <v>119</v>
      </c>
      <c r="N10" s="5131"/>
    </row>
    <row r="11" spans="2:22" ht="16.5" thickBot="1">
      <c r="B11" s="3552"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3553">
        <v>2011</v>
      </c>
      <c r="C12" s="3554" t="s">
        <v>127</v>
      </c>
      <c r="D12" s="3555">
        <v>2012</v>
      </c>
      <c r="E12" s="3555">
        <v>2013</v>
      </c>
      <c r="F12" s="3555" t="s">
        <v>128</v>
      </c>
      <c r="H12" s="3556"/>
      <c r="I12" s="5127" t="s">
        <v>129</v>
      </c>
      <c r="J12" s="5128"/>
      <c r="K12" s="5129"/>
      <c r="L12" s="3557" t="s">
        <v>130</v>
      </c>
      <c r="M12" s="3558" t="s">
        <v>131</v>
      </c>
      <c r="N12" s="3559" t="s">
        <v>132</v>
      </c>
      <c r="O12" s="3560" t="s">
        <v>133</v>
      </c>
      <c r="P12" s="3558" t="s">
        <v>134</v>
      </c>
      <c r="Q12" s="3558" t="s">
        <v>135</v>
      </c>
      <c r="R12" s="3560" t="s">
        <v>136</v>
      </c>
      <c r="T12" s="4861"/>
    </row>
    <row r="13" spans="2:22" ht="13.5" thickBot="1">
      <c r="B13" s="235">
        <v>46121</v>
      </c>
      <c r="C13" s="3561" t="s">
        <v>138</v>
      </c>
      <c r="D13" s="3562">
        <f>SUM(D14:D17)</f>
        <v>0</v>
      </c>
      <c r="E13" s="3562">
        <f>SUM(E14:E17)</f>
        <v>0</v>
      </c>
      <c r="F13" s="3563">
        <f>D13+E13</f>
        <v>0</v>
      </c>
      <c r="H13" s="3535"/>
      <c r="I13" s="239" t="str">
        <f t="shared" ref="I13:I54" si="1">C63</f>
        <v>Attic Insulation R-0 to R-49 - Gas</v>
      </c>
      <c r="J13" s="240"/>
      <c r="K13" s="241"/>
      <c r="L13" s="3613">
        <f t="shared" ref="L13:L54" si="2">D63</f>
        <v>0.11</v>
      </c>
      <c r="M13" s="3193">
        <v>0</v>
      </c>
      <c r="N13" s="3193">
        <v>0</v>
      </c>
      <c r="O13" s="3564">
        <f>M13+N13</f>
        <v>0</v>
      </c>
      <c r="P13" s="3500">
        <f t="shared" ref="P13:R28" si="3">M13*$D63</f>
        <v>0</v>
      </c>
      <c r="Q13" s="3500">
        <f t="shared" si="3"/>
        <v>0</v>
      </c>
      <c r="R13" s="3501">
        <f t="shared" si="3"/>
        <v>0</v>
      </c>
      <c r="S13" s="3532" t="s">
        <v>7</v>
      </c>
      <c r="T13" s="4896"/>
    </row>
    <row r="14" spans="2:22">
      <c r="B14" s="3565"/>
      <c r="C14" s="3566" t="s">
        <v>139</v>
      </c>
      <c r="D14" s="3567">
        <v>0</v>
      </c>
      <c r="E14" s="3567">
        <v>0</v>
      </c>
      <c r="F14" s="3567">
        <f>SUM(D14:E14)</f>
        <v>0</v>
      </c>
      <c r="H14" s="3535"/>
      <c r="I14" s="3568" t="str">
        <f t="shared" si="1"/>
        <v>Floor insulation R-0 to R-30 - Gas</v>
      </c>
      <c r="J14" s="3569"/>
      <c r="K14" s="3570"/>
      <c r="L14" s="3613">
        <f t="shared" si="2"/>
        <v>6.2E-2</v>
      </c>
      <c r="M14" s="3193">
        <v>0</v>
      </c>
      <c r="N14" s="3193">
        <v>0</v>
      </c>
      <c r="O14" s="3564">
        <f t="shared" ref="O14:O54" si="4">M14+N14</f>
        <v>0</v>
      </c>
      <c r="P14" s="3500">
        <f t="shared" si="3"/>
        <v>0</v>
      </c>
      <c r="Q14" s="3500">
        <f t="shared" si="3"/>
        <v>0</v>
      </c>
      <c r="R14" s="3501">
        <f t="shared" si="3"/>
        <v>0</v>
      </c>
      <c r="T14" s="4896"/>
    </row>
    <row r="15" spans="2:22">
      <c r="B15" s="3571"/>
      <c r="C15" s="3572" t="s">
        <v>140</v>
      </c>
      <c r="D15" s="3573">
        <v>0</v>
      </c>
      <c r="E15" s="3573"/>
      <c r="F15" s="3567">
        <f t="shared" ref="F15:F25" si="5">SUM(D15:E15)</f>
        <v>0</v>
      </c>
      <c r="H15" s="3535"/>
      <c r="I15" s="3568" t="str">
        <f t="shared" si="1"/>
        <v>Wall Insulation R-0 to R-11 - Gas</v>
      </c>
      <c r="J15" s="3569"/>
      <c r="K15" s="3570"/>
      <c r="L15" s="3613">
        <f t="shared" si="2"/>
        <v>7.2999999999999995E-2</v>
      </c>
      <c r="M15" s="3193">
        <v>0</v>
      </c>
      <c r="N15" s="3193">
        <v>0</v>
      </c>
      <c r="O15" s="3564">
        <f t="shared" si="4"/>
        <v>0</v>
      </c>
      <c r="P15" s="3500">
        <f t="shared" si="3"/>
        <v>0</v>
      </c>
      <c r="Q15" s="3500">
        <f t="shared" si="3"/>
        <v>0</v>
      </c>
      <c r="R15" s="3501">
        <f t="shared" si="3"/>
        <v>0</v>
      </c>
      <c r="T15" s="4896"/>
    </row>
    <row r="16" spans="2:22">
      <c r="B16" s="3571"/>
      <c r="C16" s="3572" t="s">
        <v>141</v>
      </c>
      <c r="D16" s="3575">
        <v>0</v>
      </c>
      <c r="E16" s="3575"/>
      <c r="F16" s="3567">
        <f t="shared" si="5"/>
        <v>0</v>
      </c>
      <c r="H16" s="3535"/>
      <c r="I16" s="3568" t="str">
        <f t="shared" si="1"/>
        <v>Duct Insulation FAF Gas R-2 to R-11</v>
      </c>
      <c r="J16" s="3569"/>
      <c r="K16" s="3570"/>
      <c r="L16" s="3613">
        <f t="shared" si="2"/>
        <v>32</v>
      </c>
      <c r="M16" s="3193">
        <v>0</v>
      </c>
      <c r="N16" s="3193">
        <v>0</v>
      </c>
      <c r="O16" s="3564">
        <f t="shared" si="4"/>
        <v>0</v>
      </c>
      <c r="P16" s="3500">
        <f t="shared" si="3"/>
        <v>0</v>
      </c>
      <c r="Q16" s="3500">
        <f t="shared" si="3"/>
        <v>0</v>
      </c>
      <c r="R16" s="3501">
        <f t="shared" si="3"/>
        <v>0</v>
      </c>
      <c r="T16" s="4896"/>
    </row>
    <row r="17" spans="2:20" ht="13.5" thickBot="1">
      <c r="B17" s="366"/>
      <c r="C17" s="3572" t="s">
        <v>142</v>
      </c>
      <c r="D17" s="3575">
        <v>0</v>
      </c>
      <c r="E17" s="3575"/>
      <c r="F17" s="3567">
        <f t="shared" si="5"/>
        <v>0</v>
      </c>
      <c r="H17" s="3535"/>
      <c r="I17" s="3568" t="str">
        <f t="shared" si="1"/>
        <v>PTCS Duct Sealing -Gas</v>
      </c>
      <c r="J17" s="3569"/>
      <c r="K17" s="3570"/>
      <c r="L17" s="3613">
        <f t="shared" si="2"/>
        <v>55</v>
      </c>
      <c r="M17" s="3193">
        <v>0</v>
      </c>
      <c r="N17" s="3193">
        <v>0</v>
      </c>
      <c r="O17" s="3564">
        <f t="shared" si="4"/>
        <v>0</v>
      </c>
      <c r="P17" s="3500">
        <f t="shared" si="3"/>
        <v>0</v>
      </c>
      <c r="Q17" s="3500">
        <f t="shared" si="3"/>
        <v>0</v>
      </c>
      <c r="R17" s="3501">
        <f t="shared" si="3"/>
        <v>0</v>
      </c>
      <c r="T17" s="4896"/>
    </row>
    <row r="18" spans="2:20" ht="13.5" thickBot="1">
      <c r="B18" s="235">
        <v>9224</v>
      </c>
      <c r="C18" s="3561" t="s">
        <v>143</v>
      </c>
      <c r="D18" s="3562">
        <f>SUM(D19:D22)</f>
        <v>0</v>
      </c>
      <c r="E18" s="3562">
        <f>SUM(E19:E22)</f>
        <v>0</v>
      </c>
      <c r="F18" s="3563">
        <f>D18+E18</f>
        <v>0</v>
      </c>
      <c r="H18" s="3535"/>
      <c r="I18" s="3568" t="str">
        <f t="shared" si="1"/>
        <v>Air Sealing</v>
      </c>
      <c r="J18" s="3569"/>
      <c r="K18" s="3570"/>
      <c r="L18" s="3613">
        <f t="shared" si="2"/>
        <v>2.3E-2</v>
      </c>
      <c r="M18" s="3193">
        <v>0</v>
      </c>
      <c r="N18" s="3193">
        <v>0</v>
      </c>
      <c r="O18" s="3564">
        <f t="shared" si="4"/>
        <v>0</v>
      </c>
      <c r="P18" s="3500">
        <f t="shared" si="3"/>
        <v>0</v>
      </c>
      <c r="Q18" s="3500">
        <f t="shared" si="3"/>
        <v>0</v>
      </c>
      <c r="R18" s="3501">
        <f t="shared" si="3"/>
        <v>0</v>
      </c>
      <c r="T18" s="4896"/>
    </row>
    <row r="19" spans="2:20">
      <c r="B19" s="3565"/>
      <c r="C19" s="3566" t="s">
        <v>139</v>
      </c>
      <c r="D19" s="3567">
        <v>0</v>
      </c>
      <c r="E19" s="3567">
        <v>0</v>
      </c>
      <c r="F19" s="3567">
        <f t="shared" si="5"/>
        <v>0</v>
      </c>
      <c r="H19" s="3535"/>
      <c r="I19" s="3568" t="str">
        <f t="shared" si="1"/>
        <v>Home Performance with Energy Star</v>
      </c>
      <c r="J19" s="3569"/>
      <c r="K19" s="3570"/>
      <c r="L19" s="3613">
        <f t="shared" si="2"/>
        <v>0</v>
      </c>
      <c r="M19" s="3193">
        <v>0</v>
      </c>
      <c r="N19" s="3193">
        <v>0</v>
      </c>
      <c r="O19" s="3564">
        <f t="shared" si="4"/>
        <v>0</v>
      </c>
      <c r="P19" s="3500">
        <f t="shared" si="3"/>
        <v>0</v>
      </c>
      <c r="Q19" s="3500">
        <f t="shared" si="3"/>
        <v>0</v>
      </c>
      <c r="R19" s="3501">
        <f t="shared" si="3"/>
        <v>0</v>
      </c>
      <c r="T19" s="3535"/>
    </row>
    <row r="20" spans="2:20">
      <c r="B20" s="3571"/>
      <c r="C20" s="3572" t="s">
        <v>140</v>
      </c>
      <c r="D20" s="3573">
        <v>0</v>
      </c>
      <c r="E20" s="3573"/>
      <c r="F20" s="3567">
        <f t="shared" si="5"/>
        <v>0</v>
      </c>
      <c r="H20" s="3535"/>
      <c r="I20" s="3568" t="str">
        <f t="shared" si="1"/>
        <v>Attic Insulation R-19 to R-49 - Gas</v>
      </c>
      <c r="J20" s="3569"/>
      <c r="K20" s="3570"/>
      <c r="L20" s="3613">
        <f t="shared" si="2"/>
        <v>3.3000000000000002E-2</v>
      </c>
      <c r="M20" s="3193">
        <v>0</v>
      </c>
      <c r="N20" s="3193">
        <v>0</v>
      </c>
      <c r="O20" s="3564">
        <f t="shared" si="4"/>
        <v>0</v>
      </c>
      <c r="P20" s="3500">
        <f t="shared" si="3"/>
        <v>0</v>
      </c>
      <c r="Q20" s="3500">
        <f t="shared" si="3"/>
        <v>0</v>
      </c>
      <c r="R20" s="3501">
        <f t="shared" si="3"/>
        <v>0</v>
      </c>
      <c r="T20" s="3535"/>
    </row>
    <row r="21" spans="2:20">
      <c r="B21" s="3571"/>
      <c r="C21" s="3572" t="s">
        <v>141</v>
      </c>
      <c r="D21" s="3575">
        <v>0</v>
      </c>
      <c r="E21" s="3575"/>
      <c r="F21" s="3567">
        <f t="shared" si="5"/>
        <v>0</v>
      </c>
      <c r="H21" s="3535"/>
      <c r="I21" s="3568" t="str">
        <f t="shared" si="1"/>
        <v>Prescriptive Duct Sealing and Insulation - Gas</v>
      </c>
      <c r="J21" s="3569"/>
      <c r="K21" s="3570"/>
      <c r="L21" s="3613">
        <f t="shared" si="2"/>
        <v>75</v>
      </c>
      <c r="M21" s="3193">
        <v>0</v>
      </c>
      <c r="N21" s="3193">
        <v>0</v>
      </c>
      <c r="O21" s="3564">
        <f t="shared" si="4"/>
        <v>0</v>
      </c>
      <c r="P21" s="3500">
        <f t="shared" si="3"/>
        <v>0</v>
      </c>
      <c r="Q21" s="3500">
        <f t="shared" si="3"/>
        <v>0</v>
      </c>
      <c r="R21" s="3501">
        <f t="shared" si="3"/>
        <v>0</v>
      </c>
      <c r="T21" s="3535"/>
    </row>
    <row r="22" spans="2:20" ht="13.5" thickBot="1">
      <c r="B22" s="3571"/>
      <c r="C22" s="3572" t="s">
        <v>142</v>
      </c>
      <c r="D22" s="3575">
        <v>0</v>
      </c>
      <c r="E22" s="3575"/>
      <c r="F22" s="3567">
        <f t="shared" si="5"/>
        <v>0</v>
      </c>
      <c r="H22" s="3535"/>
      <c r="I22" s="3568" t="str">
        <f t="shared" si="1"/>
        <v>Measure 10</v>
      </c>
      <c r="J22" s="3569"/>
      <c r="K22" s="3570"/>
      <c r="L22" s="3613">
        <f t="shared" si="2"/>
        <v>0</v>
      </c>
      <c r="M22" s="3574">
        <v>0</v>
      </c>
      <c r="N22" s="3574">
        <v>0</v>
      </c>
      <c r="O22" s="3564">
        <f t="shared" si="4"/>
        <v>0</v>
      </c>
      <c r="P22" s="3500">
        <f t="shared" si="3"/>
        <v>0</v>
      </c>
      <c r="Q22" s="3500">
        <f t="shared" si="3"/>
        <v>0</v>
      </c>
      <c r="R22" s="3501">
        <f t="shared" si="3"/>
        <v>0</v>
      </c>
      <c r="T22" s="3535"/>
    </row>
    <row r="23" spans="2:20" ht="13.5" thickBot="1">
      <c r="B23" s="235">
        <v>34867</v>
      </c>
      <c r="C23" s="3561" t="s">
        <v>144</v>
      </c>
      <c r="D23" s="3562">
        <f>SUM(D24:D27)</f>
        <v>0</v>
      </c>
      <c r="E23" s="3562">
        <f>SUM(E24:E27)</f>
        <v>0</v>
      </c>
      <c r="F23" s="3563">
        <f>D23+E23</f>
        <v>0</v>
      </c>
      <c r="G23" s="3534"/>
      <c r="H23" s="3535"/>
      <c r="I23" s="3568" t="str">
        <f t="shared" si="1"/>
        <v>Measure 11</v>
      </c>
      <c r="J23" s="3569"/>
      <c r="K23" s="3570"/>
      <c r="L23" s="3613">
        <f t="shared" si="2"/>
        <v>0</v>
      </c>
      <c r="M23" s="3574">
        <v>0</v>
      </c>
      <c r="N23" s="3574">
        <v>0</v>
      </c>
      <c r="O23" s="3564">
        <f t="shared" si="4"/>
        <v>0</v>
      </c>
      <c r="P23" s="3500">
        <f t="shared" si="3"/>
        <v>0</v>
      </c>
      <c r="Q23" s="3500">
        <f t="shared" si="3"/>
        <v>0</v>
      </c>
      <c r="R23" s="3501">
        <f t="shared" si="3"/>
        <v>0</v>
      </c>
      <c r="T23" s="3535"/>
    </row>
    <row r="24" spans="2:20">
      <c r="B24" s="3565"/>
      <c r="C24" s="3566" t="s">
        <v>1434</v>
      </c>
      <c r="D24" s="3567">
        <f>0.63*D13</f>
        <v>0</v>
      </c>
      <c r="E24" s="3567">
        <f>0.707*E13</f>
        <v>0</v>
      </c>
      <c r="F24" s="3567">
        <f t="shared" si="5"/>
        <v>0</v>
      </c>
      <c r="H24" s="3535"/>
      <c r="I24" s="3568" t="str">
        <f t="shared" si="1"/>
        <v>Measure 12</v>
      </c>
      <c r="J24" s="3569"/>
      <c r="K24" s="3570"/>
      <c r="L24" s="3613">
        <f t="shared" si="2"/>
        <v>0</v>
      </c>
      <c r="M24" s="3574">
        <v>0</v>
      </c>
      <c r="N24" s="3574">
        <v>0</v>
      </c>
      <c r="O24" s="3564">
        <f t="shared" si="4"/>
        <v>0</v>
      </c>
      <c r="P24" s="3500">
        <f t="shared" si="3"/>
        <v>0</v>
      </c>
      <c r="Q24" s="3500">
        <f t="shared" si="3"/>
        <v>0</v>
      </c>
      <c r="R24" s="3501">
        <f t="shared" si="3"/>
        <v>0</v>
      </c>
      <c r="T24" s="3535"/>
    </row>
    <row r="25" spans="2:20">
      <c r="B25" s="3565"/>
      <c r="C25" s="3566" t="s">
        <v>1435</v>
      </c>
      <c r="D25" s="3573">
        <f>0.63*D18</f>
        <v>0</v>
      </c>
      <c r="E25" s="3573">
        <f>0.707*E18</f>
        <v>0</v>
      </c>
      <c r="F25" s="3567">
        <f t="shared" si="5"/>
        <v>0</v>
      </c>
      <c r="H25" s="3535"/>
      <c r="I25" s="3568" t="str">
        <f t="shared" si="1"/>
        <v>Measure 13</v>
      </c>
      <c r="J25" s="3569"/>
      <c r="K25" s="3570"/>
      <c r="L25" s="3613">
        <f t="shared" si="2"/>
        <v>0</v>
      </c>
      <c r="M25" s="3574">
        <v>0</v>
      </c>
      <c r="N25" s="3574">
        <v>0</v>
      </c>
      <c r="O25" s="3564">
        <f t="shared" si="4"/>
        <v>0</v>
      </c>
      <c r="P25" s="3500">
        <f t="shared" si="3"/>
        <v>0</v>
      </c>
      <c r="Q25" s="3500">
        <f t="shared" si="3"/>
        <v>0</v>
      </c>
      <c r="R25" s="3501">
        <f t="shared" si="3"/>
        <v>0</v>
      </c>
      <c r="T25" s="3535"/>
    </row>
    <row r="26" spans="2:20">
      <c r="B26" s="3571"/>
      <c r="C26" s="3572"/>
      <c r="D26" s="3575"/>
      <c r="E26" s="3575"/>
      <c r="F26" s="3575"/>
      <c r="H26" s="3535"/>
      <c r="I26" s="3568" t="str">
        <f t="shared" si="1"/>
        <v>Measure 14</v>
      </c>
      <c r="J26" s="3569"/>
      <c r="K26" s="3570"/>
      <c r="L26" s="3613">
        <f t="shared" si="2"/>
        <v>0</v>
      </c>
      <c r="M26" s="3574">
        <v>0</v>
      </c>
      <c r="N26" s="3574">
        <v>0</v>
      </c>
      <c r="O26" s="3564">
        <f t="shared" si="4"/>
        <v>0</v>
      </c>
      <c r="P26" s="3500">
        <f t="shared" si="3"/>
        <v>0</v>
      </c>
      <c r="Q26" s="3500">
        <f t="shared" si="3"/>
        <v>0</v>
      </c>
      <c r="R26" s="3501">
        <f t="shared" si="3"/>
        <v>0</v>
      </c>
      <c r="T26" s="3535"/>
    </row>
    <row r="27" spans="2:20" ht="13.5" thickBot="1">
      <c r="B27" s="3571"/>
      <c r="C27" s="3572"/>
      <c r="D27" s="3575"/>
      <c r="E27" s="3575"/>
      <c r="F27" s="3575"/>
      <c r="H27" s="3535"/>
      <c r="I27" s="3568" t="str">
        <f t="shared" si="1"/>
        <v>Measure 15</v>
      </c>
      <c r="J27" s="3569"/>
      <c r="K27" s="3570"/>
      <c r="L27" s="3613">
        <f t="shared" si="2"/>
        <v>0</v>
      </c>
      <c r="M27" s="3574">
        <v>0</v>
      </c>
      <c r="N27" s="3574">
        <v>0</v>
      </c>
      <c r="O27" s="3564">
        <f t="shared" si="4"/>
        <v>0</v>
      </c>
      <c r="P27" s="3500">
        <f t="shared" si="3"/>
        <v>0</v>
      </c>
      <c r="Q27" s="3500">
        <f t="shared" si="3"/>
        <v>0</v>
      </c>
      <c r="R27" s="3501">
        <f t="shared" si="3"/>
        <v>0</v>
      </c>
      <c r="T27" s="3535"/>
    </row>
    <row r="28" spans="2:20" ht="13.5" thickBot="1">
      <c r="B28" s="235">
        <v>45000</v>
      </c>
      <c r="C28" s="3561" t="s">
        <v>145</v>
      </c>
      <c r="D28" s="3562">
        <f>SUM(D29:D32)</f>
        <v>0</v>
      </c>
      <c r="E28" s="3562">
        <f>SUM(E29:E32)</f>
        <v>0</v>
      </c>
      <c r="F28" s="3563">
        <f>D28+E28</f>
        <v>0</v>
      </c>
      <c r="H28" s="3535"/>
      <c r="I28" s="3568" t="str">
        <f t="shared" si="1"/>
        <v>Measure 16</v>
      </c>
      <c r="J28" s="3569"/>
      <c r="K28" s="3570"/>
      <c r="L28" s="3613">
        <f t="shared" si="2"/>
        <v>0</v>
      </c>
      <c r="M28" s="3574">
        <v>0</v>
      </c>
      <c r="N28" s="3574">
        <v>0</v>
      </c>
      <c r="O28" s="3564">
        <f t="shared" si="4"/>
        <v>0</v>
      </c>
      <c r="P28" s="3500">
        <f t="shared" si="3"/>
        <v>0</v>
      </c>
      <c r="Q28" s="3500">
        <f t="shared" si="3"/>
        <v>0</v>
      </c>
      <c r="R28" s="3501">
        <f t="shared" si="3"/>
        <v>0</v>
      </c>
      <c r="T28" s="3535"/>
    </row>
    <row r="29" spans="2:20">
      <c r="B29" s="3565"/>
      <c r="C29" s="3566" t="s">
        <v>139</v>
      </c>
      <c r="D29" s="3567">
        <v>0</v>
      </c>
      <c r="E29" s="3567">
        <v>0</v>
      </c>
      <c r="F29" s="3567">
        <f t="shared" ref="F29:F37" si="6">SUM(D29:E29)</f>
        <v>0</v>
      </c>
      <c r="H29" s="3535"/>
      <c r="I29" s="3568" t="str">
        <f t="shared" si="1"/>
        <v>Measure 17</v>
      </c>
      <c r="J29" s="3569"/>
      <c r="K29" s="3570"/>
      <c r="L29" s="3613">
        <f t="shared" si="2"/>
        <v>0</v>
      </c>
      <c r="M29" s="3574">
        <v>0</v>
      </c>
      <c r="N29" s="3574">
        <v>0</v>
      </c>
      <c r="O29" s="3564">
        <f t="shared" si="4"/>
        <v>0</v>
      </c>
      <c r="P29" s="3500">
        <f t="shared" ref="P29:R44" si="7">M29*$D79</f>
        <v>0</v>
      </c>
      <c r="Q29" s="3500">
        <f t="shared" si="7"/>
        <v>0</v>
      </c>
      <c r="R29" s="3501">
        <f t="shared" si="7"/>
        <v>0</v>
      </c>
      <c r="T29" s="3535"/>
    </row>
    <row r="30" spans="2:20">
      <c r="B30" s="3571"/>
      <c r="C30" s="3572" t="s">
        <v>140</v>
      </c>
      <c r="D30" s="3573">
        <v>0</v>
      </c>
      <c r="E30" s="3573"/>
      <c r="F30" s="3567">
        <f t="shared" si="6"/>
        <v>0</v>
      </c>
      <c r="H30" s="3535"/>
      <c r="I30" s="3568" t="str">
        <f t="shared" si="1"/>
        <v>Measure 18</v>
      </c>
      <c r="J30" s="3569"/>
      <c r="K30" s="3570"/>
      <c r="L30" s="3613">
        <f t="shared" si="2"/>
        <v>0</v>
      </c>
      <c r="M30" s="3574">
        <v>0</v>
      </c>
      <c r="N30" s="3574">
        <v>0</v>
      </c>
      <c r="O30" s="3564">
        <f t="shared" si="4"/>
        <v>0</v>
      </c>
      <c r="P30" s="3500">
        <f t="shared" si="7"/>
        <v>0</v>
      </c>
      <c r="Q30" s="3500">
        <f t="shared" si="7"/>
        <v>0</v>
      </c>
      <c r="R30" s="3501">
        <f t="shared" si="7"/>
        <v>0</v>
      </c>
      <c r="T30" s="3535"/>
    </row>
    <row r="31" spans="2:20">
      <c r="B31" s="3571"/>
      <c r="C31" s="3572" t="s">
        <v>141</v>
      </c>
      <c r="D31" s="3573">
        <v>0</v>
      </c>
      <c r="E31" s="3573"/>
      <c r="F31" s="3567">
        <f t="shared" si="6"/>
        <v>0</v>
      </c>
      <c r="H31" s="3535"/>
      <c r="I31" s="3568" t="str">
        <f t="shared" si="1"/>
        <v>Measure 19</v>
      </c>
      <c r="J31" s="3569"/>
      <c r="K31" s="3570"/>
      <c r="L31" s="3613">
        <f t="shared" si="2"/>
        <v>0</v>
      </c>
      <c r="M31" s="3574">
        <v>0</v>
      </c>
      <c r="N31" s="3574">
        <v>0</v>
      </c>
      <c r="O31" s="3564">
        <f t="shared" si="4"/>
        <v>0</v>
      </c>
      <c r="P31" s="3500">
        <f t="shared" si="7"/>
        <v>0</v>
      </c>
      <c r="Q31" s="3500">
        <f t="shared" si="7"/>
        <v>0</v>
      </c>
      <c r="R31" s="3501">
        <f t="shared" si="7"/>
        <v>0</v>
      </c>
      <c r="T31" s="3535"/>
    </row>
    <row r="32" spans="2:20" ht="13.5" thickBot="1">
      <c r="B32" s="3571"/>
      <c r="C32" s="3572" t="s">
        <v>142</v>
      </c>
      <c r="D32" s="3573">
        <v>0</v>
      </c>
      <c r="E32" s="3573"/>
      <c r="F32" s="3567">
        <f t="shared" si="6"/>
        <v>0</v>
      </c>
      <c r="H32" s="3535"/>
      <c r="I32" s="3568" t="str">
        <f t="shared" si="1"/>
        <v>Measure 20</v>
      </c>
      <c r="J32" s="3569"/>
      <c r="K32" s="3570"/>
      <c r="L32" s="3613">
        <f t="shared" si="2"/>
        <v>0</v>
      </c>
      <c r="M32" s="3574">
        <v>0</v>
      </c>
      <c r="N32" s="3574">
        <v>0</v>
      </c>
      <c r="O32" s="3564">
        <f t="shared" si="4"/>
        <v>0</v>
      </c>
      <c r="P32" s="3500">
        <f t="shared" si="7"/>
        <v>0</v>
      </c>
      <c r="Q32" s="3500">
        <f t="shared" si="7"/>
        <v>0</v>
      </c>
      <c r="R32" s="3501">
        <f t="shared" si="7"/>
        <v>0</v>
      </c>
      <c r="T32" s="3535"/>
    </row>
    <row r="33" spans="2:20" ht="13.5" thickBot="1">
      <c r="B33" s="235">
        <v>2940</v>
      </c>
      <c r="C33" s="3561" t="s">
        <v>146</v>
      </c>
      <c r="D33" s="3562">
        <f>SUM(D34:D37)</f>
        <v>0</v>
      </c>
      <c r="E33" s="3562">
        <f>SUM(E34:E37)</f>
        <v>0</v>
      </c>
      <c r="F33" s="3563">
        <f>D33+E33</f>
        <v>0</v>
      </c>
      <c r="H33" s="3535"/>
      <c r="I33" s="3568" t="str">
        <f t="shared" si="1"/>
        <v>Measure 21</v>
      </c>
      <c r="J33" s="3569"/>
      <c r="K33" s="3570"/>
      <c r="L33" s="3613">
        <f t="shared" si="2"/>
        <v>0</v>
      </c>
      <c r="M33" s="3574">
        <v>0</v>
      </c>
      <c r="N33" s="3574">
        <v>0</v>
      </c>
      <c r="O33" s="3564">
        <f t="shared" si="4"/>
        <v>0</v>
      </c>
      <c r="P33" s="3500">
        <f t="shared" si="7"/>
        <v>0</v>
      </c>
      <c r="Q33" s="3500">
        <f t="shared" si="7"/>
        <v>0</v>
      </c>
      <c r="R33" s="3501">
        <f t="shared" si="7"/>
        <v>0</v>
      </c>
      <c r="T33" s="3535"/>
    </row>
    <row r="34" spans="2:20">
      <c r="B34" s="3571"/>
      <c r="C34" s="3572" t="s">
        <v>139</v>
      </c>
      <c r="D34" s="3573">
        <v>0</v>
      </c>
      <c r="E34" s="3573">
        <v>0</v>
      </c>
      <c r="F34" s="3567">
        <f t="shared" si="6"/>
        <v>0</v>
      </c>
      <c r="H34" s="3535"/>
      <c r="I34" s="3568" t="str">
        <f t="shared" si="1"/>
        <v>Measure 22</v>
      </c>
      <c r="J34" s="3569"/>
      <c r="K34" s="3570"/>
      <c r="L34" s="3613">
        <f t="shared" si="2"/>
        <v>0</v>
      </c>
      <c r="M34" s="3574">
        <v>0</v>
      </c>
      <c r="N34" s="3574">
        <v>0</v>
      </c>
      <c r="O34" s="3564">
        <f t="shared" si="4"/>
        <v>0</v>
      </c>
      <c r="P34" s="3500">
        <f t="shared" si="7"/>
        <v>0</v>
      </c>
      <c r="Q34" s="3500">
        <f t="shared" si="7"/>
        <v>0</v>
      </c>
      <c r="R34" s="3501">
        <f t="shared" si="7"/>
        <v>0</v>
      </c>
      <c r="T34" s="3535"/>
    </row>
    <row r="35" spans="2:20">
      <c r="B35" s="3571"/>
      <c r="C35" s="3572" t="s">
        <v>140</v>
      </c>
      <c r="D35" s="3573">
        <v>0</v>
      </c>
      <c r="E35" s="3573"/>
      <c r="F35" s="3567">
        <f t="shared" si="6"/>
        <v>0</v>
      </c>
      <c r="H35" s="3535"/>
      <c r="I35" s="3568" t="str">
        <f t="shared" si="1"/>
        <v>Measure 23</v>
      </c>
      <c r="J35" s="3569"/>
      <c r="K35" s="3570"/>
      <c r="L35" s="3613">
        <f t="shared" si="2"/>
        <v>0</v>
      </c>
      <c r="M35" s="3574">
        <v>0</v>
      </c>
      <c r="N35" s="3574">
        <v>0</v>
      </c>
      <c r="O35" s="3564">
        <f t="shared" si="4"/>
        <v>0</v>
      </c>
      <c r="P35" s="3500">
        <f t="shared" si="7"/>
        <v>0</v>
      </c>
      <c r="Q35" s="3500">
        <f t="shared" si="7"/>
        <v>0</v>
      </c>
      <c r="R35" s="3501">
        <f t="shared" si="7"/>
        <v>0</v>
      </c>
      <c r="T35" s="3535"/>
    </row>
    <row r="36" spans="2:20">
      <c r="B36" s="3571"/>
      <c r="C36" s="3572" t="s">
        <v>141</v>
      </c>
      <c r="D36" s="3573">
        <v>0</v>
      </c>
      <c r="E36" s="3573"/>
      <c r="F36" s="3567">
        <f t="shared" si="6"/>
        <v>0</v>
      </c>
      <c r="H36" s="3535"/>
      <c r="I36" s="3568" t="str">
        <f t="shared" si="1"/>
        <v>Measure 24</v>
      </c>
      <c r="J36" s="3569"/>
      <c r="K36" s="3570"/>
      <c r="L36" s="3613">
        <f t="shared" si="2"/>
        <v>0</v>
      </c>
      <c r="M36" s="3574">
        <v>0</v>
      </c>
      <c r="N36" s="3574">
        <v>0</v>
      </c>
      <c r="O36" s="3564">
        <f t="shared" si="4"/>
        <v>0</v>
      </c>
      <c r="P36" s="3500">
        <f t="shared" si="7"/>
        <v>0</v>
      </c>
      <c r="Q36" s="3500">
        <f t="shared" si="7"/>
        <v>0</v>
      </c>
      <c r="R36" s="3501">
        <f t="shared" si="7"/>
        <v>0</v>
      </c>
      <c r="T36" s="3535"/>
    </row>
    <row r="37" spans="2:20" ht="13.5" thickBot="1">
      <c r="B37" s="3571"/>
      <c r="C37" s="3572" t="s">
        <v>142</v>
      </c>
      <c r="D37" s="3573">
        <v>0</v>
      </c>
      <c r="E37" s="3573"/>
      <c r="F37" s="3567">
        <f t="shared" si="6"/>
        <v>0</v>
      </c>
      <c r="H37" s="3535"/>
      <c r="I37" s="3568" t="str">
        <f t="shared" si="1"/>
        <v>Measure 25</v>
      </c>
      <c r="J37" s="3569"/>
      <c r="K37" s="3570"/>
      <c r="L37" s="3613">
        <f t="shared" si="2"/>
        <v>0</v>
      </c>
      <c r="M37" s="3574">
        <v>0</v>
      </c>
      <c r="N37" s="3574">
        <v>0</v>
      </c>
      <c r="O37" s="3564">
        <f t="shared" si="4"/>
        <v>0</v>
      </c>
      <c r="P37" s="3500">
        <f t="shared" si="7"/>
        <v>0</v>
      </c>
      <c r="Q37" s="3500">
        <f t="shared" si="7"/>
        <v>0</v>
      </c>
      <c r="R37" s="3501">
        <f t="shared" si="7"/>
        <v>0</v>
      </c>
      <c r="T37" s="3535"/>
    </row>
    <row r="38" spans="2:20" ht="13.5" thickBot="1">
      <c r="B38" s="235">
        <v>1451772</v>
      </c>
      <c r="C38" s="3561" t="s">
        <v>147</v>
      </c>
      <c r="D38" s="3562">
        <f>SUM(D39:D42)</f>
        <v>0</v>
      </c>
      <c r="E38" s="3562">
        <f>SUM(E39:E42)</f>
        <v>0</v>
      </c>
      <c r="F38" s="3563">
        <f>D38+E38</f>
        <v>0</v>
      </c>
      <c r="H38" s="3535"/>
      <c r="I38" s="3568" t="str">
        <f t="shared" si="1"/>
        <v>Measure 26</v>
      </c>
      <c r="J38" s="3569"/>
      <c r="K38" s="3576"/>
      <c r="L38" s="3613">
        <f t="shared" si="2"/>
        <v>0</v>
      </c>
      <c r="M38" s="3574">
        <v>0</v>
      </c>
      <c r="N38" s="3574">
        <v>0</v>
      </c>
      <c r="O38" s="3564">
        <f t="shared" si="4"/>
        <v>0</v>
      </c>
      <c r="P38" s="3500">
        <f t="shared" si="7"/>
        <v>0</v>
      </c>
      <c r="Q38" s="3500">
        <f t="shared" si="7"/>
        <v>0</v>
      </c>
      <c r="R38" s="3501">
        <f t="shared" si="7"/>
        <v>0</v>
      </c>
      <c r="T38" s="3535"/>
    </row>
    <row r="39" spans="2:20">
      <c r="B39" s="3571"/>
      <c r="C39" s="3572" t="s">
        <v>139</v>
      </c>
      <c r="D39" s="3603">
        <v>0</v>
      </c>
      <c r="E39" s="3603">
        <v>0</v>
      </c>
      <c r="F39" s="3567">
        <f t="shared" ref="F39:F52" si="8">SUM(D39:E39)</f>
        <v>0</v>
      </c>
      <c r="H39" s="3535"/>
      <c r="I39" s="3568" t="str">
        <f t="shared" si="1"/>
        <v>Measure 27</v>
      </c>
      <c r="J39" s="3569"/>
      <c r="K39" s="3576"/>
      <c r="L39" s="3613">
        <f t="shared" si="2"/>
        <v>0</v>
      </c>
      <c r="M39" s="3574">
        <v>0</v>
      </c>
      <c r="N39" s="3574">
        <v>0</v>
      </c>
      <c r="O39" s="3564">
        <f t="shared" si="4"/>
        <v>0</v>
      </c>
      <c r="P39" s="3500">
        <f t="shared" si="7"/>
        <v>0</v>
      </c>
      <c r="Q39" s="3500">
        <f t="shared" si="7"/>
        <v>0</v>
      </c>
      <c r="R39" s="3501">
        <f t="shared" si="7"/>
        <v>0</v>
      </c>
      <c r="T39" s="3535"/>
    </row>
    <row r="40" spans="2:20">
      <c r="B40" s="3571"/>
      <c r="C40" s="3572" t="s">
        <v>140</v>
      </c>
      <c r="D40" s="3573">
        <v>0</v>
      </c>
      <c r="E40" s="3573"/>
      <c r="F40" s="3567">
        <f t="shared" si="8"/>
        <v>0</v>
      </c>
      <c r="H40" s="3535"/>
      <c r="I40" s="3568" t="str">
        <f t="shared" si="1"/>
        <v>Measure 28</v>
      </c>
      <c r="J40" s="3569"/>
      <c r="K40" s="3576"/>
      <c r="L40" s="3613">
        <f t="shared" si="2"/>
        <v>0</v>
      </c>
      <c r="M40" s="3574">
        <v>0</v>
      </c>
      <c r="N40" s="3574">
        <v>0</v>
      </c>
      <c r="O40" s="3564">
        <f t="shared" si="4"/>
        <v>0</v>
      </c>
      <c r="P40" s="3500">
        <f t="shared" si="7"/>
        <v>0</v>
      </c>
      <c r="Q40" s="3500">
        <f t="shared" si="7"/>
        <v>0</v>
      </c>
      <c r="R40" s="3501">
        <f t="shared" si="7"/>
        <v>0</v>
      </c>
      <c r="T40" s="3535"/>
    </row>
    <row r="41" spans="2:20">
      <c r="B41" s="3571"/>
      <c r="C41" s="3572" t="s">
        <v>141</v>
      </c>
      <c r="D41" s="3573">
        <v>0</v>
      </c>
      <c r="E41" s="3573"/>
      <c r="F41" s="3567">
        <f t="shared" si="8"/>
        <v>0</v>
      </c>
      <c r="H41" s="3535"/>
      <c r="I41" s="3568" t="str">
        <f t="shared" si="1"/>
        <v>Measure 29</v>
      </c>
      <c r="J41" s="3569"/>
      <c r="K41" s="3576"/>
      <c r="L41" s="3613">
        <f t="shared" si="2"/>
        <v>0</v>
      </c>
      <c r="M41" s="3574">
        <v>0</v>
      </c>
      <c r="N41" s="3574">
        <v>0</v>
      </c>
      <c r="O41" s="3564">
        <f t="shared" si="4"/>
        <v>0</v>
      </c>
      <c r="P41" s="3500">
        <f t="shared" si="7"/>
        <v>0</v>
      </c>
      <c r="Q41" s="3500">
        <f t="shared" si="7"/>
        <v>0</v>
      </c>
      <c r="R41" s="3501">
        <f t="shared" si="7"/>
        <v>0</v>
      </c>
      <c r="T41" s="3535"/>
    </row>
    <row r="42" spans="2:20" ht="13.5" thickBot="1">
      <c r="B42" s="3571"/>
      <c r="C42" s="3572" t="s">
        <v>142</v>
      </c>
      <c r="D42" s="3573">
        <v>0</v>
      </c>
      <c r="E42" s="3573"/>
      <c r="F42" s="3567">
        <f t="shared" si="8"/>
        <v>0</v>
      </c>
      <c r="H42" s="3535"/>
      <c r="I42" s="3568" t="str">
        <f t="shared" si="1"/>
        <v>Measure 30</v>
      </c>
      <c r="J42" s="3569"/>
      <c r="K42" s="3576"/>
      <c r="L42" s="3613">
        <f t="shared" si="2"/>
        <v>0</v>
      </c>
      <c r="M42" s="3574">
        <v>0</v>
      </c>
      <c r="N42" s="3574">
        <v>0</v>
      </c>
      <c r="O42" s="3564">
        <f t="shared" si="4"/>
        <v>0</v>
      </c>
      <c r="P42" s="3500">
        <f t="shared" si="7"/>
        <v>0</v>
      </c>
      <c r="Q42" s="3500">
        <f t="shared" si="7"/>
        <v>0</v>
      </c>
      <c r="R42" s="3501">
        <f t="shared" si="7"/>
        <v>0</v>
      </c>
      <c r="T42" s="3535"/>
    </row>
    <row r="43" spans="2:20" ht="13.5" thickBot="1">
      <c r="B43" s="235">
        <v>2400</v>
      </c>
      <c r="C43" s="3561" t="s">
        <v>148</v>
      </c>
      <c r="D43" s="3562">
        <f>SUM(D44:D47)</f>
        <v>0</v>
      </c>
      <c r="E43" s="3562">
        <f>SUM(E44:E47)</f>
        <v>0</v>
      </c>
      <c r="F43" s="3563">
        <f>D43+E43</f>
        <v>0</v>
      </c>
      <c r="H43" s="3535"/>
      <c r="I43" s="3568" t="str">
        <f t="shared" si="1"/>
        <v>Measure 31</v>
      </c>
      <c r="J43" s="3569"/>
      <c r="K43" s="3576"/>
      <c r="L43" s="3613">
        <f t="shared" si="2"/>
        <v>0</v>
      </c>
      <c r="M43" s="3574">
        <v>0</v>
      </c>
      <c r="N43" s="3574">
        <v>0</v>
      </c>
      <c r="O43" s="3564">
        <f t="shared" si="4"/>
        <v>0</v>
      </c>
      <c r="P43" s="3500">
        <f t="shared" si="7"/>
        <v>0</v>
      </c>
      <c r="Q43" s="3500">
        <f t="shared" si="7"/>
        <v>0</v>
      </c>
      <c r="R43" s="3501">
        <f t="shared" si="7"/>
        <v>0</v>
      </c>
      <c r="T43" s="3535"/>
    </row>
    <row r="44" spans="2:20">
      <c r="B44" s="3571"/>
      <c r="C44" s="3572" t="s">
        <v>139</v>
      </c>
      <c r="D44" s="3573">
        <v>0</v>
      </c>
      <c r="E44" s="3573">
        <v>0</v>
      </c>
      <c r="F44" s="3567">
        <f t="shared" si="8"/>
        <v>0</v>
      </c>
      <c r="H44" s="3535"/>
      <c r="I44" s="3568" t="str">
        <f t="shared" si="1"/>
        <v>Measure 32</v>
      </c>
      <c r="J44" s="3569"/>
      <c r="K44" s="3576"/>
      <c r="L44" s="3613">
        <f t="shared" si="2"/>
        <v>0</v>
      </c>
      <c r="M44" s="3574">
        <v>0</v>
      </c>
      <c r="N44" s="3574">
        <v>0</v>
      </c>
      <c r="O44" s="3564">
        <f t="shared" si="4"/>
        <v>0</v>
      </c>
      <c r="P44" s="3500">
        <f t="shared" si="7"/>
        <v>0</v>
      </c>
      <c r="Q44" s="3500">
        <f t="shared" si="7"/>
        <v>0</v>
      </c>
      <c r="R44" s="3501">
        <f t="shared" si="7"/>
        <v>0</v>
      </c>
      <c r="T44" s="3535"/>
    </row>
    <row r="45" spans="2:20">
      <c r="B45" s="3571"/>
      <c r="C45" s="3572" t="s">
        <v>140</v>
      </c>
      <c r="D45" s="3573">
        <v>0</v>
      </c>
      <c r="E45" s="3573"/>
      <c r="F45" s="3567">
        <f t="shared" si="8"/>
        <v>0</v>
      </c>
      <c r="H45" s="3535"/>
      <c r="I45" s="3568" t="str">
        <f t="shared" si="1"/>
        <v>Measure 33</v>
      </c>
      <c r="J45" s="3569"/>
      <c r="K45" s="3576"/>
      <c r="L45" s="3613">
        <f t="shared" si="2"/>
        <v>0</v>
      </c>
      <c r="M45" s="3574">
        <v>0</v>
      </c>
      <c r="N45" s="3574">
        <v>0</v>
      </c>
      <c r="O45" s="3564">
        <f t="shared" si="4"/>
        <v>0</v>
      </c>
      <c r="P45" s="3500">
        <f t="shared" ref="P45:R54" si="9">M45*$D95</f>
        <v>0</v>
      </c>
      <c r="Q45" s="3500">
        <f t="shared" si="9"/>
        <v>0</v>
      </c>
      <c r="R45" s="3501">
        <f t="shared" si="9"/>
        <v>0</v>
      </c>
      <c r="T45" s="3535"/>
    </row>
    <row r="46" spans="2:20">
      <c r="B46" s="3571"/>
      <c r="C46" s="3572" t="s">
        <v>141</v>
      </c>
      <c r="D46" s="3573">
        <v>0</v>
      </c>
      <c r="E46" s="3573"/>
      <c r="F46" s="3567">
        <f t="shared" si="8"/>
        <v>0</v>
      </c>
      <c r="H46" s="3535"/>
      <c r="I46" s="3568" t="str">
        <f t="shared" si="1"/>
        <v>Measure 34</v>
      </c>
      <c r="J46" s="3569"/>
      <c r="K46" s="3576"/>
      <c r="L46" s="3613">
        <f t="shared" si="2"/>
        <v>0</v>
      </c>
      <c r="M46" s="3574">
        <v>0</v>
      </c>
      <c r="N46" s="3574">
        <v>0</v>
      </c>
      <c r="O46" s="3564">
        <f t="shared" si="4"/>
        <v>0</v>
      </c>
      <c r="P46" s="3500">
        <f t="shared" si="9"/>
        <v>0</v>
      </c>
      <c r="Q46" s="3500">
        <f t="shared" si="9"/>
        <v>0</v>
      </c>
      <c r="R46" s="3501">
        <f t="shared" si="9"/>
        <v>0</v>
      </c>
      <c r="T46" s="3535"/>
    </row>
    <row r="47" spans="2:20" ht="13.5" thickBot="1">
      <c r="B47" s="3571"/>
      <c r="C47" s="3572" t="s">
        <v>142</v>
      </c>
      <c r="D47" s="3573">
        <v>0</v>
      </c>
      <c r="E47" s="3573"/>
      <c r="F47" s="3567">
        <f t="shared" si="8"/>
        <v>0</v>
      </c>
      <c r="H47" s="3535"/>
      <c r="I47" s="3568" t="str">
        <f t="shared" si="1"/>
        <v>Measure 35</v>
      </c>
      <c r="J47" s="3569"/>
      <c r="K47" s="3576"/>
      <c r="L47" s="3613">
        <f t="shared" si="2"/>
        <v>0</v>
      </c>
      <c r="M47" s="3574">
        <v>0</v>
      </c>
      <c r="N47" s="3574">
        <v>0</v>
      </c>
      <c r="O47" s="3564">
        <f t="shared" si="4"/>
        <v>0</v>
      </c>
      <c r="P47" s="3500">
        <f t="shared" si="9"/>
        <v>0</v>
      </c>
      <c r="Q47" s="3500">
        <f t="shared" si="9"/>
        <v>0</v>
      </c>
      <c r="R47" s="3501">
        <f t="shared" si="9"/>
        <v>0</v>
      </c>
      <c r="T47" s="3535"/>
    </row>
    <row r="48" spans="2:20" ht="13.5" thickBot="1">
      <c r="B48" s="235">
        <v>16200</v>
      </c>
      <c r="C48" s="3561" t="s">
        <v>149</v>
      </c>
      <c r="D48" s="3562">
        <f>SUM(D49:D52)</f>
        <v>0</v>
      </c>
      <c r="E48" s="3562">
        <f>SUM(E49:E52)</f>
        <v>0</v>
      </c>
      <c r="F48" s="3563">
        <f>D48+E48</f>
        <v>0</v>
      </c>
      <c r="H48" s="3535"/>
      <c r="I48" s="3568" t="str">
        <f t="shared" si="1"/>
        <v>Measure 36</v>
      </c>
      <c r="J48" s="3569"/>
      <c r="K48" s="3576"/>
      <c r="L48" s="3613">
        <f t="shared" si="2"/>
        <v>0</v>
      </c>
      <c r="M48" s="3574">
        <v>0</v>
      </c>
      <c r="N48" s="3574">
        <v>0</v>
      </c>
      <c r="O48" s="3564">
        <f t="shared" si="4"/>
        <v>0</v>
      </c>
      <c r="P48" s="3500">
        <f t="shared" si="9"/>
        <v>0</v>
      </c>
      <c r="Q48" s="3500">
        <f t="shared" si="9"/>
        <v>0</v>
      </c>
      <c r="R48" s="3501">
        <f t="shared" si="9"/>
        <v>0</v>
      </c>
      <c r="T48" s="3535"/>
    </row>
    <row r="49" spans="2:25">
      <c r="B49" s="3571"/>
      <c r="C49" s="3572" t="s">
        <v>139</v>
      </c>
      <c r="D49" s="3573">
        <v>0</v>
      </c>
      <c r="E49" s="3573">
        <v>0</v>
      </c>
      <c r="F49" s="3567">
        <f t="shared" si="8"/>
        <v>0</v>
      </c>
      <c r="H49" s="3535"/>
      <c r="I49" s="3568" t="str">
        <f t="shared" si="1"/>
        <v>Measure 37</v>
      </c>
      <c r="J49" s="3569"/>
      <c r="K49" s="3576"/>
      <c r="L49" s="3613">
        <f t="shared" si="2"/>
        <v>0</v>
      </c>
      <c r="M49" s="3574">
        <v>0</v>
      </c>
      <c r="N49" s="3574">
        <v>0</v>
      </c>
      <c r="O49" s="3564">
        <f t="shared" si="4"/>
        <v>0</v>
      </c>
      <c r="P49" s="3500">
        <f t="shared" si="9"/>
        <v>0</v>
      </c>
      <c r="Q49" s="3500">
        <f t="shared" si="9"/>
        <v>0</v>
      </c>
      <c r="R49" s="3501">
        <f t="shared" si="9"/>
        <v>0</v>
      </c>
      <c r="T49" s="3535"/>
    </row>
    <row r="50" spans="2:25">
      <c r="B50" s="3571"/>
      <c r="C50" s="3572" t="s">
        <v>140</v>
      </c>
      <c r="D50" s="3573">
        <v>0</v>
      </c>
      <c r="E50" s="3573"/>
      <c r="F50" s="3567">
        <f t="shared" si="8"/>
        <v>0</v>
      </c>
      <c r="I50" s="3568" t="str">
        <f t="shared" si="1"/>
        <v>Measure 38</v>
      </c>
      <c r="J50" s="3569"/>
      <c r="K50" s="3570"/>
      <c r="L50" s="3613">
        <f t="shared" si="2"/>
        <v>0</v>
      </c>
      <c r="M50" s="3574">
        <v>0</v>
      </c>
      <c r="N50" s="3574">
        <v>0</v>
      </c>
      <c r="O50" s="3564">
        <f t="shared" si="4"/>
        <v>0</v>
      </c>
      <c r="P50" s="3500">
        <f t="shared" si="9"/>
        <v>0</v>
      </c>
      <c r="Q50" s="3500">
        <f t="shared" si="9"/>
        <v>0</v>
      </c>
      <c r="R50" s="3501">
        <f t="shared" si="9"/>
        <v>0</v>
      </c>
      <c r="T50" s="3535"/>
    </row>
    <row r="51" spans="2:25">
      <c r="B51" s="3571"/>
      <c r="C51" s="3572" t="s">
        <v>141</v>
      </c>
      <c r="D51" s="3573">
        <v>0</v>
      </c>
      <c r="E51" s="3573"/>
      <c r="F51" s="3567">
        <f t="shared" si="8"/>
        <v>0</v>
      </c>
      <c r="I51" s="3568" t="str">
        <f t="shared" si="1"/>
        <v>Measure 39</v>
      </c>
      <c r="J51" s="3569"/>
      <c r="K51" s="3570"/>
      <c r="L51" s="3613">
        <f t="shared" si="2"/>
        <v>0</v>
      </c>
      <c r="M51" s="3574">
        <v>0</v>
      </c>
      <c r="N51" s="3574">
        <v>0</v>
      </c>
      <c r="O51" s="3564">
        <f t="shared" si="4"/>
        <v>0</v>
      </c>
      <c r="P51" s="3500">
        <f t="shared" si="9"/>
        <v>0</v>
      </c>
      <c r="Q51" s="3500">
        <f t="shared" si="9"/>
        <v>0</v>
      </c>
      <c r="R51" s="3501">
        <f t="shared" si="9"/>
        <v>0</v>
      </c>
      <c r="T51" s="3535"/>
    </row>
    <row r="52" spans="2:25" ht="13.5" thickBot="1">
      <c r="B52" s="3571"/>
      <c r="C52" s="3572" t="s">
        <v>142</v>
      </c>
      <c r="D52" s="3573">
        <v>0</v>
      </c>
      <c r="E52" s="3573"/>
      <c r="F52" s="3567">
        <f t="shared" si="8"/>
        <v>0</v>
      </c>
      <c r="I52" s="3568" t="str">
        <f t="shared" si="1"/>
        <v>Measure 40</v>
      </c>
      <c r="J52" s="3569"/>
      <c r="K52" s="3570"/>
      <c r="L52" s="3613">
        <f t="shared" si="2"/>
        <v>0</v>
      </c>
      <c r="M52" s="3574">
        <v>0</v>
      </c>
      <c r="N52" s="3574">
        <v>0</v>
      </c>
      <c r="O52" s="3564">
        <f t="shared" si="4"/>
        <v>0</v>
      </c>
      <c r="P52" s="3500">
        <f t="shared" si="9"/>
        <v>0</v>
      </c>
      <c r="Q52" s="3500">
        <f t="shared" si="9"/>
        <v>0</v>
      </c>
      <c r="R52" s="3501">
        <f t="shared" si="9"/>
        <v>0</v>
      </c>
      <c r="T52" s="3535"/>
    </row>
    <row r="53" spans="2:25" ht="13.5" thickBot="1">
      <c r="B53" s="3578">
        <v>2603178</v>
      </c>
      <c r="C53" s="3561" t="s">
        <v>150</v>
      </c>
      <c r="D53" s="3562">
        <f>S105</f>
        <v>0</v>
      </c>
      <c r="E53" s="3562">
        <f>T105</f>
        <v>0</v>
      </c>
      <c r="F53" s="3563">
        <f>U105</f>
        <v>0</v>
      </c>
      <c r="G53" s="3577" t="s">
        <v>151</v>
      </c>
      <c r="I53" s="3568" t="str">
        <f t="shared" si="1"/>
        <v>Measure 41</v>
      </c>
      <c r="J53" s="3569"/>
      <c r="K53" s="3570"/>
      <c r="L53" s="3613">
        <f t="shared" si="2"/>
        <v>0</v>
      </c>
      <c r="M53" s="3574">
        <v>0</v>
      </c>
      <c r="N53" s="3574">
        <v>0</v>
      </c>
      <c r="O53" s="3564">
        <f t="shared" si="4"/>
        <v>0</v>
      </c>
      <c r="P53" s="3500">
        <f t="shared" si="9"/>
        <v>0</v>
      </c>
      <c r="Q53" s="3500">
        <f t="shared" si="9"/>
        <v>0</v>
      </c>
      <c r="R53" s="3501">
        <f t="shared" si="9"/>
        <v>0</v>
      </c>
      <c r="T53" s="3535"/>
    </row>
    <row r="54" spans="2:25" ht="13.5" thickBot="1">
      <c r="B54" s="3578">
        <v>0</v>
      </c>
      <c r="C54" s="3561" t="s">
        <v>152</v>
      </c>
      <c r="D54" s="3562">
        <v>0</v>
      </c>
      <c r="E54" s="3562">
        <v>0</v>
      </c>
      <c r="F54" s="3563">
        <v>0</v>
      </c>
      <c r="I54" s="3568" t="str">
        <f t="shared" si="1"/>
        <v>Measure 42</v>
      </c>
      <c r="J54" s="3569"/>
      <c r="K54" s="3570"/>
      <c r="L54" s="3613">
        <f t="shared" si="2"/>
        <v>0</v>
      </c>
      <c r="M54" s="3574">
        <v>0</v>
      </c>
      <c r="N54" s="3574">
        <v>0</v>
      </c>
      <c r="O54" s="3564">
        <f t="shared" si="4"/>
        <v>0</v>
      </c>
      <c r="P54" s="3500">
        <f t="shared" si="9"/>
        <v>0</v>
      </c>
      <c r="Q54" s="3500">
        <f t="shared" si="9"/>
        <v>0</v>
      </c>
      <c r="R54" s="3501">
        <f t="shared" si="9"/>
        <v>0</v>
      </c>
      <c r="T54" s="3535"/>
    </row>
    <row r="55" spans="2:25">
      <c r="B55" s="3579">
        <f>B13+B18+B23+B28+B33+B38+B43+B48+B53+B54</f>
        <v>4211702</v>
      </c>
      <c r="C55" s="3580" t="s">
        <v>153</v>
      </c>
      <c r="D55" s="3579">
        <f>D13+D18+D23+D28+D33+D38+D43+D48+D53+D54</f>
        <v>0</v>
      </c>
      <c r="E55" s="3579">
        <f>E13+E18+E23+E28+E33+E38+E43+E48+E53+E54</f>
        <v>0</v>
      </c>
      <c r="F55" s="3579">
        <f>F13+F18+F23+F28+F33+F38+F43+F48+F53+F54</f>
        <v>0</v>
      </c>
      <c r="P55" s="3614">
        <f>SUM(P13:P54)</f>
        <v>0</v>
      </c>
      <c r="Q55" s="3614">
        <f>SUM(Q13:Q54)</f>
        <v>0</v>
      </c>
      <c r="R55" s="3614">
        <f>SUM(R13:R54)</f>
        <v>0</v>
      </c>
      <c r="T55" s="4894"/>
    </row>
    <row r="56" spans="2:25">
      <c r="C56" s="3580"/>
      <c r="D56" s="3579"/>
      <c r="E56" s="3579"/>
      <c r="F56" s="3579"/>
    </row>
    <row r="57" spans="2:25">
      <c r="C57" s="3580" t="s">
        <v>154</v>
      </c>
      <c r="D57" s="3579">
        <f>D55-D53</f>
        <v>0</v>
      </c>
      <c r="E57" s="3579">
        <f>E55-E53</f>
        <v>0</v>
      </c>
      <c r="F57" s="3579">
        <f>F55-F53</f>
        <v>0</v>
      </c>
    </row>
    <row r="58" spans="2:25">
      <c r="C58" s="3580" t="s">
        <v>155</v>
      </c>
      <c r="D58" s="3581">
        <f>D53</f>
        <v>0</v>
      </c>
      <c r="E58" s="3581">
        <f>E53</f>
        <v>0</v>
      </c>
      <c r="F58" s="3581">
        <f>F53</f>
        <v>0</v>
      </c>
      <c r="G58" s="3634" t="e">
        <f>F58/(F57+F58)</f>
        <v>#DIV/0!</v>
      </c>
      <c r="H58" s="3582" t="s">
        <v>156</v>
      </c>
    </row>
    <row r="59" spans="2:25" ht="13.5" thickBot="1"/>
    <row r="60" spans="2:25" ht="16.5" thickBot="1">
      <c r="B60" s="3583" t="s">
        <v>157</v>
      </c>
      <c r="C60" s="3584"/>
      <c r="D60" s="5130" t="s">
        <v>158</v>
      </c>
      <c r="E60" s="5131"/>
      <c r="F60" s="5131"/>
      <c r="G60" s="5131"/>
      <c r="H60" s="5131"/>
      <c r="K60" s="3585"/>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3586" t="s">
        <v>162</v>
      </c>
      <c r="C62" s="3587" t="s">
        <v>129</v>
      </c>
      <c r="D62" s="3587" t="s">
        <v>130</v>
      </c>
      <c r="E62" s="3587" t="s">
        <v>163</v>
      </c>
      <c r="F62" s="3587" t="s">
        <v>164</v>
      </c>
      <c r="G62" s="3587" t="s">
        <v>165</v>
      </c>
      <c r="H62" s="3587" t="s">
        <v>166</v>
      </c>
      <c r="I62" s="3587" t="s">
        <v>167</v>
      </c>
      <c r="J62" s="3587" t="s">
        <v>168</v>
      </c>
      <c r="K62" s="3588" t="s">
        <v>169</v>
      </c>
      <c r="L62" s="3589" t="s">
        <v>170</v>
      </c>
      <c r="M62" s="3590" t="s">
        <v>171</v>
      </c>
      <c r="N62" s="3590" t="s">
        <v>172</v>
      </c>
      <c r="O62" s="3590" t="s">
        <v>173</v>
      </c>
      <c r="P62" s="3591" t="s">
        <v>174</v>
      </c>
      <c r="Q62" s="3591" t="s">
        <v>175</v>
      </c>
      <c r="R62" s="3591" t="s">
        <v>176</v>
      </c>
      <c r="S62" s="3542" t="s">
        <v>177</v>
      </c>
      <c r="T62" s="3542" t="s">
        <v>178</v>
      </c>
      <c r="U62" s="3543" t="s">
        <v>179</v>
      </c>
      <c r="V62" s="3542" t="s">
        <v>115</v>
      </c>
      <c r="W62" s="3542" t="s">
        <v>12</v>
      </c>
      <c r="X62" s="3543" t="s">
        <v>116</v>
      </c>
    </row>
    <row r="63" spans="2:25">
      <c r="B63" s="243">
        <v>48</v>
      </c>
      <c r="C63" s="3193" t="s">
        <v>580</v>
      </c>
      <c r="D63" s="3193">
        <v>0.11</v>
      </c>
      <c r="E63" s="3193" t="s">
        <v>559</v>
      </c>
      <c r="F63" s="3193" t="s">
        <v>257</v>
      </c>
      <c r="G63" s="4143">
        <v>1.08</v>
      </c>
      <c r="H63" s="4143">
        <v>0.22</v>
      </c>
      <c r="I63" s="3192">
        <v>0.37869999999999998</v>
      </c>
      <c r="J63" s="3193">
        <v>30</v>
      </c>
      <c r="K63" s="3193" t="s">
        <v>560</v>
      </c>
      <c r="L63" s="3446">
        <v>4.5163639461636187</v>
      </c>
      <c r="M63" s="3446">
        <v>1.4109276251614935</v>
      </c>
      <c r="N63" s="4155">
        <v>1356012.6864967621</v>
      </c>
      <c r="O63" s="4155">
        <v>4340581.8261822397</v>
      </c>
      <c r="P63" s="4155">
        <v>6124246.8078344464</v>
      </c>
      <c r="Q63" s="4155">
        <v>6124246.8078344464</v>
      </c>
      <c r="R63" s="4153">
        <v>1.081</v>
      </c>
      <c r="S63" s="3499">
        <f t="shared" ref="S63:T78" si="10">M13*$H63</f>
        <v>0</v>
      </c>
      <c r="T63" s="3499">
        <f t="shared" si="10"/>
        <v>0</v>
      </c>
      <c r="U63" s="4150">
        <f>SUM(S63:T63)</f>
        <v>0</v>
      </c>
      <c r="V63" s="3635" t="e">
        <f t="shared" ref="V63:V81" si="11">U63/(U63+(I63*F$57))</f>
        <v>#DIV/0!</v>
      </c>
      <c r="W63" s="3635" t="e">
        <f t="shared" ref="W63:W81" si="12">(I63*((F$18*1.63)+F$28))/(U63+(I63*F$57))</f>
        <v>#DIV/0!</v>
      </c>
      <c r="X63" s="3635" t="e">
        <f t="shared" ref="X63:X81" si="13">(I63*F$38)/(U63+(I63*F$57))</f>
        <v>#DIV/0!</v>
      </c>
      <c r="Y63" s="3597">
        <f>I63*F$57</f>
        <v>0</v>
      </c>
    </row>
    <row r="64" spans="2:25">
      <c r="B64" s="323">
        <v>49</v>
      </c>
      <c r="C64" s="3191" t="s">
        <v>581</v>
      </c>
      <c r="D64" s="3191">
        <v>6.2E-2</v>
      </c>
      <c r="E64" s="3191" t="s">
        <v>559</v>
      </c>
      <c r="F64" s="3191" t="s">
        <v>257</v>
      </c>
      <c r="G64" s="4143">
        <v>1.37</v>
      </c>
      <c r="H64" s="4143">
        <v>0.22</v>
      </c>
      <c r="I64" s="3192">
        <v>4.8000000000000001E-2</v>
      </c>
      <c r="J64" s="3193">
        <v>30</v>
      </c>
      <c r="K64" s="3193" t="s">
        <v>560</v>
      </c>
      <c r="L64" s="3446">
        <v>4.0669169947573982</v>
      </c>
      <c r="M64" s="3446">
        <v>0.71322765917431674</v>
      </c>
      <c r="N64" s="4155">
        <v>747559.32018501393</v>
      </c>
      <c r="O64" s="4155">
        <v>4262680.5967807593</v>
      </c>
      <c r="P64" s="4155">
        <v>3040261.7038497203</v>
      </c>
      <c r="Q64" s="4155">
        <v>3040261.7038497203</v>
      </c>
      <c r="R64" s="4153">
        <v>1.081</v>
      </c>
      <c r="S64" s="3499">
        <f t="shared" si="10"/>
        <v>0</v>
      </c>
      <c r="T64" s="3499">
        <f t="shared" si="10"/>
        <v>0</v>
      </c>
      <c r="U64" s="4150">
        <f t="shared" ref="U64:U104" si="14">SUM(S64:T64)</f>
        <v>0</v>
      </c>
      <c r="V64" s="3635" t="e">
        <f t="shared" si="11"/>
        <v>#DIV/0!</v>
      </c>
      <c r="W64" s="3635" t="e">
        <f t="shared" si="12"/>
        <v>#DIV/0!</v>
      </c>
      <c r="X64" s="3635" t="e">
        <f t="shared" si="13"/>
        <v>#DIV/0!</v>
      </c>
      <c r="Y64" s="3597">
        <f t="shared" ref="Y64:Y75" si="15">I64*F$57</f>
        <v>0</v>
      </c>
    </row>
    <row r="65" spans="2:25">
      <c r="B65" s="323">
        <v>51</v>
      </c>
      <c r="C65" s="3191" t="s">
        <v>582</v>
      </c>
      <c r="D65" s="3191">
        <v>7.2999999999999995E-2</v>
      </c>
      <c r="E65" s="3191" t="s">
        <v>559</v>
      </c>
      <c r="F65" s="3191" t="s">
        <v>257</v>
      </c>
      <c r="G65" s="4143">
        <v>0.97</v>
      </c>
      <c r="H65" s="4143">
        <v>0.22</v>
      </c>
      <c r="I65" s="3192">
        <v>7.8200000000000006E-2</v>
      </c>
      <c r="J65" s="3193">
        <v>30</v>
      </c>
      <c r="K65" s="3193" t="s">
        <v>560</v>
      </c>
      <c r="L65" s="3446">
        <v>3.5143405287148166</v>
      </c>
      <c r="M65" s="3446">
        <v>1.0811236755637075</v>
      </c>
      <c r="N65" s="4155">
        <v>360058.42253283993</v>
      </c>
      <c r="O65" s="4155">
        <v>1170419.1995911193</v>
      </c>
      <c r="P65" s="4155">
        <v>1265367.9070122836</v>
      </c>
      <c r="Q65" s="4155">
        <v>1265367.9070122836</v>
      </c>
      <c r="R65" s="4153">
        <v>1.081</v>
      </c>
      <c r="S65" s="3499">
        <f t="shared" si="10"/>
        <v>0</v>
      </c>
      <c r="T65" s="3499">
        <f t="shared" si="10"/>
        <v>0</v>
      </c>
      <c r="U65" s="4150">
        <f t="shared" si="14"/>
        <v>0</v>
      </c>
      <c r="V65" s="3635" t="e">
        <f t="shared" si="11"/>
        <v>#DIV/0!</v>
      </c>
      <c r="W65" s="3635" t="e">
        <f t="shared" si="12"/>
        <v>#DIV/0!</v>
      </c>
      <c r="X65" s="3635" t="e">
        <f t="shared" si="13"/>
        <v>#DIV/0!</v>
      </c>
      <c r="Y65" s="3597">
        <f t="shared" si="15"/>
        <v>0</v>
      </c>
    </row>
    <row r="66" spans="2:25">
      <c r="B66" s="323">
        <v>53</v>
      </c>
      <c r="C66" s="3191" t="s">
        <v>583</v>
      </c>
      <c r="D66" s="3191">
        <v>32</v>
      </c>
      <c r="E66" s="3191" t="s">
        <v>559</v>
      </c>
      <c r="F66" s="3191" t="s">
        <v>232</v>
      </c>
      <c r="G66" s="4143">
        <v>734.7</v>
      </c>
      <c r="H66" s="4143">
        <v>200</v>
      </c>
      <c r="I66" s="3192">
        <v>0</v>
      </c>
      <c r="J66" s="3193">
        <v>30</v>
      </c>
      <c r="K66" s="3193" t="s">
        <v>560</v>
      </c>
      <c r="L66" s="3446" t="e">
        <v>#DIV/0!</v>
      </c>
      <c r="M66" s="3446" t="e">
        <v>#DIV/0!</v>
      </c>
      <c r="N66" s="4155">
        <v>0</v>
      </c>
      <c r="O66" s="4155">
        <v>0</v>
      </c>
      <c r="P66" s="4155">
        <v>0</v>
      </c>
      <c r="Q66" s="4155">
        <v>0</v>
      </c>
      <c r="R66" s="4153">
        <v>1.081</v>
      </c>
      <c r="S66" s="3499">
        <f t="shared" si="10"/>
        <v>0</v>
      </c>
      <c r="T66" s="3499">
        <f t="shared" si="10"/>
        <v>0</v>
      </c>
      <c r="U66" s="4150">
        <f t="shared" si="14"/>
        <v>0</v>
      </c>
      <c r="V66" s="3635" t="e">
        <f t="shared" si="11"/>
        <v>#DIV/0!</v>
      </c>
      <c r="W66" s="3635" t="e">
        <f t="shared" si="12"/>
        <v>#DIV/0!</v>
      </c>
      <c r="X66" s="3635" t="e">
        <f t="shared" si="13"/>
        <v>#DIV/0!</v>
      </c>
      <c r="Y66" s="3597">
        <f t="shared" si="15"/>
        <v>0</v>
      </c>
    </row>
    <row r="67" spans="2:25">
      <c r="B67" s="323">
        <v>55</v>
      </c>
      <c r="C67" s="3191" t="s">
        <v>584</v>
      </c>
      <c r="D67" s="3191">
        <v>55</v>
      </c>
      <c r="E67" s="3191" t="s">
        <v>559</v>
      </c>
      <c r="F67" s="3191" t="s">
        <v>232</v>
      </c>
      <c r="G67" s="4143">
        <v>538</v>
      </c>
      <c r="H67" s="4143">
        <v>300</v>
      </c>
      <c r="I67" s="3192">
        <v>0</v>
      </c>
      <c r="J67" s="3193">
        <v>30</v>
      </c>
      <c r="K67" s="3193" t="s">
        <v>560</v>
      </c>
      <c r="L67" s="3446" t="e">
        <v>#DIV/0!</v>
      </c>
      <c r="M67" s="3446" t="e">
        <v>#DIV/0!</v>
      </c>
      <c r="N67" s="4155">
        <v>0</v>
      </c>
      <c r="O67" s="4155">
        <v>0</v>
      </c>
      <c r="P67" s="4155">
        <v>0</v>
      </c>
      <c r="Q67" s="4155">
        <v>0</v>
      </c>
      <c r="R67" s="4153">
        <v>1.081</v>
      </c>
      <c r="S67" s="3499">
        <f t="shared" si="10"/>
        <v>0</v>
      </c>
      <c r="T67" s="3499">
        <f t="shared" si="10"/>
        <v>0</v>
      </c>
      <c r="U67" s="4150">
        <f t="shared" si="14"/>
        <v>0</v>
      </c>
      <c r="V67" s="3635" t="e">
        <f t="shared" si="11"/>
        <v>#DIV/0!</v>
      </c>
      <c r="W67" s="3635" t="e">
        <f t="shared" si="12"/>
        <v>#DIV/0!</v>
      </c>
      <c r="X67" s="3635" t="e">
        <f t="shared" si="13"/>
        <v>#DIV/0!</v>
      </c>
      <c r="Y67" s="3597">
        <f t="shared" si="15"/>
        <v>0</v>
      </c>
    </row>
    <row r="68" spans="2:25">
      <c r="B68" s="323">
        <v>57</v>
      </c>
      <c r="C68" s="3191" t="s">
        <v>585</v>
      </c>
      <c r="D68" s="3191">
        <v>2.3E-2</v>
      </c>
      <c r="E68" s="3191" t="s">
        <v>559</v>
      </c>
      <c r="F68" s="3191" t="s">
        <v>257</v>
      </c>
      <c r="G68" s="4143">
        <v>0.18</v>
      </c>
      <c r="H68" s="4143">
        <v>0.11</v>
      </c>
      <c r="I68" s="3192">
        <v>7.9799999999999996E-2</v>
      </c>
      <c r="J68" s="3193">
        <v>30</v>
      </c>
      <c r="K68" s="3193" t="s">
        <v>560</v>
      </c>
      <c r="L68" s="3446">
        <v>2.5323673927095038</v>
      </c>
      <c r="M68" s="3446">
        <v>1.710574854083301</v>
      </c>
      <c r="N68" s="4155">
        <v>509499.82077890844</v>
      </c>
      <c r="O68" s="4155">
        <v>754273.17878075864</v>
      </c>
      <c r="P68" s="4155">
        <v>1290240.7327318438</v>
      </c>
      <c r="Q68" s="4155">
        <v>1290240.7327318438</v>
      </c>
      <c r="R68" s="4153">
        <v>1.081</v>
      </c>
      <c r="S68" s="3499">
        <f t="shared" si="10"/>
        <v>0</v>
      </c>
      <c r="T68" s="3499">
        <f t="shared" si="10"/>
        <v>0</v>
      </c>
      <c r="U68" s="4150">
        <f t="shared" si="14"/>
        <v>0</v>
      </c>
      <c r="V68" s="3635" t="e">
        <f t="shared" si="11"/>
        <v>#DIV/0!</v>
      </c>
      <c r="W68" s="3635" t="e">
        <f t="shared" si="12"/>
        <v>#DIV/0!</v>
      </c>
      <c r="X68" s="3635" t="e">
        <f t="shared" si="13"/>
        <v>#DIV/0!</v>
      </c>
      <c r="Y68" s="3597">
        <f t="shared" si="15"/>
        <v>0</v>
      </c>
    </row>
    <row r="69" spans="2:25">
      <c r="B69" s="323" t="s">
        <v>7</v>
      </c>
      <c r="C69" s="3191" t="s">
        <v>356</v>
      </c>
      <c r="D69" s="3191">
        <v>0</v>
      </c>
      <c r="E69" s="3191" t="s">
        <v>559</v>
      </c>
      <c r="F69" s="3191" t="s">
        <v>232</v>
      </c>
      <c r="G69" s="4143">
        <v>600</v>
      </c>
      <c r="H69" s="4143">
        <v>400</v>
      </c>
      <c r="I69" s="3192">
        <v>0.15</v>
      </c>
      <c r="J69" s="3193">
        <v>30</v>
      </c>
      <c r="K69" s="3193" t="s">
        <v>560</v>
      </c>
      <c r="L69" s="3446">
        <v>0</v>
      </c>
      <c r="M69" s="3446">
        <v>0</v>
      </c>
      <c r="N69" s="4155">
        <v>316097.78307123028</v>
      </c>
      <c r="O69" s="4155">
        <v>356800.83580018498</v>
      </c>
      <c r="P69" s="4155">
        <v>0</v>
      </c>
      <c r="Q69" s="4155">
        <v>0</v>
      </c>
      <c r="R69" s="4153">
        <v>1.081</v>
      </c>
      <c r="S69" s="3499">
        <f t="shared" si="10"/>
        <v>0</v>
      </c>
      <c r="T69" s="3499">
        <f t="shared" si="10"/>
        <v>0</v>
      </c>
      <c r="U69" s="4150">
        <f t="shared" si="14"/>
        <v>0</v>
      </c>
      <c r="V69" s="3635" t="e">
        <f t="shared" si="11"/>
        <v>#DIV/0!</v>
      </c>
      <c r="W69" s="3635" t="e">
        <f t="shared" si="12"/>
        <v>#DIV/0!</v>
      </c>
      <c r="X69" s="3635" t="e">
        <f t="shared" si="13"/>
        <v>#DIV/0!</v>
      </c>
      <c r="Y69" s="3597">
        <f t="shared" si="15"/>
        <v>0</v>
      </c>
    </row>
    <row r="70" spans="2:25">
      <c r="B70" s="323"/>
      <c r="C70" s="4152" t="s">
        <v>986</v>
      </c>
      <c r="D70" s="3191">
        <v>3.3000000000000002E-2</v>
      </c>
      <c r="E70" s="3191" t="s">
        <v>559</v>
      </c>
      <c r="F70" s="3191" t="s">
        <v>257</v>
      </c>
      <c r="G70" s="4143">
        <v>0.66</v>
      </c>
      <c r="H70" s="4143">
        <v>0.11</v>
      </c>
      <c r="I70" s="3192">
        <v>1.0999999999999999E-2</v>
      </c>
      <c r="J70" s="3193">
        <v>30</v>
      </c>
      <c r="K70" s="3193" t="s">
        <v>560</v>
      </c>
      <c r="L70" s="3446">
        <v>3.8688189964765556</v>
      </c>
      <c r="M70" s="3446">
        <v>0.77078865257215001</v>
      </c>
      <c r="N70" s="4155">
        <v>87747.078251618877</v>
      </c>
      <c r="O70" s="4155">
        <v>440428.85438482888</v>
      </c>
      <c r="P70" s="4155">
        <v>339477.56322517793</v>
      </c>
      <c r="Q70" s="4155">
        <v>339477.56322517793</v>
      </c>
      <c r="R70" s="4153">
        <v>1.081</v>
      </c>
      <c r="S70" s="3499">
        <f t="shared" si="10"/>
        <v>0</v>
      </c>
      <c r="T70" s="3499">
        <f t="shared" si="10"/>
        <v>0</v>
      </c>
      <c r="U70" s="4150">
        <f t="shared" si="14"/>
        <v>0</v>
      </c>
      <c r="V70" s="3635" t="e">
        <f t="shared" si="11"/>
        <v>#DIV/0!</v>
      </c>
      <c r="W70" s="3635" t="e">
        <f t="shared" si="12"/>
        <v>#DIV/0!</v>
      </c>
      <c r="X70" s="3635" t="e">
        <f t="shared" si="13"/>
        <v>#DIV/0!</v>
      </c>
      <c r="Y70" s="3597">
        <f t="shared" si="15"/>
        <v>0</v>
      </c>
    </row>
    <row r="71" spans="2:25">
      <c r="B71" s="323" t="s">
        <v>7</v>
      </c>
      <c r="C71" s="4152" t="s">
        <v>987</v>
      </c>
      <c r="D71" s="3191">
        <v>75</v>
      </c>
      <c r="E71" s="3191" t="s">
        <v>559</v>
      </c>
      <c r="F71" s="3191" t="s">
        <v>186</v>
      </c>
      <c r="G71" s="4143">
        <v>1000</v>
      </c>
      <c r="H71" s="4143">
        <v>500</v>
      </c>
      <c r="I71" s="3192">
        <v>0.25440000000000002</v>
      </c>
      <c r="J71" s="3193">
        <v>30</v>
      </c>
      <c r="K71" s="3193" t="s">
        <v>560</v>
      </c>
      <c r="L71" s="3446">
        <v>1.9519257752985222</v>
      </c>
      <c r="M71" s="3446">
        <v>1.0777338873962283</v>
      </c>
      <c r="N71" s="4155">
        <v>2107565.2998482883</v>
      </c>
      <c r="O71" s="4155">
        <v>3817093.5144643849</v>
      </c>
      <c r="P71" s="4155">
        <v>4113811.0318986326</v>
      </c>
      <c r="Q71" s="4155">
        <v>4113811.0318986326</v>
      </c>
      <c r="R71" s="4153">
        <v>1.081</v>
      </c>
      <c r="S71" s="3499">
        <f t="shared" si="10"/>
        <v>0</v>
      </c>
      <c r="T71" s="3499">
        <f t="shared" si="10"/>
        <v>0</v>
      </c>
      <c r="U71" s="4150">
        <f t="shared" si="14"/>
        <v>0</v>
      </c>
      <c r="V71" s="3635" t="e">
        <f t="shared" si="11"/>
        <v>#DIV/0!</v>
      </c>
      <c r="W71" s="3635" t="e">
        <f t="shared" si="12"/>
        <v>#DIV/0!</v>
      </c>
      <c r="X71" s="3635" t="e">
        <f t="shared" si="13"/>
        <v>#DIV/0!</v>
      </c>
      <c r="Y71" s="3597">
        <f t="shared" si="15"/>
        <v>0</v>
      </c>
    </row>
    <row r="72" spans="2:25">
      <c r="B72" s="323" t="s">
        <v>7</v>
      </c>
      <c r="C72" s="3593" t="s">
        <v>194</v>
      </c>
      <c r="D72" s="323">
        <v>0</v>
      </c>
      <c r="E72" s="323" t="s">
        <v>559</v>
      </c>
      <c r="F72" s="323" t="s">
        <v>232</v>
      </c>
      <c r="G72" s="313"/>
      <c r="H72" s="313"/>
      <c r="I72" s="3192">
        <v>0</v>
      </c>
      <c r="J72" s="323"/>
      <c r="K72" s="243"/>
      <c r="L72" s="3509" t="e">
        <f t="shared" ref="L72:M87" si="16">P72/N72</f>
        <v>#DIV/0!</v>
      </c>
      <c r="M72" s="3509" t="e">
        <f t="shared" si="16"/>
        <v>#DIV/0!</v>
      </c>
      <c r="N72" s="3548">
        <f t="shared" ref="N72:N104" si="17">(($I72*$F$57)+$U72)/$R72</f>
        <v>0</v>
      </c>
      <c r="O72" s="3548">
        <f t="shared" ref="O72:O104" si="18">(($I72*$F$57)+($G72*$O22))/$R72</f>
        <v>0</v>
      </c>
      <c r="P72" s="3548">
        <f>IF(K72=0, 0, (HLOOKUP(K72,'[1]G-CESTD'!$A$5:$G$35,J72+1,FALSE)*R22))</f>
        <v>0</v>
      </c>
      <c r="Q72" s="3548">
        <f>IF(K72=0, 0, (HLOOKUP(K72,'[1]G-CESTD'!$A$5:$G$35,J72+1,FALSE)*R22))</f>
        <v>0</v>
      </c>
      <c r="R72" s="3592">
        <v>1.081</v>
      </c>
      <c r="S72" s="3499">
        <f t="shared" si="10"/>
        <v>0</v>
      </c>
      <c r="T72" s="3499">
        <f t="shared" si="10"/>
        <v>0</v>
      </c>
      <c r="U72" s="4150">
        <f t="shared" si="14"/>
        <v>0</v>
      </c>
      <c r="V72" s="3635" t="e">
        <f t="shared" si="11"/>
        <v>#DIV/0!</v>
      </c>
      <c r="W72" s="3635" t="e">
        <f t="shared" si="12"/>
        <v>#DIV/0!</v>
      </c>
      <c r="X72" s="3635" t="e">
        <f t="shared" si="13"/>
        <v>#DIV/0!</v>
      </c>
      <c r="Y72" s="3597">
        <f t="shared" si="15"/>
        <v>0</v>
      </c>
    </row>
    <row r="73" spans="2:25">
      <c r="B73" s="323" t="s">
        <v>7</v>
      </c>
      <c r="C73" s="3593" t="s">
        <v>195</v>
      </c>
      <c r="D73" s="323">
        <v>0</v>
      </c>
      <c r="E73" s="323" t="s">
        <v>559</v>
      </c>
      <c r="F73" s="323" t="s">
        <v>232</v>
      </c>
      <c r="G73" s="313"/>
      <c r="H73" s="313"/>
      <c r="I73" s="3192">
        <v>0</v>
      </c>
      <c r="J73" s="243"/>
      <c r="K73" s="243"/>
      <c r="L73" s="3509" t="e">
        <f t="shared" si="16"/>
        <v>#DIV/0!</v>
      </c>
      <c r="M73" s="3509" t="e">
        <f t="shared" si="16"/>
        <v>#DIV/0!</v>
      </c>
      <c r="N73" s="3548">
        <f t="shared" si="17"/>
        <v>0</v>
      </c>
      <c r="O73" s="3548">
        <f t="shared" si="18"/>
        <v>0</v>
      </c>
      <c r="P73" s="3548">
        <f>IF(K73=0, 0, (HLOOKUP(K73,'[1]G-CESTD'!$A$5:$G$35,J73+1,FALSE)*R23))</f>
        <v>0</v>
      </c>
      <c r="Q73" s="3548">
        <f>IF(K73=0, 0, (HLOOKUP(K73,'[1]G-CESTD'!$A$5:$G$35,J73+1,FALSE)*R23))</f>
        <v>0</v>
      </c>
      <c r="R73" s="3592">
        <v>1.081</v>
      </c>
      <c r="S73" s="3499">
        <f t="shared" si="10"/>
        <v>0</v>
      </c>
      <c r="T73" s="3499">
        <f t="shared" si="10"/>
        <v>0</v>
      </c>
      <c r="U73" s="4150">
        <f t="shared" si="14"/>
        <v>0</v>
      </c>
      <c r="V73" s="3635" t="e">
        <f t="shared" si="11"/>
        <v>#DIV/0!</v>
      </c>
      <c r="W73" s="3635" t="e">
        <f t="shared" si="12"/>
        <v>#DIV/0!</v>
      </c>
      <c r="X73" s="3635" t="e">
        <f t="shared" si="13"/>
        <v>#DIV/0!</v>
      </c>
      <c r="Y73" s="3597">
        <f t="shared" si="15"/>
        <v>0</v>
      </c>
    </row>
    <row r="74" spans="2:25">
      <c r="B74" s="323" t="s">
        <v>7</v>
      </c>
      <c r="C74" s="3593" t="s">
        <v>196</v>
      </c>
      <c r="D74" s="323">
        <v>0</v>
      </c>
      <c r="E74" s="323" t="s">
        <v>559</v>
      </c>
      <c r="F74" s="323" t="s">
        <v>232</v>
      </c>
      <c r="G74" s="313"/>
      <c r="H74" s="313"/>
      <c r="I74" s="3192">
        <v>0</v>
      </c>
      <c r="J74" s="243"/>
      <c r="K74" s="243"/>
      <c r="L74" s="3509" t="e">
        <f t="shared" si="16"/>
        <v>#DIV/0!</v>
      </c>
      <c r="M74" s="3509" t="e">
        <f t="shared" si="16"/>
        <v>#DIV/0!</v>
      </c>
      <c r="N74" s="3548">
        <f t="shared" si="17"/>
        <v>0</v>
      </c>
      <c r="O74" s="3548">
        <f t="shared" si="18"/>
        <v>0</v>
      </c>
      <c r="P74" s="3548">
        <f>IF(K74=0, 0, (HLOOKUP(K74,'[1]G-CESTD'!$A$5:$G$35,J74+1,FALSE)*R24))</f>
        <v>0</v>
      </c>
      <c r="Q74" s="3548">
        <f>IF(K74=0, 0, (HLOOKUP(K74,'[1]G-CESTD'!$A$5:$G$35,J74+1,FALSE)*R24))</f>
        <v>0</v>
      </c>
      <c r="R74" s="3592">
        <v>1.081</v>
      </c>
      <c r="S74" s="3499">
        <f t="shared" si="10"/>
        <v>0</v>
      </c>
      <c r="T74" s="3499">
        <f t="shared" si="10"/>
        <v>0</v>
      </c>
      <c r="U74" s="4150">
        <f t="shared" si="14"/>
        <v>0</v>
      </c>
      <c r="V74" s="3635" t="e">
        <f t="shared" si="11"/>
        <v>#DIV/0!</v>
      </c>
      <c r="W74" s="3635" t="e">
        <f t="shared" si="12"/>
        <v>#DIV/0!</v>
      </c>
      <c r="X74" s="3635" t="e">
        <f t="shared" si="13"/>
        <v>#DIV/0!</v>
      </c>
      <c r="Y74" s="3597">
        <f t="shared" si="15"/>
        <v>0</v>
      </c>
    </row>
    <row r="75" spans="2:25">
      <c r="B75" s="323"/>
      <c r="C75" s="3593" t="s">
        <v>197</v>
      </c>
      <c r="D75" s="323">
        <v>0</v>
      </c>
      <c r="E75" s="323" t="s">
        <v>559</v>
      </c>
      <c r="F75" s="323" t="s">
        <v>186</v>
      </c>
      <c r="G75" s="313"/>
      <c r="H75" s="313"/>
      <c r="I75" s="3192" t="e">
        <f>R25/R$8</f>
        <v>#DIV/0!</v>
      </c>
      <c r="J75" s="243"/>
      <c r="K75" s="243"/>
      <c r="L75" s="3509" t="e">
        <f t="shared" si="16"/>
        <v>#DIV/0!</v>
      </c>
      <c r="M75" s="3509" t="e">
        <f t="shared" si="16"/>
        <v>#DIV/0!</v>
      </c>
      <c r="N75" s="3548" t="e">
        <f t="shared" si="17"/>
        <v>#DIV/0!</v>
      </c>
      <c r="O75" s="3548" t="e">
        <f t="shared" si="18"/>
        <v>#DIV/0!</v>
      </c>
      <c r="P75" s="3548">
        <f>IF(K75=0, 0, (HLOOKUP(K75,'[1]G-CESTD'!$A$5:$G$35,J75+1,FALSE)*R25))</f>
        <v>0</v>
      </c>
      <c r="Q75" s="3548">
        <f>IF(K75=0, 0, (HLOOKUP(K75,'[1]G-CESTD'!$A$5:$G$35,J75+1,FALSE)*R25))</f>
        <v>0</v>
      </c>
      <c r="R75" s="3592">
        <v>1.081</v>
      </c>
      <c r="S75" s="3499">
        <f t="shared" si="10"/>
        <v>0</v>
      </c>
      <c r="T75" s="3499">
        <f t="shared" si="10"/>
        <v>0</v>
      </c>
      <c r="U75" s="4150">
        <f t="shared" si="14"/>
        <v>0</v>
      </c>
      <c r="V75" s="3635" t="e">
        <f t="shared" si="11"/>
        <v>#DIV/0!</v>
      </c>
      <c r="W75" s="3635" t="e">
        <f t="shared" si="12"/>
        <v>#DIV/0!</v>
      </c>
      <c r="X75" s="3635" t="e">
        <f t="shared" si="13"/>
        <v>#DIV/0!</v>
      </c>
      <c r="Y75" s="3597" t="e">
        <f t="shared" si="15"/>
        <v>#DIV/0!</v>
      </c>
    </row>
    <row r="76" spans="2:25">
      <c r="B76" s="3593"/>
      <c r="C76" s="3593" t="s">
        <v>198</v>
      </c>
      <c r="D76" s="3593">
        <v>0</v>
      </c>
      <c r="E76" s="3593" t="s">
        <v>559</v>
      </c>
      <c r="F76" s="3593" t="s">
        <v>186</v>
      </c>
      <c r="G76" s="313"/>
      <c r="H76" s="313"/>
      <c r="I76" s="4145">
        <v>0</v>
      </c>
      <c r="J76" s="3574"/>
      <c r="K76" s="3574"/>
      <c r="L76" s="3509" t="e">
        <f t="shared" si="16"/>
        <v>#DIV/0!</v>
      </c>
      <c r="M76" s="3509" t="e">
        <f t="shared" si="16"/>
        <v>#DIV/0!</v>
      </c>
      <c r="N76" s="3548">
        <f t="shared" si="17"/>
        <v>0</v>
      </c>
      <c r="O76" s="3548">
        <f t="shared" si="18"/>
        <v>0</v>
      </c>
      <c r="P76" s="3548">
        <f>IF(K76=0, 0, (HLOOKUP(K76,'[1]G-CESTDWO'!$A$5:$G$35,J76+1,FALSE)*R26))</f>
        <v>0</v>
      </c>
      <c r="Q76" s="3548">
        <f>IF(K76=0, 0, (HLOOKUP(K76,'[1]G-CESTD'!$A$5:$G$35,J76+1,FALSE)*R26))</f>
        <v>0</v>
      </c>
      <c r="R76" s="3592">
        <v>1.081</v>
      </c>
      <c r="S76" s="3499">
        <f t="shared" si="10"/>
        <v>0</v>
      </c>
      <c r="T76" s="3499">
        <f t="shared" si="10"/>
        <v>0</v>
      </c>
      <c r="U76" s="4150">
        <f t="shared" si="14"/>
        <v>0</v>
      </c>
      <c r="V76" s="3635" t="e">
        <f t="shared" si="11"/>
        <v>#DIV/0!</v>
      </c>
      <c r="W76" s="3635" t="e">
        <f t="shared" si="12"/>
        <v>#DIV/0!</v>
      </c>
      <c r="X76" s="3635" t="e">
        <f t="shared" si="13"/>
        <v>#DIV/0!</v>
      </c>
    </row>
    <row r="77" spans="2:25">
      <c r="B77" s="3593"/>
      <c r="C77" s="3593" t="s">
        <v>199</v>
      </c>
      <c r="D77" s="3574">
        <v>0</v>
      </c>
      <c r="E77" s="3593" t="s">
        <v>559</v>
      </c>
      <c r="F77" s="3593" t="s">
        <v>186</v>
      </c>
      <c r="G77" s="3594"/>
      <c r="H77" s="3594"/>
      <c r="I77" s="4156">
        <v>0</v>
      </c>
      <c r="J77" s="3574"/>
      <c r="K77" s="3574"/>
      <c r="L77" s="3509" t="e">
        <f t="shared" si="16"/>
        <v>#DIV/0!</v>
      </c>
      <c r="M77" s="3509" t="e">
        <f t="shared" si="16"/>
        <v>#DIV/0!</v>
      </c>
      <c r="N77" s="3548">
        <f t="shared" si="17"/>
        <v>0</v>
      </c>
      <c r="O77" s="3548">
        <f t="shared" si="18"/>
        <v>0</v>
      </c>
      <c r="P77" s="3548">
        <f>IF(K77=0, 0, (HLOOKUP(K77,'[1]G-CESTDWO'!$A$5:$G$35,J77+1,FALSE)*R27))</f>
        <v>0</v>
      </c>
      <c r="Q77" s="3548">
        <f>IF(K77=0, 0, (HLOOKUP(K77,'[1]G-CESTD'!$A$5:$G$35,J77+1,FALSE)*R27))</f>
        <v>0</v>
      </c>
      <c r="R77" s="3592">
        <v>1.081</v>
      </c>
      <c r="S77" s="3499">
        <f t="shared" si="10"/>
        <v>0</v>
      </c>
      <c r="T77" s="3499">
        <f t="shared" si="10"/>
        <v>0</v>
      </c>
      <c r="U77" s="4150">
        <f t="shared" si="14"/>
        <v>0</v>
      </c>
      <c r="V77" s="3635" t="e">
        <f t="shared" si="11"/>
        <v>#DIV/0!</v>
      </c>
      <c r="W77" s="3635" t="e">
        <f t="shared" si="12"/>
        <v>#DIV/0!</v>
      </c>
      <c r="X77" s="3635" t="e">
        <f t="shared" si="13"/>
        <v>#DIV/0!</v>
      </c>
    </row>
    <row r="78" spans="2:25">
      <c r="B78" s="3593"/>
      <c r="C78" s="3593" t="s">
        <v>200</v>
      </c>
      <c r="D78" s="3593">
        <v>0</v>
      </c>
      <c r="E78" s="3593" t="s">
        <v>559</v>
      </c>
      <c r="F78" s="3593" t="s">
        <v>186</v>
      </c>
      <c r="G78" s="3594"/>
      <c r="H78" s="3594"/>
      <c r="I78" s="4156">
        <v>0</v>
      </c>
      <c r="J78" s="3574"/>
      <c r="K78" s="3574"/>
      <c r="L78" s="3509" t="e">
        <f t="shared" si="16"/>
        <v>#DIV/0!</v>
      </c>
      <c r="M78" s="3509" t="e">
        <f t="shared" si="16"/>
        <v>#DIV/0!</v>
      </c>
      <c r="N78" s="3548">
        <f t="shared" si="17"/>
        <v>0</v>
      </c>
      <c r="O78" s="3548">
        <f t="shared" si="18"/>
        <v>0</v>
      </c>
      <c r="P78" s="3548">
        <f>IF(K78=0, 0, (HLOOKUP(K78,'[1]G-CESTDWO'!$A$5:$G$35,J78+1,FALSE)*R28))</f>
        <v>0</v>
      </c>
      <c r="Q78" s="3548">
        <f>IF(K78=0, 0, (HLOOKUP(K78,'[1]G-CESTD'!$A$5:$G$35,J78+1,FALSE)*R28))</f>
        <v>0</v>
      </c>
      <c r="R78" s="3592">
        <v>1.081</v>
      </c>
      <c r="S78" s="3499">
        <f t="shared" si="10"/>
        <v>0</v>
      </c>
      <c r="T78" s="3499">
        <f t="shared" si="10"/>
        <v>0</v>
      </c>
      <c r="U78" s="4150">
        <f t="shared" si="14"/>
        <v>0</v>
      </c>
      <c r="V78" s="3635" t="e">
        <f t="shared" si="11"/>
        <v>#DIV/0!</v>
      </c>
      <c r="W78" s="3635" t="e">
        <f t="shared" si="12"/>
        <v>#DIV/0!</v>
      </c>
      <c r="X78" s="3635" t="e">
        <f t="shared" si="13"/>
        <v>#DIV/0!</v>
      </c>
    </row>
    <row r="79" spans="2:25">
      <c r="B79" s="3593"/>
      <c r="C79" s="3593" t="s">
        <v>201</v>
      </c>
      <c r="D79" s="3574">
        <v>0</v>
      </c>
      <c r="E79" s="3593" t="s">
        <v>559</v>
      </c>
      <c r="F79" s="3593" t="s">
        <v>186</v>
      </c>
      <c r="G79" s="3594"/>
      <c r="H79" s="3594"/>
      <c r="I79" s="4156">
        <v>0</v>
      </c>
      <c r="J79" s="3574"/>
      <c r="K79" s="3574"/>
      <c r="L79" s="3509" t="e">
        <f t="shared" si="16"/>
        <v>#DIV/0!</v>
      </c>
      <c r="M79" s="3509" t="e">
        <f t="shared" si="16"/>
        <v>#DIV/0!</v>
      </c>
      <c r="N79" s="3548">
        <f t="shared" si="17"/>
        <v>0</v>
      </c>
      <c r="O79" s="3548">
        <f t="shared" si="18"/>
        <v>0</v>
      </c>
      <c r="P79" s="3548">
        <f>IF(K79=0, 0, (HLOOKUP(K79,'[1]G-CESTDWO'!$A$5:$G$35,J79+1,FALSE)*R29))</f>
        <v>0</v>
      </c>
      <c r="Q79" s="3548">
        <f>IF(K79=0, 0, (HLOOKUP(K79,'[1]G-CESTD'!$A$5:$G$35,J79+1,FALSE)*R29))</f>
        <v>0</v>
      </c>
      <c r="R79" s="3592">
        <v>1.081</v>
      </c>
      <c r="S79" s="3499">
        <f t="shared" ref="S79:T104" si="19">M29*$H79</f>
        <v>0</v>
      </c>
      <c r="T79" s="3499">
        <f t="shared" si="19"/>
        <v>0</v>
      </c>
      <c r="U79" s="4150">
        <f t="shared" si="14"/>
        <v>0</v>
      </c>
      <c r="V79" s="3635" t="e">
        <f t="shared" si="11"/>
        <v>#DIV/0!</v>
      </c>
      <c r="W79" s="3635" t="e">
        <f t="shared" si="12"/>
        <v>#DIV/0!</v>
      </c>
      <c r="X79" s="3635" t="e">
        <f t="shared" si="13"/>
        <v>#DIV/0!</v>
      </c>
    </row>
    <row r="80" spans="2:25">
      <c r="B80" s="3593"/>
      <c r="C80" s="3593" t="s">
        <v>202</v>
      </c>
      <c r="D80" s="3593">
        <v>0</v>
      </c>
      <c r="E80" s="3593" t="s">
        <v>559</v>
      </c>
      <c r="F80" s="3593" t="s">
        <v>186</v>
      </c>
      <c r="G80" s="3594"/>
      <c r="H80" s="3594"/>
      <c r="I80" s="4156">
        <v>0</v>
      </c>
      <c r="J80" s="3574"/>
      <c r="K80" s="3574"/>
      <c r="L80" s="3509" t="e">
        <f t="shared" si="16"/>
        <v>#DIV/0!</v>
      </c>
      <c r="M80" s="3509" t="e">
        <f t="shared" si="16"/>
        <v>#DIV/0!</v>
      </c>
      <c r="N80" s="3548">
        <f t="shared" si="17"/>
        <v>0</v>
      </c>
      <c r="O80" s="3548">
        <f t="shared" si="18"/>
        <v>0</v>
      </c>
      <c r="P80" s="3548">
        <f>IF(K80=0, 0, (HLOOKUP(K80,'[1]G-CESTDWO'!$A$5:$G$35,J80+1,FALSE)*R30))</f>
        <v>0</v>
      </c>
      <c r="Q80" s="3548">
        <f>IF(K80=0, 0, (HLOOKUP(K80,'[1]G-CESTD'!$A$5:$G$35,J80+1,FALSE)*R30))</f>
        <v>0</v>
      </c>
      <c r="R80" s="3592">
        <v>1.081</v>
      </c>
      <c r="S80" s="3499">
        <f t="shared" si="19"/>
        <v>0</v>
      </c>
      <c r="T80" s="3499">
        <f t="shared" si="19"/>
        <v>0</v>
      </c>
      <c r="U80" s="4150">
        <f t="shared" si="14"/>
        <v>0</v>
      </c>
      <c r="V80" s="3635" t="e">
        <f t="shared" si="11"/>
        <v>#DIV/0!</v>
      </c>
      <c r="W80" s="3635" t="e">
        <f t="shared" si="12"/>
        <v>#DIV/0!</v>
      </c>
      <c r="X80" s="3635" t="e">
        <f t="shared" si="13"/>
        <v>#DIV/0!</v>
      </c>
    </row>
    <row r="81" spans="2:24">
      <c r="B81" s="3593"/>
      <c r="C81" s="3593" t="s">
        <v>203</v>
      </c>
      <c r="D81" s="3593">
        <v>0</v>
      </c>
      <c r="E81" s="3593" t="s">
        <v>559</v>
      </c>
      <c r="F81" s="3593" t="s">
        <v>186</v>
      </c>
      <c r="G81" s="3594"/>
      <c r="H81" s="3594"/>
      <c r="I81" s="4156">
        <v>0</v>
      </c>
      <c r="J81" s="3574"/>
      <c r="K81" s="3574"/>
      <c r="L81" s="3509" t="e">
        <f t="shared" si="16"/>
        <v>#DIV/0!</v>
      </c>
      <c r="M81" s="3509" t="e">
        <f t="shared" si="16"/>
        <v>#DIV/0!</v>
      </c>
      <c r="N81" s="3548">
        <f t="shared" si="17"/>
        <v>0</v>
      </c>
      <c r="O81" s="3548">
        <f t="shared" si="18"/>
        <v>0</v>
      </c>
      <c r="P81" s="3548">
        <f>IF(K81=0, 0, (HLOOKUP(K81,'[1]G-CESTDWO'!$A$5:$G$35,J81+1,FALSE)*R31))</f>
        <v>0</v>
      </c>
      <c r="Q81" s="3548">
        <f>IF(K81=0, 0, (HLOOKUP(K81,'[1]G-CESTD'!$A$5:$G$35,J81+1,FALSE)*R31))</f>
        <v>0</v>
      </c>
      <c r="R81" s="3592">
        <v>1.081</v>
      </c>
      <c r="S81" s="3499">
        <f t="shared" si="19"/>
        <v>0</v>
      </c>
      <c r="T81" s="3499">
        <f t="shared" si="19"/>
        <v>0</v>
      </c>
      <c r="U81" s="4150">
        <f t="shared" si="14"/>
        <v>0</v>
      </c>
      <c r="V81" s="3635" t="e">
        <f t="shared" si="11"/>
        <v>#DIV/0!</v>
      </c>
      <c r="W81" s="3635" t="e">
        <f t="shared" si="12"/>
        <v>#DIV/0!</v>
      </c>
      <c r="X81" s="3635" t="e">
        <f t="shared" si="13"/>
        <v>#DIV/0!</v>
      </c>
    </row>
    <row r="82" spans="2:24">
      <c r="B82" s="3593"/>
      <c r="C82" s="3593" t="s">
        <v>204</v>
      </c>
      <c r="D82" s="3593">
        <v>0</v>
      </c>
      <c r="E82" s="3593" t="s">
        <v>559</v>
      </c>
      <c r="F82" s="3593" t="s">
        <v>186</v>
      </c>
      <c r="G82" s="3594"/>
      <c r="H82" s="3594"/>
      <c r="I82" s="4156">
        <v>0</v>
      </c>
      <c r="J82" s="3574"/>
      <c r="K82" s="3574"/>
      <c r="L82" s="3509" t="e">
        <f t="shared" si="16"/>
        <v>#DIV/0!</v>
      </c>
      <c r="M82" s="3509" t="e">
        <f t="shared" si="16"/>
        <v>#DIV/0!</v>
      </c>
      <c r="N82" s="3548">
        <f t="shared" si="17"/>
        <v>0</v>
      </c>
      <c r="O82" s="3548">
        <f t="shared" si="18"/>
        <v>0</v>
      </c>
      <c r="P82" s="3548">
        <f>IF(K82=0, 0, (HLOOKUP(K82,'[1]G-CESTDWO'!$A$5:$G$35,J82+1,FALSE)*R32))</f>
        <v>0</v>
      </c>
      <c r="Q82" s="3548">
        <f>IF(K82=0, 0, (HLOOKUP(K82,'[1]G-CESTD'!$A$5:$G$35,J82+1,FALSE)*R32))</f>
        <v>0</v>
      </c>
      <c r="R82" s="3592">
        <v>1.081</v>
      </c>
      <c r="S82" s="3499">
        <f t="shared" si="19"/>
        <v>0</v>
      </c>
      <c r="T82" s="3499">
        <f t="shared" si="19"/>
        <v>0</v>
      </c>
      <c r="U82" s="4150">
        <f t="shared" si="14"/>
        <v>0</v>
      </c>
    </row>
    <row r="83" spans="2:24">
      <c r="B83" s="3593"/>
      <c r="C83" s="3593" t="s">
        <v>205</v>
      </c>
      <c r="D83" s="3595">
        <v>0</v>
      </c>
      <c r="E83" s="3593" t="s">
        <v>559</v>
      </c>
      <c r="F83" s="3593" t="s">
        <v>186</v>
      </c>
      <c r="G83" s="3594"/>
      <c r="H83" s="3594"/>
      <c r="I83" s="4156">
        <v>0</v>
      </c>
      <c r="J83" s="3574"/>
      <c r="K83" s="3574"/>
      <c r="L83" s="3509" t="e">
        <f t="shared" si="16"/>
        <v>#DIV/0!</v>
      </c>
      <c r="M83" s="3509" t="e">
        <f t="shared" si="16"/>
        <v>#DIV/0!</v>
      </c>
      <c r="N83" s="3548">
        <f t="shared" si="17"/>
        <v>0</v>
      </c>
      <c r="O83" s="3548">
        <f t="shared" si="18"/>
        <v>0</v>
      </c>
      <c r="P83" s="3548">
        <f>IF(K83=0, 0, (HLOOKUP(K83,'[1]G-CESTDWO'!$A$5:$G$35,J83+1,FALSE)*R33))</f>
        <v>0</v>
      </c>
      <c r="Q83" s="3548">
        <f>IF(K83=0, 0, (HLOOKUP(K83,'[1]G-CESTD'!$A$5:$G$35,J83+1,FALSE)*R33))</f>
        <v>0</v>
      </c>
      <c r="R83" s="3592">
        <v>1.081</v>
      </c>
      <c r="S83" s="3499">
        <f t="shared" si="19"/>
        <v>0</v>
      </c>
      <c r="T83" s="3499">
        <f t="shared" si="19"/>
        <v>0</v>
      </c>
      <c r="U83" s="4150">
        <f t="shared" si="14"/>
        <v>0</v>
      </c>
    </row>
    <row r="84" spans="2:24">
      <c r="B84" s="3593"/>
      <c r="C84" s="3593" t="s">
        <v>206</v>
      </c>
      <c r="D84" s="3595">
        <v>0</v>
      </c>
      <c r="E84" s="3593" t="s">
        <v>559</v>
      </c>
      <c r="F84" s="3593" t="s">
        <v>186</v>
      </c>
      <c r="G84" s="3594"/>
      <c r="H84" s="3594"/>
      <c r="I84" s="4156">
        <v>0</v>
      </c>
      <c r="J84" s="3574"/>
      <c r="K84" s="3574"/>
      <c r="L84" s="3509" t="e">
        <f t="shared" si="16"/>
        <v>#DIV/0!</v>
      </c>
      <c r="M84" s="3509" t="e">
        <f t="shared" si="16"/>
        <v>#DIV/0!</v>
      </c>
      <c r="N84" s="3548">
        <f t="shared" si="17"/>
        <v>0</v>
      </c>
      <c r="O84" s="3548">
        <f t="shared" si="18"/>
        <v>0</v>
      </c>
      <c r="P84" s="3548">
        <f>IF(K84=0, 0, (HLOOKUP(K84,'[1]G-CESTDWO'!$A$5:$G$35,J84+1,FALSE)*R34))</f>
        <v>0</v>
      </c>
      <c r="Q84" s="3548">
        <f>IF(K84=0, 0, (HLOOKUP(K84,'[1]G-CESTD'!$A$5:$G$35,J84+1,FALSE)*R34))</f>
        <v>0</v>
      </c>
      <c r="R84" s="3592">
        <v>1.081</v>
      </c>
      <c r="S84" s="3499">
        <f t="shared" si="19"/>
        <v>0</v>
      </c>
      <c r="T84" s="3499">
        <f t="shared" si="19"/>
        <v>0</v>
      </c>
      <c r="U84" s="4150">
        <f t="shared" si="14"/>
        <v>0</v>
      </c>
    </row>
    <row r="85" spans="2:24">
      <c r="B85" s="3593"/>
      <c r="C85" s="3593" t="s">
        <v>207</v>
      </c>
      <c r="D85" s="3595">
        <v>0</v>
      </c>
      <c r="E85" s="3593" t="s">
        <v>559</v>
      </c>
      <c r="F85" s="3593" t="s">
        <v>186</v>
      </c>
      <c r="G85" s="3594"/>
      <c r="H85" s="3594"/>
      <c r="I85" s="4156">
        <v>0</v>
      </c>
      <c r="J85" s="3574"/>
      <c r="K85" s="3574"/>
      <c r="L85" s="3509" t="e">
        <f t="shared" si="16"/>
        <v>#DIV/0!</v>
      </c>
      <c r="M85" s="3509" t="e">
        <f t="shared" si="16"/>
        <v>#DIV/0!</v>
      </c>
      <c r="N85" s="3548">
        <f t="shared" si="17"/>
        <v>0</v>
      </c>
      <c r="O85" s="3548">
        <f t="shared" si="18"/>
        <v>0</v>
      </c>
      <c r="P85" s="3548">
        <f>IF(K85=0, 0, (HLOOKUP(K85,'[1]G-CESTDWO'!$A$5:$G$35,J85+1,FALSE)*R35))</f>
        <v>0</v>
      </c>
      <c r="Q85" s="3548">
        <f>IF(K85=0, 0, (HLOOKUP(K85,'[1]G-CESTD'!$A$5:$G$35,J85+1,FALSE)*R35))</f>
        <v>0</v>
      </c>
      <c r="R85" s="3592">
        <v>1.081</v>
      </c>
      <c r="S85" s="3499">
        <f t="shared" si="19"/>
        <v>0</v>
      </c>
      <c r="T85" s="3499">
        <f t="shared" si="19"/>
        <v>0</v>
      </c>
      <c r="U85" s="4150">
        <f t="shared" si="14"/>
        <v>0</v>
      </c>
    </row>
    <row r="86" spans="2:24">
      <c r="B86" s="3593"/>
      <c r="C86" s="3593" t="s">
        <v>208</v>
      </c>
      <c r="D86" s="3595">
        <v>0</v>
      </c>
      <c r="E86" s="3593" t="s">
        <v>559</v>
      </c>
      <c r="F86" s="3593" t="s">
        <v>186</v>
      </c>
      <c r="G86" s="3594"/>
      <c r="H86" s="3594"/>
      <c r="I86" s="4156">
        <v>0</v>
      </c>
      <c r="J86" s="3574"/>
      <c r="K86" s="3574"/>
      <c r="L86" s="3509" t="e">
        <f t="shared" si="16"/>
        <v>#DIV/0!</v>
      </c>
      <c r="M86" s="3509" t="e">
        <f t="shared" si="16"/>
        <v>#DIV/0!</v>
      </c>
      <c r="N86" s="3548">
        <f t="shared" si="17"/>
        <v>0</v>
      </c>
      <c r="O86" s="3548">
        <f t="shared" si="18"/>
        <v>0</v>
      </c>
      <c r="P86" s="3548">
        <f>IF(K86=0, 0, (HLOOKUP(K86,'[1]G-CESTDWO'!$A$5:$G$35,J86+1,FALSE)*R36))</f>
        <v>0</v>
      </c>
      <c r="Q86" s="3548">
        <f>IF(K86=0, 0, (HLOOKUP(K86,'[1]G-CESTD'!$A$5:$G$35,J86+1,FALSE)*R36))</f>
        <v>0</v>
      </c>
      <c r="R86" s="3592">
        <v>1.081</v>
      </c>
      <c r="S86" s="3499">
        <f t="shared" si="19"/>
        <v>0</v>
      </c>
      <c r="T86" s="3499">
        <f t="shared" si="19"/>
        <v>0</v>
      </c>
      <c r="U86" s="4150">
        <f t="shared" si="14"/>
        <v>0</v>
      </c>
    </row>
    <row r="87" spans="2:24">
      <c r="B87" s="3593"/>
      <c r="C87" s="3593" t="s">
        <v>209</v>
      </c>
      <c r="D87" s="3595">
        <v>0</v>
      </c>
      <c r="E87" s="3593" t="s">
        <v>559</v>
      </c>
      <c r="F87" s="3593" t="s">
        <v>186</v>
      </c>
      <c r="G87" s="3594"/>
      <c r="H87" s="3594"/>
      <c r="I87" s="4156">
        <v>0</v>
      </c>
      <c r="J87" s="3574"/>
      <c r="K87" s="3574"/>
      <c r="L87" s="3509" t="e">
        <f t="shared" si="16"/>
        <v>#DIV/0!</v>
      </c>
      <c r="M87" s="3509" t="e">
        <f t="shared" si="16"/>
        <v>#DIV/0!</v>
      </c>
      <c r="N87" s="3548">
        <f t="shared" si="17"/>
        <v>0</v>
      </c>
      <c r="O87" s="3548">
        <f t="shared" si="18"/>
        <v>0</v>
      </c>
      <c r="P87" s="3548">
        <f>IF(K87=0, 0, (HLOOKUP(K87,'[1]G-CESTDWO'!$A$5:$G$35,J87+1,FALSE)*R37))</f>
        <v>0</v>
      </c>
      <c r="Q87" s="3548">
        <f>IF(K87=0, 0, (HLOOKUP(K87,'[1]G-CESTD'!$A$5:$G$35,J87+1,FALSE)*R37))</f>
        <v>0</v>
      </c>
      <c r="R87" s="3592">
        <v>1.081</v>
      </c>
      <c r="S87" s="3499">
        <f t="shared" si="19"/>
        <v>0</v>
      </c>
      <c r="T87" s="3499">
        <f t="shared" si="19"/>
        <v>0</v>
      </c>
      <c r="U87" s="4150">
        <f t="shared" si="14"/>
        <v>0</v>
      </c>
    </row>
    <row r="88" spans="2:24">
      <c r="B88" s="3593"/>
      <c r="C88" s="3593" t="s">
        <v>210</v>
      </c>
      <c r="D88" s="3595">
        <v>0</v>
      </c>
      <c r="E88" s="3593" t="s">
        <v>559</v>
      </c>
      <c r="F88" s="3593" t="s">
        <v>186</v>
      </c>
      <c r="G88" s="3594"/>
      <c r="H88" s="3594"/>
      <c r="I88" s="4156">
        <v>0</v>
      </c>
      <c r="J88" s="3574"/>
      <c r="K88" s="3574"/>
      <c r="L88" s="3509" t="e">
        <f t="shared" ref="L88:M104" si="20">P88/N88</f>
        <v>#DIV/0!</v>
      </c>
      <c r="M88" s="3509" t="e">
        <f t="shared" si="20"/>
        <v>#DIV/0!</v>
      </c>
      <c r="N88" s="3548">
        <f t="shared" si="17"/>
        <v>0</v>
      </c>
      <c r="O88" s="3548">
        <f t="shared" si="18"/>
        <v>0</v>
      </c>
      <c r="P88" s="3548">
        <f>IF(K88=0, 0, (HLOOKUP(K88,'[1]G-CESTDWO'!$A$5:$G$35,J88+1,FALSE)*R38))</f>
        <v>0</v>
      </c>
      <c r="Q88" s="3548">
        <f>IF(K88=0, 0, (HLOOKUP(K88,'[1]G-CESTD'!$A$5:$G$35,J88+1,FALSE)*R38))</f>
        <v>0</v>
      </c>
      <c r="R88" s="3592">
        <v>1.081</v>
      </c>
      <c r="S88" s="3499">
        <f t="shared" si="19"/>
        <v>0</v>
      </c>
      <c r="T88" s="3499">
        <f t="shared" si="19"/>
        <v>0</v>
      </c>
      <c r="U88" s="4150">
        <f t="shared" si="14"/>
        <v>0</v>
      </c>
    </row>
    <row r="89" spans="2:24">
      <c r="B89" s="3593"/>
      <c r="C89" s="3593" t="s">
        <v>211</v>
      </c>
      <c r="D89" s="3595">
        <v>0</v>
      </c>
      <c r="E89" s="3593" t="s">
        <v>559</v>
      </c>
      <c r="F89" s="3593" t="s">
        <v>186</v>
      </c>
      <c r="G89" s="3594"/>
      <c r="H89" s="3594"/>
      <c r="I89" s="4156">
        <v>0</v>
      </c>
      <c r="J89" s="3574"/>
      <c r="K89" s="3574"/>
      <c r="L89" s="3509" t="e">
        <f t="shared" si="20"/>
        <v>#DIV/0!</v>
      </c>
      <c r="M89" s="3509" t="e">
        <f t="shared" si="20"/>
        <v>#DIV/0!</v>
      </c>
      <c r="N89" s="3548">
        <f t="shared" si="17"/>
        <v>0</v>
      </c>
      <c r="O89" s="3548">
        <f t="shared" si="18"/>
        <v>0</v>
      </c>
      <c r="P89" s="3548">
        <f>IF(K89=0, 0, (HLOOKUP(K89,'[1]G-CESTDWO'!$A$5:$G$35,J89+1,FALSE)*R39))</f>
        <v>0</v>
      </c>
      <c r="Q89" s="3548">
        <f>IF(K89=0, 0, (HLOOKUP(K89,'[1]G-CESTD'!$A$5:$G$35,J89+1,FALSE)*R39))</f>
        <v>0</v>
      </c>
      <c r="R89" s="3592">
        <v>1.081</v>
      </c>
      <c r="S89" s="3499">
        <f t="shared" si="19"/>
        <v>0</v>
      </c>
      <c r="T89" s="3499">
        <f t="shared" si="19"/>
        <v>0</v>
      </c>
      <c r="U89" s="4150">
        <f t="shared" si="14"/>
        <v>0</v>
      </c>
    </row>
    <row r="90" spans="2:24">
      <c r="B90" s="3593"/>
      <c r="C90" s="3593" t="s">
        <v>212</v>
      </c>
      <c r="D90" s="3595">
        <v>0</v>
      </c>
      <c r="E90" s="3593" t="s">
        <v>559</v>
      </c>
      <c r="F90" s="3593" t="s">
        <v>186</v>
      </c>
      <c r="G90" s="3594"/>
      <c r="H90" s="3594"/>
      <c r="I90" s="4156">
        <v>0</v>
      </c>
      <c r="J90" s="3574"/>
      <c r="K90" s="3574"/>
      <c r="L90" s="3509" t="e">
        <f t="shared" si="20"/>
        <v>#DIV/0!</v>
      </c>
      <c r="M90" s="3509" t="e">
        <f t="shared" si="20"/>
        <v>#DIV/0!</v>
      </c>
      <c r="N90" s="3548">
        <f t="shared" si="17"/>
        <v>0</v>
      </c>
      <c r="O90" s="3548">
        <f t="shared" si="18"/>
        <v>0</v>
      </c>
      <c r="P90" s="3548">
        <f>IF(K90=0, 0, (HLOOKUP(K90,'[1]G-CESTDWO'!$A$5:$G$35,J90+1,FALSE)*R40))</f>
        <v>0</v>
      </c>
      <c r="Q90" s="3548">
        <f>IF(K90=0, 0, (HLOOKUP(K90,'[1]G-CESTD'!$A$5:$G$35,J90+1,FALSE)*R40))</f>
        <v>0</v>
      </c>
      <c r="R90" s="3592">
        <v>1.081</v>
      </c>
      <c r="S90" s="3499">
        <f t="shared" si="19"/>
        <v>0</v>
      </c>
      <c r="T90" s="3499">
        <f t="shared" si="19"/>
        <v>0</v>
      </c>
      <c r="U90" s="4150">
        <f t="shared" si="14"/>
        <v>0</v>
      </c>
    </row>
    <row r="91" spans="2:24">
      <c r="B91" s="3593"/>
      <c r="C91" s="3593" t="s">
        <v>213</v>
      </c>
      <c r="D91" s="3595">
        <v>0</v>
      </c>
      <c r="E91" s="3593" t="s">
        <v>559</v>
      </c>
      <c r="F91" s="3593" t="s">
        <v>186</v>
      </c>
      <c r="G91" s="3594"/>
      <c r="H91" s="3594"/>
      <c r="I91" s="4156">
        <v>0</v>
      </c>
      <c r="J91" s="3574"/>
      <c r="K91" s="3574"/>
      <c r="L91" s="3509" t="e">
        <f t="shared" si="20"/>
        <v>#DIV/0!</v>
      </c>
      <c r="M91" s="3509" t="e">
        <f t="shared" si="20"/>
        <v>#DIV/0!</v>
      </c>
      <c r="N91" s="3548">
        <f t="shared" si="17"/>
        <v>0</v>
      </c>
      <c r="O91" s="3548">
        <f t="shared" si="18"/>
        <v>0</v>
      </c>
      <c r="P91" s="3548">
        <f>IF(K91=0, 0, (HLOOKUP(K91,'[1]G-CESTDWO'!$A$5:$G$35,J91+1,FALSE)*R41))</f>
        <v>0</v>
      </c>
      <c r="Q91" s="3548">
        <f>IF(K91=0, 0, (HLOOKUP(K91,'[1]G-CESTD'!$A$5:$G$35,J91+1,FALSE)*R41))</f>
        <v>0</v>
      </c>
      <c r="R91" s="3592">
        <v>1.081</v>
      </c>
      <c r="S91" s="3499">
        <f t="shared" si="19"/>
        <v>0</v>
      </c>
      <c r="T91" s="3499">
        <f t="shared" si="19"/>
        <v>0</v>
      </c>
      <c r="U91" s="4150">
        <f t="shared" si="14"/>
        <v>0</v>
      </c>
    </row>
    <row r="92" spans="2:24">
      <c r="B92" s="3593"/>
      <c r="C92" s="3593" t="s">
        <v>214</v>
      </c>
      <c r="D92" s="3595">
        <v>0</v>
      </c>
      <c r="E92" s="3593" t="s">
        <v>559</v>
      </c>
      <c r="F92" s="3593" t="s">
        <v>186</v>
      </c>
      <c r="G92" s="3594"/>
      <c r="H92" s="3594"/>
      <c r="I92" s="4156">
        <v>0</v>
      </c>
      <c r="J92" s="3574"/>
      <c r="K92" s="3574"/>
      <c r="L92" s="3509" t="e">
        <f t="shared" si="20"/>
        <v>#DIV/0!</v>
      </c>
      <c r="M92" s="3509" t="e">
        <f t="shared" si="20"/>
        <v>#DIV/0!</v>
      </c>
      <c r="N92" s="3548">
        <f t="shared" si="17"/>
        <v>0</v>
      </c>
      <c r="O92" s="3548">
        <f t="shared" si="18"/>
        <v>0</v>
      </c>
      <c r="P92" s="3548">
        <f>IF(K92=0, 0, (HLOOKUP(K92,'[1]G-CESTDWO'!$A$5:$G$35,J92+1,FALSE)*R42))</f>
        <v>0</v>
      </c>
      <c r="Q92" s="3548">
        <f>IF(K92=0, 0, (HLOOKUP(K92,'[1]G-CESTD'!$A$5:$G$35,J92+1,FALSE)*R42))</f>
        <v>0</v>
      </c>
      <c r="R92" s="3592">
        <v>1.081</v>
      </c>
      <c r="S92" s="3499">
        <f t="shared" si="19"/>
        <v>0</v>
      </c>
      <c r="T92" s="3499">
        <f t="shared" si="19"/>
        <v>0</v>
      </c>
      <c r="U92" s="4150">
        <f t="shared" si="14"/>
        <v>0</v>
      </c>
    </row>
    <row r="93" spans="2:24">
      <c r="B93" s="3593"/>
      <c r="C93" s="3593" t="s">
        <v>215</v>
      </c>
      <c r="D93" s="3595">
        <v>0</v>
      </c>
      <c r="E93" s="3593" t="s">
        <v>559</v>
      </c>
      <c r="F93" s="3593" t="s">
        <v>186</v>
      </c>
      <c r="G93" s="3594"/>
      <c r="H93" s="3594"/>
      <c r="I93" s="4156">
        <v>0</v>
      </c>
      <c r="J93" s="3574"/>
      <c r="K93" s="3574"/>
      <c r="L93" s="3509" t="e">
        <f t="shared" si="20"/>
        <v>#DIV/0!</v>
      </c>
      <c r="M93" s="3509" t="e">
        <f t="shared" si="20"/>
        <v>#DIV/0!</v>
      </c>
      <c r="N93" s="3548">
        <f t="shared" si="17"/>
        <v>0</v>
      </c>
      <c r="O93" s="3548">
        <f t="shared" si="18"/>
        <v>0</v>
      </c>
      <c r="P93" s="3548">
        <f>IF(K93=0, 0, (HLOOKUP(K93,'[1]G-CESTDWO'!$A$5:$G$35,J93+1,FALSE)*R43))</f>
        <v>0</v>
      </c>
      <c r="Q93" s="3548">
        <f>IF(K93=0, 0, (HLOOKUP(K93,'[1]G-CESTD'!$A$5:$G$35,J93+1,FALSE)*R43))</f>
        <v>0</v>
      </c>
      <c r="R93" s="3592">
        <v>1.081</v>
      </c>
      <c r="S93" s="3499">
        <f t="shared" si="19"/>
        <v>0</v>
      </c>
      <c r="T93" s="3499">
        <f t="shared" si="19"/>
        <v>0</v>
      </c>
      <c r="U93" s="4150">
        <f t="shared" si="14"/>
        <v>0</v>
      </c>
    </row>
    <row r="94" spans="2:24">
      <c r="B94" s="3593"/>
      <c r="C94" s="3593" t="s">
        <v>216</v>
      </c>
      <c r="D94" s="3595">
        <v>0</v>
      </c>
      <c r="E94" s="3593" t="s">
        <v>559</v>
      </c>
      <c r="F94" s="3593" t="s">
        <v>186</v>
      </c>
      <c r="G94" s="3594"/>
      <c r="H94" s="3594"/>
      <c r="I94" s="4156">
        <v>0</v>
      </c>
      <c r="J94" s="3574"/>
      <c r="K94" s="3574"/>
      <c r="L94" s="3509" t="e">
        <f t="shared" si="20"/>
        <v>#DIV/0!</v>
      </c>
      <c r="M94" s="3509" t="e">
        <f t="shared" si="20"/>
        <v>#DIV/0!</v>
      </c>
      <c r="N94" s="3548">
        <f t="shared" si="17"/>
        <v>0</v>
      </c>
      <c r="O94" s="3548">
        <f t="shared" si="18"/>
        <v>0</v>
      </c>
      <c r="P94" s="3548">
        <f>IF(K94=0, 0, (HLOOKUP(K94,'[1]G-CESTDWO'!$A$5:$G$35,J94+1,FALSE)*R44))</f>
        <v>0</v>
      </c>
      <c r="Q94" s="3548">
        <f>IF(K94=0, 0, (HLOOKUP(K94,'[1]G-CESTD'!$A$5:$G$35,J94+1,FALSE)*R44))</f>
        <v>0</v>
      </c>
      <c r="R94" s="3592">
        <v>1.081</v>
      </c>
      <c r="S94" s="3499">
        <f t="shared" si="19"/>
        <v>0</v>
      </c>
      <c r="T94" s="3499">
        <f t="shared" si="19"/>
        <v>0</v>
      </c>
      <c r="U94" s="4150">
        <f t="shared" si="14"/>
        <v>0</v>
      </c>
    </row>
    <row r="95" spans="2:24">
      <c r="B95" s="3593"/>
      <c r="C95" s="3593" t="s">
        <v>217</v>
      </c>
      <c r="D95" s="3595">
        <v>0</v>
      </c>
      <c r="E95" s="3593" t="s">
        <v>559</v>
      </c>
      <c r="F95" s="3593" t="s">
        <v>186</v>
      </c>
      <c r="G95" s="3594"/>
      <c r="H95" s="3594"/>
      <c r="I95" s="4156">
        <v>0</v>
      </c>
      <c r="J95" s="3574"/>
      <c r="K95" s="3574"/>
      <c r="L95" s="3509" t="e">
        <f t="shared" si="20"/>
        <v>#DIV/0!</v>
      </c>
      <c r="M95" s="3509" t="e">
        <f t="shared" si="20"/>
        <v>#DIV/0!</v>
      </c>
      <c r="N95" s="3548">
        <f t="shared" si="17"/>
        <v>0</v>
      </c>
      <c r="O95" s="3548">
        <f t="shared" si="18"/>
        <v>0</v>
      </c>
      <c r="P95" s="3548">
        <f>IF(K95=0, 0, (HLOOKUP(K95,'[1]G-CESTDWO'!$A$5:$G$35,J95+1,FALSE)*R45))</f>
        <v>0</v>
      </c>
      <c r="Q95" s="3548">
        <f>IF(K95=0, 0, (HLOOKUP(K95,'[1]G-CESTD'!$A$5:$G$35,J95+1,FALSE)*R45))</f>
        <v>0</v>
      </c>
      <c r="R95" s="3592">
        <v>1.081</v>
      </c>
      <c r="S95" s="3499">
        <f t="shared" si="19"/>
        <v>0</v>
      </c>
      <c r="T95" s="3499">
        <f t="shared" si="19"/>
        <v>0</v>
      </c>
      <c r="U95" s="4150">
        <f t="shared" si="14"/>
        <v>0</v>
      </c>
    </row>
    <row r="96" spans="2:24">
      <c r="B96" s="3593"/>
      <c r="C96" s="3593" t="s">
        <v>218</v>
      </c>
      <c r="D96" s="3595">
        <v>0</v>
      </c>
      <c r="E96" s="3593" t="s">
        <v>559</v>
      </c>
      <c r="F96" s="3593" t="s">
        <v>186</v>
      </c>
      <c r="G96" s="3594"/>
      <c r="H96" s="3594"/>
      <c r="I96" s="4156">
        <v>0</v>
      </c>
      <c r="J96" s="3574"/>
      <c r="K96" s="3574"/>
      <c r="L96" s="3509" t="e">
        <f t="shared" si="20"/>
        <v>#DIV/0!</v>
      </c>
      <c r="M96" s="3509" t="e">
        <f t="shared" si="20"/>
        <v>#DIV/0!</v>
      </c>
      <c r="N96" s="3548">
        <f t="shared" si="17"/>
        <v>0</v>
      </c>
      <c r="O96" s="3548">
        <f t="shared" si="18"/>
        <v>0</v>
      </c>
      <c r="P96" s="3548">
        <f>IF(K96=0, 0, (HLOOKUP(K96,'[1]G-CESTDWO'!$A$5:$G$35,J96+1,FALSE)*R46))</f>
        <v>0</v>
      </c>
      <c r="Q96" s="3548">
        <f>IF(K96=0, 0, (HLOOKUP(K96,'[1]G-CESTD'!$A$5:$G$35,J96+1,FALSE)*R46))</f>
        <v>0</v>
      </c>
      <c r="R96" s="3592">
        <v>1.081</v>
      </c>
      <c r="S96" s="3499">
        <f t="shared" si="19"/>
        <v>0</v>
      </c>
      <c r="T96" s="3499">
        <f t="shared" si="19"/>
        <v>0</v>
      </c>
      <c r="U96" s="4150">
        <f t="shared" si="14"/>
        <v>0</v>
      </c>
    </row>
    <row r="97" spans="2:21">
      <c r="B97" s="3593"/>
      <c r="C97" s="3593" t="s">
        <v>219</v>
      </c>
      <c r="D97" s="3595">
        <v>0</v>
      </c>
      <c r="E97" s="3593" t="s">
        <v>559</v>
      </c>
      <c r="F97" s="3593" t="s">
        <v>186</v>
      </c>
      <c r="G97" s="3594"/>
      <c r="H97" s="3594"/>
      <c r="I97" s="4156">
        <v>0</v>
      </c>
      <c r="J97" s="3574"/>
      <c r="K97" s="3574"/>
      <c r="L97" s="3509" t="e">
        <f t="shared" si="20"/>
        <v>#DIV/0!</v>
      </c>
      <c r="M97" s="3509" t="e">
        <f t="shared" si="20"/>
        <v>#DIV/0!</v>
      </c>
      <c r="N97" s="3548">
        <f t="shared" si="17"/>
        <v>0</v>
      </c>
      <c r="O97" s="3548">
        <f t="shared" si="18"/>
        <v>0</v>
      </c>
      <c r="P97" s="3548">
        <f>IF(K97=0, 0, (HLOOKUP(K97,'[1]G-CESTDWO'!$A$5:$G$35,J97+1,FALSE)*R47))</f>
        <v>0</v>
      </c>
      <c r="Q97" s="3548">
        <f>IF(K97=0, 0, (HLOOKUP(K97,'[1]G-CESTD'!$A$5:$G$35,J97+1,FALSE)*R47))</f>
        <v>0</v>
      </c>
      <c r="R97" s="3592">
        <v>1.081</v>
      </c>
      <c r="S97" s="3499">
        <f t="shared" si="19"/>
        <v>0</v>
      </c>
      <c r="T97" s="3499">
        <f t="shared" si="19"/>
        <v>0</v>
      </c>
      <c r="U97" s="4150">
        <f t="shared" si="14"/>
        <v>0</v>
      </c>
    </row>
    <row r="98" spans="2:21">
      <c r="B98" s="3593"/>
      <c r="C98" s="3593" t="s">
        <v>220</v>
      </c>
      <c r="D98" s="3595">
        <v>0</v>
      </c>
      <c r="E98" s="3593" t="s">
        <v>559</v>
      </c>
      <c r="F98" s="3593" t="s">
        <v>186</v>
      </c>
      <c r="G98" s="3594"/>
      <c r="H98" s="3594"/>
      <c r="I98" s="4156">
        <v>0</v>
      </c>
      <c r="J98" s="3574"/>
      <c r="K98" s="3574"/>
      <c r="L98" s="3509" t="e">
        <f t="shared" si="20"/>
        <v>#DIV/0!</v>
      </c>
      <c r="M98" s="3509" t="e">
        <f t="shared" si="20"/>
        <v>#DIV/0!</v>
      </c>
      <c r="N98" s="3548">
        <f t="shared" si="17"/>
        <v>0</v>
      </c>
      <c r="O98" s="3548">
        <f t="shared" si="18"/>
        <v>0</v>
      </c>
      <c r="P98" s="3548">
        <f>IF(K98=0, 0, (HLOOKUP(K98,'[1]G-CESTDWO'!$A$5:$G$35,J98+1,FALSE)*R48))</f>
        <v>0</v>
      </c>
      <c r="Q98" s="3548">
        <f>IF(K98=0, 0, (HLOOKUP(K98,'[1]G-CESTD'!$A$5:$G$35,J98+1,FALSE)*R48))</f>
        <v>0</v>
      </c>
      <c r="R98" s="3592">
        <v>1.081</v>
      </c>
      <c r="S98" s="3499">
        <f t="shared" si="19"/>
        <v>0</v>
      </c>
      <c r="T98" s="3499">
        <f t="shared" si="19"/>
        <v>0</v>
      </c>
      <c r="U98" s="4150">
        <f t="shared" si="14"/>
        <v>0</v>
      </c>
    </row>
    <row r="99" spans="2:21">
      <c r="B99" s="3593"/>
      <c r="C99" s="3593" t="s">
        <v>221</v>
      </c>
      <c r="D99" s="3595">
        <v>0</v>
      </c>
      <c r="E99" s="3593" t="s">
        <v>559</v>
      </c>
      <c r="F99" s="3593" t="s">
        <v>186</v>
      </c>
      <c r="G99" s="3594"/>
      <c r="H99" s="3594"/>
      <c r="I99" s="4156">
        <v>0</v>
      </c>
      <c r="J99" s="3574"/>
      <c r="K99" s="3574"/>
      <c r="L99" s="3509" t="e">
        <f t="shared" si="20"/>
        <v>#DIV/0!</v>
      </c>
      <c r="M99" s="3509" t="e">
        <f t="shared" si="20"/>
        <v>#DIV/0!</v>
      </c>
      <c r="N99" s="3548">
        <f t="shared" si="17"/>
        <v>0</v>
      </c>
      <c r="O99" s="3548">
        <f t="shared" si="18"/>
        <v>0</v>
      </c>
      <c r="P99" s="3548">
        <f>IF(K99=0, 0, (HLOOKUP(K99,'[1]G-CESTDWO'!$A$5:$G$35,J99+1,FALSE)*R49))</f>
        <v>0</v>
      </c>
      <c r="Q99" s="3548">
        <f>IF(K99=0, 0, (HLOOKUP(K99,'[1]G-CESTD'!$A$5:$G$35,J99+1,FALSE)*R49))</f>
        <v>0</v>
      </c>
      <c r="R99" s="3592">
        <v>1.081</v>
      </c>
      <c r="S99" s="3499">
        <f t="shared" si="19"/>
        <v>0</v>
      </c>
      <c r="T99" s="3499">
        <f t="shared" si="19"/>
        <v>0</v>
      </c>
      <c r="U99" s="4150">
        <f t="shared" si="14"/>
        <v>0</v>
      </c>
    </row>
    <row r="100" spans="2:21">
      <c r="B100" s="3593"/>
      <c r="C100" s="3593" t="s">
        <v>222</v>
      </c>
      <c r="D100" s="3595">
        <v>0</v>
      </c>
      <c r="E100" s="3593" t="s">
        <v>559</v>
      </c>
      <c r="F100" s="3593" t="s">
        <v>186</v>
      </c>
      <c r="G100" s="3594"/>
      <c r="H100" s="3594"/>
      <c r="I100" s="4156">
        <v>0</v>
      </c>
      <c r="J100" s="3574"/>
      <c r="K100" s="3574"/>
      <c r="L100" s="3509" t="e">
        <f t="shared" si="20"/>
        <v>#DIV/0!</v>
      </c>
      <c r="M100" s="3509" t="e">
        <f t="shared" si="20"/>
        <v>#DIV/0!</v>
      </c>
      <c r="N100" s="3548">
        <f t="shared" si="17"/>
        <v>0</v>
      </c>
      <c r="O100" s="3548">
        <f t="shared" si="18"/>
        <v>0</v>
      </c>
      <c r="P100" s="3548">
        <f>IF(K100=0, 0, (HLOOKUP(K100,'[1]G-CESTDWO'!$A$5:$G$35,J100+1,FALSE)*R50))</f>
        <v>0</v>
      </c>
      <c r="Q100" s="3548">
        <f>IF(K100=0, 0, (HLOOKUP(K100,'[1]G-CESTD'!$A$5:$G$35,J100+1,FALSE)*R50))</f>
        <v>0</v>
      </c>
      <c r="R100" s="3592">
        <v>1.081</v>
      </c>
      <c r="S100" s="3499">
        <f t="shared" si="19"/>
        <v>0</v>
      </c>
      <c r="T100" s="3499">
        <f t="shared" si="19"/>
        <v>0</v>
      </c>
      <c r="U100" s="4150">
        <f t="shared" si="14"/>
        <v>0</v>
      </c>
    </row>
    <row r="101" spans="2:21">
      <c r="B101" s="3593"/>
      <c r="C101" s="3593" t="s">
        <v>223</v>
      </c>
      <c r="D101" s="3595">
        <v>0</v>
      </c>
      <c r="E101" s="3593" t="s">
        <v>559</v>
      </c>
      <c r="F101" s="3593" t="s">
        <v>186</v>
      </c>
      <c r="G101" s="3594"/>
      <c r="H101" s="3594"/>
      <c r="I101" s="4156">
        <v>0</v>
      </c>
      <c r="J101" s="3574"/>
      <c r="K101" s="3574"/>
      <c r="L101" s="3509" t="e">
        <f t="shared" si="20"/>
        <v>#DIV/0!</v>
      </c>
      <c r="M101" s="3509" t="e">
        <f t="shared" si="20"/>
        <v>#DIV/0!</v>
      </c>
      <c r="N101" s="3548">
        <f t="shared" si="17"/>
        <v>0</v>
      </c>
      <c r="O101" s="3548">
        <f t="shared" si="18"/>
        <v>0</v>
      </c>
      <c r="P101" s="3548">
        <f>IF(K101=0, 0, (HLOOKUP(K101,'[1]G-CESTDWO'!$A$5:$G$35,J101+1,FALSE)*R51))</f>
        <v>0</v>
      </c>
      <c r="Q101" s="3548">
        <f>IF(K101=0, 0, (HLOOKUP(K101,'[1]G-CESTD'!$A$5:$G$35,J101+1,FALSE)*R51))</f>
        <v>0</v>
      </c>
      <c r="R101" s="3592">
        <v>1.081</v>
      </c>
      <c r="S101" s="3499">
        <f t="shared" si="19"/>
        <v>0</v>
      </c>
      <c r="T101" s="3499">
        <f t="shared" si="19"/>
        <v>0</v>
      </c>
      <c r="U101" s="4150">
        <f t="shared" si="14"/>
        <v>0</v>
      </c>
    </row>
    <row r="102" spans="2:21">
      <c r="B102" s="3593"/>
      <c r="C102" s="3593" t="s">
        <v>224</v>
      </c>
      <c r="D102" s="3595">
        <v>0</v>
      </c>
      <c r="E102" s="3593" t="s">
        <v>559</v>
      </c>
      <c r="F102" s="3593" t="s">
        <v>186</v>
      </c>
      <c r="G102" s="3594"/>
      <c r="H102" s="3594"/>
      <c r="I102" s="4156">
        <v>0</v>
      </c>
      <c r="J102" s="3574"/>
      <c r="K102" s="3574"/>
      <c r="L102" s="3509" t="e">
        <f t="shared" si="20"/>
        <v>#DIV/0!</v>
      </c>
      <c r="M102" s="3509" t="e">
        <f t="shared" si="20"/>
        <v>#DIV/0!</v>
      </c>
      <c r="N102" s="3548">
        <f t="shared" si="17"/>
        <v>0</v>
      </c>
      <c r="O102" s="3548">
        <f t="shared" si="18"/>
        <v>0</v>
      </c>
      <c r="P102" s="3548">
        <f>IF(K102=0, 0, (HLOOKUP(K102,'[1]G-CESTDWO'!$A$5:$G$35,J102+1,FALSE)*R52))</f>
        <v>0</v>
      </c>
      <c r="Q102" s="3548">
        <f>IF(K102=0, 0, (HLOOKUP(K102,'[1]G-CESTD'!$A$5:$G$35,J102+1,FALSE)*R52))</f>
        <v>0</v>
      </c>
      <c r="R102" s="3592">
        <v>1.081</v>
      </c>
      <c r="S102" s="3499">
        <f t="shared" si="19"/>
        <v>0</v>
      </c>
      <c r="T102" s="3499">
        <f t="shared" si="19"/>
        <v>0</v>
      </c>
      <c r="U102" s="4150">
        <f t="shared" si="14"/>
        <v>0</v>
      </c>
    </row>
    <row r="103" spans="2:21">
      <c r="B103" s="3593"/>
      <c r="C103" s="3593" t="s">
        <v>225</v>
      </c>
      <c r="D103" s="3595">
        <v>0</v>
      </c>
      <c r="E103" s="3593" t="s">
        <v>559</v>
      </c>
      <c r="F103" s="3593" t="s">
        <v>186</v>
      </c>
      <c r="G103" s="3594"/>
      <c r="H103" s="3594"/>
      <c r="I103" s="4156">
        <v>0</v>
      </c>
      <c r="J103" s="3574"/>
      <c r="K103" s="3574"/>
      <c r="L103" s="3509" t="e">
        <f t="shared" si="20"/>
        <v>#DIV/0!</v>
      </c>
      <c r="M103" s="3509" t="e">
        <f t="shared" si="20"/>
        <v>#DIV/0!</v>
      </c>
      <c r="N103" s="3548">
        <f t="shared" si="17"/>
        <v>0</v>
      </c>
      <c r="O103" s="3548">
        <f t="shared" si="18"/>
        <v>0</v>
      </c>
      <c r="P103" s="3548">
        <f>IF(K103=0, 0, (HLOOKUP(K103,'[1]G-CESTDWO'!$A$5:$G$35,J103+1,FALSE)*R53))</f>
        <v>0</v>
      </c>
      <c r="Q103" s="3548">
        <f>IF(K103=0, 0, (HLOOKUP(K103,'[1]G-CESTD'!$A$5:$G$35,J103+1,FALSE)*R53))</f>
        <v>0</v>
      </c>
      <c r="R103" s="3592">
        <v>1.081</v>
      </c>
      <c r="S103" s="3499">
        <f t="shared" si="19"/>
        <v>0</v>
      </c>
      <c r="T103" s="3499">
        <f t="shared" si="19"/>
        <v>0</v>
      </c>
      <c r="U103" s="4150">
        <f t="shared" si="14"/>
        <v>0</v>
      </c>
    </row>
    <row r="104" spans="2:21" ht="13.5" thickBot="1">
      <c r="B104" s="3593"/>
      <c r="C104" s="3593" t="s">
        <v>226</v>
      </c>
      <c r="D104" s="3595">
        <v>0</v>
      </c>
      <c r="E104" s="3593" t="s">
        <v>559</v>
      </c>
      <c r="F104" s="3593" t="s">
        <v>186</v>
      </c>
      <c r="G104" s="3594"/>
      <c r="H104" s="3594"/>
      <c r="I104" s="4156">
        <v>0</v>
      </c>
      <c r="J104" s="3574"/>
      <c r="K104" s="3574"/>
      <c r="L104" s="3509" t="e">
        <f t="shared" si="20"/>
        <v>#DIV/0!</v>
      </c>
      <c r="M104" s="3509" t="e">
        <f t="shared" si="20"/>
        <v>#DIV/0!</v>
      </c>
      <c r="N104" s="3548">
        <f t="shared" si="17"/>
        <v>0</v>
      </c>
      <c r="O104" s="3548">
        <f t="shared" si="18"/>
        <v>0</v>
      </c>
      <c r="P104" s="3548">
        <f>IF(K104=0, 0, (HLOOKUP(K104,'[1]G-CESTDWO'!$A$5:$G$35,J104+1,FALSE)*R54))</f>
        <v>0</v>
      </c>
      <c r="Q104" s="3548">
        <f>IF(K104=0, 0, (HLOOKUP(K104,'[1]G-CESTD'!$A$5:$G$35,J104+1,FALSE)*R54))</f>
        <v>0</v>
      </c>
      <c r="R104" s="3592">
        <v>1.081</v>
      </c>
      <c r="S104" s="3499">
        <f t="shared" si="19"/>
        <v>0</v>
      </c>
      <c r="T104" s="3499">
        <f t="shared" si="19"/>
        <v>0</v>
      </c>
      <c r="U104" s="4150">
        <f t="shared" si="14"/>
        <v>0</v>
      </c>
    </row>
    <row r="105" spans="2:21" ht="13.5" thickBot="1">
      <c r="G105" s="3596">
        <f>SUMPRODUCT(G63:G104,O13:O54)</f>
        <v>0</v>
      </c>
      <c r="H105" s="3597">
        <f>U105</f>
        <v>0</v>
      </c>
      <c r="I105" s="3598" t="e">
        <f>SUM(I63:I104)</f>
        <v>#DIV/0!</v>
      </c>
      <c r="J105" s="3599" t="e">
        <f>ROUND(SUMPRODUCT(J63:J104,R13:R54)/R55,0)</f>
        <v>#DIV/0!</v>
      </c>
      <c r="K105" s="3580"/>
      <c r="L105" s="3510" t="e">
        <f>P105/N105</f>
        <v>#DIV/0!</v>
      </c>
      <c r="M105" s="3511" t="e">
        <f>Q105/O105</f>
        <v>#DIV/0!</v>
      </c>
      <c r="N105" s="3602" t="e">
        <f>SUM(N63:N104)</f>
        <v>#DIV/0!</v>
      </c>
      <c r="O105" s="3602" t="e">
        <f>SUM(O63:O104)</f>
        <v>#DIV/0!</v>
      </c>
      <c r="P105" s="3602">
        <f>SUM(P63:P104)</f>
        <v>16173405.746552104</v>
      </c>
      <c r="Q105" s="3602">
        <f>SUM(Q63:Q104)</f>
        <v>16173405.746552104</v>
      </c>
      <c r="R105" s="3600">
        <v>1.081</v>
      </c>
      <c r="S105" s="3601">
        <f>SUM(S63:S104)</f>
        <v>0</v>
      </c>
      <c r="T105" s="3601">
        <f>SUM(T63:T104)</f>
        <v>0</v>
      </c>
      <c r="U105" s="4150">
        <f t="shared" ref="U105" si="21">SUM(S105:T105)</f>
        <v>0</v>
      </c>
    </row>
  </sheetData>
  <sheetProtection password="9E1F" sheet="1" objects="1" scenarios="1"/>
  <customSheetViews>
    <customSheetView guid="{074EB09C-6289-46D7-9513-012B68BCA7BF}">
      <pane xSplit="1" ySplit="1" topLeftCell="B2" activePane="bottomRight" state="frozen"/>
      <selection pane="bottomRight" activeCell="C26" sqref="C26"/>
      <pageMargins left="0.7" right="0.7" top="0.75" bottom="0.75" header="0.3" footer="0.3"/>
      <pageSetup orientation="portrait" r:id="rId1"/>
    </customSheetView>
    <customSheetView guid="{AF9F1D33-B8C2-423F-86A1-47612B8F532C}">
      <pane xSplit="1" ySplit="1" topLeftCell="B2" activePane="bottomRight" state="frozenSplit"/>
      <selection pane="bottomRight" activeCell="C24" sqref="C24:C25"/>
      <pageMargins left="0.7" right="0.7" top="0.75" bottom="0.75" header="0.3" footer="0.3"/>
    </customSheetView>
  </customSheetViews>
  <mergeCells count="16">
    <mergeCell ref="Q2:R2"/>
    <mergeCell ref="S2:U2"/>
    <mergeCell ref="V2:V3"/>
    <mergeCell ref="D10:E10"/>
    <mergeCell ref="I10:L10"/>
    <mergeCell ref="M10:N10"/>
    <mergeCell ref="B61:K61"/>
    <mergeCell ref="L61:R61"/>
    <mergeCell ref="S61:U61"/>
    <mergeCell ref="V61:X61"/>
    <mergeCell ref="C11:F11"/>
    <mergeCell ref="I11:L11"/>
    <mergeCell ref="M11:O11"/>
    <mergeCell ref="P11:R11"/>
    <mergeCell ref="I12:K12"/>
    <mergeCell ref="D60:H60"/>
  </mergeCells>
  <pageMargins left="0.7" right="0.23" top="0.39" bottom="0.33" header="0.3" footer="0.3"/>
  <pageSetup paperSize="3" scale="50" orientation="landscape" r:id="rId2"/>
  <drawing r:id="rId3"/>
  <legacyDrawing r:id="rId4"/>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sheetPr>
    <tabColor theme="7" tint="0.59999389629810485"/>
    <pageSetUpPr fitToPage="1"/>
  </sheetPr>
  <dimension ref="B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6.28515625" style="3532" customWidth="1"/>
    <col min="2" max="2" width="19.42578125" style="3532" customWidth="1"/>
    <col min="3" max="3" width="41" style="3532" customWidth="1"/>
    <col min="4" max="4" width="16" style="3533" customWidth="1"/>
    <col min="5" max="5" width="16" style="3532" customWidth="1"/>
    <col min="6" max="6" width="17" style="3532" customWidth="1"/>
    <col min="7" max="7" width="13.42578125" style="3532" customWidth="1"/>
    <col min="8" max="8" width="15.28515625" style="3532" bestFit="1" customWidth="1"/>
    <col min="9" max="9" width="14.140625" style="3532" bestFit="1" customWidth="1"/>
    <col min="10" max="10" width="15.28515625" style="3532" customWidth="1"/>
    <col min="11" max="11" width="15.85546875" style="3532" customWidth="1"/>
    <col min="12" max="12" width="17" style="3532" bestFit="1" customWidth="1"/>
    <col min="13" max="13" width="12.7109375" style="3532" customWidth="1"/>
    <col min="14" max="14" width="13.7109375" style="3532" customWidth="1"/>
    <col min="15" max="15" width="13.85546875" style="3532" bestFit="1" customWidth="1"/>
    <col min="16" max="16" width="15.42578125" style="3532" bestFit="1" customWidth="1"/>
    <col min="17" max="17" width="16.140625" style="3532" customWidth="1"/>
    <col min="18" max="18" width="16.7109375" style="3532" bestFit="1" customWidth="1"/>
    <col min="19" max="20" width="15.42578125" style="3532" bestFit="1" customWidth="1"/>
    <col min="21" max="21" width="16.42578125" style="3532" bestFit="1" customWidth="1"/>
    <col min="22" max="22" width="14.28515625" style="3532" customWidth="1"/>
    <col min="23" max="23" width="12.85546875" style="3532" bestFit="1" customWidth="1"/>
    <col min="24" max="24" width="11.28515625" style="3532" bestFit="1" customWidth="1"/>
    <col min="25" max="25" width="12.42578125" style="3532" bestFit="1" customWidth="1"/>
    <col min="26" max="26" width="14" style="3532" bestFit="1" customWidth="1"/>
    <col min="27" max="27" width="6" style="3532" bestFit="1" customWidth="1"/>
    <col min="28" max="28" width="15" style="3532" customWidth="1"/>
    <col min="29" max="29" width="14.85546875" style="3532" bestFit="1" customWidth="1"/>
    <col min="30" max="30" width="16.140625" style="3532" bestFit="1" customWidth="1"/>
    <col min="31" max="257" width="8.85546875" style="3532"/>
    <col min="258" max="258" width="24" style="3532" bestFit="1" customWidth="1"/>
    <col min="259" max="259" width="45.7109375" style="3532" bestFit="1" customWidth="1"/>
    <col min="260" max="260" width="19.7109375" style="3532" bestFit="1" customWidth="1"/>
    <col min="261" max="261" width="16" style="3532" customWidth="1"/>
    <col min="262" max="262" width="19.85546875" style="3532" bestFit="1" customWidth="1"/>
    <col min="263" max="263" width="13.42578125" style="3532" customWidth="1"/>
    <col min="264" max="264" width="15.28515625" style="3532" bestFit="1" customWidth="1"/>
    <col min="265" max="265" width="14.140625" style="3532" bestFit="1" customWidth="1"/>
    <col min="266" max="266" width="15.28515625" style="3532" customWidth="1"/>
    <col min="267" max="267" width="15.85546875" style="3532" customWidth="1"/>
    <col min="268" max="268" width="17" style="3532" bestFit="1" customWidth="1"/>
    <col min="269" max="269" width="12.7109375" style="3532" customWidth="1"/>
    <col min="270" max="270" width="13.7109375" style="3532" customWidth="1"/>
    <col min="271" max="271" width="13.85546875" style="3532" bestFit="1" customWidth="1"/>
    <col min="272" max="272" width="15.42578125" style="3532" bestFit="1" customWidth="1"/>
    <col min="273" max="273" width="16.140625" style="3532" customWidth="1"/>
    <col min="274" max="274" width="16.7109375" style="3532" bestFit="1" customWidth="1"/>
    <col min="275" max="276" width="15.42578125" style="3532" bestFit="1" customWidth="1"/>
    <col min="277" max="277" width="16.42578125" style="3532" bestFit="1" customWidth="1"/>
    <col min="278" max="278" width="14.28515625" style="3532" customWidth="1"/>
    <col min="279" max="279" width="12.85546875" style="3532" bestFit="1" customWidth="1"/>
    <col min="280" max="280" width="11.28515625" style="3532" bestFit="1" customWidth="1"/>
    <col min="281" max="281" width="12.42578125" style="3532" bestFit="1" customWidth="1"/>
    <col min="282" max="282" width="14" style="3532" bestFit="1" customWidth="1"/>
    <col min="283" max="283" width="6" style="3532" bestFit="1" customWidth="1"/>
    <col min="284" max="284" width="15" style="3532" customWidth="1"/>
    <col min="285" max="285" width="14.85546875" style="3532" bestFit="1" customWidth="1"/>
    <col min="286" max="286" width="16.140625" style="3532" bestFit="1" customWidth="1"/>
    <col min="287" max="513" width="8.85546875" style="3532"/>
    <col min="514" max="514" width="24" style="3532" bestFit="1" customWidth="1"/>
    <col min="515" max="515" width="45.7109375" style="3532" bestFit="1" customWidth="1"/>
    <col min="516" max="516" width="19.7109375" style="3532" bestFit="1" customWidth="1"/>
    <col min="517" max="517" width="16" style="3532" customWidth="1"/>
    <col min="518" max="518" width="19.85546875" style="3532" bestFit="1" customWidth="1"/>
    <col min="519" max="519" width="13.42578125" style="3532" customWidth="1"/>
    <col min="520" max="520" width="15.28515625" style="3532" bestFit="1" customWidth="1"/>
    <col min="521" max="521" width="14.140625" style="3532" bestFit="1" customWidth="1"/>
    <col min="522" max="522" width="15.28515625" style="3532" customWidth="1"/>
    <col min="523" max="523" width="15.85546875" style="3532" customWidth="1"/>
    <col min="524" max="524" width="17" style="3532" bestFit="1" customWidth="1"/>
    <col min="525" max="525" width="12.7109375" style="3532" customWidth="1"/>
    <col min="526" max="526" width="13.7109375" style="3532" customWidth="1"/>
    <col min="527" max="527" width="13.85546875" style="3532" bestFit="1" customWidth="1"/>
    <col min="528" max="528" width="15.42578125" style="3532" bestFit="1" customWidth="1"/>
    <col min="529" max="529" width="16.140625" style="3532" customWidth="1"/>
    <col min="530" max="530" width="16.7109375" style="3532" bestFit="1" customWidth="1"/>
    <col min="531" max="532" width="15.42578125" style="3532" bestFit="1" customWidth="1"/>
    <col min="533" max="533" width="16.42578125" style="3532" bestFit="1" customWidth="1"/>
    <col min="534" max="534" width="14.28515625" style="3532" customWidth="1"/>
    <col min="535" max="535" width="12.85546875" style="3532" bestFit="1" customWidth="1"/>
    <col min="536" max="536" width="11.28515625" style="3532" bestFit="1" customWidth="1"/>
    <col min="537" max="537" width="12.42578125" style="3532" bestFit="1" customWidth="1"/>
    <col min="538" max="538" width="14" style="3532" bestFit="1" customWidth="1"/>
    <col min="539" max="539" width="6" style="3532" bestFit="1" customWidth="1"/>
    <col min="540" max="540" width="15" style="3532" customWidth="1"/>
    <col min="541" max="541" width="14.85546875" style="3532" bestFit="1" customWidth="1"/>
    <col min="542" max="542" width="16.140625" style="3532" bestFit="1" customWidth="1"/>
    <col min="543" max="769" width="8.85546875" style="3532"/>
    <col min="770" max="770" width="24" style="3532" bestFit="1" customWidth="1"/>
    <col min="771" max="771" width="45.7109375" style="3532" bestFit="1" customWidth="1"/>
    <col min="772" max="772" width="19.7109375" style="3532" bestFit="1" customWidth="1"/>
    <col min="773" max="773" width="16" style="3532" customWidth="1"/>
    <col min="774" max="774" width="19.85546875" style="3532" bestFit="1" customWidth="1"/>
    <col min="775" max="775" width="13.42578125" style="3532" customWidth="1"/>
    <col min="776" max="776" width="15.28515625" style="3532" bestFit="1" customWidth="1"/>
    <col min="777" max="777" width="14.140625" style="3532" bestFit="1" customWidth="1"/>
    <col min="778" max="778" width="15.28515625" style="3532" customWidth="1"/>
    <col min="779" max="779" width="15.85546875" style="3532" customWidth="1"/>
    <col min="780" max="780" width="17" style="3532" bestFit="1" customWidth="1"/>
    <col min="781" max="781" width="12.7109375" style="3532" customWidth="1"/>
    <col min="782" max="782" width="13.7109375" style="3532" customWidth="1"/>
    <col min="783" max="783" width="13.85546875" style="3532" bestFit="1" customWidth="1"/>
    <col min="784" max="784" width="15.42578125" style="3532" bestFit="1" customWidth="1"/>
    <col min="785" max="785" width="16.140625" style="3532" customWidth="1"/>
    <col min="786" max="786" width="16.7109375" style="3532" bestFit="1" customWidth="1"/>
    <col min="787" max="788" width="15.42578125" style="3532" bestFit="1" customWidth="1"/>
    <col min="789" max="789" width="16.42578125" style="3532" bestFit="1" customWidth="1"/>
    <col min="790" max="790" width="14.28515625" style="3532" customWidth="1"/>
    <col min="791" max="791" width="12.85546875" style="3532" bestFit="1" customWidth="1"/>
    <col min="792" max="792" width="11.28515625" style="3532" bestFit="1" customWidth="1"/>
    <col min="793" max="793" width="12.42578125" style="3532" bestFit="1" customWidth="1"/>
    <col min="794" max="794" width="14" style="3532" bestFit="1" customWidth="1"/>
    <col min="795" max="795" width="6" style="3532" bestFit="1" customWidth="1"/>
    <col min="796" max="796" width="15" style="3532" customWidth="1"/>
    <col min="797" max="797" width="14.85546875" style="3532" bestFit="1" customWidth="1"/>
    <col min="798" max="798" width="16.140625" style="3532" bestFit="1" customWidth="1"/>
    <col min="799" max="1025" width="8.85546875" style="3532"/>
    <col min="1026" max="1026" width="24" style="3532" bestFit="1" customWidth="1"/>
    <col min="1027" max="1027" width="45.7109375" style="3532" bestFit="1" customWidth="1"/>
    <col min="1028" max="1028" width="19.7109375" style="3532" bestFit="1" customWidth="1"/>
    <col min="1029" max="1029" width="16" style="3532" customWidth="1"/>
    <col min="1030" max="1030" width="19.85546875" style="3532" bestFit="1" customWidth="1"/>
    <col min="1031" max="1031" width="13.42578125" style="3532" customWidth="1"/>
    <col min="1032" max="1032" width="15.28515625" style="3532" bestFit="1" customWidth="1"/>
    <col min="1033" max="1033" width="14.140625" style="3532" bestFit="1" customWidth="1"/>
    <col min="1034" max="1034" width="15.28515625" style="3532" customWidth="1"/>
    <col min="1035" max="1035" width="15.85546875" style="3532" customWidth="1"/>
    <col min="1036" max="1036" width="17" style="3532" bestFit="1" customWidth="1"/>
    <col min="1037" max="1037" width="12.7109375" style="3532" customWidth="1"/>
    <col min="1038" max="1038" width="13.7109375" style="3532" customWidth="1"/>
    <col min="1039" max="1039" width="13.85546875" style="3532" bestFit="1" customWidth="1"/>
    <col min="1040" max="1040" width="15.42578125" style="3532" bestFit="1" customWidth="1"/>
    <col min="1041" max="1041" width="16.140625" style="3532" customWidth="1"/>
    <col min="1042" max="1042" width="16.7109375" style="3532" bestFit="1" customWidth="1"/>
    <col min="1043" max="1044" width="15.42578125" style="3532" bestFit="1" customWidth="1"/>
    <col min="1045" max="1045" width="16.42578125" style="3532" bestFit="1" customWidth="1"/>
    <col min="1046" max="1046" width="14.28515625" style="3532" customWidth="1"/>
    <col min="1047" max="1047" width="12.85546875" style="3532" bestFit="1" customWidth="1"/>
    <col min="1048" max="1048" width="11.28515625" style="3532" bestFit="1" customWidth="1"/>
    <col min="1049" max="1049" width="12.42578125" style="3532" bestFit="1" customWidth="1"/>
    <col min="1050" max="1050" width="14" style="3532" bestFit="1" customWidth="1"/>
    <col min="1051" max="1051" width="6" style="3532" bestFit="1" customWidth="1"/>
    <col min="1052" max="1052" width="15" style="3532" customWidth="1"/>
    <col min="1053" max="1053" width="14.85546875" style="3532" bestFit="1" customWidth="1"/>
    <col min="1054" max="1054" width="16.140625" style="3532" bestFit="1" customWidth="1"/>
    <col min="1055" max="1281" width="8.85546875" style="3532"/>
    <col min="1282" max="1282" width="24" style="3532" bestFit="1" customWidth="1"/>
    <col min="1283" max="1283" width="45.7109375" style="3532" bestFit="1" customWidth="1"/>
    <col min="1284" max="1284" width="19.7109375" style="3532" bestFit="1" customWidth="1"/>
    <col min="1285" max="1285" width="16" style="3532" customWidth="1"/>
    <col min="1286" max="1286" width="19.85546875" style="3532" bestFit="1" customWidth="1"/>
    <col min="1287" max="1287" width="13.42578125" style="3532" customWidth="1"/>
    <col min="1288" max="1288" width="15.28515625" style="3532" bestFit="1" customWidth="1"/>
    <col min="1289" max="1289" width="14.140625" style="3532" bestFit="1" customWidth="1"/>
    <col min="1290" max="1290" width="15.28515625" style="3532" customWidth="1"/>
    <col min="1291" max="1291" width="15.85546875" style="3532" customWidth="1"/>
    <col min="1292" max="1292" width="17" style="3532" bestFit="1" customWidth="1"/>
    <col min="1293" max="1293" width="12.7109375" style="3532" customWidth="1"/>
    <col min="1294" max="1294" width="13.7109375" style="3532" customWidth="1"/>
    <col min="1295" max="1295" width="13.85546875" style="3532" bestFit="1" customWidth="1"/>
    <col min="1296" max="1296" width="15.42578125" style="3532" bestFit="1" customWidth="1"/>
    <col min="1297" max="1297" width="16.140625" style="3532" customWidth="1"/>
    <col min="1298" max="1298" width="16.7109375" style="3532" bestFit="1" customWidth="1"/>
    <col min="1299" max="1300" width="15.42578125" style="3532" bestFit="1" customWidth="1"/>
    <col min="1301" max="1301" width="16.42578125" style="3532" bestFit="1" customWidth="1"/>
    <col min="1302" max="1302" width="14.28515625" style="3532" customWidth="1"/>
    <col min="1303" max="1303" width="12.85546875" style="3532" bestFit="1" customWidth="1"/>
    <col min="1304" max="1304" width="11.28515625" style="3532" bestFit="1" customWidth="1"/>
    <col min="1305" max="1305" width="12.42578125" style="3532" bestFit="1" customWidth="1"/>
    <col min="1306" max="1306" width="14" style="3532" bestFit="1" customWidth="1"/>
    <col min="1307" max="1307" width="6" style="3532" bestFit="1" customWidth="1"/>
    <col min="1308" max="1308" width="15" style="3532" customWidth="1"/>
    <col min="1309" max="1309" width="14.85546875" style="3532" bestFit="1" customWidth="1"/>
    <col min="1310" max="1310" width="16.140625" style="3532" bestFit="1" customWidth="1"/>
    <col min="1311" max="1537" width="8.85546875" style="3532"/>
    <col min="1538" max="1538" width="24" style="3532" bestFit="1" customWidth="1"/>
    <col min="1539" max="1539" width="45.7109375" style="3532" bestFit="1" customWidth="1"/>
    <col min="1540" max="1540" width="19.7109375" style="3532" bestFit="1" customWidth="1"/>
    <col min="1541" max="1541" width="16" style="3532" customWidth="1"/>
    <col min="1542" max="1542" width="19.85546875" style="3532" bestFit="1" customWidth="1"/>
    <col min="1543" max="1543" width="13.42578125" style="3532" customWidth="1"/>
    <col min="1544" max="1544" width="15.28515625" style="3532" bestFit="1" customWidth="1"/>
    <col min="1545" max="1545" width="14.140625" style="3532" bestFit="1" customWidth="1"/>
    <col min="1546" max="1546" width="15.28515625" style="3532" customWidth="1"/>
    <col min="1547" max="1547" width="15.85546875" style="3532" customWidth="1"/>
    <col min="1548" max="1548" width="17" style="3532" bestFit="1" customWidth="1"/>
    <col min="1549" max="1549" width="12.7109375" style="3532" customWidth="1"/>
    <col min="1550" max="1550" width="13.7109375" style="3532" customWidth="1"/>
    <col min="1551" max="1551" width="13.85546875" style="3532" bestFit="1" customWidth="1"/>
    <col min="1552" max="1552" width="15.42578125" style="3532" bestFit="1" customWidth="1"/>
    <col min="1553" max="1553" width="16.140625" style="3532" customWidth="1"/>
    <col min="1554" max="1554" width="16.7109375" style="3532" bestFit="1" customWidth="1"/>
    <col min="1555" max="1556" width="15.42578125" style="3532" bestFit="1" customWidth="1"/>
    <col min="1557" max="1557" width="16.42578125" style="3532" bestFit="1" customWidth="1"/>
    <col min="1558" max="1558" width="14.28515625" style="3532" customWidth="1"/>
    <col min="1559" max="1559" width="12.85546875" style="3532" bestFit="1" customWidth="1"/>
    <col min="1560" max="1560" width="11.28515625" style="3532" bestFit="1" customWidth="1"/>
    <col min="1561" max="1561" width="12.42578125" style="3532" bestFit="1" customWidth="1"/>
    <col min="1562" max="1562" width="14" style="3532" bestFit="1" customWidth="1"/>
    <col min="1563" max="1563" width="6" style="3532" bestFit="1" customWidth="1"/>
    <col min="1564" max="1564" width="15" style="3532" customWidth="1"/>
    <col min="1565" max="1565" width="14.85546875" style="3532" bestFit="1" customWidth="1"/>
    <col min="1566" max="1566" width="16.140625" style="3532" bestFit="1" customWidth="1"/>
    <col min="1567" max="1793" width="8.85546875" style="3532"/>
    <col min="1794" max="1794" width="24" style="3532" bestFit="1" customWidth="1"/>
    <col min="1795" max="1795" width="45.7109375" style="3532" bestFit="1" customWidth="1"/>
    <col min="1796" max="1796" width="19.7109375" style="3532" bestFit="1" customWidth="1"/>
    <col min="1797" max="1797" width="16" style="3532" customWidth="1"/>
    <col min="1798" max="1798" width="19.85546875" style="3532" bestFit="1" customWidth="1"/>
    <col min="1799" max="1799" width="13.42578125" style="3532" customWidth="1"/>
    <col min="1800" max="1800" width="15.28515625" style="3532" bestFit="1" customWidth="1"/>
    <col min="1801" max="1801" width="14.140625" style="3532" bestFit="1" customWidth="1"/>
    <col min="1802" max="1802" width="15.28515625" style="3532" customWidth="1"/>
    <col min="1803" max="1803" width="15.85546875" style="3532" customWidth="1"/>
    <col min="1804" max="1804" width="17" style="3532" bestFit="1" customWidth="1"/>
    <col min="1805" max="1805" width="12.7109375" style="3532" customWidth="1"/>
    <col min="1806" max="1806" width="13.7109375" style="3532" customWidth="1"/>
    <col min="1807" max="1807" width="13.85546875" style="3532" bestFit="1" customWidth="1"/>
    <col min="1808" max="1808" width="15.42578125" style="3532" bestFit="1" customWidth="1"/>
    <col min="1809" max="1809" width="16.140625" style="3532" customWidth="1"/>
    <col min="1810" max="1810" width="16.7109375" style="3532" bestFit="1" customWidth="1"/>
    <col min="1811" max="1812" width="15.42578125" style="3532" bestFit="1" customWidth="1"/>
    <col min="1813" max="1813" width="16.42578125" style="3532" bestFit="1" customWidth="1"/>
    <col min="1814" max="1814" width="14.28515625" style="3532" customWidth="1"/>
    <col min="1815" max="1815" width="12.85546875" style="3532" bestFit="1" customWidth="1"/>
    <col min="1816" max="1816" width="11.28515625" style="3532" bestFit="1" customWidth="1"/>
    <col min="1817" max="1817" width="12.42578125" style="3532" bestFit="1" customWidth="1"/>
    <col min="1818" max="1818" width="14" style="3532" bestFit="1" customWidth="1"/>
    <col min="1819" max="1819" width="6" style="3532" bestFit="1" customWidth="1"/>
    <col min="1820" max="1820" width="15" style="3532" customWidth="1"/>
    <col min="1821" max="1821" width="14.85546875" style="3532" bestFit="1" customWidth="1"/>
    <col min="1822" max="1822" width="16.140625" style="3532" bestFit="1" customWidth="1"/>
    <col min="1823" max="2049" width="8.85546875" style="3532"/>
    <col min="2050" max="2050" width="24" style="3532" bestFit="1" customWidth="1"/>
    <col min="2051" max="2051" width="45.7109375" style="3532" bestFit="1" customWidth="1"/>
    <col min="2052" max="2052" width="19.7109375" style="3532" bestFit="1" customWidth="1"/>
    <col min="2053" max="2053" width="16" style="3532" customWidth="1"/>
    <col min="2054" max="2054" width="19.85546875" style="3532" bestFit="1" customWidth="1"/>
    <col min="2055" max="2055" width="13.42578125" style="3532" customWidth="1"/>
    <col min="2056" max="2056" width="15.28515625" style="3532" bestFit="1" customWidth="1"/>
    <col min="2057" max="2057" width="14.140625" style="3532" bestFit="1" customWidth="1"/>
    <col min="2058" max="2058" width="15.28515625" style="3532" customWidth="1"/>
    <col min="2059" max="2059" width="15.85546875" style="3532" customWidth="1"/>
    <col min="2060" max="2060" width="17" style="3532" bestFit="1" customWidth="1"/>
    <col min="2061" max="2061" width="12.7109375" style="3532" customWidth="1"/>
    <col min="2062" max="2062" width="13.7109375" style="3532" customWidth="1"/>
    <col min="2063" max="2063" width="13.85546875" style="3532" bestFit="1" customWidth="1"/>
    <col min="2064" max="2064" width="15.42578125" style="3532" bestFit="1" customWidth="1"/>
    <col min="2065" max="2065" width="16.140625" style="3532" customWidth="1"/>
    <col min="2066" max="2066" width="16.7109375" style="3532" bestFit="1" customWidth="1"/>
    <col min="2067" max="2068" width="15.42578125" style="3532" bestFit="1" customWidth="1"/>
    <col min="2069" max="2069" width="16.42578125" style="3532" bestFit="1" customWidth="1"/>
    <col min="2070" max="2070" width="14.28515625" style="3532" customWidth="1"/>
    <col min="2071" max="2071" width="12.85546875" style="3532" bestFit="1" customWidth="1"/>
    <col min="2072" max="2072" width="11.28515625" style="3532" bestFit="1" customWidth="1"/>
    <col min="2073" max="2073" width="12.42578125" style="3532" bestFit="1" customWidth="1"/>
    <col min="2074" max="2074" width="14" style="3532" bestFit="1" customWidth="1"/>
    <col min="2075" max="2075" width="6" style="3532" bestFit="1" customWidth="1"/>
    <col min="2076" max="2076" width="15" style="3532" customWidth="1"/>
    <col min="2077" max="2077" width="14.85546875" style="3532" bestFit="1" customWidth="1"/>
    <col min="2078" max="2078" width="16.140625" style="3532" bestFit="1" customWidth="1"/>
    <col min="2079" max="2305" width="8.85546875" style="3532"/>
    <col min="2306" max="2306" width="24" style="3532" bestFit="1" customWidth="1"/>
    <col min="2307" max="2307" width="45.7109375" style="3532" bestFit="1" customWidth="1"/>
    <col min="2308" max="2308" width="19.7109375" style="3532" bestFit="1" customWidth="1"/>
    <col min="2309" max="2309" width="16" style="3532" customWidth="1"/>
    <col min="2310" max="2310" width="19.85546875" style="3532" bestFit="1" customWidth="1"/>
    <col min="2311" max="2311" width="13.42578125" style="3532" customWidth="1"/>
    <col min="2312" max="2312" width="15.28515625" style="3532" bestFit="1" customWidth="1"/>
    <col min="2313" max="2313" width="14.140625" style="3532" bestFit="1" customWidth="1"/>
    <col min="2314" max="2314" width="15.28515625" style="3532" customWidth="1"/>
    <col min="2315" max="2315" width="15.85546875" style="3532" customWidth="1"/>
    <col min="2316" max="2316" width="17" style="3532" bestFit="1" customWidth="1"/>
    <col min="2317" max="2317" width="12.7109375" style="3532" customWidth="1"/>
    <col min="2318" max="2318" width="13.7109375" style="3532" customWidth="1"/>
    <col min="2319" max="2319" width="13.85546875" style="3532" bestFit="1" customWidth="1"/>
    <col min="2320" max="2320" width="15.42578125" style="3532" bestFit="1" customWidth="1"/>
    <col min="2321" max="2321" width="16.140625" style="3532" customWidth="1"/>
    <col min="2322" max="2322" width="16.7109375" style="3532" bestFit="1" customWidth="1"/>
    <col min="2323" max="2324" width="15.42578125" style="3532" bestFit="1" customWidth="1"/>
    <col min="2325" max="2325" width="16.42578125" style="3532" bestFit="1" customWidth="1"/>
    <col min="2326" max="2326" width="14.28515625" style="3532" customWidth="1"/>
    <col min="2327" max="2327" width="12.85546875" style="3532" bestFit="1" customWidth="1"/>
    <col min="2328" max="2328" width="11.28515625" style="3532" bestFit="1" customWidth="1"/>
    <col min="2329" max="2329" width="12.42578125" style="3532" bestFit="1" customWidth="1"/>
    <col min="2330" max="2330" width="14" style="3532" bestFit="1" customWidth="1"/>
    <col min="2331" max="2331" width="6" style="3532" bestFit="1" customWidth="1"/>
    <col min="2332" max="2332" width="15" style="3532" customWidth="1"/>
    <col min="2333" max="2333" width="14.85546875" style="3532" bestFit="1" customWidth="1"/>
    <col min="2334" max="2334" width="16.140625" style="3532" bestFit="1" customWidth="1"/>
    <col min="2335" max="2561" width="8.85546875" style="3532"/>
    <col min="2562" max="2562" width="24" style="3532" bestFit="1" customWidth="1"/>
    <col min="2563" max="2563" width="45.7109375" style="3532" bestFit="1" customWidth="1"/>
    <col min="2564" max="2564" width="19.7109375" style="3532" bestFit="1" customWidth="1"/>
    <col min="2565" max="2565" width="16" style="3532" customWidth="1"/>
    <col min="2566" max="2566" width="19.85546875" style="3532" bestFit="1" customWidth="1"/>
    <col min="2567" max="2567" width="13.42578125" style="3532" customWidth="1"/>
    <col min="2568" max="2568" width="15.28515625" style="3532" bestFit="1" customWidth="1"/>
    <col min="2569" max="2569" width="14.140625" style="3532" bestFit="1" customWidth="1"/>
    <col min="2570" max="2570" width="15.28515625" style="3532" customWidth="1"/>
    <col min="2571" max="2571" width="15.85546875" style="3532" customWidth="1"/>
    <col min="2572" max="2572" width="17" style="3532" bestFit="1" customWidth="1"/>
    <col min="2573" max="2573" width="12.7109375" style="3532" customWidth="1"/>
    <col min="2574" max="2574" width="13.7109375" style="3532" customWidth="1"/>
    <col min="2575" max="2575" width="13.85546875" style="3532" bestFit="1" customWidth="1"/>
    <col min="2576" max="2576" width="15.42578125" style="3532" bestFit="1" customWidth="1"/>
    <col min="2577" max="2577" width="16.140625" style="3532" customWidth="1"/>
    <col min="2578" max="2578" width="16.7109375" style="3532" bestFit="1" customWidth="1"/>
    <col min="2579" max="2580" width="15.42578125" style="3532" bestFit="1" customWidth="1"/>
    <col min="2581" max="2581" width="16.42578125" style="3532" bestFit="1" customWidth="1"/>
    <col min="2582" max="2582" width="14.28515625" style="3532" customWidth="1"/>
    <col min="2583" max="2583" width="12.85546875" style="3532" bestFit="1" customWidth="1"/>
    <col min="2584" max="2584" width="11.28515625" style="3532" bestFit="1" customWidth="1"/>
    <col min="2585" max="2585" width="12.42578125" style="3532" bestFit="1" customWidth="1"/>
    <col min="2586" max="2586" width="14" style="3532" bestFit="1" customWidth="1"/>
    <col min="2587" max="2587" width="6" style="3532" bestFit="1" customWidth="1"/>
    <col min="2588" max="2588" width="15" style="3532" customWidth="1"/>
    <col min="2589" max="2589" width="14.85546875" style="3532" bestFit="1" customWidth="1"/>
    <col min="2590" max="2590" width="16.140625" style="3532" bestFit="1" customWidth="1"/>
    <col min="2591" max="2817" width="8.85546875" style="3532"/>
    <col min="2818" max="2818" width="24" style="3532" bestFit="1" customWidth="1"/>
    <col min="2819" max="2819" width="45.7109375" style="3532" bestFit="1" customWidth="1"/>
    <col min="2820" max="2820" width="19.7109375" style="3532" bestFit="1" customWidth="1"/>
    <col min="2821" max="2821" width="16" style="3532" customWidth="1"/>
    <col min="2822" max="2822" width="19.85546875" style="3532" bestFit="1" customWidth="1"/>
    <col min="2823" max="2823" width="13.42578125" style="3532" customWidth="1"/>
    <col min="2824" max="2824" width="15.28515625" style="3532" bestFit="1" customWidth="1"/>
    <col min="2825" max="2825" width="14.140625" style="3532" bestFit="1" customWidth="1"/>
    <col min="2826" max="2826" width="15.28515625" style="3532" customWidth="1"/>
    <col min="2827" max="2827" width="15.85546875" style="3532" customWidth="1"/>
    <col min="2828" max="2828" width="17" style="3532" bestFit="1" customWidth="1"/>
    <col min="2829" max="2829" width="12.7109375" style="3532" customWidth="1"/>
    <col min="2830" max="2830" width="13.7109375" style="3532" customWidth="1"/>
    <col min="2831" max="2831" width="13.85546875" style="3532" bestFit="1" customWidth="1"/>
    <col min="2832" max="2832" width="15.42578125" style="3532" bestFit="1" customWidth="1"/>
    <col min="2833" max="2833" width="16.140625" style="3532" customWidth="1"/>
    <col min="2834" max="2834" width="16.7109375" style="3532" bestFit="1" customWidth="1"/>
    <col min="2835" max="2836" width="15.42578125" style="3532" bestFit="1" customWidth="1"/>
    <col min="2837" max="2837" width="16.42578125" style="3532" bestFit="1" customWidth="1"/>
    <col min="2838" max="2838" width="14.28515625" style="3532" customWidth="1"/>
    <col min="2839" max="2839" width="12.85546875" style="3532" bestFit="1" customWidth="1"/>
    <col min="2840" max="2840" width="11.28515625" style="3532" bestFit="1" customWidth="1"/>
    <col min="2841" max="2841" width="12.42578125" style="3532" bestFit="1" customWidth="1"/>
    <col min="2842" max="2842" width="14" style="3532" bestFit="1" customWidth="1"/>
    <col min="2843" max="2843" width="6" style="3532" bestFit="1" customWidth="1"/>
    <col min="2844" max="2844" width="15" style="3532" customWidth="1"/>
    <col min="2845" max="2845" width="14.85546875" style="3532" bestFit="1" customWidth="1"/>
    <col min="2846" max="2846" width="16.140625" style="3532" bestFit="1" customWidth="1"/>
    <col min="2847" max="3073" width="8.85546875" style="3532"/>
    <col min="3074" max="3074" width="24" style="3532" bestFit="1" customWidth="1"/>
    <col min="3075" max="3075" width="45.7109375" style="3532" bestFit="1" customWidth="1"/>
    <col min="3076" max="3076" width="19.7109375" style="3532" bestFit="1" customWidth="1"/>
    <col min="3077" max="3077" width="16" style="3532" customWidth="1"/>
    <col min="3078" max="3078" width="19.85546875" style="3532" bestFit="1" customWidth="1"/>
    <col min="3079" max="3079" width="13.42578125" style="3532" customWidth="1"/>
    <col min="3080" max="3080" width="15.28515625" style="3532" bestFit="1" customWidth="1"/>
    <col min="3081" max="3081" width="14.140625" style="3532" bestFit="1" customWidth="1"/>
    <col min="3082" max="3082" width="15.28515625" style="3532" customWidth="1"/>
    <col min="3083" max="3083" width="15.85546875" style="3532" customWidth="1"/>
    <col min="3084" max="3084" width="17" style="3532" bestFit="1" customWidth="1"/>
    <col min="3085" max="3085" width="12.7109375" style="3532" customWidth="1"/>
    <col min="3086" max="3086" width="13.7109375" style="3532" customWidth="1"/>
    <col min="3087" max="3087" width="13.85546875" style="3532" bestFit="1" customWidth="1"/>
    <col min="3088" max="3088" width="15.42578125" style="3532" bestFit="1" customWidth="1"/>
    <col min="3089" max="3089" width="16.140625" style="3532" customWidth="1"/>
    <col min="3090" max="3090" width="16.7109375" style="3532" bestFit="1" customWidth="1"/>
    <col min="3091" max="3092" width="15.42578125" style="3532" bestFit="1" customWidth="1"/>
    <col min="3093" max="3093" width="16.42578125" style="3532" bestFit="1" customWidth="1"/>
    <col min="3094" max="3094" width="14.28515625" style="3532" customWidth="1"/>
    <col min="3095" max="3095" width="12.85546875" style="3532" bestFit="1" customWidth="1"/>
    <col min="3096" max="3096" width="11.28515625" style="3532" bestFit="1" customWidth="1"/>
    <col min="3097" max="3097" width="12.42578125" style="3532" bestFit="1" customWidth="1"/>
    <col min="3098" max="3098" width="14" style="3532" bestFit="1" customWidth="1"/>
    <col min="3099" max="3099" width="6" style="3532" bestFit="1" customWidth="1"/>
    <col min="3100" max="3100" width="15" style="3532" customWidth="1"/>
    <col min="3101" max="3101" width="14.85546875" style="3532" bestFit="1" customWidth="1"/>
    <col min="3102" max="3102" width="16.140625" style="3532" bestFit="1" customWidth="1"/>
    <col min="3103" max="3329" width="8.85546875" style="3532"/>
    <col min="3330" max="3330" width="24" style="3532" bestFit="1" customWidth="1"/>
    <col min="3331" max="3331" width="45.7109375" style="3532" bestFit="1" customWidth="1"/>
    <col min="3332" max="3332" width="19.7109375" style="3532" bestFit="1" customWidth="1"/>
    <col min="3333" max="3333" width="16" style="3532" customWidth="1"/>
    <col min="3334" max="3334" width="19.85546875" style="3532" bestFit="1" customWidth="1"/>
    <col min="3335" max="3335" width="13.42578125" style="3532" customWidth="1"/>
    <col min="3336" max="3336" width="15.28515625" style="3532" bestFit="1" customWidth="1"/>
    <col min="3337" max="3337" width="14.140625" style="3532" bestFit="1" customWidth="1"/>
    <col min="3338" max="3338" width="15.28515625" style="3532" customWidth="1"/>
    <col min="3339" max="3339" width="15.85546875" style="3532" customWidth="1"/>
    <col min="3340" max="3340" width="17" style="3532" bestFit="1" customWidth="1"/>
    <col min="3341" max="3341" width="12.7109375" style="3532" customWidth="1"/>
    <col min="3342" max="3342" width="13.7109375" style="3532" customWidth="1"/>
    <col min="3343" max="3343" width="13.85546875" style="3532" bestFit="1" customWidth="1"/>
    <col min="3344" max="3344" width="15.42578125" style="3532" bestFit="1" customWidth="1"/>
    <col min="3345" max="3345" width="16.140625" style="3532" customWidth="1"/>
    <col min="3346" max="3346" width="16.7109375" style="3532" bestFit="1" customWidth="1"/>
    <col min="3347" max="3348" width="15.42578125" style="3532" bestFit="1" customWidth="1"/>
    <col min="3349" max="3349" width="16.42578125" style="3532" bestFit="1" customWidth="1"/>
    <col min="3350" max="3350" width="14.28515625" style="3532" customWidth="1"/>
    <col min="3351" max="3351" width="12.85546875" style="3532" bestFit="1" customWidth="1"/>
    <col min="3352" max="3352" width="11.28515625" style="3532" bestFit="1" customWidth="1"/>
    <col min="3353" max="3353" width="12.42578125" style="3532" bestFit="1" customWidth="1"/>
    <col min="3354" max="3354" width="14" style="3532" bestFit="1" customWidth="1"/>
    <col min="3355" max="3355" width="6" style="3532" bestFit="1" customWidth="1"/>
    <col min="3356" max="3356" width="15" style="3532" customWidth="1"/>
    <col min="3357" max="3357" width="14.85546875" style="3532" bestFit="1" customWidth="1"/>
    <col min="3358" max="3358" width="16.140625" style="3532" bestFit="1" customWidth="1"/>
    <col min="3359" max="3585" width="8.85546875" style="3532"/>
    <col min="3586" max="3586" width="24" style="3532" bestFit="1" customWidth="1"/>
    <col min="3587" max="3587" width="45.7109375" style="3532" bestFit="1" customWidth="1"/>
    <col min="3588" max="3588" width="19.7109375" style="3532" bestFit="1" customWidth="1"/>
    <col min="3589" max="3589" width="16" style="3532" customWidth="1"/>
    <col min="3590" max="3590" width="19.85546875" style="3532" bestFit="1" customWidth="1"/>
    <col min="3591" max="3591" width="13.42578125" style="3532" customWidth="1"/>
    <col min="3592" max="3592" width="15.28515625" style="3532" bestFit="1" customWidth="1"/>
    <col min="3593" max="3593" width="14.140625" style="3532" bestFit="1" customWidth="1"/>
    <col min="3594" max="3594" width="15.28515625" style="3532" customWidth="1"/>
    <col min="3595" max="3595" width="15.85546875" style="3532" customWidth="1"/>
    <col min="3596" max="3596" width="17" style="3532" bestFit="1" customWidth="1"/>
    <col min="3597" max="3597" width="12.7109375" style="3532" customWidth="1"/>
    <col min="3598" max="3598" width="13.7109375" style="3532" customWidth="1"/>
    <col min="3599" max="3599" width="13.85546875" style="3532" bestFit="1" customWidth="1"/>
    <col min="3600" max="3600" width="15.42578125" style="3532" bestFit="1" customWidth="1"/>
    <col min="3601" max="3601" width="16.140625" style="3532" customWidth="1"/>
    <col min="3602" max="3602" width="16.7109375" style="3532" bestFit="1" customWidth="1"/>
    <col min="3603" max="3604" width="15.42578125" style="3532" bestFit="1" customWidth="1"/>
    <col min="3605" max="3605" width="16.42578125" style="3532" bestFit="1" customWidth="1"/>
    <col min="3606" max="3606" width="14.28515625" style="3532" customWidth="1"/>
    <col min="3607" max="3607" width="12.85546875" style="3532" bestFit="1" customWidth="1"/>
    <col min="3608" max="3608" width="11.28515625" style="3532" bestFit="1" customWidth="1"/>
    <col min="3609" max="3609" width="12.42578125" style="3532" bestFit="1" customWidth="1"/>
    <col min="3610" max="3610" width="14" style="3532" bestFit="1" customWidth="1"/>
    <col min="3611" max="3611" width="6" style="3532" bestFit="1" customWidth="1"/>
    <col min="3612" max="3612" width="15" style="3532" customWidth="1"/>
    <col min="3613" max="3613" width="14.85546875" style="3532" bestFit="1" customWidth="1"/>
    <col min="3614" max="3614" width="16.140625" style="3532" bestFit="1" customWidth="1"/>
    <col min="3615" max="3841" width="8.85546875" style="3532"/>
    <col min="3842" max="3842" width="24" style="3532" bestFit="1" customWidth="1"/>
    <col min="3843" max="3843" width="45.7109375" style="3532" bestFit="1" customWidth="1"/>
    <col min="3844" max="3844" width="19.7109375" style="3532" bestFit="1" customWidth="1"/>
    <col min="3845" max="3845" width="16" style="3532" customWidth="1"/>
    <col min="3846" max="3846" width="19.85546875" style="3532" bestFit="1" customWidth="1"/>
    <col min="3847" max="3847" width="13.42578125" style="3532" customWidth="1"/>
    <col min="3848" max="3848" width="15.28515625" style="3532" bestFit="1" customWidth="1"/>
    <col min="3849" max="3849" width="14.140625" style="3532" bestFit="1" customWidth="1"/>
    <col min="3850" max="3850" width="15.28515625" style="3532" customWidth="1"/>
    <col min="3851" max="3851" width="15.85546875" style="3532" customWidth="1"/>
    <col min="3852" max="3852" width="17" style="3532" bestFit="1" customWidth="1"/>
    <col min="3853" max="3853" width="12.7109375" style="3532" customWidth="1"/>
    <col min="3854" max="3854" width="13.7109375" style="3532" customWidth="1"/>
    <col min="3855" max="3855" width="13.85546875" style="3532" bestFit="1" customWidth="1"/>
    <col min="3856" max="3856" width="15.42578125" style="3532" bestFit="1" customWidth="1"/>
    <col min="3857" max="3857" width="16.140625" style="3532" customWidth="1"/>
    <col min="3858" max="3858" width="16.7109375" style="3532" bestFit="1" customWidth="1"/>
    <col min="3859" max="3860" width="15.42578125" style="3532" bestFit="1" customWidth="1"/>
    <col min="3861" max="3861" width="16.42578125" style="3532" bestFit="1" customWidth="1"/>
    <col min="3862" max="3862" width="14.28515625" style="3532" customWidth="1"/>
    <col min="3863" max="3863" width="12.85546875" style="3532" bestFit="1" customWidth="1"/>
    <col min="3864" max="3864" width="11.28515625" style="3532" bestFit="1" customWidth="1"/>
    <col min="3865" max="3865" width="12.42578125" style="3532" bestFit="1" customWidth="1"/>
    <col min="3866" max="3866" width="14" style="3532" bestFit="1" customWidth="1"/>
    <col min="3867" max="3867" width="6" style="3532" bestFit="1" customWidth="1"/>
    <col min="3868" max="3868" width="15" style="3532" customWidth="1"/>
    <col min="3869" max="3869" width="14.85546875" style="3532" bestFit="1" customWidth="1"/>
    <col min="3870" max="3870" width="16.140625" style="3532" bestFit="1" customWidth="1"/>
    <col min="3871" max="4097" width="8.85546875" style="3532"/>
    <col min="4098" max="4098" width="24" style="3532" bestFit="1" customWidth="1"/>
    <col min="4099" max="4099" width="45.7109375" style="3532" bestFit="1" customWidth="1"/>
    <col min="4100" max="4100" width="19.7109375" style="3532" bestFit="1" customWidth="1"/>
    <col min="4101" max="4101" width="16" style="3532" customWidth="1"/>
    <col min="4102" max="4102" width="19.85546875" style="3532" bestFit="1" customWidth="1"/>
    <col min="4103" max="4103" width="13.42578125" style="3532" customWidth="1"/>
    <col min="4104" max="4104" width="15.28515625" style="3532" bestFit="1" customWidth="1"/>
    <col min="4105" max="4105" width="14.140625" style="3532" bestFit="1" customWidth="1"/>
    <col min="4106" max="4106" width="15.28515625" style="3532" customWidth="1"/>
    <col min="4107" max="4107" width="15.85546875" style="3532" customWidth="1"/>
    <col min="4108" max="4108" width="17" style="3532" bestFit="1" customWidth="1"/>
    <col min="4109" max="4109" width="12.7109375" style="3532" customWidth="1"/>
    <col min="4110" max="4110" width="13.7109375" style="3532" customWidth="1"/>
    <col min="4111" max="4111" width="13.85546875" style="3532" bestFit="1" customWidth="1"/>
    <col min="4112" max="4112" width="15.42578125" style="3532" bestFit="1" customWidth="1"/>
    <col min="4113" max="4113" width="16.140625" style="3532" customWidth="1"/>
    <col min="4114" max="4114" width="16.7109375" style="3532" bestFit="1" customWidth="1"/>
    <col min="4115" max="4116" width="15.42578125" style="3532" bestFit="1" customWidth="1"/>
    <col min="4117" max="4117" width="16.42578125" style="3532" bestFit="1" customWidth="1"/>
    <col min="4118" max="4118" width="14.28515625" style="3532" customWidth="1"/>
    <col min="4119" max="4119" width="12.85546875" style="3532" bestFit="1" customWidth="1"/>
    <col min="4120" max="4120" width="11.28515625" style="3532" bestFit="1" customWidth="1"/>
    <col min="4121" max="4121" width="12.42578125" style="3532" bestFit="1" customWidth="1"/>
    <col min="4122" max="4122" width="14" style="3532" bestFit="1" customWidth="1"/>
    <col min="4123" max="4123" width="6" style="3532" bestFit="1" customWidth="1"/>
    <col min="4124" max="4124" width="15" style="3532" customWidth="1"/>
    <col min="4125" max="4125" width="14.85546875" style="3532" bestFit="1" customWidth="1"/>
    <col min="4126" max="4126" width="16.140625" style="3532" bestFit="1" customWidth="1"/>
    <col min="4127" max="4353" width="8.85546875" style="3532"/>
    <col min="4354" max="4354" width="24" style="3532" bestFit="1" customWidth="1"/>
    <col min="4355" max="4355" width="45.7109375" style="3532" bestFit="1" customWidth="1"/>
    <col min="4356" max="4356" width="19.7109375" style="3532" bestFit="1" customWidth="1"/>
    <col min="4357" max="4357" width="16" style="3532" customWidth="1"/>
    <col min="4358" max="4358" width="19.85546875" style="3532" bestFit="1" customWidth="1"/>
    <col min="4359" max="4359" width="13.42578125" style="3532" customWidth="1"/>
    <col min="4360" max="4360" width="15.28515625" style="3532" bestFit="1" customWidth="1"/>
    <col min="4361" max="4361" width="14.140625" style="3532" bestFit="1" customWidth="1"/>
    <col min="4362" max="4362" width="15.28515625" style="3532" customWidth="1"/>
    <col min="4363" max="4363" width="15.85546875" style="3532" customWidth="1"/>
    <col min="4364" max="4364" width="17" style="3532" bestFit="1" customWidth="1"/>
    <col min="4365" max="4365" width="12.7109375" style="3532" customWidth="1"/>
    <col min="4366" max="4366" width="13.7109375" style="3532" customWidth="1"/>
    <col min="4367" max="4367" width="13.85546875" style="3532" bestFit="1" customWidth="1"/>
    <col min="4368" max="4368" width="15.42578125" style="3532" bestFit="1" customWidth="1"/>
    <col min="4369" max="4369" width="16.140625" style="3532" customWidth="1"/>
    <col min="4370" max="4370" width="16.7109375" style="3532" bestFit="1" customWidth="1"/>
    <col min="4371" max="4372" width="15.42578125" style="3532" bestFit="1" customWidth="1"/>
    <col min="4373" max="4373" width="16.42578125" style="3532" bestFit="1" customWidth="1"/>
    <col min="4374" max="4374" width="14.28515625" style="3532" customWidth="1"/>
    <col min="4375" max="4375" width="12.85546875" style="3532" bestFit="1" customWidth="1"/>
    <col min="4376" max="4376" width="11.28515625" style="3532" bestFit="1" customWidth="1"/>
    <col min="4377" max="4377" width="12.42578125" style="3532" bestFit="1" customWidth="1"/>
    <col min="4378" max="4378" width="14" style="3532" bestFit="1" customWidth="1"/>
    <col min="4379" max="4379" width="6" style="3532" bestFit="1" customWidth="1"/>
    <col min="4380" max="4380" width="15" style="3532" customWidth="1"/>
    <col min="4381" max="4381" width="14.85546875" style="3532" bestFit="1" customWidth="1"/>
    <col min="4382" max="4382" width="16.140625" style="3532" bestFit="1" customWidth="1"/>
    <col min="4383" max="4609" width="8.85546875" style="3532"/>
    <col min="4610" max="4610" width="24" style="3532" bestFit="1" customWidth="1"/>
    <col min="4611" max="4611" width="45.7109375" style="3532" bestFit="1" customWidth="1"/>
    <col min="4612" max="4612" width="19.7109375" style="3532" bestFit="1" customWidth="1"/>
    <col min="4613" max="4613" width="16" style="3532" customWidth="1"/>
    <col min="4614" max="4614" width="19.85546875" style="3532" bestFit="1" customWidth="1"/>
    <col min="4615" max="4615" width="13.42578125" style="3532" customWidth="1"/>
    <col min="4616" max="4616" width="15.28515625" style="3532" bestFit="1" customWidth="1"/>
    <col min="4617" max="4617" width="14.140625" style="3532" bestFit="1" customWidth="1"/>
    <col min="4618" max="4618" width="15.28515625" style="3532" customWidth="1"/>
    <col min="4619" max="4619" width="15.85546875" style="3532" customWidth="1"/>
    <col min="4620" max="4620" width="17" style="3532" bestFit="1" customWidth="1"/>
    <col min="4621" max="4621" width="12.7109375" style="3532" customWidth="1"/>
    <col min="4622" max="4622" width="13.7109375" style="3532" customWidth="1"/>
    <col min="4623" max="4623" width="13.85546875" style="3532" bestFit="1" customWidth="1"/>
    <col min="4624" max="4624" width="15.42578125" style="3532" bestFit="1" customWidth="1"/>
    <col min="4625" max="4625" width="16.140625" style="3532" customWidth="1"/>
    <col min="4626" max="4626" width="16.7109375" style="3532" bestFit="1" customWidth="1"/>
    <col min="4627" max="4628" width="15.42578125" style="3532" bestFit="1" customWidth="1"/>
    <col min="4629" max="4629" width="16.42578125" style="3532" bestFit="1" customWidth="1"/>
    <col min="4630" max="4630" width="14.28515625" style="3532" customWidth="1"/>
    <col min="4631" max="4631" width="12.85546875" style="3532" bestFit="1" customWidth="1"/>
    <col min="4632" max="4632" width="11.28515625" style="3532" bestFit="1" customWidth="1"/>
    <col min="4633" max="4633" width="12.42578125" style="3532" bestFit="1" customWidth="1"/>
    <col min="4634" max="4634" width="14" style="3532" bestFit="1" customWidth="1"/>
    <col min="4635" max="4635" width="6" style="3532" bestFit="1" customWidth="1"/>
    <col min="4636" max="4636" width="15" style="3532" customWidth="1"/>
    <col min="4637" max="4637" width="14.85546875" style="3532" bestFit="1" customWidth="1"/>
    <col min="4638" max="4638" width="16.140625" style="3532" bestFit="1" customWidth="1"/>
    <col min="4639" max="4865" width="8.85546875" style="3532"/>
    <col min="4866" max="4866" width="24" style="3532" bestFit="1" customWidth="1"/>
    <col min="4867" max="4867" width="45.7109375" style="3532" bestFit="1" customWidth="1"/>
    <col min="4868" max="4868" width="19.7109375" style="3532" bestFit="1" customWidth="1"/>
    <col min="4869" max="4869" width="16" style="3532" customWidth="1"/>
    <col min="4870" max="4870" width="19.85546875" style="3532" bestFit="1" customWidth="1"/>
    <col min="4871" max="4871" width="13.42578125" style="3532" customWidth="1"/>
    <col min="4872" max="4872" width="15.28515625" style="3532" bestFit="1" customWidth="1"/>
    <col min="4873" max="4873" width="14.140625" style="3532" bestFit="1" customWidth="1"/>
    <col min="4874" max="4874" width="15.28515625" style="3532" customWidth="1"/>
    <col min="4875" max="4875" width="15.85546875" style="3532" customWidth="1"/>
    <col min="4876" max="4876" width="17" style="3532" bestFit="1" customWidth="1"/>
    <col min="4877" max="4877" width="12.7109375" style="3532" customWidth="1"/>
    <col min="4878" max="4878" width="13.7109375" style="3532" customWidth="1"/>
    <col min="4879" max="4879" width="13.85546875" style="3532" bestFit="1" customWidth="1"/>
    <col min="4880" max="4880" width="15.42578125" style="3532" bestFit="1" customWidth="1"/>
    <col min="4881" max="4881" width="16.140625" style="3532" customWidth="1"/>
    <col min="4882" max="4882" width="16.7109375" style="3532" bestFit="1" customWidth="1"/>
    <col min="4883" max="4884" width="15.42578125" style="3532" bestFit="1" customWidth="1"/>
    <col min="4885" max="4885" width="16.42578125" style="3532" bestFit="1" customWidth="1"/>
    <col min="4886" max="4886" width="14.28515625" style="3532" customWidth="1"/>
    <col min="4887" max="4887" width="12.85546875" style="3532" bestFit="1" customWidth="1"/>
    <col min="4888" max="4888" width="11.28515625" style="3532" bestFit="1" customWidth="1"/>
    <col min="4889" max="4889" width="12.42578125" style="3532" bestFit="1" customWidth="1"/>
    <col min="4890" max="4890" width="14" style="3532" bestFit="1" customWidth="1"/>
    <col min="4891" max="4891" width="6" style="3532" bestFit="1" customWidth="1"/>
    <col min="4892" max="4892" width="15" style="3532" customWidth="1"/>
    <col min="4893" max="4893" width="14.85546875" style="3532" bestFit="1" customWidth="1"/>
    <col min="4894" max="4894" width="16.140625" style="3532" bestFit="1" customWidth="1"/>
    <col min="4895" max="5121" width="8.85546875" style="3532"/>
    <col min="5122" max="5122" width="24" style="3532" bestFit="1" customWidth="1"/>
    <col min="5123" max="5123" width="45.7109375" style="3532" bestFit="1" customWidth="1"/>
    <col min="5124" max="5124" width="19.7109375" style="3532" bestFit="1" customWidth="1"/>
    <col min="5125" max="5125" width="16" style="3532" customWidth="1"/>
    <col min="5126" max="5126" width="19.85546875" style="3532" bestFit="1" customWidth="1"/>
    <col min="5127" max="5127" width="13.42578125" style="3532" customWidth="1"/>
    <col min="5128" max="5128" width="15.28515625" style="3532" bestFit="1" customWidth="1"/>
    <col min="5129" max="5129" width="14.140625" style="3532" bestFit="1" customWidth="1"/>
    <col min="5130" max="5130" width="15.28515625" style="3532" customWidth="1"/>
    <col min="5131" max="5131" width="15.85546875" style="3532" customWidth="1"/>
    <col min="5132" max="5132" width="17" style="3532" bestFit="1" customWidth="1"/>
    <col min="5133" max="5133" width="12.7109375" style="3532" customWidth="1"/>
    <col min="5134" max="5134" width="13.7109375" style="3532" customWidth="1"/>
    <col min="5135" max="5135" width="13.85546875" style="3532" bestFit="1" customWidth="1"/>
    <col min="5136" max="5136" width="15.42578125" style="3532" bestFit="1" customWidth="1"/>
    <col min="5137" max="5137" width="16.140625" style="3532" customWidth="1"/>
    <col min="5138" max="5138" width="16.7109375" style="3532" bestFit="1" customWidth="1"/>
    <col min="5139" max="5140" width="15.42578125" style="3532" bestFit="1" customWidth="1"/>
    <col min="5141" max="5141" width="16.42578125" style="3532" bestFit="1" customWidth="1"/>
    <col min="5142" max="5142" width="14.28515625" style="3532" customWidth="1"/>
    <col min="5143" max="5143" width="12.85546875" style="3532" bestFit="1" customWidth="1"/>
    <col min="5144" max="5144" width="11.28515625" style="3532" bestFit="1" customWidth="1"/>
    <col min="5145" max="5145" width="12.42578125" style="3532" bestFit="1" customWidth="1"/>
    <col min="5146" max="5146" width="14" style="3532" bestFit="1" customWidth="1"/>
    <col min="5147" max="5147" width="6" style="3532" bestFit="1" customWidth="1"/>
    <col min="5148" max="5148" width="15" style="3532" customWidth="1"/>
    <col min="5149" max="5149" width="14.85546875" style="3532" bestFit="1" customWidth="1"/>
    <col min="5150" max="5150" width="16.140625" style="3532" bestFit="1" customWidth="1"/>
    <col min="5151" max="5377" width="8.85546875" style="3532"/>
    <col min="5378" max="5378" width="24" style="3532" bestFit="1" customWidth="1"/>
    <col min="5379" max="5379" width="45.7109375" style="3532" bestFit="1" customWidth="1"/>
    <col min="5380" max="5380" width="19.7109375" style="3532" bestFit="1" customWidth="1"/>
    <col min="5381" max="5381" width="16" style="3532" customWidth="1"/>
    <col min="5382" max="5382" width="19.85546875" style="3532" bestFit="1" customWidth="1"/>
    <col min="5383" max="5383" width="13.42578125" style="3532" customWidth="1"/>
    <col min="5384" max="5384" width="15.28515625" style="3532" bestFit="1" customWidth="1"/>
    <col min="5385" max="5385" width="14.140625" style="3532" bestFit="1" customWidth="1"/>
    <col min="5386" max="5386" width="15.28515625" style="3532" customWidth="1"/>
    <col min="5387" max="5387" width="15.85546875" style="3532" customWidth="1"/>
    <col min="5388" max="5388" width="17" style="3532" bestFit="1" customWidth="1"/>
    <col min="5389" max="5389" width="12.7109375" style="3532" customWidth="1"/>
    <col min="5390" max="5390" width="13.7109375" style="3532" customWidth="1"/>
    <col min="5391" max="5391" width="13.85546875" style="3532" bestFit="1" customWidth="1"/>
    <col min="5392" max="5392" width="15.42578125" style="3532" bestFit="1" customWidth="1"/>
    <col min="5393" max="5393" width="16.140625" style="3532" customWidth="1"/>
    <col min="5394" max="5394" width="16.7109375" style="3532" bestFit="1" customWidth="1"/>
    <col min="5395" max="5396" width="15.42578125" style="3532" bestFit="1" customWidth="1"/>
    <col min="5397" max="5397" width="16.42578125" style="3532" bestFit="1" customWidth="1"/>
    <col min="5398" max="5398" width="14.28515625" style="3532" customWidth="1"/>
    <col min="5399" max="5399" width="12.85546875" style="3532" bestFit="1" customWidth="1"/>
    <col min="5400" max="5400" width="11.28515625" style="3532" bestFit="1" customWidth="1"/>
    <col min="5401" max="5401" width="12.42578125" style="3532" bestFit="1" customWidth="1"/>
    <col min="5402" max="5402" width="14" style="3532" bestFit="1" customWidth="1"/>
    <col min="5403" max="5403" width="6" style="3532" bestFit="1" customWidth="1"/>
    <col min="5404" max="5404" width="15" style="3532" customWidth="1"/>
    <col min="5405" max="5405" width="14.85546875" style="3532" bestFit="1" customWidth="1"/>
    <col min="5406" max="5406" width="16.140625" style="3532" bestFit="1" customWidth="1"/>
    <col min="5407" max="5633" width="8.85546875" style="3532"/>
    <col min="5634" max="5634" width="24" style="3532" bestFit="1" customWidth="1"/>
    <col min="5635" max="5635" width="45.7109375" style="3532" bestFit="1" customWidth="1"/>
    <col min="5636" max="5636" width="19.7109375" style="3532" bestFit="1" customWidth="1"/>
    <col min="5637" max="5637" width="16" style="3532" customWidth="1"/>
    <col min="5638" max="5638" width="19.85546875" style="3532" bestFit="1" customWidth="1"/>
    <col min="5639" max="5639" width="13.42578125" style="3532" customWidth="1"/>
    <col min="5640" max="5640" width="15.28515625" style="3532" bestFit="1" customWidth="1"/>
    <col min="5641" max="5641" width="14.140625" style="3532" bestFit="1" customWidth="1"/>
    <col min="5642" max="5642" width="15.28515625" style="3532" customWidth="1"/>
    <col min="5643" max="5643" width="15.85546875" style="3532" customWidth="1"/>
    <col min="5644" max="5644" width="17" style="3532" bestFit="1" customWidth="1"/>
    <col min="5645" max="5645" width="12.7109375" style="3532" customWidth="1"/>
    <col min="5646" max="5646" width="13.7109375" style="3532" customWidth="1"/>
    <col min="5647" max="5647" width="13.85546875" style="3532" bestFit="1" customWidth="1"/>
    <col min="5648" max="5648" width="15.42578125" style="3532" bestFit="1" customWidth="1"/>
    <col min="5649" max="5649" width="16.140625" style="3532" customWidth="1"/>
    <col min="5650" max="5650" width="16.7109375" style="3532" bestFit="1" customWidth="1"/>
    <col min="5651" max="5652" width="15.42578125" style="3532" bestFit="1" customWidth="1"/>
    <col min="5653" max="5653" width="16.42578125" style="3532" bestFit="1" customWidth="1"/>
    <col min="5654" max="5654" width="14.28515625" style="3532" customWidth="1"/>
    <col min="5655" max="5655" width="12.85546875" style="3532" bestFit="1" customWidth="1"/>
    <col min="5656" max="5656" width="11.28515625" style="3532" bestFit="1" customWidth="1"/>
    <col min="5657" max="5657" width="12.42578125" style="3532" bestFit="1" customWidth="1"/>
    <col min="5658" max="5658" width="14" style="3532" bestFit="1" customWidth="1"/>
    <col min="5659" max="5659" width="6" style="3532" bestFit="1" customWidth="1"/>
    <col min="5660" max="5660" width="15" style="3532" customWidth="1"/>
    <col min="5661" max="5661" width="14.85546875" style="3532" bestFit="1" customWidth="1"/>
    <col min="5662" max="5662" width="16.140625" style="3532" bestFit="1" customWidth="1"/>
    <col min="5663" max="5889" width="8.85546875" style="3532"/>
    <col min="5890" max="5890" width="24" style="3532" bestFit="1" customWidth="1"/>
    <col min="5891" max="5891" width="45.7109375" style="3532" bestFit="1" customWidth="1"/>
    <col min="5892" max="5892" width="19.7109375" style="3532" bestFit="1" customWidth="1"/>
    <col min="5893" max="5893" width="16" style="3532" customWidth="1"/>
    <col min="5894" max="5894" width="19.85546875" style="3532" bestFit="1" customWidth="1"/>
    <col min="5895" max="5895" width="13.42578125" style="3532" customWidth="1"/>
    <col min="5896" max="5896" width="15.28515625" style="3532" bestFit="1" customWidth="1"/>
    <col min="5897" max="5897" width="14.140625" style="3532" bestFit="1" customWidth="1"/>
    <col min="5898" max="5898" width="15.28515625" style="3532" customWidth="1"/>
    <col min="5899" max="5899" width="15.85546875" style="3532" customWidth="1"/>
    <col min="5900" max="5900" width="17" style="3532" bestFit="1" customWidth="1"/>
    <col min="5901" max="5901" width="12.7109375" style="3532" customWidth="1"/>
    <col min="5902" max="5902" width="13.7109375" style="3532" customWidth="1"/>
    <col min="5903" max="5903" width="13.85546875" style="3532" bestFit="1" customWidth="1"/>
    <col min="5904" max="5904" width="15.42578125" style="3532" bestFit="1" customWidth="1"/>
    <col min="5905" max="5905" width="16.140625" style="3532" customWidth="1"/>
    <col min="5906" max="5906" width="16.7109375" style="3532" bestFit="1" customWidth="1"/>
    <col min="5907" max="5908" width="15.42578125" style="3532" bestFit="1" customWidth="1"/>
    <col min="5909" max="5909" width="16.42578125" style="3532" bestFit="1" customWidth="1"/>
    <col min="5910" max="5910" width="14.28515625" style="3532" customWidth="1"/>
    <col min="5911" max="5911" width="12.85546875" style="3532" bestFit="1" customWidth="1"/>
    <col min="5912" max="5912" width="11.28515625" style="3532" bestFit="1" customWidth="1"/>
    <col min="5913" max="5913" width="12.42578125" style="3532" bestFit="1" customWidth="1"/>
    <col min="5914" max="5914" width="14" style="3532" bestFit="1" customWidth="1"/>
    <col min="5915" max="5915" width="6" style="3532" bestFit="1" customWidth="1"/>
    <col min="5916" max="5916" width="15" style="3532" customWidth="1"/>
    <col min="5917" max="5917" width="14.85546875" style="3532" bestFit="1" customWidth="1"/>
    <col min="5918" max="5918" width="16.140625" style="3532" bestFit="1" customWidth="1"/>
    <col min="5919" max="6145" width="8.85546875" style="3532"/>
    <col min="6146" max="6146" width="24" style="3532" bestFit="1" customWidth="1"/>
    <col min="6147" max="6147" width="45.7109375" style="3532" bestFit="1" customWidth="1"/>
    <col min="6148" max="6148" width="19.7109375" style="3532" bestFit="1" customWidth="1"/>
    <col min="6149" max="6149" width="16" style="3532" customWidth="1"/>
    <col min="6150" max="6150" width="19.85546875" style="3532" bestFit="1" customWidth="1"/>
    <col min="6151" max="6151" width="13.42578125" style="3532" customWidth="1"/>
    <col min="6152" max="6152" width="15.28515625" style="3532" bestFit="1" customWidth="1"/>
    <col min="6153" max="6153" width="14.140625" style="3532" bestFit="1" customWidth="1"/>
    <col min="6154" max="6154" width="15.28515625" style="3532" customWidth="1"/>
    <col min="6155" max="6155" width="15.85546875" style="3532" customWidth="1"/>
    <col min="6156" max="6156" width="17" style="3532" bestFit="1" customWidth="1"/>
    <col min="6157" max="6157" width="12.7109375" style="3532" customWidth="1"/>
    <col min="6158" max="6158" width="13.7109375" style="3532" customWidth="1"/>
    <col min="6159" max="6159" width="13.85546875" style="3532" bestFit="1" customWidth="1"/>
    <col min="6160" max="6160" width="15.42578125" style="3532" bestFit="1" customWidth="1"/>
    <col min="6161" max="6161" width="16.140625" style="3532" customWidth="1"/>
    <col min="6162" max="6162" width="16.7109375" style="3532" bestFit="1" customWidth="1"/>
    <col min="6163" max="6164" width="15.42578125" style="3532" bestFit="1" customWidth="1"/>
    <col min="6165" max="6165" width="16.42578125" style="3532" bestFit="1" customWidth="1"/>
    <col min="6166" max="6166" width="14.28515625" style="3532" customWidth="1"/>
    <col min="6167" max="6167" width="12.85546875" style="3532" bestFit="1" customWidth="1"/>
    <col min="6168" max="6168" width="11.28515625" style="3532" bestFit="1" customWidth="1"/>
    <col min="6169" max="6169" width="12.42578125" style="3532" bestFit="1" customWidth="1"/>
    <col min="6170" max="6170" width="14" style="3532" bestFit="1" customWidth="1"/>
    <col min="6171" max="6171" width="6" style="3532" bestFit="1" customWidth="1"/>
    <col min="6172" max="6172" width="15" style="3532" customWidth="1"/>
    <col min="6173" max="6173" width="14.85546875" style="3532" bestFit="1" customWidth="1"/>
    <col min="6174" max="6174" width="16.140625" style="3532" bestFit="1" customWidth="1"/>
    <col min="6175" max="6401" width="8.85546875" style="3532"/>
    <col min="6402" max="6402" width="24" style="3532" bestFit="1" customWidth="1"/>
    <col min="6403" max="6403" width="45.7109375" style="3532" bestFit="1" customWidth="1"/>
    <col min="6404" max="6404" width="19.7109375" style="3532" bestFit="1" customWidth="1"/>
    <col min="6405" max="6405" width="16" style="3532" customWidth="1"/>
    <col min="6406" max="6406" width="19.85546875" style="3532" bestFit="1" customWidth="1"/>
    <col min="6407" max="6407" width="13.42578125" style="3532" customWidth="1"/>
    <col min="6408" max="6408" width="15.28515625" style="3532" bestFit="1" customWidth="1"/>
    <col min="6409" max="6409" width="14.140625" style="3532" bestFit="1" customWidth="1"/>
    <col min="6410" max="6410" width="15.28515625" style="3532" customWidth="1"/>
    <col min="6411" max="6411" width="15.85546875" style="3532" customWidth="1"/>
    <col min="6412" max="6412" width="17" style="3532" bestFit="1" customWidth="1"/>
    <col min="6413" max="6413" width="12.7109375" style="3532" customWidth="1"/>
    <col min="6414" max="6414" width="13.7109375" style="3532" customWidth="1"/>
    <col min="6415" max="6415" width="13.85546875" style="3532" bestFit="1" customWidth="1"/>
    <col min="6416" max="6416" width="15.42578125" style="3532" bestFit="1" customWidth="1"/>
    <col min="6417" max="6417" width="16.140625" style="3532" customWidth="1"/>
    <col min="6418" max="6418" width="16.7109375" style="3532" bestFit="1" customWidth="1"/>
    <col min="6419" max="6420" width="15.42578125" style="3532" bestFit="1" customWidth="1"/>
    <col min="6421" max="6421" width="16.42578125" style="3532" bestFit="1" customWidth="1"/>
    <col min="6422" max="6422" width="14.28515625" style="3532" customWidth="1"/>
    <col min="6423" max="6423" width="12.85546875" style="3532" bestFit="1" customWidth="1"/>
    <col min="6424" max="6424" width="11.28515625" style="3532" bestFit="1" customWidth="1"/>
    <col min="6425" max="6425" width="12.42578125" style="3532" bestFit="1" customWidth="1"/>
    <col min="6426" max="6426" width="14" style="3532" bestFit="1" customWidth="1"/>
    <col min="6427" max="6427" width="6" style="3532" bestFit="1" customWidth="1"/>
    <col min="6428" max="6428" width="15" style="3532" customWidth="1"/>
    <col min="6429" max="6429" width="14.85546875" style="3532" bestFit="1" customWidth="1"/>
    <col min="6430" max="6430" width="16.140625" style="3532" bestFit="1" customWidth="1"/>
    <col min="6431" max="6657" width="8.85546875" style="3532"/>
    <col min="6658" max="6658" width="24" style="3532" bestFit="1" customWidth="1"/>
    <col min="6659" max="6659" width="45.7109375" style="3532" bestFit="1" customWidth="1"/>
    <col min="6660" max="6660" width="19.7109375" style="3532" bestFit="1" customWidth="1"/>
    <col min="6661" max="6661" width="16" style="3532" customWidth="1"/>
    <col min="6662" max="6662" width="19.85546875" style="3532" bestFit="1" customWidth="1"/>
    <col min="6663" max="6663" width="13.42578125" style="3532" customWidth="1"/>
    <col min="6664" max="6664" width="15.28515625" style="3532" bestFit="1" customWidth="1"/>
    <col min="6665" max="6665" width="14.140625" style="3532" bestFit="1" customWidth="1"/>
    <col min="6666" max="6666" width="15.28515625" style="3532" customWidth="1"/>
    <col min="6667" max="6667" width="15.85546875" style="3532" customWidth="1"/>
    <col min="6668" max="6668" width="17" style="3532" bestFit="1" customWidth="1"/>
    <col min="6669" max="6669" width="12.7109375" style="3532" customWidth="1"/>
    <col min="6670" max="6670" width="13.7109375" style="3532" customWidth="1"/>
    <col min="6671" max="6671" width="13.85546875" style="3532" bestFit="1" customWidth="1"/>
    <col min="6672" max="6672" width="15.42578125" style="3532" bestFit="1" customWidth="1"/>
    <col min="6673" max="6673" width="16.140625" style="3532" customWidth="1"/>
    <col min="6674" max="6674" width="16.7109375" style="3532" bestFit="1" customWidth="1"/>
    <col min="6675" max="6676" width="15.42578125" style="3532" bestFit="1" customWidth="1"/>
    <col min="6677" max="6677" width="16.42578125" style="3532" bestFit="1" customWidth="1"/>
    <col min="6678" max="6678" width="14.28515625" style="3532" customWidth="1"/>
    <col min="6679" max="6679" width="12.85546875" style="3532" bestFit="1" customWidth="1"/>
    <col min="6680" max="6680" width="11.28515625" style="3532" bestFit="1" customWidth="1"/>
    <col min="6681" max="6681" width="12.42578125" style="3532" bestFit="1" customWidth="1"/>
    <col min="6682" max="6682" width="14" style="3532" bestFit="1" customWidth="1"/>
    <col min="6683" max="6683" width="6" style="3532" bestFit="1" customWidth="1"/>
    <col min="6684" max="6684" width="15" style="3532" customWidth="1"/>
    <col min="6685" max="6685" width="14.85546875" style="3532" bestFit="1" customWidth="1"/>
    <col min="6686" max="6686" width="16.140625" style="3532" bestFit="1" customWidth="1"/>
    <col min="6687" max="6913" width="8.85546875" style="3532"/>
    <col min="6914" max="6914" width="24" style="3532" bestFit="1" customWidth="1"/>
    <col min="6915" max="6915" width="45.7109375" style="3532" bestFit="1" customWidth="1"/>
    <col min="6916" max="6916" width="19.7109375" style="3532" bestFit="1" customWidth="1"/>
    <col min="6917" max="6917" width="16" style="3532" customWidth="1"/>
    <col min="6918" max="6918" width="19.85546875" style="3532" bestFit="1" customWidth="1"/>
    <col min="6919" max="6919" width="13.42578125" style="3532" customWidth="1"/>
    <col min="6920" max="6920" width="15.28515625" style="3532" bestFit="1" customWidth="1"/>
    <col min="6921" max="6921" width="14.140625" style="3532" bestFit="1" customWidth="1"/>
    <col min="6922" max="6922" width="15.28515625" style="3532" customWidth="1"/>
    <col min="6923" max="6923" width="15.85546875" style="3532" customWidth="1"/>
    <col min="6924" max="6924" width="17" style="3532" bestFit="1" customWidth="1"/>
    <col min="6925" max="6925" width="12.7109375" style="3532" customWidth="1"/>
    <col min="6926" max="6926" width="13.7109375" style="3532" customWidth="1"/>
    <col min="6927" max="6927" width="13.85546875" style="3532" bestFit="1" customWidth="1"/>
    <col min="6928" max="6928" width="15.42578125" style="3532" bestFit="1" customWidth="1"/>
    <col min="6929" max="6929" width="16.140625" style="3532" customWidth="1"/>
    <col min="6930" max="6930" width="16.7109375" style="3532" bestFit="1" customWidth="1"/>
    <col min="6931" max="6932" width="15.42578125" style="3532" bestFit="1" customWidth="1"/>
    <col min="6933" max="6933" width="16.42578125" style="3532" bestFit="1" customWidth="1"/>
    <col min="6934" max="6934" width="14.28515625" style="3532" customWidth="1"/>
    <col min="6935" max="6935" width="12.85546875" style="3532" bestFit="1" customWidth="1"/>
    <col min="6936" max="6936" width="11.28515625" style="3532" bestFit="1" customWidth="1"/>
    <col min="6937" max="6937" width="12.42578125" style="3532" bestFit="1" customWidth="1"/>
    <col min="6938" max="6938" width="14" style="3532" bestFit="1" customWidth="1"/>
    <col min="6939" max="6939" width="6" style="3532" bestFit="1" customWidth="1"/>
    <col min="6940" max="6940" width="15" style="3532" customWidth="1"/>
    <col min="6941" max="6941" width="14.85546875" style="3532" bestFit="1" customWidth="1"/>
    <col min="6942" max="6942" width="16.140625" style="3532" bestFit="1" customWidth="1"/>
    <col min="6943" max="7169" width="8.85546875" style="3532"/>
    <col min="7170" max="7170" width="24" style="3532" bestFit="1" customWidth="1"/>
    <col min="7171" max="7171" width="45.7109375" style="3532" bestFit="1" customWidth="1"/>
    <col min="7172" max="7172" width="19.7109375" style="3532" bestFit="1" customWidth="1"/>
    <col min="7173" max="7173" width="16" style="3532" customWidth="1"/>
    <col min="7174" max="7174" width="19.85546875" style="3532" bestFit="1" customWidth="1"/>
    <col min="7175" max="7175" width="13.42578125" style="3532" customWidth="1"/>
    <col min="7176" max="7176" width="15.28515625" style="3532" bestFit="1" customWidth="1"/>
    <col min="7177" max="7177" width="14.140625" style="3532" bestFit="1" customWidth="1"/>
    <col min="7178" max="7178" width="15.28515625" style="3532" customWidth="1"/>
    <col min="7179" max="7179" width="15.85546875" style="3532" customWidth="1"/>
    <col min="7180" max="7180" width="17" style="3532" bestFit="1" customWidth="1"/>
    <col min="7181" max="7181" width="12.7109375" style="3532" customWidth="1"/>
    <col min="7182" max="7182" width="13.7109375" style="3532" customWidth="1"/>
    <col min="7183" max="7183" width="13.85546875" style="3532" bestFit="1" customWidth="1"/>
    <col min="7184" max="7184" width="15.42578125" style="3532" bestFit="1" customWidth="1"/>
    <col min="7185" max="7185" width="16.140625" style="3532" customWidth="1"/>
    <col min="7186" max="7186" width="16.7109375" style="3532" bestFit="1" customWidth="1"/>
    <col min="7187" max="7188" width="15.42578125" style="3532" bestFit="1" customWidth="1"/>
    <col min="7189" max="7189" width="16.42578125" style="3532" bestFit="1" customWidth="1"/>
    <col min="7190" max="7190" width="14.28515625" style="3532" customWidth="1"/>
    <col min="7191" max="7191" width="12.85546875" style="3532" bestFit="1" customWidth="1"/>
    <col min="7192" max="7192" width="11.28515625" style="3532" bestFit="1" customWidth="1"/>
    <col min="7193" max="7193" width="12.42578125" style="3532" bestFit="1" customWidth="1"/>
    <col min="7194" max="7194" width="14" style="3532" bestFit="1" customWidth="1"/>
    <col min="7195" max="7195" width="6" style="3532" bestFit="1" customWidth="1"/>
    <col min="7196" max="7196" width="15" style="3532" customWidth="1"/>
    <col min="7197" max="7197" width="14.85546875" style="3532" bestFit="1" customWidth="1"/>
    <col min="7198" max="7198" width="16.140625" style="3532" bestFit="1" customWidth="1"/>
    <col min="7199" max="7425" width="8.85546875" style="3532"/>
    <col min="7426" max="7426" width="24" style="3532" bestFit="1" customWidth="1"/>
    <col min="7427" max="7427" width="45.7109375" style="3532" bestFit="1" customWidth="1"/>
    <col min="7428" max="7428" width="19.7109375" style="3532" bestFit="1" customWidth="1"/>
    <col min="7429" max="7429" width="16" style="3532" customWidth="1"/>
    <col min="7430" max="7430" width="19.85546875" style="3532" bestFit="1" customWidth="1"/>
    <col min="7431" max="7431" width="13.42578125" style="3532" customWidth="1"/>
    <col min="7432" max="7432" width="15.28515625" style="3532" bestFit="1" customWidth="1"/>
    <col min="7433" max="7433" width="14.140625" style="3532" bestFit="1" customWidth="1"/>
    <col min="7434" max="7434" width="15.28515625" style="3532" customWidth="1"/>
    <col min="7435" max="7435" width="15.85546875" style="3532" customWidth="1"/>
    <col min="7436" max="7436" width="17" style="3532" bestFit="1" customWidth="1"/>
    <col min="7437" max="7437" width="12.7109375" style="3532" customWidth="1"/>
    <col min="7438" max="7438" width="13.7109375" style="3532" customWidth="1"/>
    <col min="7439" max="7439" width="13.85546875" style="3532" bestFit="1" customWidth="1"/>
    <col min="7440" max="7440" width="15.42578125" style="3532" bestFit="1" customWidth="1"/>
    <col min="7441" max="7441" width="16.140625" style="3532" customWidth="1"/>
    <col min="7442" max="7442" width="16.7109375" style="3532" bestFit="1" customWidth="1"/>
    <col min="7443" max="7444" width="15.42578125" style="3532" bestFit="1" customWidth="1"/>
    <col min="7445" max="7445" width="16.42578125" style="3532" bestFit="1" customWidth="1"/>
    <col min="7446" max="7446" width="14.28515625" style="3532" customWidth="1"/>
    <col min="7447" max="7447" width="12.85546875" style="3532" bestFit="1" customWidth="1"/>
    <col min="7448" max="7448" width="11.28515625" style="3532" bestFit="1" customWidth="1"/>
    <col min="7449" max="7449" width="12.42578125" style="3532" bestFit="1" customWidth="1"/>
    <col min="7450" max="7450" width="14" style="3532" bestFit="1" customWidth="1"/>
    <col min="7451" max="7451" width="6" style="3532" bestFit="1" customWidth="1"/>
    <col min="7452" max="7452" width="15" style="3532" customWidth="1"/>
    <col min="7453" max="7453" width="14.85546875" style="3532" bestFit="1" customWidth="1"/>
    <col min="7454" max="7454" width="16.140625" style="3532" bestFit="1" customWidth="1"/>
    <col min="7455" max="7681" width="8.85546875" style="3532"/>
    <col min="7682" max="7682" width="24" style="3532" bestFit="1" customWidth="1"/>
    <col min="7683" max="7683" width="45.7109375" style="3532" bestFit="1" customWidth="1"/>
    <col min="7684" max="7684" width="19.7109375" style="3532" bestFit="1" customWidth="1"/>
    <col min="7685" max="7685" width="16" style="3532" customWidth="1"/>
    <col min="7686" max="7686" width="19.85546875" style="3532" bestFit="1" customWidth="1"/>
    <col min="7687" max="7687" width="13.42578125" style="3532" customWidth="1"/>
    <col min="7688" max="7688" width="15.28515625" style="3532" bestFit="1" customWidth="1"/>
    <col min="7689" max="7689" width="14.140625" style="3532" bestFit="1" customWidth="1"/>
    <col min="7690" max="7690" width="15.28515625" style="3532" customWidth="1"/>
    <col min="7691" max="7691" width="15.85546875" style="3532" customWidth="1"/>
    <col min="7692" max="7692" width="17" style="3532" bestFit="1" customWidth="1"/>
    <col min="7693" max="7693" width="12.7109375" style="3532" customWidth="1"/>
    <col min="7694" max="7694" width="13.7109375" style="3532" customWidth="1"/>
    <col min="7695" max="7695" width="13.85546875" style="3532" bestFit="1" customWidth="1"/>
    <col min="7696" max="7696" width="15.42578125" style="3532" bestFit="1" customWidth="1"/>
    <col min="7697" max="7697" width="16.140625" style="3532" customWidth="1"/>
    <col min="7698" max="7698" width="16.7109375" style="3532" bestFit="1" customWidth="1"/>
    <col min="7699" max="7700" width="15.42578125" style="3532" bestFit="1" customWidth="1"/>
    <col min="7701" max="7701" width="16.42578125" style="3532" bestFit="1" customWidth="1"/>
    <col min="7702" max="7702" width="14.28515625" style="3532" customWidth="1"/>
    <col min="7703" max="7703" width="12.85546875" style="3532" bestFit="1" customWidth="1"/>
    <col min="7704" max="7704" width="11.28515625" style="3532" bestFit="1" customWidth="1"/>
    <col min="7705" max="7705" width="12.42578125" style="3532" bestFit="1" customWidth="1"/>
    <col min="7706" max="7706" width="14" style="3532" bestFit="1" customWidth="1"/>
    <col min="7707" max="7707" width="6" style="3532" bestFit="1" customWidth="1"/>
    <col min="7708" max="7708" width="15" style="3532" customWidth="1"/>
    <col min="7709" max="7709" width="14.85546875" style="3532" bestFit="1" customWidth="1"/>
    <col min="7710" max="7710" width="16.140625" style="3532" bestFit="1" customWidth="1"/>
    <col min="7711" max="7937" width="8.85546875" style="3532"/>
    <col min="7938" max="7938" width="24" style="3532" bestFit="1" customWidth="1"/>
    <col min="7939" max="7939" width="45.7109375" style="3532" bestFit="1" customWidth="1"/>
    <col min="7940" max="7940" width="19.7109375" style="3532" bestFit="1" customWidth="1"/>
    <col min="7941" max="7941" width="16" style="3532" customWidth="1"/>
    <col min="7942" max="7942" width="19.85546875" style="3532" bestFit="1" customWidth="1"/>
    <col min="7943" max="7943" width="13.42578125" style="3532" customWidth="1"/>
    <col min="7944" max="7944" width="15.28515625" style="3532" bestFit="1" customWidth="1"/>
    <col min="7945" max="7945" width="14.140625" style="3532" bestFit="1" customWidth="1"/>
    <col min="7946" max="7946" width="15.28515625" style="3532" customWidth="1"/>
    <col min="7947" max="7947" width="15.85546875" style="3532" customWidth="1"/>
    <col min="7948" max="7948" width="17" style="3532" bestFit="1" customWidth="1"/>
    <col min="7949" max="7949" width="12.7109375" style="3532" customWidth="1"/>
    <col min="7950" max="7950" width="13.7109375" style="3532" customWidth="1"/>
    <col min="7951" max="7951" width="13.85546875" style="3532" bestFit="1" customWidth="1"/>
    <col min="7952" max="7952" width="15.42578125" style="3532" bestFit="1" customWidth="1"/>
    <col min="7953" max="7953" width="16.140625" style="3532" customWidth="1"/>
    <col min="7954" max="7954" width="16.7109375" style="3532" bestFit="1" customWidth="1"/>
    <col min="7955" max="7956" width="15.42578125" style="3532" bestFit="1" customWidth="1"/>
    <col min="7957" max="7957" width="16.42578125" style="3532" bestFit="1" customWidth="1"/>
    <col min="7958" max="7958" width="14.28515625" style="3532" customWidth="1"/>
    <col min="7959" max="7959" width="12.85546875" style="3532" bestFit="1" customWidth="1"/>
    <col min="7960" max="7960" width="11.28515625" style="3532" bestFit="1" customWidth="1"/>
    <col min="7961" max="7961" width="12.42578125" style="3532" bestFit="1" customWidth="1"/>
    <col min="7962" max="7962" width="14" style="3532" bestFit="1" customWidth="1"/>
    <col min="7963" max="7963" width="6" style="3532" bestFit="1" customWidth="1"/>
    <col min="7964" max="7964" width="15" style="3532" customWidth="1"/>
    <col min="7965" max="7965" width="14.85546875" style="3532" bestFit="1" customWidth="1"/>
    <col min="7966" max="7966" width="16.140625" style="3532" bestFit="1" customWidth="1"/>
    <col min="7967" max="8193" width="8.85546875" style="3532"/>
    <col min="8194" max="8194" width="24" style="3532" bestFit="1" customWidth="1"/>
    <col min="8195" max="8195" width="45.7109375" style="3532" bestFit="1" customWidth="1"/>
    <col min="8196" max="8196" width="19.7109375" style="3532" bestFit="1" customWidth="1"/>
    <col min="8197" max="8197" width="16" style="3532" customWidth="1"/>
    <col min="8198" max="8198" width="19.85546875" style="3532" bestFit="1" customWidth="1"/>
    <col min="8199" max="8199" width="13.42578125" style="3532" customWidth="1"/>
    <col min="8200" max="8200" width="15.28515625" style="3532" bestFit="1" customWidth="1"/>
    <col min="8201" max="8201" width="14.140625" style="3532" bestFit="1" customWidth="1"/>
    <col min="8202" max="8202" width="15.28515625" style="3532" customWidth="1"/>
    <col min="8203" max="8203" width="15.85546875" style="3532" customWidth="1"/>
    <col min="8204" max="8204" width="17" style="3532" bestFit="1" customWidth="1"/>
    <col min="8205" max="8205" width="12.7109375" style="3532" customWidth="1"/>
    <col min="8206" max="8206" width="13.7109375" style="3532" customWidth="1"/>
    <col min="8207" max="8207" width="13.85546875" style="3532" bestFit="1" customWidth="1"/>
    <col min="8208" max="8208" width="15.42578125" style="3532" bestFit="1" customWidth="1"/>
    <col min="8209" max="8209" width="16.140625" style="3532" customWidth="1"/>
    <col min="8210" max="8210" width="16.7109375" style="3532" bestFit="1" customWidth="1"/>
    <col min="8211" max="8212" width="15.42578125" style="3532" bestFit="1" customWidth="1"/>
    <col min="8213" max="8213" width="16.42578125" style="3532" bestFit="1" customWidth="1"/>
    <col min="8214" max="8214" width="14.28515625" style="3532" customWidth="1"/>
    <col min="8215" max="8215" width="12.85546875" style="3532" bestFit="1" customWidth="1"/>
    <col min="8216" max="8216" width="11.28515625" style="3532" bestFit="1" customWidth="1"/>
    <col min="8217" max="8217" width="12.42578125" style="3532" bestFit="1" customWidth="1"/>
    <col min="8218" max="8218" width="14" style="3532" bestFit="1" customWidth="1"/>
    <col min="8219" max="8219" width="6" style="3532" bestFit="1" customWidth="1"/>
    <col min="8220" max="8220" width="15" style="3532" customWidth="1"/>
    <col min="8221" max="8221" width="14.85546875" style="3532" bestFit="1" customWidth="1"/>
    <col min="8222" max="8222" width="16.140625" style="3532" bestFit="1" customWidth="1"/>
    <col min="8223" max="8449" width="8.85546875" style="3532"/>
    <col min="8450" max="8450" width="24" style="3532" bestFit="1" customWidth="1"/>
    <col min="8451" max="8451" width="45.7109375" style="3532" bestFit="1" customWidth="1"/>
    <col min="8452" max="8452" width="19.7109375" style="3532" bestFit="1" customWidth="1"/>
    <col min="8453" max="8453" width="16" style="3532" customWidth="1"/>
    <col min="8454" max="8454" width="19.85546875" style="3532" bestFit="1" customWidth="1"/>
    <col min="8455" max="8455" width="13.42578125" style="3532" customWidth="1"/>
    <col min="8456" max="8456" width="15.28515625" style="3532" bestFit="1" customWidth="1"/>
    <col min="8457" max="8457" width="14.140625" style="3532" bestFit="1" customWidth="1"/>
    <col min="8458" max="8458" width="15.28515625" style="3532" customWidth="1"/>
    <col min="8459" max="8459" width="15.85546875" style="3532" customWidth="1"/>
    <col min="8460" max="8460" width="17" style="3532" bestFit="1" customWidth="1"/>
    <col min="8461" max="8461" width="12.7109375" style="3532" customWidth="1"/>
    <col min="8462" max="8462" width="13.7109375" style="3532" customWidth="1"/>
    <col min="8463" max="8463" width="13.85546875" style="3532" bestFit="1" customWidth="1"/>
    <col min="8464" max="8464" width="15.42578125" style="3532" bestFit="1" customWidth="1"/>
    <col min="8465" max="8465" width="16.140625" style="3532" customWidth="1"/>
    <col min="8466" max="8466" width="16.7109375" style="3532" bestFit="1" customWidth="1"/>
    <col min="8467" max="8468" width="15.42578125" style="3532" bestFit="1" customWidth="1"/>
    <col min="8469" max="8469" width="16.42578125" style="3532" bestFit="1" customWidth="1"/>
    <col min="8470" max="8470" width="14.28515625" style="3532" customWidth="1"/>
    <col min="8471" max="8471" width="12.85546875" style="3532" bestFit="1" customWidth="1"/>
    <col min="8472" max="8472" width="11.28515625" style="3532" bestFit="1" customWidth="1"/>
    <col min="8473" max="8473" width="12.42578125" style="3532" bestFit="1" customWidth="1"/>
    <col min="8474" max="8474" width="14" style="3532" bestFit="1" customWidth="1"/>
    <col min="8475" max="8475" width="6" style="3532" bestFit="1" customWidth="1"/>
    <col min="8476" max="8476" width="15" style="3532" customWidth="1"/>
    <col min="8477" max="8477" width="14.85546875" style="3532" bestFit="1" customWidth="1"/>
    <col min="8478" max="8478" width="16.140625" style="3532" bestFit="1" customWidth="1"/>
    <col min="8479" max="8705" width="8.85546875" style="3532"/>
    <col min="8706" max="8706" width="24" style="3532" bestFit="1" customWidth="1"/>
    <col min="8707" max="8707" width="45.7109375" style="3532" bestFit="1" customWidth="1"/>
    <col min="8708" max="8708" width="19.7109375" style="3532" bestFit="1" customWidth="1"/>
    <col min="8709" max="8709" width="16" style="3532" customWidth="1"/>
    <col min="8710" max="8710" width="19.85546875" style="3532" bestFit="1" customWidth="1"/>
    <col min="8711" max="8711" width="13.42578125" style="3532" customWidth="1"/>
    <col min="8712" max="8712" width="15.28515625" style="3532" bestFit="1" customWidth="1"/>
    <col min="8713" max="8713" width="14.140625" style="3532" bestFit="1" customWidth="1"/>
    <col min="8714" max="8714" width="15.28515625" style="3532" customWidth="1"/>
    <col min="8715" max="8715" width="15.85546875" style="3532" customWidth="1"/>
    <col min="8716" max="8716" width="17" style="3532" bestFit="1" customWidth="1"/>
    <col min="8717" max="8717" width="12.7109375" style="3532" customWidth="1"/>
    <col min="8718" max="8718" width="13.7109375" style="3532" customWidth="1"/>
    <col min="8719" max="8719" width="13.85546875" style="3532" bestFit="1" customWidth="1"/>
    <col min="8720" max="8720" width="15.42578125" style="3532" bestFit="1" customWidth="1"/>
    <col min="8721" max="8721" width="16.140625" style="3532" customWidth="1"/>
    <col min="8722" max="8722" width="16.7109375" style="3532" bestFit="1" customWidth="1"/>
    <col min="8723" max="8724" width="15.42578125" style="3532" bestFit="1" customWidth="1"/>
    <col min="8725" max="8725" width="16.42578125" style="3532" bestFit="1" customWidth="1"/>
    <col min="8726" max="8726" width="14.28515625" style="3532" customWidth="1"/>
    <col min="8727" max="8727" width="12.85546875" style="3532" bestFit="1" customWidth="1"/>
    <col min="8728" max="8728" width="11.28515625" style="3532" bestFit="1" customWidth="1"/>
    <col min="8729" max="8729" width="12.42578125" style="3532" bestFit="1" customWidth="1"/>
    <col min="8730" max="8730" width="14" style="3532" bestFit="1" customWidth="1"/>
    <col min="8731" max="8731" width="6" style="3532" bestFit="1" customWidth="1"/>
    <col min="8732" max="8732" width="15" style="3532" customWidth="1"/>
    <col min="8733" max="8733" width="14.85546875" style="3532" bestFit="1" customWidth="1"/>
    <col min="8734" max="8734" width="16.140625" style="3532" bestFit="1" customWidth="1"/>
    <col min="8735" max="8961" width="8.85546875" style="3532"/>
    <col min="8962" max="8962" width="24" style="3532" bestFit="1" customWidth="1"/>
    <col min="8963" max="8963" width="45.7109375" style="3532" bestFit="1" customWidth="1"/>
    <col min="8964" max="8964" width="19.7109375" style="3532" bestFit="1" customWidth="1"/>
    <col min="8965" max="8965" width="16" style="3532" customWidth="1"/>
    <col min="8966" max="8966" width="19.85546875" style="3532" bestFit="1" customWidth="1"/>
    <col min="8967" max="8967" width="13.42578125" style="3532" customWidth="1"/>
    <col min="8968" max="8968" width="15.28515625" style="3532" bestFit="1" customWidth="1"/>
    <col min="8969" max="8969" width="14.140625" style="3532" bestFit="1" customWidth="1"/>
    <col min="8970" max="8970" width="15.28515625" style="3532" customWidth="1"/>
    <col min="8971" max="8971" width="15.85546875" style="3532" customWidth="1"/>
    <col min="8972" max="8972" width="17" style="3532" bestFit="1" customWidth="1"/>
    <col min="8973" max="8973" width="12.7109375" style="3532" customWidth="1"/>
    <col min="8974" max="8974" width="13.7109375" style="3532" customWidth="1"/>
    <col min="8975" max="8975" width="13.85546875" style="3532" bestFit="1" customWidth="1"/>
    <col min="8976" max="8976" width="15.42578125" style="3532" bestFit="1" customWidth="1"/>
    <col min="8977" max="8977" width="16.140625" style="3532" customWidth="1"/>
    <col min="8978" max="8978" width="16.7109375" style="3532" bestFit="1" customWidth="1"/>
    <col min="8979" max="8980" width="15.42578125" style="3532" bestFit="1" customWidth="1"/>
    <col min="8981" max="8981" width="16.42578125" style="3532" bestFit="1" customWidth="1"/>
    <col min="8982" max="8982" width="14.28515625" style="3532" customWidth="1"/>
    <col min="8983" max="8983" width="12.85546875" style="3532" bestFit="1" customWidth="1"/>
    <col min="8984" max="8984" width="11.28515625" style="3532" bestFit="1" customWidth="1"/>
    <col min="8985" max="8985" width="12.42578125" style="3532" bestFit="1" customWidth="1"/>
    <col min="8986" max="8986" width="14" style="3532" bestFit="1" customWidth="1"/>
    <col min="8987" max="8987" width="6" style="3532" bestFit="1" customWidth="1"/>
    <col min="8988" max="8988" width="15" style="3532" customWidth="1"/>
    <col min="8989" max="8989" width="14.85546875" style="3532" bestFit="1" customWidth="1"/>
    <col min="8990" max="8990" width="16.140625" style="3532" bestFit="1" customWidth="1"/>
    <col min="8991" max="9217" width="8.85546875" style="3532"/>
    <col min="9218" max="9218" width="24" style="3532" bestFit="1" customWidth="1"/>
    <col min="9219" max="9219" width="45.7109375" style="3532" bestFit="1" customWidth="1"/>
    <col min="9220" max="9220" width="19.7109375" style="3532" bestFit="1" customWidth="1"/>
    <col min="9221" max="9221" width="16" style="3532" customWidth="1"/>
    <col min="9222" max="9222" width="19.85546875" style="3532" bestFit="1" customWidth="1"/>
    <col min="9223" max="9223" width="13.42578125" style="3532" customWidth="1"/>
    <col min="9224" max="9224" width="15.28515625" style="3532" bestFit="1" customWidth="1"/>
    <col min="9225" max="9225" width="14.140625" style="3532" bestFit="1" customWidth="1"/>
    <col min="9226" max="9226" width="15.28515625" style="3532" customWidth="1"/>
    <col min="9227" max="9227" width="15.85546875" style="3532" customWidth="1"/>
    <col min="9228" max="9228" width="17" style="3532" bestFit="1" customWidth="1"/>
    <col min="9229" max="9229" width="12.7109375" style="3532" customWidth="1"/>
    <col min="9230" max="9230" width="13.7109375" style="3532" customWidth="1"/>
    <col min="9231" max="9231" width="13.85546875" style="3532" bestFit="1" customWidth="1"/>
    <col min="9232" max="9232" width="15.42578125" style="3532" bestFit="1" customWidth="1"/>
    <col min="9233" max="9233" width="16.140625" style="3532" customWidth="1"/>
    <col min="9234" max="9234" width="16.7109375" style="3532" bestFit="1" customWidth="1"/>
    <col min="9235" max="9236" width="15.42578125" style="3532" bestFit="1" customWidth="1"/>
    <col min="9237" max="9237" width="16.42578125" style="3532" bestFit="1" customWidth="1"/>
    <col min="9238" max="9238" width="14.28515625" style="3532" customWidth="1"/>
    <col min="9239" max="9239" width="12.85546875" style="3532" bestFit="1" customWidth="1"/>
    <col min="9240" max="9240" width="11.28515625" style="3532" bestFit="1" customWidth="1"/>
    <col min="9241" max="9241" width="12.42578125" style="3532" bestFit="1" customWidth="1"/>
    <col min="9242" max="9242" width="14" style="3532" bestFit="1" customWidth="1"/>
    <col min="9243" max="9243" width="6" style="3532" bestFit="1" customWidth="1"/>
    <col min="9244" max="9244" width="15" style="3532" customWidth="1"/>
    <col min="9245" max="9245" width="14.85546875" style="3532" bestFit="1" customWidth="1"/>
    <col min="9246" max="9246" width="16.140625" style="3532" bestFit="1" customWidth="1"/>
    <col min="9247" max="9473" width="8.85546875" style="3532"/>
    <col min="9474" max="9474" width="24" style="3532" bestFit="1" customWidth="1"/>
    <col min="9475" max="9475" width="45.7109375" style="3532" bestFit="1" customWidth="1"/>
    <col min="9476" max="9476" width="19.7109375" style="3532" bestFit="1" customWidth="1"/>
    <col min="9477" max="9477" width="16" style="3532" customWidth="1"/>
    <col min="9478" max="9478" width="19.85546875" style="3532" bestFit="1" customWidth="1"/>
    <col min="9479" max="9479" width="13.42578125" style="3532" customWidth="1"/>
    <col min="9480" max="9480" width="15.28515625" style="3532" bestFit="1" customWidth="1"/>
    <col min="9481" max="9481" width="14.140625" style="3532" bestFit="1" customWidth="1"/>
    <col min="9482" max="9482" width="15.28515625" style="3532" customWidth="1"/>
    <col min="9483" max="9483" width="15.85546875" style="3532" customWidth="1"/>
    <col min="9484" max="9484" width="17" style="3532" bestFit="1" customWidth="1"/>
    <col min="9485" max="9485" width="12.7109375" style="3532" customWidth="1"/>
    <col min="9486" max="9486" width="13.7109375" style="3532" customWidth="1"/>
    <col min="9487" max="9487" width="13.85546875" style="3532" bestFit="1" customWidth="1"/>
    <col min="9488" max="9488" width="15.42578125" style="3532" bestFit="1" customWidth="1"/>
    <col min="9489" max="9489" width="16.140625" style="3532" customWidth="1"/>
    <col min="9490" max="9490" width="16.7109375" style="3532" bestFit="1" customWidth="1"/>
    <col min="9491" max="9492" width="15.42578125" style="3532" bestFit="1" customWidth="1"/>
    <col min="9493" max="9493" width="16.42578125" style="3532" bestFit="1" customWidth="1"/>
    <col min="9494" max="9494" width="14.28515625" style="3532" customWidth="1"/>
    <col min="9495" max="9495" width="12.85546875" style="3532" bestFit="1" customWidth="1"/>
    <col min="9496" max="9496" width="11.28515625" style="3532" bestFit="1" customWidth="1"/>
    <col min="9497" max="9497" width="12.42578125" style="3532" bestFit="1" customWidth="1"/>
    <col min="9498" max="9498" width="14" style="3532" bestFit="1" customWidth="1"/>
    <col min="9499" max="9499" width="6" style="3532" bestFit="1" customWidth="1"/>
    <col min="9500" max="9500" width="15" style="3532" customWidth="1"/>
    <col min="9501" max="9501" width="14.85546875" style="3532" bestFit="1" customWidth="1"/>
    <col min="9502" max="9502" width="16.140625" style="3532" bestFit="1" customWidth="1"/>
    <col min="9503" max="9729" width="8.85546875" style="3532"/>
    <col min="9730" max="9730" width="24" style="3532" bestFit="1" customWidth="1"/>
    <col min="9731" max="9731" width="45.7109375" style="3532" bestFit="1" customWidth="1"/>
    <col min="9732" max="9732" width="19.7109375" style="3532" bestFit="1" customWidth="1"/>
    <col min="9733" max="9733" width="16" style="3532" customWidth="1"/>
    <col min="9734" max="9734" width="19.85546875" style="3532" bestFit="1" customWidth="1"/>
    <col min="9735" max="9735" width="13.42578125" style="3532" customWidth="1"/>
    <col min="9736" max="9736" width="15.28515625" style="3532" bestFit="1" customWidth="1"/>
    <col min="9737" max="9737" width="14.140625" style="3532" bestFit="1" customWidth="1"/>
    <col min="9738" max="9738" width="15.28515625" style="3532" customWidth="1"/>
    <col min="9739" max="9739" width="15.85546875" style="3532" customWidth="1"/>
    <col min="9740" max="9740" width="17" style="3532" bestFit="1" customWidth="1"/>
    <col min="9741" max="9741" width="12.7109375" style="3532" customWidth="1"/>
    <col min="9742" max="9742" width="13.7109375" style="3532" customWidth="1"/>
    <col min="9743" max="9743" width="13.85546875" style="3532" bestFit="1" customWidth="1"/>
    <col min="9744" max="9744" width="15.42578125" style="3532" bestFit="1" customWidth="1"/>
    <col min="9745" max="9745" width="16.140625" style="3532" customWidth="1"/>
    <col min="9746" max="9746" width="16.7109375" style="3532" bestFit="1" customWidth="1"/>
    <col min="9747" max="9748" width="15.42578125" style="3532" bestFit="1" customWidth="1"/>
    <col min="9749" max="9749" width="16.42578125" style="3532" bestFit="1" customWidth="1"/>
    <col min="9750" max="9750" width="14.28515625" style="3532" customWidth="1"/>
    <col min="9751" max="9751" width="12.85546875" style="3532" bestFit="1" customWidth="1"/>
    <col min="9752" max="9752" width="11.28515625" style="3532" bestFit="1" customWidth="1"/>
    <col min="9753" max="9753" width="12.42578125" style="3532" bestFit="1" customWidth="1"/>
    <col min="9754" max="9754" width="14" style="3532" bestFit="1" customWidth="1"/>
    <col min="9755" max="9755" width="6" style="3532" bestFit="1" customWidth="1"/>
    <col min="9756" max="9756" width="15" style="3532" customWidth="1"/>
    <col min="9757" max="9757" width="14.85546875" style="3532" bestFit="1" customWidth="1"/>
    <col min="9758" max="9758" width="16.140625" style="3532" bestFit="1" customWidth="1"/>
    <col min="9759" max="9985" width="8.85546875" style="3532"/>
    <col min="9986" max="9986" width="24" style="3532" bestFit="1" customWidth="1"/>
    <col min="9987" max="9987" width="45.7109375" style="3532" bestFit="1" customWidth="1"/>
    <col min="9988" max="9988" width="19.7109375" style="3532" bestFit="1" customWidth="1"/>
    <col min="9989" max="9989" width="16" style="3532" customWidth="1"/>
    <col min="9990" max="9990" width="19.85546875" style="3532" bestFit="1" customWidth="1"/>
    <col min="9991" max="9991" width="13.42578125" style="3532" customWidth="1"/>
    <col min="9992" max="9992" width="15.28515625" style="3532" bestFit="1" customWidth="1"/>
    <col min="9993" max="9993" width="14.140625" style="3532" bestFit="1" customWidth="1"/>
    <col min="9994" max="9994" width="15.28515625" style="3532" customWidth="1"/>
    <col min="9995" max="9995" width="15.85546875" style="3532" customWidth="1"/>
    <col min="9996" max="9996" width="17" style="3532" bestFit="1" customWidth="1"/>
    <col min="9997" max="9997" width="12.7109375" style="3532" customWidth="1"/>
    <col min="9998" max="9998" width="13.7109375" style="3532" customWidth="1"/>
    <col min="9999" max="9999" width="13.85546875" style="3532" bestFit="1" customWidth="1"/>
    <col min="10000" max="10000" width="15.42578125" style="3532" bestFit="1" customWidth="1"/>
    <col min="10001" max="10001" width="16.140625" style="3532" customWidth="1"/>
    <col min="10002" max="10002" width="16.7109375" style="3532" bestFit="1" customWidth="1"/>
    <col min="10003" max="10004" width="15.42578125" style="3532" bestFit="1" customWidth="1"/>
    <col min="10005" max="10005" width="16.42578125" style="3532" bestFit="1" customWidth="1"/>
    <col min="10006" max="10006" width="14.28515625" style="3532" customWidth="1"/>
    <col min="10007" max="10007" width="12.85546875" style="3532" bestFit="1" customWidth="1"/>
    <col min="10008" max="10008" width="11.28515625" style="3532" bestFit="1" customWidth="1"/>
    <col min="10009" max="10009" width="12.42578125" style="3532" bestFit="1" customWidth="1"/>
    <col min="10010" max="10010" width="14" style="3532" bestFit="1" customWidth="1"/>
    <col min="10011" max="10011" width="6" style="3532" bestFit="1" customWidth="1"/>
    <col min="10012" max="10012" width="15" style="3532" customWidth="1"/>
    <col min="10013" max="10013" width="14.85546875" style="3532" bestFit="1" customWidth="1"/>
    <col min="10014" max="10014" width="16.140625" style="3532" bestFit="1" customWidth="1"/>
    <col min="10015" max="10241" width="8.85546875" style="3532"/>
    <col min="10242" max="10242" width="24" style="3532" bestFit="1" customWidth="1"/>
    <col min="10243" max="10243" width="45.7109375" style="3532" bestFit="1" customWidth="1"/>
    <col min="10244" max="10244" width="19.7109375" style="3532" bestFit="1" customWidth="1"/>
    <col min="10245" max="10245" width="16" style="3532" customWidth="1"/>
    <col min="10246" max="10246" width="19.85546875" style="3532" bestFit="1" customWidth="1"/>
    <col min="10247" max="10247" width="13.42578125" style="3532" customWidth="1"/>
    <col min="10248" max="10248" width="15.28515625" style="3532" bestFit="1" customWidth="1"/>
    <col min="10249" max="10249" width="14.140625" style="3532" bestFit="1" customWidth="1"/>
    <col min="10250" max="10250" width="15.28515625" style="3532" customWidth="1"/>
    <col min="10251" max="10251" width="15.85546875" style="3532" customWidth="1"/>
    <col min="10252" max="10252" width="17" style="3532" bestFit="1" customWidth="1"/>
    <col min="10253" max="10253" width="12.7109375" style="3532" customWidth="1"/>
    <col min="10254" max="10254" width="13.7109375" style="3532" customWidth="1"/>
    <col min="10255" max="10255" width="13.85546875" style="3532" bestFit="1" customWidth="1"/>
    <col min="10256" max="10256" width="15.42578125" style="3532" bestFit="1" customWidth="1"/>
    <col min="10257" max="10257" width="16.140625" style="3532" customWidth="1"/>
    <col min="10258" max="10258" width="16.7109375" style="3532" bestFit="1" customWidth="1"/>
    <col min="10259" max="10260" width="15.42578125" style="3532" bestFit="1" customWidth="1"/>
    <col min="10261" max="10261" width="16.42578125" style="3532" bestFit="1" customWidth="1"/>
    <col min="10262" max="10262" width="14.28515625" style="3532" customWidth="1"/>
    <col min="10263" max="10263" width="12.85546875" style="3532" bestFit="1" customWidth="1"/>
    <col min="10264" max="10264" width="11.28515625" style="3532" bestFit="1" customWidth="1"/>
    <col min="10265" max="10265" width="12.42578125" style="3532" bestFit="1" customWidth="1"/>
    <col min="10266" max="10266" width="14" style="3532" bestFit="1" customWidth="1"/>
    <col min="10267" max="10267" width="6" style="3532" bestFit="1" customWidth="1"/>
    <col min="10268" max="10268" width="15" style="3532" customWidth="1"/>
    <col min="10269" max="10269" width="14.85546875" style="3532" bestFit="1" customWidth="1"/>
    <col min="10270" max="10270" width="16.140625" style="3532" bestFit="1" customWidth="1"/>
    <col min="10271" max="10497" width="8.85546875" style="3532"/>
    <col min="10498" max="10498" width="24" style="3532" bestFit="1" customWidth="1"/>
    <col min="10499" max="10499" width="45.7109375" style="3532" bestFit="1" customWidth="1"/>
    <col min="10500" max="10500" width="19.7109375" style="3532" bestFit="1" customWidth="1"/>
    <col min="10501" max="10501" width="16" style="3532" customWidth="1"/>
    <col min="10502" max="10502" width="19.85546875" style="3532" bestFit="1" customWidth="1"/>
    <col min="10503" max="10503" width="13.42578125" style="3532" customWidth="1"/>
    <col min="10504" max="10504" width="15.28515625" style="3532" bestFit="1" customWidth="1"/>
    <col min="10505" max="10505" width="14.140625" style="3532" bestFit="1" customWidth="1"/>
    <col min="10506" max="10506" width="15.28515625" style="3532" customWidth="1"/>
    <col min="10507" max="10507" width="15.85546875" style="3532" customWidth="1"/>
    <col min="10508" max="10508" width="17" style="3532" bestFit="1" customWidth="1"/>
    <col min="10509" max="10509" width="12.7109375" style="3532" customWidth="1"/>
    <col min="10510" max="10510" width="13.7109375" style="3532" customWidth="1"/>
    <col min="10511" max="10511" width="13.85546875" style="3532" bestFit="1" customWidth="1"/>
    <col min="10512" max="10512" width="15.42578125" style="3532" bestFit="1" customWidth="1"/>
    <col min="10513" max="10513" width="16.140625" style="3532" customWidth="1"/>
    <col min="10514" max="10514" width="16.7109375" style="3532" bestFit="1" customWidth="1"/>
    <col min="10515" max="10516" width="15.42578125" style="3532" bestFit="1" customWidth="1"/>
    <col min="10517" max="10517" width="16.42578125" style="3532" bestFit="1" customWidth="1"/>
    <col min="10518" max="10518" width="14.28515625" style="3532" customWidth="1"/>
    <col min="10519" max="10519" width="12.85546875" style="3532" bestFit="1" customWidth="1"/>
    <col min="10520" max="10520" width="11.28515625" style="3532" bestFit="1" customWidth="1"/>
    <col min="10521" max="10521" width="12.42578125" style="3532" bestFit="1" customWidth="1"/>
    <col min="10522" max="10522" width="14" style="3532" bestFit="1" customWidth="1"/>
    <col min="10523" max="10523" width="6" style="3532" bestFit="1" customWidth="1"/>
    <col min="10524" max="10524" width="15" style="3532" customWidth="1"/>
    <col min="10525" max="10525" width="14.85546875" style="3532" bestFit="1" customWidth="1"/>
    <col min="10526" max="10526" width="16.140625" style="3532" bestFit="1" customWidth="1"/>
    <col min="10527" max="10753" width="8.85546875" style="3532"/>
    <col min="10754" max="10754" width="24" style="3532" bestFit="1" customWidth="1"/>
    <col min="10755" max="10755" width="45.7109375" style="3532" bestFit="1" customWidth="1"/>
    <col min="10756" max="10756" width="19.7109375" style="3532" bestFit="1" customWidth="1"/>
    <col min="10757" max="10757" width="16" style="3532" customWidth="1"/>
    <col min="10758" max="10758" width="19.85546875" style="3532" bestFit="1" customWidth="1"/>
    <col min="10759" max="10759" width="13.42578125" style="3532" customWidth="1"/>
    <col min="10760" max="10760" width="15.28515625" style="3532" bestFit="1" customWidth="1"/>
    <col min="10761" max="10761" width="14.140625" style="3532" bestFit="1" customWidth="1"/>
    <col min="10762" max="10762" width="15.28515625" style="3532" customWidth="1"/>
    <col min="10763" max="10763" width="15.85546875" style="3532" customWidth="1"/>
    <col min="10764" max="10764" width="17" style="3532" bestFit="1" customWidth="1"/>
    <col min="10765" max="10765" width="12.7109375" style="3532" customWidth="1"/>
    <col min="10766" max="10766" width="13.7109375" style="3532" customWidth="1"/>
    <col min="10767" max="10767" width="13.85546875" style="3532" bestFit="1" customWidth="1"/>
    <col min="10768" max="10768" width="15.42578125" style="3532" bestFit="1" customWidth="1"/>
    <col min="10769" max="10769" width="16.140625" style="3532" customWidth="1"/>
    <col min="10770" max="10770" width="16.7109375" style="3532" bestFit="1" customWidth="1"/>
    <col min="10771" max="10772" width="15.42578125" style="3532" bestFit="1" customWidth="1"/>
    <col min="10773" max="10773" width="16.42578125" style="3532" bestFit="1" customWidth="1"/>
    <col min="10774" max="10774" width="14.28515625" style="3532" customWidth="1"/>
    <col min="10775" max="10775" width="12.85546875" style="3532" bestFit="1" customWidth="1"/>
    <col min="10776" max="10776" width="11.28515625" style="3532" bestFit="1" customWidth="1"/>
    <col min="10777" max="10777" width="12.42578125" style="3532" bestFit="1" customWidth="1"/>
    <col min="10778" max="10778" width="14" style="3532" bestFit="1" customWidth="1"/>
    <col min="10779" max="10779" width="6" style="3532" bestFit="1" customWidth="1"/>
    <col min="10780" max="10780" width="15" style="3532" customWidth="1"/>
    <col min="10781" max="10781" width="14.85546875" style="3532" bestFit="1" customWidth="1"/>
    <col min="10782" max="10782" width="16.140625" style="3532" bestFit="1" customWidth="1"/>
    <col min="10783" max="11009" width="8.85546875" style="3532"/>
    <col min="11010" max="11010" width="24" style="3532" bestFit="1" customWidth="1"/>
    <col min="11011" max="11011" width="45.7109375" style="3532" bestFit="1" customWidth="1"/>
    <col min="11012" max="11012" width="19.7109375" style="3532" bestFit="1" customWidth="1"/>
    <col min="11013" max="11013" width="16" style="3532" customWidth="1"/>
    <col min="11014" max="11014" width="19.85546875" style="3532" bestFit="1" customWidth="1"/>
    <col min="11015" max="11015" width="13.42578125" style="3532" customWidth="1"/>
    <col min="11016" max="11016" width="15.28515625" style="3532" bestFit="1" customWidth="1"/>
    <col min="11017" max="11017" width="14.140625" style="3532" bestFit="1" customWidth="1"/>
    <col min="11018" max="11018" width="15.28515625" style="3532" customWidth="1"/>
    <col min="11019" max="11019" width="15.85546875" style="3532" customWidth="1"/>
    <col min="11020" max="11020" width="17" style="3532" bestFit="1" customWidth="1"/>
    <col min="11021" max="11021" width="12.7109375" style="3532" customWidth="1"/>
    <col min="11022" max="11022" width="13.7109375" style="3532" customWidth="1"/>
    <col min="11023" max="11023" width="13.85546875" style="3532" bestFit="1" customWidth="1"/>
    <col min="11024" max="11024" width="15.42578125" style="3532" bestFit="1" customWidth="1"/>
    <col min="11025" max="11025" width="16.140625" style="3532" customWidth="1"/>
    <col min="11026" max="11026" width="16.7109375" style="3532" bestFit="1" customWidth="1"/>
    <col min="11027" max="11028" width="15.42578125" style="3532" bestFit="1" customWidth="1"/>
    <col min="11029" max="11029" width="16.42578125" style="3532" bestFit="1" customWidth="1"/>
    <col min="11030" max="11030" width="14.28515625" style="3532" customWidth="1"/>
    <col min="11031" max="11031" width="12.85546875" style="3532" bestFit="1" customWidth="1"/>
    <col min="11032" max="11032" width="11.28515625" style="3532" bestFit="1" customWidth="1"/>
    <col min="11033" max="11033" width="12.42578125" style="3532" bestFit="1" customWidth="1"/>
    <col min="11034" max="11034" width="14" style="3532" bestFit="1" customWidth="1"/>
    <col min="11035" max="11035" width="6" style="3532" bestFit="1" customWidth="1"/>
    <col min="11036" max="11036" width="15" style="3532" customWidth="1"/>
    <col min="11037" max="11037" width="14.85546875" style="3532" bestFit="1" customWidth="1"/>
    <col min="11038" max="11038" width="16.140625" style="3532" bestFit="1" customWidth="1"/>
    <col min="11039" max="11265" width="8.85546875" style="3532"/>
    <col min="11266" max="11266" width="24" style="3532" bestFit="1" customWidth="1"/>
    <col min="11267" max="11267" width="45.7109375" style="3532" bestFit="1" customWidth="1"/>
    <col min="11268" max="11268" width="19.7109375" style="3532" bestFit="1" customWidth="1"/>
    <col min="11269" max="11269" width="16" style="3532" customWidth="1"/>
    <col min="11270" max="11270" width="19.85546875" style="3532" bestFit="1" customWidth="1"/>
    <col min="11271" max="11271" width="13.42578125" style="3532" customWidth="1"/>
    <col min="11272" max="11272" width="15.28515625" style="3532" bestFit="1" customWidth="1"/>
    <col min="11273" max="11273" width="14.140625" style="3532" bestFit="1" customWidth="1"/>
    <col min="11274" max="11274" width="15.28515625" style="3532" customWidth="1"/>
    <col min="11275" max="11275" width="15.85546875" style="3532" customWidth="1"/>
    <col min="11276" max="11276" width="17" style="3532" bestFit="1" customWidth="1"/>
    <col min="11277" max="11277" width="12.7109375" style="3532" customWidth="1"/>
    <col min="11278" max="11278" width="13.7109375" style="3532" customWidth="1"/>
    <col min="11279" max="11279" width="13.85546875" style="3532" bestFit="1" customWidth="1"/>
    <col min="11280" max="11280" width="15.42578125" style="3532" bestFit="1" customWidth="1"/>
    <col min="11281" max="11281" width="16.140625" style="3532" customWidth="1"/>
    <col min="11282" max="11282" width="16.7109375" style="3532" bestFit="1" customWidth="1"/>
    <col min="11283" max="11284" width="15.42578125" style="3532" bestFit="1" customWidth="1"/>
    <col min="11285" max="11285" width="16.42578125" style="3532" bestFit="1" customWidth="1"/>
    <col min="11286" max="11286" width="14.28515625" style="3532" customWidth="1"/>
    <col min="11287" max="11287" width="12.85546875" style="3532" bestFit="1" customWidth="1"/>
    <col min="11288" max="11288" width="11.28515625" style="3532" bestFit="1" customWidth="1"/>
    <col min="11289" max="11289" width="12.42578125" style="3532" bestFit="1" customWidth="1"/>
    <col min="11290" max="11290" width="14" style="3532" bestFit="1" customWidth="1"/>
    <col min="11291" max="11291" width="6" style="3532" bestFit="1" customWidth="1"/>
    <col min="11292" max="11292" width="15" style="3532" customWidth="1"/>
    <col min="11293" max="11293" width="14.85546875" style="3532" bestFit="1" customWidth="1"/>
    <col min="11294" max="11294" width="16.140625" style="3532" bestFit="1" customWidth="1"/>
    <col min="11295" max="11521" width="8.85546875" style="3532"/>
    <col min="11522" max="11522" width="24" style="3532" bestFit="1" customWidth="1"/>
    <col min="11523" max="11523" width="45.7109375" style="3532" bestFit="1" customWidth="1"/>
    <col min="11524" max="11524" width="19.7109375" style="3532" bestFit="1" customWidth="1"/>
    <col min="11525" max="11525" width="16" style="3532" customWidth="1"/>
    <col min="11526" max="11526" width="19.85546875" style="3532" bestFit="1" customWidth="1"/>
    <col min="11527" max="11527" width="13.42578125" style="3532" customWidth="1"/>
    <col min="11528" max="11528" width="15.28515625" style="3532" bestFit="1" customWidth="1"/>
    <col min="11529" max="11529" width="14.140625" style="3532" bestFit="1" customWidth="1"/>
    <col min="11530" max="11530" width="15.28515625" style="3532" customWidth="1"/>
    <col min="11531" max="11531" width="15.85546875" style="3532" customWidth="1"/>
    <col min="11532" max="11532" width="17" style="3532" bestFit="1" customWidth="1"/>
    <col min="11533" max="11533" width="12.7109375" style="3532" customWidth="1"/>
    <col min="11534" max="11534" width="13.7109375" style="3532" customWidth="1"/>
    <col min="11535" max="11535" width="13.85546875" style="3532" bestFit="1" customWidth="1"/>
    <col min="11536" max="11536" width="15.42578125" style="3532" bestFit="1" customWidth="1"/>
    <col min="11537" max="11537" width="16.140625" style="3532" customWidth="1"/>
    <col min="11538" max="11538" width="16.7109375" style="3532" bestFit="1" customWidth="1"/>
    <col min="11539" max="11540" width="15.42578125" style="3532" bestFit="1" customWidth="1"/>
    <col min="11541" max="11541" width="16.42578125" style="3532" bestFit="1" customWidth="1"/>
    <col min="11542" max="11542" width="14.28515625" style="3532" customWidth="1"/>
    <col min="11543" max="11543" width="12.85546875" style="3532" bestFit="1" customWidth="1"/>
    <col min="11544" max="11544" width="11.28515625" style="3532" bestFit="1" customWidth="1"/>
    <col min="11545" max="11545" width="12.42578125" style="3532" bestFit="1" customWidth="1"/>
    <col min="11546" max="11546" width="14" style="3532" bestFit="1" customWidth="1"/>
    <col min="11547" max="11547" width="6" style="3532" bestFit="1" customWidth="1"/>
    <col min="11548" max="11548" width="15" style="3532" customWidth="1"/>
    <col min="11549" max="11549" width="14.85546875" style="3532" bestFit="1" customWidth="1"/>
    <col min="11550" max="11550" width="16.140625" style="3532" bestFit="1" customWidth="1"/>
    <col min="11551" max="11777" width="8.85546875" style="3532"/>
    <col min="11778" max="11778" width="24" style="3532" bestFit="1" customWidth="1"/>
    <col min="11779" max="11779" width="45.7109375" style="3532" bestFit="1" customWidth="1"/>
    <col min="11780" max="11780" width="19.7109375" style="3532" bestFit="1" customWidth="1"/>
    <col min="11781" max="11781" width="16" style="3532" customWidth="1"/>
    <col min="11782" max="11782" width="19.85546875" style="3532" bestFit="1" customWidth="1"/>
    <col min="11783" max="11783" width="13.42578125" style="3532" customWidth="1"/>
    <col min="11784" max="11784" width="15.28515625" style="3532" bestFit="1" customWidth="1"/>
    <col min="11785" max="11785" width="14.140625" style="3532" bestFit="1" customWidth="1"/>
    <col min="11786" max="11786" width="15.28515625" style="3532" customWidth="1"/>
    <col min="11787" max="11787" width="15.85546875" style="3532" customWidth="1"/>
    <col min="11788" max="11788" width="17" style="3532" bestFit="1" customWidth="1"/>
    <col min="11789" max="11789" width="12.7109375" style="3532" customWidth="1"/>
    <col min="11790" max="11790" width="13.7109375" style="3532" customWidth="1"/>
    <col min="11791" max="11791" width="13.85546875" style="3532" bestFit="1" customWidth="1"/>
    <col min="11792" max="11792" width="15.42578125" style="3532" bestFit="1" customWidth="1"/>
    <col min="11793" max="11793" width="16.140625" style="3532" customWidth="1"/>
    <col min="11794" max="11794" width="16.7109375" style="3532" bestFit="1" customWidth="1"/>
    <col min="11795" max="11796" width="15.42578125" style="3532" bestFit="1" customWidth="1"/>
    <col min="11797" max="11797" width="16.42578125" style="3532" bestFit="1" customWidth="1"/>
    <col min="11798" max="11798" width="14.28515625" style="3532" customWidth="1"/>
    <col min="11799" max="11799" width="12.85546875" style="3532" bestFit="1" customWidth="1"/>
    <col min="11800" max="11800" width="11.28515625" style="3532" bestFit="1" customWidth="1"/>
    <col min="11801" max="11801" width="12.42578125" style="3532" bestFit="1" customWidth="1"/>
    <col min="11802" max="11802" width="14" style="3532" bestFit="1" customWidth="1"/>
    <col min="11803" max="11803" width="6" style="3532" bestFit="1" customWidth="1"/>
    <col min="11804" max="11804" width="15" style="3532" customWidth="1"/>
    <col min="11805" max="11805" width="14.85546875" style="3532" bestFit="1" customWidth="1"/>
    <col min="11806" max="11806" width="16.140625" style="3532" bestFit="1" customWidth="1"/>
    <col min="11807" max="12033" width="8.85546875" style="3532"/>
    <col min="12034" max="12034" width="24" style="3532" bestFit="1" customWidth="1"/>
    <col min="12035" max="12035" width="45.7109375" style="3532" bestFit="1" customWidth="1"/>
    <col min="12036" max="12036" width="19.7109375" style="3532" bestFit="1" customWidth="1"/>
    <col min="12037" max="12037" width="16" style="3532" customWidth="1"/>
    <col min="12038" max="12038" width="19.85546875" style="3532" bestFit="1" customWidth="1"/>
    <col min="12039" max="12039" width="13.42578125" style="3532" customWidth="1"/>
    <col min="12040" max="12040" width="15.28515625" style="3532" bestFit="1" customWidth="1"/>
    <col min="12041" max="12041" width="14.140625" style="3532" bestFit="1" customWidth="1"/>
    <col min="12042" max="12042" width="15.28515625" style="3532" customWidth="1"/>
    <col min="12043" max="12043" width="15.85546875" style="3532" customWidth="1"/>
    <col min="12044" max="12044" width="17" style="3532" bestFit="1" customWidth="1"/>
    <col min="12045" max="12045" width="12.7109375" style="3532" customWidth="1"/>
    <col min="12046" max="12046" width="13.7109375" style="3532" customWidth="1"/>
    <col min="12047" max="12047" width="13.85546875" style="3532" bestFit="1" customWidth="1"/>
    <col min="12048" max="12048" width="15.42578125" style="3532" bestFit="1" customWidth="1"/>
    <col min="12049" max="12049" width="16.140625" style="3532" customWidth="1"/>
    <col min="12050" max="12050" width="16.7109375" style="3532" bestFit="1" customWidth="1"/>
    <col min="12051" max="12052" width="15.42578125" style="3532" bestFit="1" customWidth="1"/>
    <col min="12053" max="12053" width="16.42578125" style="3532" bestFit="1" customWidth="1"/>
    <col min="12054" max="12054" width="14.28515625" style="3532" customWidth="1"/>
    <col min="12055" max="12055" width="12.85546875" style="3532" bestFit="1" customWidth="1"/>
    <col min="12056" max="12056" width="11.28515625" style="3532" bestFit="1" customWidth="1"/>
    <col min="12057" max="12057" width="12.42578125" style="3532" bestFit="1" customWidth="1"/>
    <col min="12058" max="12058" width="14" style="3532" bestFit="1" customWidth="1"/>
    <col min="12059" max="12059" width="6" style="3532" bestFit="1" customWidth="1"/>
    <col min="12060" max="12060" width="15" style="3532" customWidth="1"/>
    <col min="12061" max="12061" width="14.85546875" style="3532" bestFit="1" customWidth="1"/>
    <col min="12062" max="12062" width="16.140625" style="3532" bestFit="1" customWidth="1"/>
    <col min="12063" max="12289" width="8.85546875" style="3532"/>
    <col min="12290" max="12290" width="24" style="3532" bestFit="1" customWidth="1"/>
    <col min="12291" max="12291" width="45.7109375" style="3532" bestFit="1" customWidth="1"/>
    <col min="12292" max="12292" width="19.7109375" style="3532" bestFit="1" customWidth="1"/>
    <col min="12293" max="12293" width="16" style="3532" customWidth="1"/>
    <col min="12294" max="12294" width="19.85546875" style="3532" bestFit="1" customWidth="1"/>
    <col min="12295" max="12295" width="13.42578125" style="3532" customWidth="1"/>
    <col min="12296" max="12296" width="15.28515625" style="3532" bestFit="1" customWidth="1"/>
    <col min="12297" max="12297" width="14.140625" style="3532" bestFit="1" customWidth="1"/>
    <col min="12298" max="12298" width="15.28515625" style="3532" customWidth="1"/>
    <col min="12299" max="12299" width="15.85546875" style="3532" customWidth="1"/>
    <col min="12300" max="12300" width="17" style="3532" bestFit="1" customWidth="1"/>
    <col min="12301" max="12301" width="12.7109375" style="3532" customWidth="1"/>
    <col min="12302" max="12302" width="13.7109375" style="3532" customWidth="1"/>
    <col min="12303" max="12303" width="13.85546875" style="3532" bestFit="1" customWidth="1"/>
    <col min="12304" max="12304" width="15.42578125" style="3532" bestFit="1" customWidth="1"/>
    <col min="12305" max="12305" width="16.140625" style="3532" customWidth="1"/>
    <col min="12306" max="12306" width="16.7109375" style="3532" bestFit="1" customWidth="1"/>
    <col min="12307" max="12308" width="15.42578125" style="3532" bestFit="1" customWidth="1"/>
    <col min="12309" max="12309" width="16.42578125" style="3532" bestFit="1" customWidth="1"/>
    <col min="12310" max="12310" width="14.28515625" style="3532" customWidth="1"/>
    <col min="12311" max="12311" width="12.85546875" style="3532" bestFit="1" customWidth="1"/>
    <col min="12312" max="12312" width="11.28515625" style="3532" bestFit="1" customWidth="1"/>
    <col min="12313" max="12313" width="12.42578125" style="3532" bestFit="1" customWidth="1"/>
    <col min="12314" max="12314" width="14" style="3532" bestFit="1" customWidth="1"/>
    <col min="12315" max="12315" width="6" style="3532" bestFit="1" customWidth="1"/>
    <col min="12316" max="12316" width="15" style="3532" customWidth="1"/>
    <col min="12317" max="12317" width="14.85546875" style="3532" bestFit="1" customWidth="1"/>
    <col min="12318" max="12318" width="16.140625" style="3532" bestFit="1" customWidth="1"/>
    <col min="12319" max="12545" width="8.85546875" style="3532"/>
    <col min="12546" max="12546" width="24" style="3532" bestFit="1" customWidth="1"/>
    <col min="12547" max="12547" width="45.7109375" style="3532" bestFit="1" customWidth="1"/>
    <col min="12548" max="12548" width="19.7109375" style="3532" bestFit="1" customWidth="1"/>
    <col min="12549" max="12549" width="16" style="3532" customWidth="1"/>
    <col min="12550" max="12550" width="19.85546875" style="3532" bestFit="1" customWidth="1"/>
    <col min="12551" max="12551" width="13.42578125" style="3532" customWidth="1"/>
    <col min="12552" max="12552" width="15.28515625" style="3532" bestFit="1" customWidth="1"/>
    <col min="12553" max="12553" width="14.140625" style="3532" bestFit="1" customWidth="1"/>
    <col min="12554" max="12554" width="15.28515625" style="3532" customWidth="1"/>
    <col min="12555" max="12555" width="15.85546875" style="3532" customWidth="1"/>
    <col min="12556" max="12556" width="17" style="3532" bestFit="1" customWidth="1"/>
    <col min="12557" max="12557" width="12.7109375" style="3532" customWidth="1"/>
    <col min="12558" max="12558" width="13.7109375" style="3532" customWidth="1"/>
    <col min="12559" max="12559" width="13.85546875" style="3532" bestFit="1" customWidth="1"/>
    <col min="12560" max="12560" width="15.42578125" style="3532" bestFit="1" customWidth="1"/>
    <col min="12561" max="12561" width="16.140625" style="3532" customWidth="1"/>
    <col min="12562" max="12562" width="16.7109375" style="3532" bestFit="1" customWidth="1"/>
    <col min="12563" max="12564" width="15.42578125" style="3532" bestFit="1" customWidth="1"/>
    <col min="12565" max="12565" width="16.42578125" style="3532" bestFit="1" customWidth="1"/>
    <col min="12566" max="12566" width="14.28515625" style="3532" customWidth="1"/>
    <col min="12567" max="12567" width="12.85546875" style="3532" bestFit="1" customWidth="1"/>
    <col min="12568" max="12568" width="11.28515625" style="3532" bestFit="1" customWidth="1"/>
    <col min="12569" max="12569" width="12.42578125" style="3532" bestFit="1" customWidth="1"/>
    <col min="12570" max="12570" width="14" style="3532" bestFit="1" customWidth="1"/>
    <col min="12571" max="12571" width="6" style="3532" bestFit="1" customWidth="1"/>
    <col min="12572" max="12572" width="15" style="3532" customWidth="1"/>
    <col min="12573" max="12573" width="14.85546875" style="3532" bestFit="1" customWidth="1"/>
    <col min="12574" max="12574" width="16.140625" style="3532" bestFit="1" customWidth="1"/>
    <col min="12575" max="12801" width="8.85546875" style="3532"/>
    <col min="12802" max="12802" width="24" style="3532" bestFit="1" customWidth="1"/>
    <col min="12803" max="12803" width="45.7109375" style="3532" bestFit="1" customWidth="1"/>
    <col min="12804" max="12804" width="19.7109375" style="3532" bestFit="1" customWidth="1"/>
    <col min="12805" max="12805" width="16" style="3532" customWidth="1"/>
    <col min="12806" max="12806" width="19.85546875" style="3532" bestFit="1" customWidth="1"/>
    <col min="12807" max="12807" width="13.42578125" style="3532" customWidth="1"/>
    <col min="12808" max="12808" width="15.28515625" style="3532" bestFit="1" customWidth="1"/>
    <col min="12809" max="12809" width="14.140625" style="3532" bestFit="1" customWidth="1"/>
    <col min="12810" max="12810" width="15.28515625" style="3532" customWidth="1"/>
    <col min="12811" max="12811" width="15.85546875" style="3532" customWidth="1"/>
    <col min="12812" max="12812" width="17" style="3532" bestFit="1" customWidth="1"/>
    <col min="12813" max="12813" width="12.7109375" style="3532" customWidth="1"/>
    <col min="12814" max="12814" width="13.7109375" style="3532" customWidth="1"/>
    <col min="12815" max="12815" width="13.85546875" style="3532" bestFit="1" customWidth="1"/>
    <col min="12816" max="12816" width="15.42578125" style="3532" bestFit="1" customWidth="1"/>
    <col min="12817" max="12817" width="16.140625" style="3532" customWidth="1"/>
    <col min="12818" max="12818" width="16.7109375" style="3532" bestFit="1" customWidth="1"/>
    <col min="12819" max="12820" width="15.42578125" style="3532" bestFit="1" customWidth="1"/>
    <col min="12821" max="12821" width="16.42578125" style="3532" bestFit="1" customWidth="1"/>
    <col min="12822" max="12822" width="14.28515625" style="3532" customWidth="1"/>
    <col min="12823" max="12823" width="12.85546875" style="3532" bestFit="1" customWidth="1"/>
    <col min="12824" max="12824" width="11.28515625" style="3532" bestFit="1" customWidth="1"/>
    <col min="12825" max="12825" width="12.42578125" style="3532" bestFit="1" customWidth="1"/>
    <col min="12826" max="12826" width="14" style="3532" bestFit="1" customWidth="1"/>
    <col min="12827" max="12827" width="6" style="3532" bestFit="1" customWidth="1"/>
    <col min="12828" max="12828" width="15" style="3532" customWidth="1"/>
    <col min="12829" max="12829" width="14.85546875" style="3532" bestFit="1" customWidth="1"/>
    <col min="12830" max="12830" width="16.140625" style="3532" bestFit="1" customWidth="1"/>
    <col min="12831" max="13057" width="8.85546875" style="3532"/>
    <col min="13058" max="13058" width="24" style="3532" bestFit="1" customWidth="1"/>
    <col min="13059" max="13059" width="45.7109375" style="3532" bestFit="1" customWidth="1"/>
    <col min="13060" max="13060" width="19.7109375" style="3532" bestFit="1" customWidth="1"/>
    <col min="13061" max="13061" width="16" style="3532" customWidth="1"/>
    <col min="13062" max="13062" width="19.85546875" style="3532" bestFit="1" customWidth="1"/>
    <col min="13063" max="13063" width="13.42578125" style="3532" customWidth="1"/>
    <col min="13064" max="13064" width="15.28515625" style="3532" bestFit="1" customWidth="1"/>
    <col min="13065" max="13065" width="14.140625" style="3532" bestFit="1" customWidth="1"/>
    <col min="13066" max="13066" width="15.28515625" style="3532" customWidth="1"/>
    <col min="13067" max="13067" width="15.85546875" style="3532" customWidth="1"/>
    <col min="13068" max="13068" width="17" style="3532" bestFit="1" customWidth="1"/>
    <col min="13069" max="13069" width="12.7109375" style="3532" customWidth="1"/>
    <col min="13070" max="13070" width="13.7109375" style="3532" customWidth="1"/>
    <col min="13071" max="13071" width="13.85546875" style="3532" bestFit="1" customWidth="1"/>
    <col min="13072" max="13072" width="15.42578125" style="3532" bestFit="1" customWidth="1"/>
    <col min="13073" max="13073" width="16.140625" style="3532" customWidth="1"/>
    <col min="13074" max="13074" width="16.7109375" style="3532" bestFit="1" customWidth="1"/>
    <col min="13075" max="13076" width="15.42578125" style="3532" bestFit="1" customWidth="1"/>
    <col min="13077" max="13077" width="16.42578125" style="3532" bestFit="1" customWidth="1"/>
    <col min="13078" max="13078" width="14.28515625" style="3532" customWidth="1"/>
    <col min="13079" max="13079" width="12.85546875" style="3532" bestFit="1" customWidth="1"/>
    <col min="13080" max="13080" width="11.28515625" style="3532" bestFit="1" customWidth="1"/>
    <col min="13081" max="13081" width="12.42578125" style="3532" bestFit="1" customWidth="1"/>
    <col min="13082" max="13082" width="14" style="3532" bestFit="1" customWidth="1"/>
    <col min="13083" max="13083" width="6" style="3532" bestFit="1" customWidth="1"/>
    <col min="13084" max="13084" width="15" style="3532" customWidth="1"/>
    <col min="13085" max="13085" width="14.85546875" style="3532" bestFit="1" customWidth="1"/>
    <col min="13086" max="13086" width="16.140625" style="3532" bestFit="1" customWidth="1"/>
    <col min="13087" max="13313" width="8.85546875" style="3532"/>
    <col min="13314" max="13314" width="24" style="3532" bestFit="1" customWidth="1"/>
    <col min="13315" max="13315" width="45.7109375" style="3532" bestFit="1" customWidth="1"/>
    <col min="13316" max="13316" width="19.7109375" style="3532" bestFit="1" customWidth="1"/>
    <col min="13317" max="13317" width="16" style="3532" customWidth="1"/>
    <col min="13318" max="13318" width="19.85546875" style="3532" bestFit="1" customWidth="1"/>
    <col min="13319" max="13319" width="13.42578125" style="3532" customWidth="1"/>
    <col min="13320" max="13320" width="15.28515625" style="3532" bestFit="1" customWidth="1"/>
    <col min="13321" max="13321" width="14.140625" style="3532" bestFit="1" customWidth="1"/>
    <col min="13322" max="13322" width="15.28515625" style="3532" customWidth="1"/>
    <col min="13323" max="13323" width="15.85546875" style="3532" customWidth="1"/>
    <col min="13324" max="13324" width="17" style="3532" bestFit="1" customWidth="1"/>
    <col min="13325" max="13325" width="12.7109375" style="3532" customWidth="1"/>
    <col min="13326" max="13326" width="13.7109375" style="3532" customWidth="1"/>
    <col min="13327" max="13327" width="13.85546875" style="3532" bestFit="1" customWidth="1"/>
    <col min="13328" max="13328" width="15.42578125" style="3532" bestFit="1" customWidth="1"/>
    <col min="13329" max="13329" width="16.140625" style="3532" customWidth="1"/>
    <col min="13330" max="13330" width="16.7109375" style="3532" bestFit="1" customWidth="1"/>
    <col min="13331" max="13332" width="15.42578125" style="3532" bestFit="1" customWidth="1"/>
    <col min="13333" max="13333" width="16.42578125" style="3532" bestFit="1" customWidth="1"/>
    <col min="13334" max="13334" width="14.28515625" style="3532" customWidth="1"/>
    <col min="13335" max="13335" width="12.85546875" style="3532" bestFit="1" customWidth="1"/>
    <col min="13336" max="13336" width="11.28515625" style="3532" bestFit="1" customWidth="1"/>
    <col min="13337" max="13337" width="12.42578125" style="3532" bestFit="1" customWidth="1"/>
    <col min="13338" max="13338" width="14" style="3532" bestFit="1" customWidth="1"/>
    <col min="13339" max="13339" width="6" style="3532" bestFit="1" customWidth="1"/>
    <col min="13340" max="13340" width="15" style="3532" customWidth="1"/>
    <col min="13341" max="13341" width="14.85546875" style="3532" bestFit="1" customWidth="1"/>
    <col min="13342" max="13342" width="16.140625" style="3532" bestFit="1" customWidth="1"/>
    <col min="13343" max="13569" width="8.85546875" style="3532"/>
    <col min="13570" max="13570" width="24" style="3532" bestFit="1" customWidth="1"/>
    <col min="13571" max="13571" width="45.7109375" style="3532" bestFit="1" customWidth="1"/>
    <col min="13572" max="13572" width="19.7109375" style="3532" bestFit="1" customWidth="1"/>
    <col min="13573" max="13573" width="16" style="3532" customWidth="1"/>
    <col min="13574" max="13574" width="19.85546875" style="3532" bestFit="1" customWidth="1"/>
    <col min="13575" max="13575" width="13.42578125" style="3532" customWidth="1"/>
    <col min="13576" max="13576" width="15.28515625" style="3532" bestFit="1" customWidth="1"/>
    <col min="13577" max="13577" width="14.140625" style="3532" bestFit="1" customWidth="1"/>
    <col min="13578" max="13578" width="15.28515625" style="3532" customWidth="1"/>
    <col min="13579" max="13579" width="15.85546875" style="3532" customWidth="1"/>
    <col min="13580" max="13580" width="17" style="3532" bestFit="1" customWidth="1"/>
    <col min="13581" max="13581" width="12.7109375" style="3532" customWidth="1"/>
    <col min="13582" max="13582" width="13.7109375" style="3532" customWidth="1"/>
    <col min="13583" max="13583" width="13.85546875" style="3532" bestFit="1" customWidth="1"/>
    <col min="13584" max="13584" width="15.42578125" style="3532" bestFit="1" customWidth="1"/>
    <col min="13585" max="13585" width="16.140625" style="3532" customWidth="1"/>
    <col min="13586" max="13586" width="16.7109375" style="3532" bestFit="1" customWidth="1"/>
    <col min="13587" max="13588" width="15.42578125" style="3532" bestFit="1" customWidth="1"/>
    <col min="13589" max="13589" width="16.42578125" style="3532" bestFit="1" customWidth="1"/>
    <col min="13590" max="13590" width="14.28515625" style="3532" customWidth="1"/>
    <col min="13591" max="13591" width="12.85546875" style="3532" bestFit="1" customWidth="1"/>
    <col min="13592" max="13592" width="11.28515625" style="3532" bestFit="1" customWidth="1"/>
    <col min="13593" max="13593" width="12.42578125" style="3532" bestFit="1" customWidth="1"/>
    <col min="13594" max="13594" width="14" style="3532" bestFit="1" customWidth="1"/>
    <col min="13595" max="13595" width="6" style="3532" bestFit="1" customWidth="1"/>
    <col min="13596" max="13596" width="15" style="3532" customWidth="1"/>
    <col min="13597" max="13597" width="14.85546875" style="3532" bestFit="1" customWidth="1"/>
    <col min="13598" max="13598" width="16.140625" style="3532" bestFit="1" customWidth="1"/>
    <col min="13599" max="13825" width="8.85546875" style="3532"/>
    <col min="13826" max="13826" width="24" style="3532" bestFit="1" customWidth="1"/>
    <col min="13827" max="13827" width="45.7109375" style="3532" bestFit="1" customWidth="1"/>
    <col min="13828" max="13828" width="19.7109375" style="3532" bestFit="1" customWidth="1"/>
    <col min="13829" max="13829" width="16" style="3532" customWidth="1"/>
    <col min="13830" max="13830" width="19.85546875" style="3532" bestFit="1" customWidth="1"/>
    <col min="13831" max="13831" width="13.42578125" style="3532" customWidth="1"/>
    <col min="13832" max="13832" width="15.28515625" style="3532" bestFit="1" customWidth="1"/>
    <col min="13833" max="13833" width="14.140625" style="3532" bestFit="1" customWidth="1"/>
    <col min="13834" max="13834" width="15.28515625" style="3532" customWidth="1"/>
    <col min="13835" max="13835" width="15.85546875" style="3532" customWidth="1"/>
    <col min="13836" max="13836" width="17" style="3532" bestFit="1" customWidth="1"/>
    <col min="13837" max="13837" width="12.7109375" style="3532" customWidth="1"/>
    <col min="13838" max="13838" width="13.7109375" style="3532" customWidth="1"/>
    <col min="13839" max="13839" width="13.85546875" style="3532" bestFit="1" customWidth="1"/>
    <col min="13840" max="13840" width="15.42578125" style="3532" bestFit="1" customWidth="1"/>
    <col min="13841" max="13841" width="16.140625" style="3532" customWidth="1"/>
    <col min="13842" max="13842" width="16.7109375" style="3532" bestFit="1" customWidth="1"/>
    <col min="13843" max="13844" width="15.42578125" style="3532" bestFit="1" customWidth="1"/>
    <col min="13845" max="13845" width="16.42578125" style="3532" bestFit="1" customWidth="1"/>
    <col min="13846" max="13846" width="14.28515625" style="3532" customWidth="1"/>
    <col min="13847" max="13847" width="12.85546875" style="3532" bestFit="1" customWidth="1"/>
    <col min="13848" max="13848" width="11.28515625" style="3532" bestFit="1" customWidth="1"/>
    <col min="13849" max="13849" width="12.42578125" style="3532" bestFit="1" customWidth="1"/>
    <col min="13850" max="13850" width="14" style="3532" bestFit="1" customWidth="1"/>
    <col min="13851" max="13851" width="6" style="3532" bestFit="1" customWidth="1"/>
    <col min="13852" max="13852" width="15" style="3532" customWidth="1"/>
    <col min="13853" max="13853" width="14.85546875" style="3532" bestFit="1" customWidth="1"/>
    <col min="13854" max="13854" width="16.140625" style="3532" bestFit="1" customWidth="1"/>
    <col min="13855" max="14081" width="8.85546875" style="3532"/>
    <col min="14082" max="14082" width="24" style="3532" bestFit="1" customWidth="1"/>
    <col min="14083" max="14083" width="45.7109375" style="3532" bestFit="1" customWidth="1"/>
    <col min="14084" max="14084" width="19.7109375" style="3532" bestFit="1" customWidth="1"/>
    <col min="14085" max="14085" width="16" style="3532" customWidth="1"/>
    <col min="14086" max="14086" width="19.85546875" style="3532" bestFit="1" customWidth="1"/>
    <col min="14087" max="14087" width="13.42578125" style="3532" customWidth="1"/>
    <col min="14088" max="14088" width="15.28515625" style="3532" bestFit="1" customWidth="1"/>
    <col min="14089" max="14089" width="14.140625" style="3532" bestFit="1" customWidth="1"/>
    <col min="14090" max="14090" width="15.28515625" style="3532" customWidth="1"/>
    <col min="14091" max="14091" width="15.85546875" style="3532" customWidth="1"/>
    <col min="14092" max="14092" width="17" style="3532" bestFit="1" customWidth="1"/>
    <col min="14093" max="14093" width="12.7109375" style="3532" customWidth="1"/>
    <col min="14094" max="14094" width="13.7109375" style="3532" customWidth="1"/>
    <col min="14095" max="14095" width="13.85546875" style="3532" bestFit="1" customWidth="1"/>
    <col min="14096" max="14096" width="15.42578125" style="3532" bestFit="1" customWidth="1"/>
    <col min="14097" max="14097" width="16.140625" style="3532" customWidth="1"/>
    <col min="14098" max="14098" width="16.7109375" style="3532" bestFit="1" customWidth="1"/>
    <col min="14099" max="14100" width="15.42578125" style="3532" bestFit="1" customWidth="1"/>
    <col min="14101" max="14101" width="16.42578125" style="3532" bestFit="1" customWidth="1"/>
    <col min="14102" max="14102" width="14.28515625" style="3532" customWidth="1"/>
    <col min="14103" max="14103" width="12.85546875" style="3532" bestFit="1" customWidth="1"/>
    <col min="14104" max="14104" width="11.28515625" style="3532" bestFit="1" customWidth="1"/>
    <col min="14105" max="14105" width="12.42578125" style="3532" bestFit="1" customWidth="1"/>
    <col min="14106" max="14106" width="14" style="3532" bestFit="1" customWidth="1"/>
    <col min="14107" max="14107" width="6" style="3532" bestFit="1" customWidth="1"/>
    <col min="14108" max="14108" width="15" style="3532" customWidth="1"/>
    <col min="14109" max="14109" width="14.85546875" style="3532" bestFit="1" customWidth="1"/>
    <col min="14110" max="14110" width="16.140625" style="3532" bestFit="1" customWidth="1"/>
    <col min="14111" max="14337" width="8.85546875" style="3532"/>
    <col min="14338" max="14338" width="24" style="3532" bestFit="1" customWidth="1"/>
    <col min="14339" max="14339" width="45.7109375" style="3532" bestFit="1" customWidth="1"/>
    <col min="14340" max="14340" width="19.7109375" style="3532" bestFit="1" customWidth="1"/>
    <col min="14341" max="14341" width="16" style="3532" customWidth="1"/>
    <col min="14342" max="14342" width="19.85546875" style="3532" bestFit="1" customWidth="1"/>
    <col min="14343" max="14343" width="13.42578125" style="3532" customWidth="1"/>
    <col min="14344" max="14344" width="15.28515625" style="3532" bestFit="1" customWidth="1"/>
    <col min="14345" max="14345" width="14.140625" style="3532" bestFit="1" customWidth="1"/>
    <col min="14346" max="14346" width="15.28515625" style="3532" customWidth="1"/>
    <col min="14347" max="14347" width="15.85546875" style="3532" customWidth="1"/>
    <col min="14348" max="14348" width="17" style="3532" bestFit="1" customWidth="1"/>
    <col min="14349" max="14349" width="12.7109375" style="3532" customWidth="1"/>
    <col min="14350" max="14350" width="13.7109375" style="3532" customWidth="1"/>
    <col min="14351" max="14351" width="13.85546875" style="3532" bestFit="1" customWidth="1"/>
    <col min="14352" max="14352" width="15.42578125" style="3532" bestFit="1" customWidth="1"/>
    <col min="14353" max="14353" width="16.140625" style="3532" customWidth="1"/>
    <col min="14354" max="14354" width="16.7109375" style="3532" bestFit="1" customWidth="1"/>
    <col min="14355" max="14356" width="15.42578125" style="3532" bestFit="1" customWidth="1"/>
    <col min="14357" max="14357" width="16.42578125" style="3532" bestFit="1" customWidth="1"/>
    <col min="14358" max="14358" width="14.28515625" style="3532" customWidth="1"/>
    <col min="14359" max="14359" width="12.85546875" style="3532" bestFit="1" customWidth="1"/>
    <col min="14360" max="14360" width="11.28515625" style="3532" bestFit="1" customWidth="1"/>
    <col min="14361" max="14361" width="12.42578125" style="3532" bestFit="1" customWidth="1"/>
    <col min="14362" max="14362" width="14" style="3532" bestFit="1" customWidth="1"/>
    <col min="14363" max="14363" width="6" style="3532" bestFit="1" customWidth="1"/>
    <col min="14364" max="14364" width="15" style="3532" customWidth="1"/>
    <col min="14365" max="14365" width="14.85546875" style="3532" bestFit="1" customWidth="1"/>
    <col min="14366" max="14366" width="16.140625" style="3532" bestFit="1" customWidth="1"/>
    <col min="14367" max="14593" width="8.85546875" style="3532"/>
    <col min="14594" max="14594" width="24" style="3532" bestFit="1" customWidth="1"/>
    <col min="14595" max="14595" width="45.7109375" style="3532" bestFit="1" customWidth="1"/>
    <col min="14596" max="14596" width="19.7109375" style="3532" bestFit="1" customWidth="1"/>
    <col min="14597" max="14597" width="16" style="3532" customWidth="1"/>
    <col min="14598" max="14598" width="19.85546875" style="3532" bestFit="1" customWidth="1"/>
    <col min="14599" max="14599" width="13.42578125" style="3532" customWidth="1"/>
    <col min="14600" max="14600" width="15.28515625" style="3532" bestFit="1" customWidth="1"/>
    <col min="14601" max="14601" width="14.140625" style="3532" bestFit="1" customWidth="1"/>
    <col min="14602" max="14602" width="15.28515625" style="3532" customWidth="1"/>
    <col min="14603" max="14603" width="15.85546875" style="3532" customWidth="1"/>
    <col min="14604" max="14604" width="17" style="3532" bestFit="1" customWidth="1"/>
    <col min="14605" max="14605" width="12.7109375" style="3532" customWidth="1"/>
    <col min="14606" max="14606" width="13.7109375" style="3532" customWidth="1"/>
    <col min="14607" max="14607" width="13.85546875" style="3532" bestFit="1" customWidth="1"/>
    <col min="14608" max="14608" width="15.42578125" style="3532" bestFit="1" customWidth="1"/>
    <col min="14609" max="14609" width="16.140625" style="3532" customWidth="1"/>
    <col min="14610" max="14610" width="16.7109375" style="3532" bestFit="1" customWidth="1"/>
    <col min="14611" max="14612" width="15.42578125" style="3532" bestFit="1" customWidth="1"/>
    <col min="14613" max="14613" width="16.42578125" style="3532" bestFit="1" customWidth="1"/>
    <col min="14614" max="14614" width="14.28515625" style="3532" customWidth="1"/>
    <col min="14615" max="14615" width="12.85546875" style="3532" bestFit="1" customWidth="1"/>
    <col min="14616" max="14616" width="11.28515625" style="3532" bestFit="1" customWidth="1"/>
    <col min="14617" max="14617" width="12.42578125" style="3532" bestFit="1" customWidth="1"/>
    <col min="14618" max="14618" width="14" style="3532" bestFit="1" customWidth="1"/>
    <col min="14619" max="14619" width="6" style="3532" bestFit="1" customWidth="1"/>
    <col min="14620" max="14620" width="15" style="3532" customWidth="1"/>
    <col min="14621" max="14621" width="14.85546875" style="3532" bestFit="1" customWidth="1"/>
    <col min="14622" max="14622" width="16.140625" style="3532" bestFit="1" customWidth="1"/>
    <col min="14623" max="14849" width="8.85546875" style="3532"/>
    <col min="14850" max="14850" width="24" style="3532" bestFit="1" customWidth="1"/>
    <col min="14851" max="14851" width="45.7109375" style="3532" bestFit="1" customWidth="1"/>
    <col min="14852" max="14852" width="19.7109375" style="3532" bestFit="1" customWidth="1"/>
    <col min="14853" max="14853" width="16" style="3532" customWidth="1"/>
    <col min="14854" max="14854" width="19.85546875" style="3532" bestFit="1" customWidth="1"/>
    <col min="14855" max="14855" width="13.42578125" style="3532" customWidth="1"/>
    <col min="14856" max="14856" width="15.28515625" style="3532" bestFit="1" customWidth="1"/>
    <col min="14857" max="14857" width="14.140625" style="3532" bestFit="1" customWidth="1"/>
    <col min="14858" max="14858" width="15.28515625" style="3532" customWidth="1"/>
    <col min="14859" max="14859" width="15.85546875" style="3532" customWidth="1"/>
    <col min="14860" max="14860" width="17" style="3532" bestFit="1" customWidth="1"/>
    <col min="14861" max="14861" width="12.7109375" style="3532" customWidth="1"/>
    <col min="14862" max="14862" width="13.7109375" style="3532" customWidth="1"/>
    <col min="14863" max="14863" width="13.85546875" style="3532" bestFit="1" customWidth="1"/>
    <col min="14864" max="14864" width="15.42578125" style="3532" bestFit="1" customWidth="1"/>
    <col min="14865" max="14865" width="16.140625" style="3532" customWidth="1"/>
    <col min="14866" max="14866" width="16.7109375" style="3532" bestFit="1" customWidth="1"/>
    <col min="14867" max="14868" width="15.42578125" style="3532" bestFit="1" customWidth="1"/>
    <col min="14869" max="14869" width="16.42578125" style="3532" bestFit="1" customWidth="1"/>
    <col min="14870" max="14870" width="14.28515625" style="3532" customWidth="1"/>
    <col min="14871" max="14871" width="12.85546875" style="3532" bestFit="1" customWidth="1"/>
    <col min="14872" max="14872" width="11.28515625" style="3532" bestFit="1" customWidth="1"/>
    <col min="14873" max="14873" width="12.42578125" style="3532" bestFit="1" customWidth="1"/>
    <col min="14874" max="14874" width="14" style="3532" bestFit="1" customWidth="1"/>
    <col min="14875" max="14875" width="6" style="3532" bestFit="1" customWidth="1"/>
    <col min="14876" max="14876" width="15" style="3532" customWidth="1"/>
    <col min="14877" max="14877" width="14.85546875" style="3532" bestFit="1" customWidth="1"/>
    <col min="14878" max="14878" width="16.140625" style="3532" bestFit="1" customWidth="1"/>
    <col min="14879" max="15105" width="8.85546875" style="3532"/>
    <col min="15106" max="15106" width="24" style="3532" bestFit="1" customWidth="1"/>
    <col min="15107" max="15107" width="45.7109375" style="3532" bestFit="1" customWidth="1"/>
    <col min="15108" max="15108" width="19.7109375" style="3532" bestFit="1" customWidth="1"/>
    <col min="15109" max="15109" width="16" style="3532" customWidth="1"/>
    <col min="15110" max="15110" width="19.85546875" style="3532" bestFit="1" customWidth="1"/>
    <col min="15111" max="15111" width="13.42578125" style="3532" customWidth="1"/>
    <col min="15112" max="15112" width="15.28515625" style="3532" bestFit="1" customWidth="1"/>
    <col min="15113" max="15113" width="14.140625" style="3532" bestFit="1" customWidth="1"/>
    <col min="15114" max="15114" width="15.28515625" style="3532" customWidth="1"/>
    <col min="15115" max="15115" width="15.85546875" style="3532" customWidth="1"/>
    <col min="15116" max="15116" width="17" style="3532" bestFit="1" customWidth="1"/>
    <col min="15117" max="15117" width="12.7109375" style="3532" customWidth="1"/>
    <col min="15118" max="15118" width="13.7109375" style="3532" customWidth="1"/>
    <col min="15119" max="15119" width="13.85546875" style="3532" bestFit="1" customWidth="1"/>
    <col min="15120" max="15120" width="15.42578125" style="3532" bestFit="1" customWidth="1"/>
    <col min="15121" max="15121" width="16.140625" style="3532" customWidth="1"/>
    <col min="15122" max="15122" width="16.7109375" style="3532" bestFit="1" customWidth="1"/>
    <col min="15123" max="15124" width="15.42578125" style="3532" bestFit="1" customWidth="1"/>
    <col min="15125" max="15125" width="16.42578125" style="3532" bestFit="1" customWidth="1"/>
    <col min="15126" max="15126" width="14.28515625" style="3532" customWidth="1"/>
    <col min="15127" max="15127" width="12.85546875" style="3532" bestFit="1" customWidth="1"/>
    <col min="15128" max="15128" width="11.28515625" style="3532" bestFit="1" customWidth="1"/>
    <col min="15129" max="15129" width="12.42578125" style="3532" bestFit="1" customWidth="1"/>
    <col min="15130" max="15130" width="14" style="3532" bestFit="1" customWidth="1"/>
    <col min="15131" max="15131" width="6" style="3532" bestFit="1" customWidth="1"/>
    <col min="15132" max="15132" width="15" style="3532" customWidth="1"/>
    <col min="15133" max="15133" width="14.85546875" style="3532" bestFit="1" customWidth="1"/>
    <col min="15134" max="15134" width="16.140625" style="3532" bestFit="1" customWidth="1"/>
    <col min="15135" max="15361" width="8.85546875" style="3532"/>
    <col min="15362" max="15362" width="24" style="3532" bestFit="1" customWidth="1"/>
    <col min="15363" max="15363" width="45.7109375" style="3532" bestFit="1" customWidth="1"/>
    <col min="15364" max="15364" width="19.7109375" style="3532" bestFit="1" customWidth="1"/>
    <col min="15365" max="15365" width="16" style="3532" customWidth="1"/>
    <col min="15366" max="15366" width="19.85546875" style="3532" bestFit="1" customWidth="1"/>
    <col min="15367" max="15367" width="13.42578125" style="3532" customWidth="1"/>
    <col min="15368" max="15368" width="15.28515625" style="3532" bestFit="1" customWidth="1"/>
    <col min="15369" max="15369" width="14.140625" style="3532" bestFit="1" customWidth="1"/>
    <col min="15370" max="15370" width="15.28515625" style="3532" customWidth="1"/>
    <col min="15371" max="15371" width="15.85546875" style="3532" customWidth="1"/>
    <col min="15372" max="15372" width="17" style="3532" bestFit="1" customWidth="1"/>
    <col min="15373" max="15373" width="12.7109375" style="3532" customWidth="1"/>
    <col min="15374" max="15374" width="13.7109375" style="3532" customWidth="1"/>
    <col min="15375" max="15375" width="13.85546875" style="3532" bestFit="1" customWidth="1"/>
    <col min="15376" max="15376" width="15.42578125" style="3532" bestFit="1" customWidth="1"/>
    <col min="15377" max="15377" width="16.140625" style="3532" customWidth="1"/>
    <col min="15378" max="15378" width="16.7109375" style="3532" bestFit="1" customWidth="1"/>
    <col min="15379" max="15380" width="15.42578125" style="3532" bestFit="1" customWidth="1"/>
    <col min="15381" max="15381" width="16.42578125" style="3532" bestFit="1" customWidth="1"/>
    <col min="15382" max="15382" width="14.28515625" style="3532" customWidth="1"/>
    <col min="15383" max="15383" width="12.85546875" style="3532" bestFit="1" customWidth="1"/>
    <col min="15384" max="15384" width="11.28515625" style="3532" bestFit="1" customWidth="1"/>
    <col min="15385" max="15385" width="12.42578125" style="3532" bestFit="1" customWidth="1"/>
    <col min="15386" max="15386" width="14" style="3532" bestFit="1" customWidth="1"/>
    <col min="15387" max="15387" width="6" style="3532" bestFit="1" customWidth="1"/>
    <col min="15388" max="15388" width="15" style="3532" customWidth="1"/>
    <col min="15389" max="15389" width="14.85546875" style="3532" bestFit="1" customWidth="1"/>
    <col min="15390" max="15390" width="16.140625" style="3532" bestFit="1" customWidth="1"/>
    <col min="15391" max="15617" width="8.85546875" style="3532"/>
    <col min="15618" max="15618" width="24" style="3532" bestFit="1" customWidth="1"/>
    <col min="15619" max="15619" width="45.7109375" style="3532" bestFit="1" customWidth="1"/>
    <col min="15620" max="15620" width="19.7109375" style="3532" bestFit="1" customWidth="1"/>
    <col min="15621" max="15621" width="16" style="3532" customWidth="1"/>
    <col min="15622" max="15622" width="19.85546875" style="3532" bestFit="1" customWidth="1"/>
    <col min="15623" max="15623" width="13.42578125" style="3532" customWidth="1"/>
    <col min="15624" max="15624" width="15.28515625" style="3532" bestFit="1" customWidth="1"/>
    <col min="15625" max="15625" width="14.140625" style="3532" bestFit="1" customWidth="1"/>
    <col min="15626" max="15626" width="15.28515625" style="3532" customWidth="1"/>
    <col min="15627" max="15627" width="15.85546875" style="3532" customWidth="1"/>
    <col min="15628" max="15628" width="17" style="3532" bestFit="1" customWidth="1"/>
    <col min="15629" max="15629" width="12.7109375" style="3532" customWidth="1"/>
    <col min="15630" max="15630" width="13.7109375" style="3532" customWidth="1"/>
    <col min="15631" max="15631" width="13.85546875" style="3532" bestFit="1" customWidth="1"/>
    <col min="15632" max="15632" width="15.42578125" style="3532" bestFit="1" customWidth="1"/>
    <col min="15633" max="15633" width="16.140625" style="3532" customWidth="1"/>
    <col min="15634" max="15634" width="16.7109375" style="3532" bestFit="1" customWidth="1"/>
    <col min="15635" max="15636" width="15.42578125" style="3532" bestFit="1" customWidth="1"/>
    <col min="15637" max="15637" width="16.42578125" style="3532" bestFit="1" customWidth="1"/>
    <col min="15638" max="15638" width="14.28515625" style="3532" customWidth="1"/>
    <col min="15639" max="15639" width="12.85546875" style="3532" bestFit="1" customWidth="1"/>
    <col min="15640" max="15640" width="11.28515625" style="3532" bestFit="1" customWidth="1"/>
    <col min="15641" max="15641" width="12.42578125" style="3532" bestFit="1" customWidth="1"/>
    <col min="15642" max="15642" width="14" style="3532" bestFit="1" customWidth="1"/>
    <col min="15643" max="15643" width="6" style="3532" bestFit="1" customWidth="1"/>
    <col min="15644" max="15644" width="15" style="3532" customWidth="1"/>
    <col min="15645" max="15645" width="14.85546875" style="3532" bestFit="1" customWidth="1"/>
    <col min="15646" max="15646" width="16.140625" style="3532" bestFit="1" customWidth="1"/>
    <col min="15647" max="15873" width="8.85546875" style="3532"/>
    <col min="15874" max="15874" width="24" style="3532" bestFit="1" customWidth="1"/>
    <col min="15875" max="15875" width="45.7109375" style="3532" bestFit="1" customWidth="1"/>
    <col min="15876" max="15876" width="19.7109375" style="3532" bestFit="1" customWidth="1"/>
    <col min="15877" max="15877" width="16" style="3532" customWidth="1"/>
    <col min="15878" max="15878" width="19.85546875" style="3532" bestFit="1" customWidth="1"/>
    <col min="15879" max="15879" width="13.42578125" style="3532" customWidth="1"/>
    <col min="15880" max="15880" width="15.28515625" style="3532" bestFit="1" customWidth="1"/>
    <col min="15881" max="15881" width="14.140625" style="3532" bestFit="1" customWidth="1"/>
    <col min="15882" max="15882" width="15.28515625" style="3532" customWidth="1"/>
    <col min="15883" max="15883" width="15.85546875" style="3532" customWidth="1"/>
    <col min="15884" max="15884" width="17" style="3532" bestFit="1" customWidth="1"/>
    <col min="15885" max="15885" width="12.7109375" style="3532" customWidth="1"/>
    <col min="15886" max="15886" width="13.7109375" style="3532" customWidth="1"/>
    <col min="15887" max="15887" width="13.85546875" style="3532" bestFit="1" customWidth="1"/>
    <col min="15888" max="15888" width="15.42578125" style="3532" bestFit="1" customWidth="1"/>
    <col min="15889" max="15889" width="16.140625" style="3532" customWidth="1"/>
    <col min="15890" max="15890" width="16.7109375" style="3532" bestFit="1" customWidth="1"/>
    <col min="15891" max="15892" width="15.42578125" style="3532" bestFit="1" customWidth="1"/>
    <col min="15893" max="15893" width="16.42578125" style="3532" bestFit="1" customWidth="1"/>
    <col min="15894" max="15894" width="14.28515625" style="3532" customWidth="1"/>
    <col min="15895" max="15895" width="12.85546875" style="3532" bestFit="1" customWidth="1"/>
    <col min="15896" max="15896" width="11.28515625" style="3532" bestFit="1" customWidth="1"/>
    <col min="15897" max="15897" width="12.42578125" style="3532" bestFit="1" customWidth="1"/>
    <col min="15898" max="15898" width="14" style="3532" bestFit="1" customWidth="1"/>
    <col min="15899" max="15899" width="6" style="3532" bestFit="1" customWidth="1"/>
    <col min="15900" max="15900" width="15" style="3532" customWidth="1"/>
    <col min="15901" max="15901" width="14.85546875" style="3532" bestFit="1" customWidth="1"/>
    <col min="15902" max="15902" width="16.140625" style="3532" bestFit="1" customWidth="1"/>
    <col min="15903" max="16129" width="8.85546875" style="3532"/>
    <col min="16130" max="16130" width="24" style="3532" bestFit="1" customWidth="1"/>
    <col min="16131" max="16131" width="45.7109375" style="3532" bestFit="1" customWidth="1"/>
    <col min="16132" max="16132" width="19.7109375" style="3532" bestFit="1" customWidth="1"/>
    <col min="16133" max="16133" width="16" style="3532" customWidth="1"/>
    <col min="16134" max="16134" width="19.85546875" style="3532" bestFit="1" customWidth="1"/>
    <col min="16135" max="16135" width="13.42578125" style="3532" customWidth="1"/>
    <col min="16136" max="16136" width="15.28515625" style="3532" bestFit="1" customWidth="1"/>
    <col min="16137" max="16137" width="14.140625" style="3532" bestFit="1" customWidth="1"/>
    <col min="16138" max="16138" width="15.28515625" style="3532" customWidth="1"/>
    <col min="16139" max="16139" width="15.85546875" style="3532" customWidth="1"/>
    <col min="16140" max="16140" width="17" style="3532" bestFit="1" customWidth="1"/>
    <col min="16141" max="16141" width="12.7109375" style="3532" customWidth="1"/>
    <col min="16142" max="16142" width="13.7109375" style="3532" customWidth="1"/>
    <col min="16143" max="16143" width="13.85546875" style="3532" bestFit="1" customWidth="1"/>
    <col min="16144" max="16144" width="15.42578125" style="3532" bestFit="1" customWidth="1"/>
    <col min="16145" max="16145" width="16.140625" style="3532" customWidth="1"/>
    <col min="16146" max="16146" width="16.7109375" style="3532" bestFit="1" customWidth="1"/>
    <col min="16147" max="16148" width="15.42578125" style="3532" bestFit="1" customWidth="1"/>
    <col min="16149" max="16149" width="16.42578125" style="3532" bestFit="1" customWidth="1"/>
    <col min="16150" max="16150" width="14.28515625" style="3532" customWidth="1"/>
    <col min="16151" max="16151" width="12.85546875" style="3532" bestFit="1" customWidth="1"/>
    <col min="16152" max="16152" width="11.28515625" style="3532" bestFit="1" customWidth="1"/>
    <col min="16153" max="16153" width="12.42578125" style="3532" bestFit="1" customWidth="1"/>
    <col min="16154" max="16154" width="14" style="3532" bestFit="1" customWidth="1"/>
    <col min="16155" max="16155" width="6" style="3532" bestFit="1" customWidth="1"/>
    <col min="16156" max="16156" width="15" style="3532" customWidth="1"/>
    <col min="16157" max="16157" width="14.85546875" style="3532" bestFit="1" customWidth="1"/>
    <col min="16158" max="16158" width="16.140625" style="3532" bestFit="1" customWidth="1"/>
    <col min="16159" max="16384" width="8.85546875" style="3532"/>
  </cols>
  <sheetData>
    <row r="1" spans="2:22" ht="45" customHeight="1" thickBot="1">
      <c r="B1" s="3512"/>
      <c r="F1" s="3536"/>
      <c r="G1" s="4361">
        <f>C3</f>
        <v>18230687</v>
      </c>
      <c r="H1" s="4361" t="str">
        <f>C4</f>
        <v>SF Existing - Web-Enabled Thermostats</v>
      </c>
      <c r="I1" s="4361"/>
      <c r="J1" s="3457"/>
    </row>
    <row r="2" spans="2:22" ht="16.5" thickBot="1">
      <c r="B2" s="3536" t="s">
        <v>109</v>
      </c>
      <c r="C2" s="3537" t="s">
        <v>574</v>
      </c>
      <c r="G2" s="3538" t="s">
        <v>8</v>
      </c>
      <c r="Q2" s="5133"/>
      <c r="R2" s="5133"/>
      <c r="S2" s="5124" t="s">
        <v>110</v>
      </c>
      <c r="T2" s="5125"/>
      <c r="U2" s="5126"/>
      <c r="V2" s="5118" t="s">
        <v>111</v>
      </c>
    </row>
    <row r="3" spans="2:22" ht="16.5" thickBot="1">
      <c r="B3" s="3537" t="s">
        <v>6</v>
      </c>
      <c r="C3" s="4360">
        <v>18230687</v>
      </c>
      <c r="G3" s="3539" t="s">
        <v>9</v>
      </c>
      <c r="H3" s="3540" t="s">
        <v>10</v>
      </c>
      <c r="I3" s="3540" t="s">
        <v>11</v>
      </c>
      <c r="J3" s="3540" t="s">
        <v>12</v>
      </c>
      <c r="K3" s="3540" t="s">
        <v>13</v>
      </c>
      <c r="L3" s="3540" t="s">
        <v>14</v>
      </c>
      <c r="M3" s="3540" t="s">
        <v>15</v>
      </c>
      <c r="N3" s="3540" t="s">
        <v>16</v>
      </c>
      <c r="O3" s="3540" t="s">
        <v>112</v>
      </c>
      <c r="P3" s="3540" t="s">
        <v>113</v>
      </c>
      <c r="Q3" s="3541" t="s">
        <v>18</v>
      </c>
      <c r="R3" s="3541" t="s">
        <v>114</v>
      </c>
      <c r="S3" s="3542" t="s">
        <v>115</v>
      </c>
      <c r="T3" s="3542" t="s">
        <v>12</v>
      </c>
      <c r="U3" s="3543" t="s">
        <v>116</v>
      </c>
      <c r="V3" s="5119"/>
    </row>
    <row r="4" spans="2:22" ht="16.5" thickBot="1">
      <c r="B4" s="3537" t="s">
        <v>117</v>
      </c>
      <c r="C4" s="4360" t="s">
        <v>1306</v>
      </c>
      <c r="F4" s="3536">
        <v>2011</v>
      </c>
      <c r="G4" s="3544"/>
      <c r="H4" s="3545"/>
      <c r="I4" s="3545"/>
      <c r="J4" s="3545"/>
      <c r="K4" s="3545"/>
      <c r="L4" s="3545"/>
      <c r="M4" s="3545"/>
      <c r="N4" s="3545"/>
      <c r="O4" s="3545"/>
      <c r="P4" s="3545"/>
      <c r="Q4" s="3546"/>
      <c r="R4" s="210"/>
      <c r="S4" s="3636" t="e">
        <f>O4/Q4</f>
        <v>#DIV/0!</v>
      </c>
      <c r="T4" s="3636" t="e">
        <f>(J4+(H4*1.63))/Q4</f>
        <v>#DIV/0!</v>
      </c>
      <c r="U4" s="3636" t="e">
        <f>L4/Q4</f>
        <v>#DIV/0!</v>
      </c>
      <c r="V4" s="3497" t="e">
        <f>Q4/R4</f>
        <v>#DIV/0!</v>
      </c>
    </row>
    <row r="5" spans="2:22" ht="16.5" thickBot="1">
      <c r="B5" s="3536" t="s">
        <v>33</v>
      </c>
      <c r="C5" s="4360" t="s">
        <v>551</v>
      </c>
      <c r="F5" s="3536">
        <v>2012</v>
      </c>
      <c r="G5" s="3547">
        <f>D13</f>
        <v>0</v>
      </c>
      <c r="H5" s="3548">
        <f>D18</f>
        <v>0</v>
      </c>
      <c r="I5" s="3548">
        <f>D23</f>
        <v>0</v>
      </c>
      <c r="J5" s="3548">
        <f>D28</f>
        <v>0</v>
      </c>
      <c r="K5" s="3548">
        <f>D33</f>
        <v>0</v>
      </c>
      <c r="L5" s="3548">
        <f>D38</f>
        <v>0</v>
      </c>
      <c r="M5" s="3548">
        <f>D43</f>
        <v>0</v>
      </c>
      <c r="N5" s="3548">
        <f>D48</f>
        <v>0</v>
      </c>
      <c r="O5" s="3548">
        <f>D53</f>
        <v>0</v>
      </c>
      <c r="P5" s="3548">
        <f>D54</f>
        <v>0</v>
      </c>
      <c r="Q5" s="3549">
        <f>SUM(G5:P5)</f>
        <v>0</v>
      </c>
      <c r="R5" s="3610">
        <f>P55</f>
        <v>0</v>
      </c>
      <c r="S5" s="3637" t="e">
        <f>O5/Q5</f>
        <v>#DIV/0!</v>
      </c>
      <c r="T5" s="3637" t="e">
        <f>(J5+(H5*1.63))/Q5</f>
        <v>#DIV/0!</v>
      </c>
      <c r="U5" s="3637" t="e">
        <f>L5/Q5</f>
        <v>#DIV/0!</v>
      </c>
      <c r="V5" s="3498" t="e">
        <f>Q5/R5</f>
        <v>#DIV/0!</v>
      </c>
    </row>
    <row r="6" spans="2:22" ht="16.5" thickBot="1">
      <c r="B6" s="3536"/>
      <c r="F6" s="4249" t="s">
        <v>1168</v>
      </c>
      <c r="G6" s="4241">
        <v>0</v>
      </c>
      <c r="H6" s="4241">
        <v>0</v>
      </c>
      <c r="I6" s="4241">
        <v>0</v>
      </c>
      <c r="J6" s="4241">
        <v>0</v>
      </c>
      <c r="K6" s="4241">
        <v>0</v>
      </c>
      <c r="L6" s="4241">
        <v>0</v>
      </c>
      <c r="M6" s="4241">
        <v>0</v>
      </c>
      <c r="N6" s="4241">
        <v>0</v>
      </c>
      <c r="O6" s="4241">
        <v>0</v>
      </c>
      <c r="P6" s="4241">
        <v>0</v>
      </c>
      <c r="Q6" s="4241">
        <v>0</v>
      </c>
      <c r="R6" s="3610">
        <v>0</v>
      </c>
      <c r="S6" s="3637">
        <v>0.56433512986987144</v>
      </c>
      <c r="T6" s="3637">
        <v>1.8007544630546931E-2</v>
      </c>
      <c r="U6" s="3637">
        <v>0.3558043194643184</v>
      </c>
      <c r="V6" s="3498">
        <v>0.42221572462492302</v>
      </c>
    </row>
    <row r="7" spans="2:22" ht="16.5" thickBot="1">
      <c r="C7" s="3536" t="s">
        <v>238</v>
      </c>
      <c r="F7" s="4191" t="s">
        <v>1169</v>
      </c>
      <c r="G7" s="4192">
        <f>E13</f>
        <v>6000</v>
      </c>
      <c r="H7" s="4193">
        <f>E18</f>
        <v>1200</v>
      </c>
      <c r="I7" s="4193">
        <f>E23</f>
        <v>5090.3999999999996</v>
      </c>
      <c r="J7" s="4193">
        <f>E28</f>
        <v>0</v>
      </c>
      <c r="K7" s="4193">
        <f>E33</f>
        <v>600</v>
      </c>
      <c r="L7" s="4193">
        <f>E38</f>
        <v>50000</v>
      </c>
      <c r="M7" s="4193">
        <f>E43</f>
        <v>1200</v>
      </c>
      <c r="N7" s="4193">
        <f>E48</f>
        <v>1200</v>
      </c>
      <c r="O7" s="4193">
        <f>E53</f>
        <v>390000</v>
      </c>
      <c r="P7" s="4193">
        <f>E54</f>
        <v>0</v>
      </c>
      <c r="Q7" s="4244">
        <f>SUM(G7:P7)</f>
        <v>455290.4</v>
      </c>
      <c r="R7" s="3610">
        <f>Q55</f>
        <v>54000</v>
      </c>
      <c r="S7" s="3637">
        <f>O7/Q7</f>
        <v>0.85659614171526566</v>
      </c>
      <c r="T7" s="3637">
        <f>(J7+(H7*1.63))/Q7</f>
        <v>4.2961591107565627E-3</v>
      </c>
      <c r="U7" s="3637">
        <f>L7/Q7</f>
        <v>0.1098200181686238</v>
      </c>
      <c r="V7" s="3498">
        <f>Q7/R7</f>
        <v>8.4313037037037049</v>
      </c>
    </row>
    <row r="8" spans="2:22" ht="16.5" thickBot="1">
      <c r="C8" s="3550" t="s">
        <v>374</v>
      </c>
      <c r="F8" s="221" t="s">
        <v>1170</v>
      </c>
      <c r="G8" s="222">
        <f>SUM(G5+G7)</f>
        <v>6000</v>
      </c>
      <c r="H8" s="222">
        <f t="shared" ref="H8:R8" si="0">SUM(H5+H7)</f>
        <v>1200</v>
      </c>
      <c r="I8" s="222">
        <f t="shared" si="0"/>
        <v>5090.3999999999996</v>
      </c>
      <c r="J8" s="222">
        <f t="shared" si="0"/>
        <v>0</v>
      </c>
      <c r="K8" s="222">
        <f t="shared" si="0"/>
        <v>600</v>
      </c>
      <c r="L8" s="222">
        <f t="shared" si="0"/>
        <v>50000</v>
      </c>
      <c r="M8" s="222">
        <f t="shared" si="0"/>
        <v>1200</v>
      </c>
      <c r="N8" s="222">
        <f t="shared" si="0"/>
        <v>1200</v>
      </c>
      <c r="O8" s="222">
        <f t="shared" si="0"/>
        <v>390000</v>
      </c>
      <c r="P8" s="222">
        <f t="shared" si="0"/>
        <v>0</v>
      </c>
      <c r="Q8" s="4248">
        <f t="shared" si="0"/>
        <v>455290.4</v>
      </c>
      <c r="R8" s="3610">
        <f t="shared" si="0"/>
        <v>54000</v>
      </c>
      <c r="S8" s="3637">
        <f>O8/Q8</f>
        <v>0.85659614171526566</v>
      </c>
      <c r="T8" s="3637">
        <f>(J8+(H8*1.63))/Q8</f>
        <v>4.2961591107565627E-3</v>
      </c>
      <c r="U8" s="3637">
        <f>L8/Q8</f>
        <v>0.1098200181686238</v>
      </c>
      <c r="V8" s="3498">
        <f>Q8/R8</f>
        <v>8.4313037037037049</v>
      </c>
    </row>
    <row r="10" spans="2:22" ht="13.5" thickBot="1">
      <c r="C10" s="3551" t="s">
        <v>118</v>
      </c>
      <c r="D10" s="5120" t="s">
        <v>119</v>
      </c>
      <c r="E10" s="5120"/>
      <c r="I10" s="5121" t="s">
        <v>120</v>
      </c>
      <c r="J10" s="5121"/>
      <c r="K10" s="5121"/>
      <c r="L10" s="5121"/>
      <c r="M10" s="5131" t="s">
        <v>119</v>
      </c>
      <c r="N10" s="5131"/>
    </row>
    <row r="11" spans="2:22" ht="16.5" thickBot="1">
      <c r="B11" s="3552"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3553">
        <v>2011</v>
      </c>
      <c r="C12" s="3554" t="s">
        <v>127</v>
      </c>
      <c r="D12" s="3555">
        <v>2012</v>
      </c>
      <c r="E12" s="3555">
        <v>2013</v>
      </c>
      <c r="F12" s="3555" t="s">
        <v>128</v>
      </c>
      <c r="H12" s="3556"/>
      <c r="I12" s="5127" t="s">
        <v>129</v>
      </c>
      <c r="J12" s="5128"/>
      <c r="K12" s="5129"/>
      <c r="L12" s="3557" t="s">
        <v>130</v>
      </c>
      <c r="M12" s="3558" t="s">
        <v>131</v>
      </c>
      <c r="N12" s="3559" t="s">
        <v>132</v>
      </c>
      <c r="O12" s="3560" t="s">
        <v>133</v>
      </c>
      <c r="P12" s="3558" t="s">
        <v>134</v>
      </c>
      <c r="Q12" s="3558" t="s">
        <v>135</v>
      </c>
      <c r="R12" s="3560" t="s">
        <v>136</v>
      </c>
      <c r="T12" s="4861"/>
    </row>
    <row r="13" spans="2:22" ht="13.5" thickBot="1">
      <c r="B13" s="235">
        <v>48426</v>
      </c>
      <c r="C13" s="3561" t="s">
        <v>138</v>
      </c>
      <c r="D13" s="3562">
        <f>SUM(D14:D17)</f>
        <v>0</v>
      </c>
      <c r="E13" s="4468">
        <f>SUM(E14:E17)</f>
        <v>6000</v>
      </c>
      <c r="F13" s="3563">
        <f>D13+E13</f>
        <v>6000</v>
      </c>
      <c r="H13" s="3535"/>
      <c r="I13" s="4471" t="str">
        <f t="shared" ref="I13:I54" si="1">C63</f>
        <v>Web-Enabled Thermostat</v>
      </c>
      <c r="J13" s="4472"/>
      <c r="K13" s="4473"/>
      <c r="L13" s="3613">
        <f t="shared" ref="L13:L54" si="2">D63</f>
        <v>54</v>
      </c>
      <c r="M13" s="3193">
        <v>0</v>
      </c>
      <c r="N13" s="4510">
        <v>1000</v>
      </c>
      <c r="O13" s="3564">
        <f>M13+N13</f>
        <v>1000</v>
      </c>
      <c r="P13" s="2076">
        <f t="shared" ref="P13:R28" si="3">M13*$D63</f>
        <v>0</v>
      </c>
      <c r="Q13" s="2076">
        <f t="shared" si="3"/>
        <v>54000</v>
      </c>
      <c r="R13" s="2077">
        <f t="shared" si="3"/>
        <v>54000</v>
      </c>
      <c r="T13" s="4891"/>
    </row>
    <row r="14" spans="2:22">
      <c r="B14" s="3565"/>
      <c r="C14" s="3566" t="s">
        <v>139</v>
      </c>
      <c r="D14" s="3567">
        <v>0</v>
      </c>
      <c r="E14" s="4447">
        <v>6000</v>
      </c>
      <c r="F14" s="3567">
        <f>SUM(D14:E14)</f>
        <v>6000</v>
      </c>
      <c r="H14" s="3535"/>
      <c r="I14" s="4596" t="str">
        <f t="shared" si="1"/>
        <v>Measure 2</v>
      </c>
      <c r="J14" s="4597"/>
      <c r="K14" s="4598"/>
      <c r="L14" s="3613">
        <f t="shared" si="2"/>
        <v>0</v>
      </c>
      <c r="M14" s="4599">
        <v>0</v>
      </c>
      <c r="N14" s="4600">
        <v>0</v>
      </c>
      <c r="O14" s="3564">
        <f t="shared" ref="O14:O54" si="4">M14+N14</f>
        <v>0</v>
      </c>
      <c r="P14" s="2076">
        <f t="shared" si="3"/>
        <v>0</v>
      </c>
      <c r="Q14" s="2076">
        <f t="shared" si="3"/>
        <v>0</v>
      </c>
      <c r="R14" s="2077">
        <f t="shared" si="3"/>
        <v>0</v>
      </c>
      <c r="T14" s="4891"/>
    </row>
    <row r="15" spans="2:22">
      <c r="B15" s="3571"/>
      <c r="C15" s="3572" t="s">
        <v>140</v>
      </c>
      <c r="D15" s="3573">
        <v>0</v>
      </c>
      <c r="E15" s="3573"/>
      <c r="F15" s="3567">
        <f t="shared" ref="F15:F25" si="5">SUM(D15:E15)</f>
        <v>0</v>
      </c>
      <c r="H15" s="3535"/>
      <c r="I15" s="4596" t="str">
        <f t="shared" si="1"/>
        <v>Measure 3</v>
      </c>
      <c r="J15" s="4597"/>
      <c r="K15" s="4598"/>
      <c r="L15" s="3613">
        <f t="shared" si="2"/>
        <v>0</v>
      </c>
      <c r="M15" s="4601">
        <v>0</v>
      </c>
      <c r="N15" s="4602">
        <v>0</v>
      </c>
      <c r="O15" s="3564">
        <f t="shared" si="4"/>
        <v>0</v>
      </c>
      <c r="P15" s="2076">
        <f t="shared" si="3"/>
        <v>0</v>
      </c>
      <c r="Q15" s="2076">
        <f t="shared" si="3"/>
        <v>0</v>
      </c>
      <c r="R15" s="2077">
        <f t="shared" si="3"/>
        <v>0</v>
      </c>
      <c r="T15" s="4891"/>
    </row>
    <row r="16" spans="2:22">
      <c r="B16" s="3571"/>
      <c r="C16" s="3572" t="s">
        <v>141</v>
      </c>
      <c r="D16" s="3575">
        <v>0</v>
      </c>
      <c r="E16" s="3575"/>
      <c r="F16" s="3567">
        <f t="shared" si="5"/>
        <v>0</v>
      </c>
      <c r="H16" s="3535"/>
      <c r="I16" s="4596" t="str">
        <f t="shared" si="1"/>
        <v>Measure 4</v>
      </c>
      <c r="J16" s="4597"/>
      <c r="K16" s="4598"/>
      <c r="L16" s="3613">
        <f t="shared" si="2"/>
        <v>0</v>
      </c>
      <c r="M16" s="4601">
        <v>0</v>
      </c>
      <c r="N16" s="4602">
        <v>0</v>
      </c>
      <c r="O16" s="3564">
        <f t="shared" si="4"/>
        <v>0</v>
      </c>
      <c r="P16" s="2076">
        <f t="shared" si="3"/>
        <v>0</v>
      </c>
      <c r="Q16" s="2076">
        <f t="shared" si="3"/>
        <v>0</v>
      </c>
      <c r="R16" s="2077">
        <f t="shared" si="3"/>
        <v>0</v>
      </c>
      <c r="T16" s="4891"/>
    </row>
    <row r="17" spans="2:20" ht="13.5" thickBot="1">
      <c r="B17" s="3571"/>
      <c r="C17" s="3572" t="s">
        <v>142</v>
      </c>
      <c r="D17" s="3575">
        <v>0</v>
      </c>
      <c r="E17" s="3575"/>
      <c r="F17" s="3567">
        <f t="shared" si="5"/>
        <v>0</v>
      </c>
      <c r="H17" s="3535"/>
      <c r="I17" s="4596" t="str">
        <f t="shared" si="1"/>
        <v>Measure 5</v>
      </c>
      <c r="J17" s="4597"/>
      <c r="K17" s="4598"/>
      <c r="L17" s="3613">
        <f t="shared" si="2"/>
        <v>0</v>
      </c>
      <c r="M17" s="4601">
        <v>0</v>
      </c>
      <c r="N17" s="4602">
        <v>0</v>
      </c>
      <c r="O17" s="3564">
        <f t="shared" si="4"/>
        <v>0</v>
      </c>
      <c r="P17" s="2076">
        <f t="shared" si="3"/>
        <v>0</v>
      </c>
      <c r="Q17" s="2076">
        <f t="shared" si="3"/>
        <v>0</v>
      </c>
      <c r="R17" s="2077">
        <f t="shared" si="3"/>
        <v>0</v>
      </c>
      <c r="T17" s="4891"/>
    </row>
    <row r="18" spans="2:20" ht="13.5" thickBot="1">
      <c r="B18" s="235">
        <v>6918</v>
      </c>
      <c r="C18" s="3561" t="s">
        <v>143</v>
      </c>
      <c r="D18" s="3562">
        <f>SUM(D19:D22)</f>
        <v>0</v>
      </c>
      <c r="E18" s="4468">
        <f>SUM(E19:E22)</f>
        <v>1200</v>
      </c>
      <c r="F18" s="3563">
        <f>D18+E18</f>
        <v>1200</v>
      </c>
      <c r="G18" s="3532" t="s">
        <v>7</v>
      </c>
      <c r="H18" s="3535"/>
      <c r="I18" s="4596" t="str">
        <f t="shared" si="1"/>
        <v>Measure 6</v>
      </c>
      <c r="J18" s="4597"/>
      <c r="K18" s="4598"/>
      <c r="L18" s="3613">
        <f t="shared" si="2"/>
        <v>0</v>
      </c>
      <c r="M18" s="4601">
        <v>0</v>
      </c>
      <c r="N18" s="4602">
        <v>0</v>
      </c>
      <c r="O18" s="3564">
        <f t="shared" si="4"/>
        <v>0</v>
      </c>
      <c r="P18" s="2076">
        <f t="shared" si="3"/>
        <v>0</v>
      </c>
      <c r="Q18" s="2076">
        <f t="shared" si="3"/>
        <v>0</v>
      </c>
      <c r="R18" s="2077">
        <f t="shared" si="3"/>
        <v>0</v>
      </c>
      <c r="T18" s="4891"/>
    </row>
    <row r="19" spans="2:20">
      <c r="B19" s="3565"/>
      <c r="C19" s="3566" t="s">
        <v>139</v>
      </c>
      <c r="D19" s="3567">
        <v>0</v>
      </c>
      <c r="E19" s="4447">
        <v>1200</v>
      </c>
      <c r="F19" s="3567">
        <f t="shared" si="5"/>
        <v>1200</v>
      </c>
      <c r="H19" s="3535"/>
      <c r="I19" s="4596" t="str">
        <f t="shared" si="1"/>
        <v>Measure 7</v>
      </c>
      <c r="J19" s="4597"/>
      <c r="K19" s="4598"/>
      <c r="L19" s="3613">
        <f t="shared" si="2"/>
        <v>0</v>
      </c>
      <c r="M19" s="4601">
        <v>0</v>
      </c>
      <c r="N19" s="4602">
        <v>0</v>
      </c>
      <c r="O19" s="3564">
        <f t="shared" si="4"/>
        <v>0</v>
      </c>
      <c r="P19" s="2076">
        <f t="shared" si="3"/>
        <v>0</v>
      </c>
      <c r="Q19" s="2076">
        <f t="shared" si="3"/>
        <v>0</v>
      </c>
      <c r="R19" s="2077">
        <f t="shared" si="3"/>
        <v>0</v>
      </c>
      <c r="T19" s="4891"/>
    </row>
    <row r="20" spans="2:20">
      <c r="B20" s="3571"/>
      <c r="C20" s="3572" t="s">
        <v>140</v>
      </c>
      <c r="D20" s="3573">
        <v>0</v>
      </c>
      <c r="E20" s="3573"/>
      <c r="F20" s="3567">
        <f t="shared" si="5"/>
        <v>0</v>
      </c>
      <c r="H20" s="3535"/>
      <c r="I20" s="4596" t="str">
        <f t="shared" si="1"/>
        <v>Measure 8</v>
      </c>
      <c r="J20" s="4597"/>
      <c r="K20" s="4598"/>
      <c r="L20" s="3613">
        <f t="shared" si="2"/>
        <v>0</v>
      </c>
      <c r="M20" s="4601">
        <v>0</v>
      </c>
      <c r="N20" s="4602">
        <v>0</v>
      </c>
      <c r="O20" s="3564">
        <f t="shared" si="4"/>
        <v>0</v>
      </c>
      <c r="P20" s="2076">
        <f t="shared" si="3"/>
        <v>0</v>
      </c>
      <c r="Q20" s="2076">
        <f t="shared" si="3"/>
        <v>0</v>
      </c>
      <c r="R20" s="2077">
        <f t="shared" si="3"/>
        <v>0</v>
      </c>
      <c r="T20" s="4891"/>
    </row>
    <row r="21" spans="2:20">
      <c r="B21" s="3571"/>
      <c r="C21" s="3572" t="s">
        <v>141</v>
      </c>
      <c r="D21" s="3575">
        <v>0</v>
      </c>
      <c r="E21" s="3575"/>
      <c r="F21" s="3567">
        <f t="shared" si="5"/>
        <v>0</v>
      </c>
      <c r="H21" s="3535"/>
      <c r="I21" s="4596" t="str">
        <f t="shared" si="1"/>
        <v>Measure 9</v>
      </c>
      <c r="J21" s="4597"/>
      <c r="K21" s="4598"/>
      <c r="L21" s="3613">
        <f t="shared" si="2"/>
        <v>0</v>
      </c>
      <c r="M21" s="4601">
        <v>0</v>
      </c>
      <c r="N21" s="4602">
        <v>0</v>
      </c>
      <c r="O21" s="3564">
        <f t="shared" si="4"/>
        <v>0</v>
      </c>
      <c r="P21" s="2076">
        <f t="shared" si="3"/>
        <v>0</v>
      </c>
      <c r="Q21" s="2076">
        <f t="shared" si="3"/>
        <v>0</v>
      </c>
      <c r="R21" s="2077">
        <f t="shared" si="3"/>
        <v>0</v>
      </c>
      <c r="T21" s="4891"/>
    </row>
    <row r="22" spans="2:20" ht="13.5" thickBot="1">
      <c r="B22" s="3571"/>
      <c r="C22" s="3572" t="s">
        <v>142</v>
      </c>
      <c r="D22" s="3575">
        <v>0</v>
      </c>
      <c r="E22" s="3575"/>
      <c r="F22" s="3567">
        <f t="shared" si="5"/>
        <v>0</v>
      </c>
      <c r="H22" s="3535"/>
      <c r="I22" s="4596" t="str">
        <f t="shared" si="1"/>
        <v>Measure 10</v>
      </c>
      <c r="J22" s="4597"/>
      <c r="K22" s="4598"/>
      <c r="L22" s="3613">
        <f t="shared" si="2"/>
        <v>0</v>
      </c>
      <c r="M22" s="4601">
        <v>0</v>
      </c>
      <c r="N22" s="4602">
        <v>0</v>
      </c>
      <c r="O22" s="3564">
        <f t="shared" si="4"/>
        <v>0</v>
      </c>
      <c r="P22" s="2076">
        <f t="shared" si="3"/>
        <v>0</v>
      </c>
      <c r="Q22" s="2076">
        <f t="shared" si="3"/>
        <v>0</v>
      </c>
      <c r="R22" s="2077">
        <f t="shared" si="3"/>
        <v>0</v>
      </c>
      <c r="T22" s="4891"/>
    </row>
    <row r="23" spans="2:20" ht="13.5" thickBot="1">
      <c r="B23" s="235">
        <v>34867</v>
      </c>
      <c r="C23" s="3561" t="s">
        <v>144</v>
      </c>
      <c r="D23" s="3562">
        <f>SUM(D24:D27)</f>
        <v>0</v>
      </c>
      <c r="E23" s="3562">
        <f>SUM(E24:E27)</f>
        <v>5090.3999999999996</v>
      </c>
      <c r="F23" s="3563">
        <f>D23+E23</f>
        <v>5090.3999999999996</v>
      </c>
      <c r="G23" s="3534"/>
      <c r="H23" s="3535"/>
      <c r="I23" s="3568" t="str">
        <f t="shared" si="1"/>
        <v>Measure 11</v>
      </c>
      <c r="J23" s="3569"/>
      <c r="K23" s="3570"/>
      <c r="L23" s="3613">
        <f t="shared" si="2"/>
        <v>0</v>
      </c>
      <c r="M23" s="3193">
        <v>0</v>
      </c>
      <c r="N23" s="3184">
        <v>0</v>
      </c>
      <c r="O23" s="3564">
        <f t="shared" si="4"/>
        <v>0</v>
      </c>
      <c r="P23" s="2076">
        <f t="shared" si="3"/>
        <v>0</v>
      </c>
      <c r="Q23" s="2076">
        <f t="shared" si="3"/>
        <v>0</v>
      </c>
      <c r="R23" s="2077">
        <f t="shared" si="3"/>
        <v>0</v>
      </c>
      <c r="T23" s="4891"/>
    </row>
    <row r="24" spans="2:20">
      <c r="B24" s="259"/>
      <c r="C24" s="3566" t="s">
        <v>1434</v>
      </c>
      <c r="D24" s="3567">
        <f>0.63*D13</f>
        <v>0</v>
      </c>
      <c r="E24" s="3567">
        <f>0.707*E13</f>
        <v>4242</v>
      </c>
      <c r="F24" s="3567">
        <f t="shared" si="5"/>
        <v>4242</v>
      </c>
      <c r="H24" s="3535"/>
      <c r="I24" s="3568" t="str">
        <f t="shared" si="1"/>
        <v>Measure 12</v>
      </c>
      <c r="J24" s="3569"/>
      <c r="K24" s="3570"/>
      <c r="L24" s="3613">
        <f t="shared" si="2"/>
        <v>0</v>
      </c>
      <c r="M24" s="3193">
        <v>0</v>
      </c>
      <c r="N24" s="3184">
        <v>0</v>
      </c>
      <c r="O24" s="3564">
        <f t="shared" si="4"/>
        <v>0</v>
      </c>
      <c r="P24" s="2076">
        <f t="shared" si="3"/>
        <v>0</v>
      </c>
      <c r="Q24" s="2076">
        <f t="shared" si="3"/>
        <v>0</v>
      </c>
      <c r="R24" s="2077">
        <f t="shared" si="3"/>
        <v>0</v>
      </c>
      <c r="T24" s="4891"/>
    </row>
    <row r="25" spans="2:20">
      <c r="B25" s="3565"/>
      <c r="C25" s="3566" t="s">
        <v>1435</v>
      </c>
      <c r="D25" s="3573">
        <f>0.63*D18</f>
        <v>0</v>
      </c>
      <c r="E25" s="3573">
        <f>0.707*E18</f>
        <v>848.4</v>
      </c>
      <c r="F25" s="3567">
        <f t="shared" si="5"/>
        <v>848.4</v>
      </c>
      <c r="H25" s="3535"/>
      <c r="I25" s="3568" t="str">
        <f t="shared" si="1"/>
        <v>Measure 13</v>
      </c>
      <c r="J25" s="3569"/>
      <c r="K25" s="3570"/>
      <c r="L25" s="3613">
        <f t="shared" si="2"/>
        <v>0</v>
      </c>
      <c r="M25" s="3193">
        <v>0</v>
      </c>
      <c r="N25" s="3184">
        <v>0</v>
      </c>
      <c r="O25" s="3564">
        <f t="shared" si="4"/>
        <v>0</v>
      </c>
      <c r="P25" s="2076">
        <f t="shared" si="3"/>
        <v>0</v>
      </c>
      <c r="Q25" s="2076">
        <f t="shared" si="3"/>
        <v>0</v>
      </c>
      <c r="R25" s="2077">
        <f t="shared" si="3"/>
        <v>0</v>
      </c>
      <c r="T25" s="4891"/>
    </row>
    <row r="26" spans="2:20">
      <c r="B26" s="3571"/>
      <c r="C26" s="3572"/>
      <c r="D26" s="3575"/>
      <c r="E26" s="3575"/>
      <c r="F26" s="3575"/>
      <c r="H26" s="3535"/>
      <c r="I26" s="3568" t="str">
        <f t="shared" si="1"/>
        <v>Measure 14</v>
      </c>
      <c r="J26" s="3569"/>
      <c r="K26" s="3570"/>
      <c r="L26" s="3613">
        <f t="shared" si="2"/>
        <v>0</v>
      </c>
      <c r="M26" s="3193">
        <v>0</v>
      </c>
      <c r="N26" s="3184">
        <v>0</v>
      </c>
      <c r="O26" s="3564">
        <f t="shared" si="4"/>
        <v>0</v>
      </c>
      <c r="P26" s="2076">
        <f t="shared" si="3"/>
        <v>0</v>
      </c>
      <c r="Q26" s="2076">
        <f t="shared" si="3"/>
        <v>0</v>
      </c>
      <c r="R26" s="2077">
        <f t="shared" si="3"/>
        <v>0</v>
      </c>
      <c r="T26" s="4891"/>
    </row>
    <row r="27" spans="2:20" ht="13.5" thickBot="1">
      <c r="B27" s="3571"/>
      <c r="C27" s="3572"/>
      <c r="D27" s="3575"/>
      <c r="E27" s="3575"/>
      <c r="F27" s="3575"/>
      <c r="H27" s="3535"/>
      <c r="I27" s="3568" t="str">
        <f t="shared" si="1"/>
        <v>Measure 15</v>
      </c>
      <c r="J27" s="3569"/>
      <c r="K27" s="3570"/>
      <c r="L27" s="3613">
        <f t="shared" si="2"/>
        <v>0</v>
      </c>
      <c r="M27" s="3193">
        <v>0</v>
      </c>
      <c r="N27" s="3185">
        <v>0</v>
      </c>
      <c r="O27" s="3564">
        <f t="shared" si="4"/>
        <v>0</v>
      </c>
      <c r="P27" s="2076">
        <f t="shared" si="3"/>
        <v>0</v>
      </c>
      <c r="Q27" s="2076">
        <f t="shared" si="3"/>
        <v>0</v>
      </c>
      <c r="R27" s="2077">
        <f t="shared" si="3"/>
        <v>0</v>
      </c>
      <c r="T27" s="4891"/>
    </row>
    <row r="28" spans="2:20" ht="13.5" thickBot="1">
      <c r="B28" s="235">
        <v>48000</v>
      </c>
      <c r="C28" s="3561" t="s">
        <v>145</v>
      </c>
      <c r="D28" s="3562">
        <f>SUM(D29:D32)</f>
        <v>0</v>
      </c>
      <c r="E28" s="4592">
        <f>SUM(E29:E32)</f>
        <v>0</v>
      </c>
      <c r="F28" s="3563">
        <f>D28+E28</f>
        <v>0</v>
      </c>
      <c r="H28" s="3535"/>
      <c r="I28" s="3568" t="str">
        <f t="shared" si="1"/>
        <v>Measure 16</v>
      </c>
      <c r="J28" s="3569"/>
      <c r="K28" s="3570"/>
      <c r="L28" s="3613">
        <f t="shared" si="2"/>
        <v>0</v>
      </c>
      <c r="M28" s="4144">
        <v>0</v>
      </c>
      <c r="N28" s="4144">
        <v>0</v>
      </c>
      <c r="O28" s="3564">
        <f t="shared" si="4"/>
        <v>0</v>
      </c>
      <c r="P28" s="2076">
        <f t="shared" si="3"/>
        <v>0</v>
      </c>
      <c r="Q28" s="2076">
        <f t="shared" si="3"/>
        <v>0</v>
      </c>
      <c r="R28" s="2077">
        <f t="shared" si="3"/>
        <v>0</v>
      </c>
      <c r="T28" s="4891"/>
    </row>
    <row r="29" spans="2:20">
      <c r="B29" s="3565"/>
      <c r="C29" s="3566" t="s">
        <v>139</v>
      </c>
      <c r="D29" s="3567">
        <v>0</v>
      </c>
      <c r="E29" s="4593">
        <v>0</v>
      </c>
      <c r="F29" s="3567">
        <f t="shared" ref="F29:F37" si="6">SUM(D29:E29)</f>
        <v>0</v>
      </c>
      <c r="H29" s="3535"/>
      <c r="I29" s="3568" t="str">
        <f t="shared" si="1"/>
        <v>Measure 17</v>
      </c>
      <c r="J29" s="3569"/>
      <c r="K29" s="3570"/>
      <c r="L29" s="3613">
        <f t="shared" si="2"/>
        <v>0</v>
      </c>
      <c r="M29" s="314">
        <v>0</v>
      </c>
      <c r="N29" s="314">
        <v>0</v>
      </c>
      <c r="O29" s="3564">
        <f t="shared" si="4"/>
        <v>0</v>
      </c>
      <c r="P29" s="2076">
        <f t="shared" ref="P29:R44" si="7">M29*$D79</f>
        <v>0</v>
      </c>
      <c r="Q29" s="2076">
        <f t="shared" si="7"/>
        <v>0</v>
      </c>
      <c r="R29" s="2077">
        <f t="shared" si="7"/>
        <v>0</v>
      </c>
      <c r="T29" s="4891"/>
    </row>
    <row r="30" spans="2:20">
      <c r="B30" s="3571"/>
      <c r="C30" s="3572" t="s">
        <v>140</v>
      </c>
      <c r="D30" s="3573">
        <v>0</v>
      </c>
      <c r="E30" s="3573"/>
      <c r="F30" s="3567">
        <f t="shared" si="6"/>
        <v>0</v>
      </c>
      <c r="H30" s="3535"/>
      <c r="I30" s="3568" t="str">
        <f t="shared" si="1"/>
        <v>Measure 18</v>
      </c>
      <c r="J30" s="3569"/>
      <c r="K30" s="3570"/>
      <c r="L30" s="3613">
        <f t="shared" si="2"/>
        <v>0</v>
      </c>
      <c r="M30" s="314">
        <v>0</v>
      </c>
      <c r="N30" s="314">
        <v>0</v>
      </c>
      <c r="O30" s="3564">
        <f t="shared" si="4"/>
        <v>0</v>
      </c>
      <c r="P30" s="2076">
        <f t="shared" si="7"/>
        <v>0</v>
      </c>
      <c r="Q30" s="2076">
        <f t="shared" si="7"/>
        <v>0</v>
      </c>
      <c r="R30" s="2077">
        <f t="shared" si="7"/>
        <v>0</v>
      </c>
      <c r="T30" s="4891"/>
    </row>
    <row r="31" spans="2:20">
      <c r="B31" s="3571"/>
      <c r="C31" s="3572" t="s">
        <v>141</v>
      </c>
      <c r="D31" s="3573">
        <v>0</v>
      </c>
      <c r="E31" s="3573"/>
      <c r="F31" s="3567">
        <f t="shared" si="6"/>
        <v>0</v>
      </c>
      <c r="H31" s="3535"/>
      <c r="I31" s="3568" t="str">
        <f t="shared" si="1"/>
        <v>Measure 19</v>
      </c>
      <c r="J31" s="3569"/>
      <c r="K31" s="3570"/>
      <c r="L31" s="3613">
        <f t="shared" si="2"/>
        <v>0</v>
      </c>
      <c r="M31" s="314">
        <v>0</v>
      </c>
      <c r="N31" s="314">
        <v>0</v>
      </c>
      <c r="O31" s="3564">
        <f t="shared" si="4"/>
        <v>0</v>
      </c>
      <c r="P31" s="2076">
        <f t="shared" si="7"/>
        <v>0</v>
      </c>
      <c r="Q31" s="2076">
        <f t="shared" si="7"/>
        <v>0</v>
      </c>
      <c r="R31" s="2077">
        <f t="shared" si="7"/>
        <v>0</v>
      </c>
      <c r="T31" s="4891"/>
    </row>
    <row r="32" spans="2:20" ht="13.5" thickBot="1">
      <c r="B32" s="3571"/>
      <c r="C32" s="3572" t="s">
        <v>142</v>
      </c>
      <c r="D32" s="3573">
        <v>0</v>
      </c>
      <c r="E32" s="3573"/>
      <c r="F32" s="3567">
        <f t="shared" si="6"/>
        <v>0</v>
      </c>
      <c r="H32" s="3535"/>
      <c r="I32" s="3568" t="str">
        <f t="shared" si="1"/>
        <v>Measure 20</v>
      </c>
      <c r="J32" s="3569"/>
      <c r="K32" s="3570"/>
      <c r="L32" s="3613">
        <f t="shared" si="2"/>
        <v>0</v>
      </c>
      <c r="M32" s="314">
        <v>0</v>
      </c>
      <c r="N32" s="314">
        <v>0</v>
      </c>
      <c r="O32" s="3564">
        <f t="shared" si="4"/>
        <v>0</v>
      </c>
      <c r="P32" s="2076">
        <f t="shared" si="7"/>
        <v>0</v>
      </c>
      <c r="Q32" s="2076">
        <f t="shared" si="7"/>
        <v>0</v>
      </c>
      <c r="R32" s="2077">
        <f t="shared" si="7"/>
        <v>0</v>
      </c>
      <c r="T32" s="4891"/>
    </row>
    <row r="33" spans="2:20" ht="13.5" thickBot="1">
      <c r="B33" s="235">
        <v>3540</v>
      </c>
      <c r="C33" s="3561" t="s">
        <v>146</v>
      </c>
      <c r="D33" s="3562">
        <f>SUM(D34:D37)</f>
        <v>0</v>
      </c>
      <c r="E33" s="4468">
        <f>SUM(E34:E37)</f>
        <v>600</v>
      </c>
      <c r="F33" s="3563">
        <f>D33+E33</f>
        <v>600</v>
      </c>
      <c r="H33" s="3535"/>
      <c r="I33" s="3568" t="str">
        <f t="shared" si="1"/>
        <v>Measure 21</v>
      </c>
      <c r="J33" s="3569"/>
      <c r="K33" s="3570"/>
      <c r="L33" s="3613">
        <f t="shared" si="2"/>
        <v>0</v>
      </c>
      <c r="M33" s="314">
        <v>0</v>
      </c>
      <c r="N33" s="314">
        <v>0</v>
      </c>
      <c r="O33" s="3564">
        <f t="shared" si="4"/>
        <v>0</v>
      </c>
      <c r="P33" s="2076">
        <f t="shared" si="7"/>
        <v>0</v>
      </c>
      <c r="Q33" s="2076">
        <f t="shared" si="7"/>
        <v>0</v>
      </c>
      <c r="R33" s="2077">
        <f t="shared" si="7"/>
        <v>0</v>
      </c>
      <c r="T33" s="4891"/>
    </row>
    <row r="34" spans="2:20">
      <c r="B34" s="3571"/>
      <c r="C34" s="3572" t="s">
        <v>139</v>
      </c>
      <c r="D34" s="3573">
        <v>0</v>
      </c>
      <c r="E34" s="4449">
        <v>600</v>
      </c>
      <c r="F34" s="3567">
        <f t="shared" si="6"/>
        <v>600</v>
      </c>
      <c r="H34" s="3535"/>
      <c r="I34" s="3568" t="str">
        <f t="shared" si="1"/>
        <v>Measure 22</v>
      </c>
      <c r="J34" s="3569"/>
      <c r="K34" s="3570"/>
      <c r="L34" s="3613">
        <f t="shared" si="2"/>
        <v>0</v>
      </c>
      <c r="M34" s="314">
        <v>0</v>
      </c>
      <c r="N34" s="314">
        <v>0</v>
      </c>
      <c r="O34" s="3564">
        <f t="shared" si="4"/>
        <v>0</v>
      </c>
      <c r="P34" s="2076">
        <f t="shared" si="7"/>
        <v>0</v>
      </c>
      <c r="Q34" s="2076">
        <f t="shared" si="7"/>
        <v>0</v>
      </c>
      <c r="R34" s="2077">
        <f t="shared" si="7"/>
        <v>0</v>
      </c>
      <c r="T34" s="4891"/>
    </row>
    <row r="35" spans="2:20">
      <c r="B35" s="3571"/>
      <c r="C35" s="3572" t="s">
        <v>140</v>
      </c>
      <c r="D35" s="3573">
        <v>0</v>
      </c>
      <c r="E35" s="3573"/>
      <c r="F35" s="3567">
        <f t="shared" si="6"/>
        <v>0</v>
      </c>
      <c r="H35" s="3535"/>
      <c r="I35" s="3568" t="str">
        <f t="shared" si="1"/>
        <v>Measure 23</v>
      </c>
      <c r="J35" s="3569"/>
      <c r="K35" s="3570"/>
      <c r="L35" s="3613">
        <f t="shared" si="2"/>
        <v>0</v>
      </c>
      <c r="M35" s="314">
        <v>0</v>
      </c>
      <c r="N35" s="314">
        <v>0</v>
      </c>
      <c r="O35" s="3564">
        <f t="shared" si="4"/>
        <v>0</v>
      </c>
      <c r="P35" s="2076">
        <f t="shared" si="7"/>
        <v>0</v>
      </c>
      <c r="Q35" s="2076">
        <f t="shared" si="7"/>
        <v>0</v>
      </c>
      <c r="R35" s="2077">
        <f t="shared" si="7"/>
        <v>0</v>
      </c>
      <c r="T35" s="4891"/>
    </row>
    <row r="36" spans="2:20">
      <c r="B36" s="3571"/>
      <c r="C36" s="3572" t="s">
        <v>141</v>
      </c>
      <c r="D36" s="3573">
        <v>0</v>
      </c>
      <c r="E36" s="3573"/>
      <c r="F36" s="3567">
        <f t="shared" si="6"/>
        <v>0</v>
      </c>
      <c r="H36" s="3535"/>
      <c r="I36" s="3568" t="str">
        <f t="shared" si="1"/>
        <v>Measure 24</v>
      </c>
      <c r="J36" s="3569"/>
      <c r="K36" s="3570"/>
      <c r="L36" s="3613">
        <f t="shared" si="2"/>
        <v>0</v>
      </c>
      <c r="M36" s="314">
        <v>0</v>
      </c>
      <c r="N36" s="314">
        <v>0</v>
      </c>
      <c r="O36" s="3564">
        <f t="shared" si="4"/>
        <v>0</v>
      </c>
      <c r="P36" s="2076">
        <f t="shared" si="7"/>
        <v>0</v>
      </c>
      <c r="Q36" s="2076">
        <f t="shared" si="7"/>
        <v>0</v>
      </c>
      <c r="R36" s="2077">
        <f t="shared" si="7"/>
        <v>0</v>
      </c>
      <c r="T36" s="4891"/>
    </row>
    <row r="37" spans="2:20" ht="13.5" thickBot="1">
      <c r="B37" s="3571"/>
      <c r="C37" s="3572" t="s">
        <v>142</v>
      </c>
      <c r="D37" s="3573">
        <v>0</v>
      </c>
      <c r="E37" s="3573"/>
      <c r="F37" s="3567">
        <f t="shared" si="6"/>
        <v>0</v>
      </c>
      <c r="H37" s="3535"/>
      <c r="I37" s="3568" t="str">
        <f t="shared" si="1"/>
        <v>Measure 25</v>
      </c>
      <c r="J37" s="3569"/>
      <c r="K37" s="3570"/>
      <c r="L37" s="3613">
        <f t="shared" si="2"/>
        <v>0</v>
      </c>
      <c r="M37" s="314">
        <v>0</v>
      </c>
      <c r="N37" s="314">
        <v>0</v>
      </c>
      <c r="O37" s="3564">
        <f t="shared" si="4"/>
        <v>0</v>
      </c>
      <c r="P37" s="2076">
        <f t="shared" si="7"/>
        <v>0</v>
      </c>
      <c r="Q37" s="2076">
        <f t="shared" si="7"/>
        <v>0</v>
      </c>
      <c r="R37" s="2077">
        <f t="shared" si="7"/>
        <v>0</v>
      </c>
      <c r="T37" s="4891"/>
    </row>
    <row r="38" spans="2:20" ht="13.5" thickBot="1">
      <c r="B38" s="235">
        <v>444579</v>
      </c>
      <c r="C38" s="3561" t="s">
        <v>147</v>
      </c>
      <c r="D38" s="3562">
        <f>SUM(D39:D42)</f>
        <v>0</v>
      </c>
      <c r="E38" s="4468">
        <f>SUM(E39:E42)</f>
        <v>50000</v>
      </c>
      <c r="F38" s="3563">
        <f>D38+E38</f>
        <v>50000</v>
      </c>
      <c r="H38" s="3535"/>
      <c r="I38" s="3568" t="str">
        <f t="shared" si="1"/>
        <v>Measure 26</v>
      </c>
      <c r="J38" s="3569"/>
      <c r="K38" s="3576"/>
      <c r="L38" s="3613">
        <f t="shared" si="2"/>
        <v>0</v>
      </c>
      <c r="M38" s="314">
        <v>0</v>
      </c>
      <c r="N38" s="314">
        <v>0</v>
      </c>
      <c r="O38" s="3564">
        <f t="shared" si="4"/>
        <v>0</v>
      </c>
      <c r="P38" s="2076">
        <f t="shared" si="7"/>
        <v>0</v>
      </c>
      <c r="Q38" s="2076">
        <f t="shared" si="7"/>
        <v>0</v>
      </c>
      <c r="R38" s="2077">
        <f t="shared" si="7"/>
        <v>0</v>
      </c>
      <c r="T38" s="4891"/>
    </row>
    <row r="39" spans="2:20">
      <c r="B39" s="3571"/>
      <c r="C39" s="3572" t="s">
        <v>1307</v>
      </c>
      <c r="D39" s="3603">
        <v>0</v>
      </c>
      <c r="E39" s="4478">
        <v>50000</v>
      </c>
      <c r="F39" s="3567">
        <f t="shared" ref="F39:F52" si="8">SUM(D39:E39)</f>
        <v>50000</v>
      </c>
      <c r="H39" s="3535"/>
      <c r="I39" s="3568" t="str">
        <f t="shared" si="1"/>
        <v>Measure 27</v>
      </c>
      <c r="J39" s="3569"/>
      <c r="K39" s="3576"/>
      <c r="L39" s="3613">
        <f t="shared" si="2"/>
        <v>0</v>
      </c>
      <c r="M39" s="314">
        <v>0</v>
      </c>
      <c r="N39" s="314">
        <v>0</v>
      </c>
      <c r="O39" s="3564">
        <f t="shared" si="4"/>
        <v>0</v>
      </c>
      <c r="P39" s="2076">
        <f t="shared" si="7"/>
        <v>0</v>
      </c>
      <c r="Q39" s="2076">
        <f t="shared" si="7"/>
        <v>0</v>
      </c>
      <c r="R39" s="2077">
        <f t="shared" si="7"/>
        <v>0</v>
      </c>
      <c r="T39" s="4891"/>
    </row>
    <row r="40" spans="2:20">
      <c r="B40" s="3571"/>
      <c r="C40" s="3572" t="s">
        <v>140</v>
      </c>
      <c r="D40" s="3603">
        <v>0</v>
      </c>
      <c r="E40" s="3603"/>
      <c r="F40" s="3567">
        <f t="shared" si="8"/>
        <v>0</v>
      </c>
      <c r="H40" s="3535"/>
      <c r="I40" s="3568" t="str">
        <f t="shared" si="1"/>
        <v>Measure 28</v>
      </c>
      <c r="J40" s="3569"/>
      <c r="K40" s="3576"/>
      <c r="L40" s="3613">
        <f t="shared" si="2"/>
        <v>0</v>
      </c>
      <c r="M40" s="243">
        <v>0</v>
      </c>
      <c r="N40" s="243">
        <v>0</v>
      </c>
      <c r="O40" s="3564">
        <f t="shared" si="4"/>
        <v>0</v>
      </c>
      <c r="P40" s="2076">
        <f t="shared" si="7"/>
        <v>0</v>
      </c>
      <c r="Q40" s="2076">
        <f t="shared" si="7"/>
        <v>0</v>
      </c>
      <c r="R40" s="2077">
        <f t="shared" si="7"/>
        <v>0</v>
      </c>
      <c r="T40" s="4891"/>
    </row>
    <row r="41" spans="2:20">
      <c r="B41" s="3571"/>
      <c r="C41" s="3572" t="s">
        <v>141</v>
      </c>
      <c r="D41" s="3573">
        <v>0</v>
      </c>
      <c r="E41" s="3573"/>
      <c r="F41" s="3567">
        <f t="shared" si="8"/>
        <v>0</v>
      </c>
      <c r="H41" s="3535"/>
      <c r="I41" s="3568" t="str">
        <f t="shared" si="1"/>
        <v>Measure 29</v>
      </c>
      <c r="J41" s="3569"/>
      <c r="K41" s="3576"/>
      <c r="L41" s="3613">
        <f t="shared" si="2"/>
        <v>0</v>
      </c>
      <c r="M41" s="243">
        <v>0</v>
      </c>
      <c r="N41" s="243">
        <v>0</v>
      </c>
      <c r="O41" s="3564">
        <f t="shared" si="4"/>
        <v>0</v>
      </c>
      <c r="P41" s="2076">
        <f t="shared" si="7"/>
        <v>0</v>
      </c>
      <c r="Q41" s="2076">
        <f t="shared" si="7"/>
        <v>0</v>
      </c>
      <c r="R41" s="2077">
        <f t="shared" si="7"/>
        <v>0</v>
      </c>
      <c r="T41" s="4891"/>
    </row>
    <row r="42" spans="2:20" ht="13.5" thickBot="1">
      <c r="B42" s="3571"/>
      <c r="C42" s="3572" t="s">
        <v>142</v>
      </c>
      <c r="D42" s="3573">
        <v>0</v>
      </c>
      <c r="E42" s="3573"/>
      <c r="F42" s="3567">
        <f t="shared" si="8"/>
        <v>0</v>
      </c>
      <c r="H42" s="3535"/>
      <c r="I42" s="3568" t="str">
        <f t="shared" si="1"/>
        <v>Measure 30</v>
      </c>
      <c r="J42" s="3569"/>
      <c r="K42" s="3576"/>
      <c r="L42" s="3613">
        <f t="shared" si="2"/>
        <v>0</v>
      </c>
      <c r="M42" s="3574">
        <v>0</v>
      </c>
      <c r="N42" s="3574">
        <v>0</v>
      </c>
      <c r="O42" s="3564">
        <f t="shared" si="4"/>
        <v>0</v>
      </c>
      <c r="P42" s="2076">
        <f t="shared" si="7"/>
        <v>0</v>
      </c>
      <c r="Q42" s="2076">
        <f t="shared" si="7"/>
        <v>0</v>
      </c>
      <c r="R42" s="2077">
        <f t="shared" si="7"/>
        <v>0</v>
      </c>
      <c r="T42" s="4891"/>
    </row>
    <row r="43" spans="2:20" ht="13.5" thickBot="1">
      <c r="B43" s="235">
        <v>2880</v>
      </c>
      <c r="C43" s="3561" t="s">
        <v>148</v>
      </c>
      <c r="D43" s="3562">
        <f>SUM(D44:D47)</f>
        <v>0</v>
      </c>
      <c r="E43" s="4468">
        <f>SUM(E44:E47)</f>
        <v>1200</v>
      </c>
      <c r="F43" s="3563">
        <f>D43+E43</f>
        <v>1200</v>
      </c>
      <c r="H43" s="3535"/>
      <c r="I43" s="3568" t="str">
        <f t="shared" si="1"/>
        <v>Measure 31</v>
      </c>
      <c r="J43" s="3569"/>
      <c r="K43" s="3576"/>
      <c r="L43" s="3613">
        <f t="shared" si="2"/>
        <v>0</v>
      </c>
      <c r="M43" s="3574">
        <v>0</v>
      </c>
      <c r="N43" s="3574">
        <v>0</v>
      </c>
      <c r="O43" s="3564">
        <f t="shared" si="4"/>
        <v>0</v>
      </c>
      <c r="P43" s="2076">
        <f t="shared" si="7"/>
        <v>0</v>
      </c>
      <c r="Q43" s="2076">
        <f t="shared" si="7"/>
        <v>0</v>
      </c>
      <c r="R43" s="2077">
        <f t="shared" si="7"/>
        <v>0</v>
      </c>
      <c r="T43" s="4891"/>
    </row>
    <row r="44" spans="2:20">
      <c r="B44" s="3571"/>
      <c r="C44" s="3572" t="s">
        <v>139</v>
      </c>
      <c r="D44" s="3573">
        <v>0</v>
      </c>
      <c r="E44" s="4449">
        <v>1200</v>
      </c>
      <c r="F44" s="3567">
        <f t="shared" si="8"/>
        <v>1200</v>
      </c>
      <c r="H44" s="3535"/>
      <c r="I44" s="3568" t="str">
        <f t="shared" si="1"/>
        <v>Measure 32</v>
      </c>
      <c r="J44" s="3569"/>
      <c r="K44" s="3576"/>
      <c r="L44" s="3613">
        <f t="shared" si="2"/>
        <v>0</v>
      </c>
      <c r="M44" s="3574">
        <v>0</v>
      </c>
      <c r="N44" s="3574">
        <v>0</v>
      </c>
      <c r="O44" s="3564">
        <f t="shared" si="4"/>
        <v>0</v>
      </c>
      <c r="P44" s="2076">
        <f t="shared" si="7"/>
        <v>0</v>
      </c>
      <c r="Q44" s="2076">
        <f t="shared" si="7"/>
        <v>0</v>
      </c>
      <c r="R44" s="2077">
        <f t="shared" si="7"/>
        <v>0</v>
      </c>
      <c r="T44" s="4891"/>
    </row>
    <row r="45" spans="2:20">
      <c r="B45" s="3571"/>
      <c r="C45" s="3572" t="s">
        <v>140</v>
      </c>
      <c r="D45" s="3573">
        <v>0</v>
      </c>
      <c r="E45" s="3573"/>
      <c r="F45" s="3567">
        <f t="shared" si="8"/>
        <v>0</v>
      </c>
      <c r="H45" s="3535"/>
      <c r="I45" s="3568" t="str">
        <f t="shared" si="1"/>
        <v>Measure 33</v>
      </c>
      <c r="J45" s="3569"/>
      <c r="K45" s="3576"/>
      <c r="L45" s="3613">
        <f t="shared" si="2"/>
        <v>0</v>
      </c>
      <c r="M45" s="3574">
        <v>0</v>
      </c>
      <c r="N45" s="3574">
        <v>0</v>
      </c>
      <c r="O45" s="3564">
        <f t="shared" si="4"/>
        <v>0</v>
      </c>
      <c r="P45" s="2076">
        <f t="shared" ref="P45:R54" si="9">M45*$D95</f>
        <v>0</v>
      </c>
      <c r="Q45" s="2076">
        <f t="shared" si="9"/>
        <v>0</v>
      </c>
      <c r="R45" s="2077">
        <f t="shared" si="9"/>
        <v>0</v>
      </c>
      <c r="T45" s="4891"/>
    </row>
    <row r="46" spans="2:20">
      <c r="B46" s="3571"/>
      <c r="C46" s="3572" t="s">
        <v>141</v>
      </c>
      <c r="D46" s="3573">
        <v>0</v>
      </c>
      <c r="E46" s="3573"/>
      <c r="F46" s="3567">
        <f t="shared" si="8"/>
        <v>0</v>
      </c>
      <c r="H46" s="3535"/>
      <c r="I46" s="3568" t="str">
        <f t="shared" si="1"/>
        <v>Measure 34</v>
      </c>
      <c r="J46" s="3569"/>
      <c r="K46" s="3576"/>
      <c r="L46" s="3613">
        <f t="shared" si="2"/>
        <v>0</v>
      </c>
      <c r="M46" s="3574">
        <v>0</v>
      </c>
      <c r="N46" s="3574">
        <v>0</v>
      </c>
      <c r="O46" s="3564">
        <f t="shared" si="4"/>
        <v>0</v>
      </c>
      <c r="P46" s="2076">
        <f t="shared" si="9"/>
        <v>0</v>
      </c>
      <c r="Q46" s="2076">
        <f t="shared" si="9"/>
        <v>0</v>
      </c>
      <c r="R46" s="2077">
        <f t="shared" si="9"/>
        <v>0</v>
      </c>
      <c r="T46" s="4891"/>
    </row>
    <row r="47" spans="2:20" ht="13.5" thickBot="1">
      <c r="B47" s="3571"/>
      <c r="C47" s="3572" t="s">
        <v>142</v>
      </c>
      <c r="D47" s="3573">
        <v>0</v>
      </c>
      <c r="E47" s="3573"/>
      <c r="F47" s="3567">
        <f t="shared" si="8"/>
        <v>0</v>
      </c>
      <c r="H47" s="3535"/>
      <c r="I47" s="3568" t="str">
        <f t="shared" si="1"/>
        <v>Measure 35</v>
      </c>
      <c r="J47" s="3569"/>
      <c r="K47" s="3576"/>
      <c r="L47" s="3613">
        <f t="shared" si="2"/>
        <v>0</v>
      </c>
      <c r="M47" s="3574">
        <v>0</v>
      </c>
      <c r="N47" s="3574">
        <v>0</v>
      </c>
      <c r="O47" s="3564">
        <f t="shared" si="4"/>
        <v>0</v>
      </c>
      <c r="P47" s="2076">
        <f t="shared" si="9"/>
        <v>0</v>
      </c>
      <c r="Q47" s="2076">
        <f t="shared" si="9"/>
        <v>0</v>
      </c>
      <c r="R47" s="2077">
        <f t="shared" si="9"/>
        <v>0</v>
      </c>
      <c r="T47" s="4891"/>
    </row>
    <row r="48" spans="2:20" ht="13.5" thickBot="1">
      <c r="B48" s="235">
        <v>127800</v>
      </c>
      <c r="C48" s="3561" t="s">
        <v>149</v>
      </c>
      <c r="D48" s="3562">
        <f>SUM(D49:D52)</f>
        <v>0</v>
      </c>
      <c r="E48" s="4468">
        <f>SUM(E49:E52)</f>
        <v>1200</v>
      </c>
      <c r="F48" s="3563">
        <f>D48+E48</f>
        <v>1200</v>
      </c>
      <c r="H48" s="3535"/>
      <c r="I48" s="3568" t="str">
        <f t="shared" si="1"/>
        <v>Measure 36</v>
      </c>
      <c r="J48" s="3569"/>
      <c r="K48" s="3576"/>
      <c r="L48" s="3613">
        <f t="shared" si="2"/>
        <v>0</v>
      </c>
      <c r="M48" s="3574">
        <v>0</v>
      </c>
      <c r="N48" s="3574">
        <v>0</v>
      </c>
      <c r="O48" s="3564">
        <f t="shared" si="4"/>
        <v>0</v>
      </c>
      <c r="P48" s="2076">
        <f t="shared" si="9"/>
        <v>0</v>
      </c>
      <c r="Q48" s="2076">
        <f t="shared" si="9"/>
        <v>0</v>
      </c>
      <c r="R48" s="2077">
        <f t="shared" si="9"/>
        <v>0</v>
      </c>
      <c r="T48" s="4891"/>
    </row>
    <row r="49" spans="2:25">
      <c r="B49" s="3571"/>
      <c r="C49" s="3572" t="s">
        <v>139</v>
      </c>
      <c r="D49" s="3573">
        <v>0</v>
      </c>
      <c r="E49" s="4449">
        <v>1200</v>
      </c>
      <c r="F49" s="3567">
        <f t="shared" si="8"/>
        <v>1200</v>
      </c>
      <c r="H49" s="3535"/>
      <c r="I49" s="3568" t="str">
        <f t="shared" si="1"/>
        <v>Measure 37</v>
      </c>
      <c r="J49" s="3569"/>
      <c r="K49" s="3576"/>
      <c r="L49" s="3613">
        <f t="shared" si="2"/>
        <v>0</v>
      </c>
      <c r="M49" s="3574">
        <v>0</v>
      </c>
      <c r="N49" s="3574">
        <v>0</v>
      </c>
      <c r="O49" s="3564">
        <f t="shared" si="4"/>
        <v>0</v>
      </c>
      <c r="P49" s="2076">
        <f t="shared" si="9"/>
        <v>0</v>
      </c>
      <c r="Q49" s="2076">
        <f t="shared" si="9"/>
        <v>0</v>
      </c>
      <c r="R49" s="2077">
        <f t="shared" si="9"/>
        <v>0</v>
      </c>
      <c r="T49" s="4891"/>
    </row>
    <row r="50" spans="2:25">
      <c r="B50" s="3571"/>
      <c r="C50" s="3572" t="s">
        <v>140</v>
      </c>
      <c r="D50" s="3573">
        <v>0</v>
      </c>
      <c r="E50" s="3573"/>
      <c r="F50" s="3567">
        <f t="shared" si="8"/>
        <v>0</v>
      </c>
      <c r="I50" s="3568" t="str">
        <f t="shared" si="1"/>
        <v>Measure 38</v>
      </c>
      <c r="J50" s="3569"/>
      <c r="K50" s="3570"/>
      <c r="L50" s="3613">
        <f t="shared" si="2"/>
        <v>0</v>
      </c>
      <c r="M50" s="3574">
        <v>0</v>
      </c>
      <c r="N50" s="3574">
        <v>0</v>
      </c>
      <c r="O50" s="3564">
        <f t="shared" si="4"/>
        <v>0</v>
      </c>
      <c r="P50" s="2076">
        <f t="shared" si="9"/>
        <v>0</v>
      </c>
      <c r="Q50" s="2076">
        <f t="shared" si="9"/>
        <v>0</v>
      </c>
      <c r="R50" s="2077">
        <f t="shared" si="9"/>
        <v>0</v>
      </c>
      <c r="T50" s="4891"/>
    </row>
    <row r="51" spans="2:25">
      <c r="B51" s="3571"/>
      <c r="C51" s="3572" t="s">
        <v>141</v>
      </c>
      <c r="D51" s="3573">
        <v>0</v>
      </c>
      <c r="E51" s="3573"/>
      <c r="F51" s="3567">
        <f t="shared" si="8"/>
        <v>0</v>
      </c>
      <c r="I51" s="3568" t="str">
        <f t="shared" si="1"/>
        <v>Measure 39</v>
      </c>
      <c r="J51" s="3569"/>
      <c r="K51" s="3570"/>
      <c r="L51" s="3613">
        <f t="shared" si="2"/>
        <v>0</v>
      </c>
      <c r="M51" s="3574">
        <v>0</v>
      </c>
      <c r="N51" s="3574">
        <v>0</v>
      </c>
      <c r="O51" s="3564">
        <f t="shared" si="4"/>
        <v>0</v>
      </c>
      <c r="P51" s="2076">
        <f t="shared" si="9"/>
        <v>0</v>
      </c>
      <c r="Q51" s="2076">
        <f t="shared" si="9"/>
        <v>0</v>
      </c>
      <c r="R51" s="2077">
        <f t="shared" si="9"/>
        <v>0</v>
      </c>
      <c r="T51" s="4891"/>
    </row>
    <row r="52" spans="2:25" ht="13.5" thickBot="1">
      <c r="B52" s="3571"/>
      <c r="C52" s="3572" t="s">
        <v>142</v>
      </c>
      <c r="D52" s="3573">
        <v>0</v>
      </c>
      <c r="E52" s="3573"/>
      <c r="F52" s="3567">
        <f t="shared" si="8"/>
        <v>0</v>
      </c>
      <c r="I52" s="3568" t="str">
        <f t="shared" si="1"/>
        <v>Measure 40</v>
      </c>
      <c r="J52" s="3569"/>
      <c r="K52" s="3570"/>
      <c r="L52" s="3613">
        <f t="shared" si="2"/>
        <v>0</v>
      </c>
      <c r="M52" s="3574">
        <v>0</v>
      </c>
      <c r="N52" s="3574">
        <v>0</v>
      </c>
      <c r="O52" s="3564">
        <f t="shared" si="4"/>
        <v>0</v>
      </c>
      <c r="P52" s="2076">
        <f t="shared" si="9"/>
        <v>0</v>
      </c>
      <c r="Q52" s="2076">
        <f t="shared" si="9"/>
        <v>0</v>
      </c>
      <c r="R52" s="2077">
        <f t="shared" si="9"/>
        <v>0</v>
      </c>
      <c r="T52" s="4891"/>
    </row>
    <row r="53" spans="2:25" ht="13.5" thickBot="1">
      <c r="B53" s="235">
        <v>451494</v>
      </c>
      <c r="C53" s="3561" t="s">
        <v>150</v>
      </c>
      <c r="D53" s="3562">
        <f>T105</f>
        <v>0</v>
      </c>
      <c r="E53" s="3562">
        <f>U105</f>
        <v>390000</v>
      </c>
      <c r="F53" s="3563">
        <f>V105</f>
        <v>390000</v>
      </c>
      <c r="G53" s="3577" t="s">
        <v>151</v>
      </c>
      <c r="I53" s="3568" t="str">
        <f t="shared" si="1"/>
        <v>Measure 41</v>
      </c>
      <c r="J53" s="3569"/>
      <c r="K53" s="3570"/>
      <c r="L53" s="3613">
        <f t="shared" si="2"/>
        <v>0</v>
      </c>
      <c r="M53" s="3574">
        <v>0</v>
      </c>
      <c r="N53" s="3574">
        <v>0</v>
      </c>
      <c r="O53" s="3564">
        <f t="shared" si="4"/>
        <v>0</v>
      </c>
      <c r="P53" s="2076">
        <f t="shared" si="9"/>
        <v>0</v>
      </c>
      <c r="Q53" s="2076">
        <f t="shared" si="9"/>
        <v>0</v>
      </c>
      <c r="R53" s="2077">
        <f t="shared" si="9"/>
        <v>0</v>
      </c>
      <c r="T53" s="4891"/>
    </row>
    <row r="54" spans="2:25" ht="13.5" thickBot="1">
      <c r="B54" s="3578">
        <v>0</v>
      </c>
      <c r="C54" s="3561" t="s">
        <v>152</v>
      </c>
      <c r="D54" s="3562">
        <v>0</v>
      </c>
      <c r="E54" s="3562">
        <v>0</v>
      </c>
      <c r="F54" s="3563">
        <v>0</v>
      </c>
      <c r="I54" s="3568" t="str">
        <f t="shared" si="1"/>
        <v>Measure 42</v>
      </c>
      <c r="J54" s="3569"/>
      <c r="K54" s="3570"/>
      <c r="L54" s="3613">
        <f t="shared" si="2"/>
        <v>0</v>
      </c>
      <c r="M54" s="3574">
        <v>0</v>
      </c>
      <c r="N54" s="3574">
        <v>0</v>
      </c>
      <c r="O54" s="3564">
        <f t="shared" si="4"/>
        <v>0</v>
      </c>
      <c r="P54" s="2076">
        <f t="shared" si="9"/>
        <v>0</v>
      </c>
      <c r="Q54" s="2076">
        <f t="shared" si="9"/>
        <v>0</v>
      </c>
      <c r="R54" s="2077">
        <f t="shared" si="9"/>
        <v>0</v>
      </c>
      <c r="T54" s="4891"/>
    </row>
    <row r="55" spans="2:25">
      <c r="B55" s="3579">
        <f>B13+B18+B23+B28+B33+B38+B43+B48+B53+B54</f>
        <v>1168504</v>
      </c>
      <c r="C55" s="3580" t="s">
        <v>153</v>
      </c>
      <c r="D55" s="3579">
        <f>D13+D18+D23+D28+D33+D38+D43+D48+D53+D54</f>
        <v>0</v>
      </c>
      <c r="E55" s="3579">
        <f>E13+E18+E23+E28+E33+E38+E43+E48+E53+E54</f>
        <v>455290.4</v>
      </c>
      <c r="F55" s="3579">
        <f>F13+F18+F23+F28+F33+F38+F43+F48+F53+F54</f>
        <v>455290.4</v>
      </c>
      <c r="P55" s="3614">
        <f>SUM(P13:P54)</f>
        <v>0</v>
      </c>
      <c r="Q55" s="3614">
        <f>SUM(Q13:Q54)</f>
        <v>54000</v>
      </c>
      <c r="R55" s="3614">
        <f>SUM(R13:R54)</f>
        <v>54000</v>
      </c>
      <c r="T55" s="4892"/>
    </row>
    <row r="56" spans="2:25">
      <c r="C56" s="3580"/>
      <c r="D56" s="3579"/>
      <c r="E56" s="3579"/>
      <c r="F56" s="3579"/>
    </row>
    <row r="57" spans="2:25">
      <c r="C57" s="3580" t="s">
        <v>154</v>
      </c>
      <c r="D57" s="3579">
        <f>D55-D53</f>
        <v>0</v>
      </c>
      <c r="E57" s="3579">
        <f>E55-E53</f>
        <v>65290.400000000023</v>
      </c>
      <c r="F57" s="3579">
        <f>F55-F53</f>
        <v>65290.400000000023</v>
      </c>
    </row>
    <row r="58" spans="2:25">
      <c r="C58" s="3580" t="s">
        <v>155</v>
      </c>
      <c r="D58" s="3581">
        <f>D53</f>
        <v>0</v>
      </c>
      <c r="E58" s="3581">
        <f>E53</f>
        <v>390000</v>
      </c>
      <c r="F58" s="3581">
        <f>F53</f>
        <v>390000</v>
      </c>
      <c r="G58" s="3634">
        <f>F58/(F57+F58)</f>
        <v>0.85659614171526566</v>
      </c>
      <c r="H58" s="3582" t="s">
        <v>156</v>
      </c>
    </row>
    <row r="59" spans="2:25" ht="13.5" thickBot="1"/>
    <row r="60" spans="2:25" ht="16.5" thickBot="1">
      <c r="B60" s="3583" t="s">
        <v>157</v>
      </c>
      <c r="C60" s="3584"/>
      <c r="D60" s="5130" t="s">
        <v>158</v>
      </c>
      <c r="E60" s="5131"/>
      <c r="F60" s="5131"/>
      <c r="G60" s="5131"/>
      <c r="H60" s="5131"/>
      <c r="K60" s="3585"/>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3586" t="s">
        <v>162</v>
      </c>
      <c r="C62" s="3587" t="s">
        <v>129</v>
      </c>
      <c r="D62" s="3587" t="s">
        <v>130</v>
      </c>
      <c r="E62" s="3587" t="s">
        <v>163</v>
      </c>
      <c r="F62" s="3587" t="s">
        <v>164</v>
      </c>
      <c r="G62" s="3587" t="s">
        <v>165</v>
      </c>
      <c r="H62" s="3587" t="s">
        <v>166</v>
      </c>
      <c r="I62" s="3587" t="s">
        <v>167</v>
      </c>
      <c r="J62" s="3587" t="s">
        <v>168</v>
      </c>
      <c r="K62" s="3588" t="s">
        <v>169</v>
      </c>
      <c r="L62" s="4441" t="s">
        <v>1211</v>
      </c>
      <c r="M62" s="3589" t="s">
        <v>170</v>
      </c>
      <c r="N62" s="3590" t="s">
        <v>171</v>
      </c>
      <c r="O62" s="3590" t="s">
        <v>172</v>
      </c>
      <c r="P62" s="3590" t="s">
        <v>173</v>
      </c>
      <c r="Q62" s="3591" t="s">
        <v>174</v>
      </c>
      <c r="R62" s="3591" t="s">
        <v>175</v>
      </c>
      <c r="S62" s="3591" t="s">
        <v>176</v>
      </c>
      <c r="T62" s="3542" t="s">
        <v>177</v>
      </c>
      <c r="U62" s="3542" t="s">
        <v>178</v>
      </c>
      <c r="V62" s="3543" t="s">
        <v>179</v>
      </c>
      <c r="W62" s="3542" t="s">
        <v>115</v>
      </c>
      <c r="X62" s="3542" t="s">
        <v>12</v>
      </c>
      <c r="Y62" s="3543" t="s">
        <v>116</v>
      </c>
    </row>
    <row r="63" spans="2:25">
      <c r="B63" s="243"/>
      <c r="C63" s="4445" t="s">
        <v>1308</v>
      </c>
      <c r="D63" s="4445">
        <v>54</v>
      </c>
      <c r="E63" s="3593" t="s">
        <v>559</v>
      </c>
      <c r="F63" s="3593" t="s">
        <v>186</v>
      </c>
      <c r="G63" s="4470">
        <v>458</v>
      </c>
      <c r="H63" s="4470">
        <v>390</v>
      </c>
      <c r="I63" s="4595">
        <v>1</v>
      </c>
      <c r="J63" s="4444">
        <v>20</v>
      </c>
      <c r="K63" s="3574" t="s">
        <v>560</v>
      </c>
      <c r="L63" s="3574"/>
      <c r="M63" s="278">
        <f t="shared" ref="M63:M104" si="10">Q63/O63</f>
        <v>1.138441624000466</v>
      </c>
      <c r="N63" s="4594">
        <f t="shared" ref="N63:N104" si="11">((L63/S63)+R63)/P63</f>
        <v>0.99050458859520774</v>
      </c>
      <c r="O63" s="3548">
        <f t="shared" ref="O63:O104" si="12">(($I63*$F$57)+$V63)/$S63</f>
        <v>422347.3098330241</v>
      </c>
      <c r="P63" s="3548">
        <f t="shared" ref="P63:P104" si="13">(($I63*$F$57)+($G63*$O13))/$S63</f>
        <v>485427.08719851577</v>
      </c>
      <c r="Q63" s="3548">
        <f>IF(K63=0, 0, (HLOOKUP(K63,'[3]G-CESTD'!$A$5:$G$35,J63+1,FALSE)*R13))</f>
        <v>480817.7572985359</v>
      </c>
      <c r="R63" s="3548">
        <f>IF(K63=0, 0, (HLOOKUP(K63,'[3]G-CESTD'!$A$5:$G$35,J63+1,FALSE)*R13))</f>
        <v>480817.7572985359</v>
      </c>
      <c r="S63" s="3592">
        <v>1.0780000000000001</v>
      </c>
      <c r="T63" s="4150">
        <f t="shared" ref="T63:U104" si="14">M13*$H63</f>
        <v>0</v>
      </c>
      <c r="U63" s="4150">
        <f t="shared" si="14"/>
        <v>390000</v>
      </c>
      <c r="V63" s="4150">
        <f t="shared" ref="V63:V104" si="15">O13*$H63</f>
        <v>390000</v>
      </c>
      <c r="W63" s="3635">
        <f t="shared" ref="W63:W81" si="16">V63/(V63+(I63*F$57))</f>
        <v>0.85659614171526566</v>
      </c>
      <c r="X63" s="3635">
        <f t="shared" ref="X63:X81" si="17">(I63*((F$18*1.63)+F$28))/(V63+(I63*F$57))</f>
        <v>4.2961591107565627E-3</v>
      </c>
      <c r="Y63" s="3635">
        <f t="shared" ref="Y63:Y81" si="18">(I63*F$38)/(V63+(I63*F$57))</f>
        <v>0.1098200181686238</v>
      </c>
    </row>
    <row r="64" spans="2:25">
      <c r="B64" s="323"/>
      <c r="C64" s="3593" t="s">
        <v>369</v>
      </c>
      <c r="D64" s="3593">
        <v>0</v>
      </c>
      <c r="E64" s="3593" t="s">
        <v>559</v>
      </c>
      <c r="F64" s="3593" t="s">
        <v>186</v>
      </c>
      <c r="G64" s="3594"/>
      <c r="H64" s="3594"/>
      <c r="I64" s="4156"/>
      <c r="J64" s="3574"/>
      <c r="K64" s="3574"/>
      <c r="L64" s="3574"/>
      <c r="M64" s="278" t="e">
        <f t="shared" si="10"/>
        <v>#DIV/0!</v>
      </c>
      <c r="N64" s="4594" t="e">
        <f t="shared" si="11"/>
        <v>#DIV/0!</v>
      </c>
      <c r="O64" s="3548">
        <f t="shared" si="12"/>
        <v>0</v>
      </c>
      <c r="P64" s="3548">
        <f t="shared" si="13"/>
        <v>0</v>
      </c>
      <c r="Q64" s="3548">
        <f>IF(K64=0, 0, (HLOOKUP(K64,'[3]G-CESTD'!$A$5:$G$35,J64+1,FALSE)*R14))</f>
        <v>0</v>
      </c>
      <c r="R64" s="3548">
        <f>IF(K64=0, 0, (HLOOKUP(K64,'[3]G-CESTD'!$A$5:$G$35,J64+1,FALSE)*R14))</f>
        <v>0</v>
      </c>
      <c r="S64" s="3592">
        <v>1.0780000000000001</v>
      </c>
      <c r="T64" s="4150">
        <f t="shared" si="14"/>
        <v>0</v>
      </c>
      <c r="U64" s="4150">
        <f t="shared" si="14"/>
        <v>0</v>
      </c>
      <c r="V64" s="4150">
        <f t="shared" si="15"/>
        <v>0</v>
      </c>
      <c r="W64" s="3635" t="e">
        <f t="shared" si="16"/>
        <v>#DIV/0!</v>
      </c>
      <c r="X64" s="3635" t="e">
        <f t="shared" si="17"/>
        <v>#DIV/0!</v>
      </c>
      <c r="Y64" s="3635" t="e">
        <f t="shared" si="18"/>
        <v>#DIV/0!</v>
      </c>
    </row>
    <row r="65" spans="2:25">
      <c r="B65" s="323"/>
      <c r="C65" s="3593" t="s">
        <v>370</v>
      </c>
      <c r="D65" s="3593">
        <v>0</v>
      </c>
      <c r="E65" s="3593" t="s">
        <v>559</v>
      </c>
      <c r="F65" s="3593" t="s">
        <v>186</v>
      </c>
      <c r="G65" s="3594"/>
      <c r="H65" s="3594"/>
      <c r="I65" s="4156"/>
      <c r="J65" s="3574"/>
      <c r="K65" s="3574"/>
      <c r="L65" s="3574"/>
      <c r="M65" s="278" t="e">
        <f t="shared" si="10"/>
        <v>#DIV/0!</v>
      </c>
      <c r="N65" s="4594" t="e">
        <f t="shared" si="11"/>
        <v>#DIV/0!</v>
      </c>
      <c r="O65" s="3548">
        <f t="shared" si="12"/>
        <v>0</v>
      </c>
      <c r="P65" s="3548">
        <f t="shared" si="13"/>
        <v>0</v>
      </c>
      <c r="Q65" s="3548">
        <f>IF(K65=0, 0, (HLOOKUP(K65,'[3]G-CESTD'!$A$5:$G$35,J65+1,FALSE)*R15))</f>
        <v>0</v>
      </c>
      <c r="R65" s="3548">
        <f>IF(K65=0, 0, (HLOOKUP(K65,'[3]G-CESTD'!$A$5:$G$35,J65+1,FALSE)*R15))</f>
        <v>0</v>
      </c>
      <c r="S65" s="3592">
        <v>1.0780000000000001</v>
      </c>
      <c r="T65" s="4150">
        <f t="shared" si="14"/>
        <v>0</v>
      </c>
      <c r="U65" s="4150">
        <f t="shared" si="14"/>
        <v>0</v>
      </c>
      <c r="V65" s="4150">
        <f t="shared" si="15"/>
        <v>0</v>
      </c>
      <c r="W65" s="3635" t="e">
        <f t="shared" si="16"/>
        <v>#DIV/0!</v>
      </c>
      <c r="X65" s="3635" t="e">
        <f t="shared" si="17"/>
        <v>#DIV/0!</v>
      </c>
      <c r="Y65" s="3635" t="e">
        <f t="shared" si="18"/>
        <v>#DIV/0!</v>
      </c>
    </row>
    <row r="66" spans="2:25">
      <c r="B66" s="323"/>
      <c r="C66" s="3593" t="s">
        <v>188</v>
      </c>
      <c r="D66" s="3593">
        <v>0</v>
      </c>
      <c r="E66" s="3593" t="s">
        <v>559</v>
      </c>
      <c r="F66" s="3593" t="s">
        <v>186</v>
      </c>
      <c r="G66" s="3594"/>
      <c r="H66" s="3594"/>
      <c r="I66" s="4156">
        <v>0</v>
      </c>
      <c r="J66" s="3574"/>
      <c r="K66" s="3574"/>
      <c r="L66" s="3574"/>
      <c r="M66" s="278" t="e">
        <f t="shared" si="10"/>
        <v>#DIV/0!</v>
      </c>
      <c r="N66" s="4594" t="e">
        <f t="shared" si="11"/>
        <v>#DIV/0!</v>
      </c>
      <c r="O66" s="3548">
        <f t="shared" si="12"/>
        <v>0</v>
      </c>
      <c r="P66" s="3548">
        <f t="shared" si="13"/>
        <v>0</v>
      </c>
      <c r="Q66" s="3548">
        <f>IF(K66=0, 0, (HLOOKUP(K66,'[3]G-CESTDWO'!$A$5:$G$35,J66+1,FALSE)*R16))</f>
        <v>0</v>
      </c>
      <c r="R66" s="3548">
        <f>IF(K66=0, 0, (HLOOKUP(K66,'[3]G-CESTD'!$A$5:$G$35,J66+1,FALSE)*R16))</f>
        <v>0</v>
      </c>
      <c r="S66" s="3592">
        <v>1.0780000000000001</v>
      </c>
      <c r="T66" s="4150">
        <f t="shared" si="14"/>
        <v>0</v>
      </c>
      <c r="U66" s="4150">
        <f t="shared" si="14"/>
        <v>0</v>
      </c>
      <c r="V66" s="4150">
        <f t="shared" si="15"/>
        <v>0</v>
      </c>
      <c r="W66" s="3635" t="e">
        <f t="shared" si="16"/>
        <v>#DIV/0!</v>
      </c>
      <c r="X66" s="3635" t="e">
        <f t="shared" si="17"/>
        <v>#DIV/0!</v>
      </c>
      <c r="Y66" s="3635" t="e">
        <f t="shared" si="18"/>
        <v>#DIV/0!</v>
      </c>
    </row>
    <row r="67" spans="2:25">
      <c r="B67" s="323"/>
      <c r="C67" s="3593" t="s">
        <v>189</v>
      </c>
      <c r="D67" s="3574">
        <v>0</v>
      </c>
      <c r="E67" s="3593" t="s">
        <v>559</v>
      </c>
      <c r="F67" s="3593" t="s">
        <v>186</v>
      </c>
      <c r="G67" s="3594"/>
      <c r="H67" s="3594"/>
      <c r="I67" s="4156">
        <v>0</v>
      </c>
      <c r="J67" s="3574"/>
      <c r="K67" s="3574"/>
      <c r="L67" s="3574"/>
      <c r="M67" s="278" t="e">
        <f t="shared" si="10"/>
        <v>#DIV/0!</v>
      </c>
      <c r="N67" s="4594" t="e">
        <f t="shared" si="11"/>
        <v>#DIV/0!</v>
      </c>
      <c r="O67" s="3548">
        <f t="shared" si="12"/>
        <v>0</v>
      </c>
      <c r="P67" s="3548">
        <f t="shared" si="13"/>
        <v>0</v>
      </c>
      <c r="Q67" s="3548">
        <f>IF(K67=0, 0, (HLOOKUP(K67,'[3]G-CESTDWO'!$A$5:$G$35,J67+1,FALSE)*R17))</f>
        <v>0</v>
      </c>
      <c r="R67" s="3548">
        <f>IF(K67=0, 0, (HLOOKUP(K67,'[3]G-CESTD'!$A$5:$G$35,J67+1,FALSE)*R17))</f>
        <v>0</v>
      </c>
      <c r="S67" s="3592">
        <v>1.0780000000000001</v>
      </c>
      <c r="T67" s="4150">
        <f t="shared" si="14"/>
        <v>0</v>
      </c>
      <c r="U67" s="4150">
        <f t="shared" si="14"/>
        <v>0</v>
      </c>
      <c r="V67" s="4150">
        <f t="shared" si="15"/>
        <v>0</v>
      </c>
      <c r="W67" s="3635" t="e">
        <f t="shared" si="16"/>
        <v>#DIV/0!</v>
      </c>
      <c r="X67" s="3635" t="e">
        <f t="shared" si="17"/>
        <v>#DIV/0!</v>
      </c>
      <c r="Y67" s="3635" t="e">
        <f t="shared" si="18"/>
        <v>#DIV/0!</v>
      </c>
    </row>
    <row r="68" spans="2:25">
      <c r="B68" s="323"/>
      <c r="C68" s="3593" t="s">
        <v>190</v>
      </c>
      <c r="D68" s="3593">
        <v>0</v>
      </c>
      <c r="E68" s="3593" t="s">
        <v>559</v>
      </c>
      <c r="F68" s="3593" t="s">
        <v>186</v>
      </c>
      <c r="G68" s="3594"/>
      <c r="H68" s="3594"/>
      <c r="I68" s="4156">
        <v>0</v>
      </c>
      <c r="J68" s="3574"/>
      <c r="K68" s="3574"/>
      <c r="L68" s="3574"/>
      <c r="M68" s="278" t="e">
        <f t="shared" si="10"/>
        <v>#DIV/0!</v>
      </c>
      <c r="N68" s="4594" t="e">
        <f t="shared" si="11"/>
        <v>#DIV/0!</v>
      </c>
      <c r="O68" s="3548">
        <f t="shared" si="12"/>
        <v>0</v>
      </c>
      <c r="P68" s="3548">
        <f t="shared" si="13"/>
        <v>0</v>
      </c>
      <c r="Q68" s="3548">
        <f>IF(K68=0, 0, (HLOOKUP(K68,'[3]G-CESTDWO'!$A$5:$G$35,J68+1,FALSE)*R18))</f>
        <v>0</v>
      </c>
      <c r="R68" s="3548">
        <f>IF(K68=0, 0, (HLOOKUP(K68,'[3]G-CESTD'!$A$5:$G$35,J68+1,FALSE)*R18))</f>
        <v>0</v>
      </c>
      <c r="S68" s="3592">
        <v>1.0780000000000001</v>
      </c>
      <c r="T68" s="4150">
        <f t="shared" si="14"/>
        <v>0</v>
      </c>
      <c r="U68" s="4150">
        <f t="shared" si="14"/>
        <v>0</v>
      </c>
      <c r="V68" s="4150">
        <f t="shared" si="15"/>
        <v>0</v>
      </c>
      <c r="W68" s="3635" t="e">
        <f t="shared" si="16"/>
        <v>#DIV/0!</v>
      </c>
      <c r="X68" s="3635" t="e">
        <f t="shared" si="17"/>
        <v>#DIV/0!</v>
      </c>
      <c r="Y68" s="3635" t="e">
        <f t="shared" si="18"/>
        <v>#DIV/0!</v>
      </c>
    </row>
    <row r="69" spans="2:25">
      <c r="B69" s="323"/>
      <c r="C69" s="3593" t="s">
        <v>191</v>
      </c>
      <c r="D69" s="3574">
        <v>0</v>
      </c>
      <c r="E69" s="3593" t="s">
        <v>559</v>
      </c>
      <c r="F69" s="3593" t="s">
        <v>186</v>
      </c>
      <c r="G69" s="3594"/>
      <c r="H69" s="3594"/>
      <c r="I69" s="4156">
        <v>0</v>
      </c>
      <c r="J69" s="3574"/>
      <c r="K69" s="3574"/>
      <c r="L69" s="3574"/>
      <c r="M69" s="278" t="e">
        <f t="shared" si="10"/>
        <v>#DIV/0!</v>
      </c>
      <c r="N69" s="4594" t="e">
        <f t="shared" si="11"/>
        <v>#DIV/0!</v>
      </c>
      <c r="O69" s="3548">
        <f t="shared" si="12"/>
        <v>0</v>
      </c>
      <c r="P69" s="3548">
        <f t="shared" si="13"/>
        <v>0</v>
      </c>
      <c r="Q69" s="3548">
        <f>IF(K69=0, 0, (HLOOKUP(K69,'[3]G-CESTDWO'!$A$5:$G$35,J69+1,FALSE)*R19))</f>
        <v>0</v>
      </c>
      <c r="R69" s="3548">
        <f>IF(K69=0, 0, (HLOOKUP(K69,'[3]G-CESTD'!$A$5:$G$35,J69+1,FALSE)*R19))</f>
        <v>0</v>
      </c>
      <c r="S69" s="3592">
        <v>1.0780000000000001</v>
      </c>
      <c r="T69" s="4150">
        <f t="shared" si="14"/>
        <v>0</v>
      </c>
      <c r="U69" s="4150">
        <f t="shared" si="14"/>
        <v>0</v>
      </c>
      <c r="V69" s="4150">
        <f t="shared" si="15"/>
        <v>0</v>
      </c>
      <c r="W69" s="3635" t="e">
        <f t="shared" si="16"/>
        <v>#DIV/0!</v>
      </c>
      <c r="X69" s="3635" t="e">
        <f t="shared" si="17"/>
        <v>#DIV/0!</v>
      </c>
      <c r="Y69" s="3635" t="e">
        <f t="shared" si="18"/>
        <v>#DIV/0!</v>
      </c>
    </row>
    <row r="70" spans="2:25">
      <c r="B70" s="323"/>
      <c r="C70" s="3593" t="s">
        <v>192</v>
      </c>
      <c r="D70" s="3593">
        <v>0</v>
      </c>
      <c r="E70" s="3593" t="s">
        <v>559</v>
      </c>
      <c r="F70" s="3593" t="s">
        <v>186</v>
      </c>
      <c r="G70" s="3594"/>
      <c r="H70" s="3594"/>
      <c r="I70" s="4156">
        <v>0</v>
      </c>
      <c r="J70" s="3574"/>
      <c r="K70" s="3574"/>
      <c r="L70" s="3574"/>
      <c r="M70" s="278" t="e">
        <f t="shared" si="10"/>
        <v>#DIV/0!</v>
      </c>
      <c r="N70" s="4594" t="e">
        <f t="shared" si="11"/>
        <v>#DIV/0!</v>
      </c>
      <c r="O70" s="3548">
        <f t="shared" si="12"/>
        <v>0</v>
      </c>
      <c r="P70" s="3548">
        <f t="shared" si="13"/>
        <v>0</v>
      </c>
      <c r="Q70" s="3548">
        <f>IF(K70=0, 0, (HLOOKUP(K70,'[3]G-CESTDWO'!$A$5:$G$35,J70+1,FALSE)*R20))</f>
        <v>0</v>
      </c>
      <c r="R70" s="3548">
        <f>IF(K70=0, 0, (HLOOKUP(K70,'[3]G-CESTD'!$A$5:$G$35,J70+1,FALSE)*R20))</f>
        <v>0</v>
      </c>
      <c r="S70" s="3592">
        <v>1.0780000000000001</v>
      </c>
      <c r="T70" s="4150">
        <f t="shared" si="14"/>
        <v>0</v>
      </c>
      <c r="U70" s="4150">
        <f t="shared" si="14"/>
        <v>0</v>
      </c>
      <c r="V70" s="4150">
        <f t="shared" si="15"/>
        <v>0</v>
      </c>
      <c r="W70" s="3635" t="e">
        <f t="shared" si="16"/>
        <v>#DIV/0!</v>
      </c>
      <c r="X70" s="3635" t="e">
        <f t="shared" si="17"/>
        <v>#DIV/0!</v>
      </c>
      <c r="Y70" s="3635" t="e">
        <f t="shared" si="18"/>
        <v>#DIV/0!</v>
      </c>
    </row>
    <row r="71" spans="2:25">
      <c r="B71" s="323"/>
      <c r="C71" s="3593" t="s">
        <v>193</v>
      </c>
      <c r="D71" s="3574">
        <v>0</v>
      </c>
      <c r="E71" s="3593" t="s">
        <v>559</v>
      </c>
      <c r="F71" s="3593" t="s">
        <v>186</v>
      </c>
      <c r="G71" s="3594"/>
      <c r="H71" s="3594"/>
      <c r="I71" s="4156">
        <v>0</v>
      </c>
      <c r="J71" s="3574"/>
      <c r="K71" s="3574"/>
      <c r="L71" s="3574"/>
      <c r="M71" s="278" t="e">
        <f t="shared" si="10"/>
        <v>#DIV/0!</v>
      </c>
      <c r="N71" s="4594" t="e">
        <f t="shared" si="11"/>
        <v>#DIV/0!</v>
      </c>
      <c r="O71" s="3548">
        <f t="shared" si="12"/>
        <v>0</v>
      </c>
      <c r="P71" s="3548">
        <f t="shared" si="13"/>
        <v>0</v>
      </c>
      <c r="Q71" s="3548">
        <f>IF(K71=0, 0, (HLOOKUP(K71,'[3]G-CESTDWO'!$A$5:$G$35,J71+1,FALSE)*R21))</f>
        <v>0</v>
      </c>
      <c r="R71" s="3548">
        <f>IF(K71=0, 0, (HLOOKUP(K71,'[3]G-CESTD'!$A$5:$G$35,J71+1,FALSE)*R21))</f>
        <v>0</v>
      </c>
      <c r="S71" s="3592">
        <v>1.0780000000000001</v>
      </c>
      <c r="T71" s="4150">
        <f t="shared" si="14"/>
        <v>0</v>
      </c>
      <c r="U71" s="4150">
        <f t="shared" si="14"/>
        <v>0</v>
      </c>
      <c r="V71" s="4150">
        <f t="shared" si="15"/>
        <v>0</v>
      </c>
      <c r="W71" s="3635" t="e">
        <f t="shared" si="16"/>
        <v>#DIV/0!</v>
      </c>
      <c r="X71" s="3635" t="e">
        <f t="shared" si="17"/>
        <v>#DIV/0!</v>
      </c>
      <c r="Y71" s="3635" t="e">
        <f t="shared" si="18"/>
        <v>#DIV/0!</v>
      </c>
    </row>
    <row r="72" spans="2:25">
      <c r="B72" s="323"/>
      <c r="C72" s="3593" t="s">
        <v>194</v>
      </c>
      <c r="D72" s="3593">
        <v>0</v>
      </c>
      <c r="E72" s="3593" t="s">
        <v>559</v>
      </c>
      <c r="F72" s="3593" t="s">
        <v>186</v>
      </c>
      <c r="G72" s="3594"/>
      <c r="H72" s="3594"/>
      <c r="I72" s="4156">
        <v>0</v>
      </c>
      <c r="J72" s="3574"/>
      <c r="K72" s="3574"/>
      <c r="L72" s="3574"/>
      <c r="M72" s="278" t="e">
        <f t="shared" si="10"/>
        <v>#DIV/0!</v>
      </c>
      <c r="N72" s="4594" t="e">
        <f t="shared" si="11"/>
        <v>#DIV/0!</v>
      </c>
      <c r="O72" s="3548">
        <f t="shared" si="12"/>
        <v>0</v>
      </c>
      <c r="P72" s="3548">
        <f t="shared" si="13"/>
        <v>0</v>
      </c>
      <c r="Q72" s="3548">
        <f>IF(K72=0, 0, (HLOOKUP(K72,'[3]G-CESTDWO'!$A$5:$G$35,J72+1,FALSE)*R22))</f>
        <v>0</v>
      </c>
      <c r="R72" s="3548">
        <f>IF(K72=0, 0, (HLOOKUP(K72,'[3]G-CESTD'!$A$5:$G$35,J72+1,FALSE)*R22))</f>
        <v>0</v>
      </c>
      <c r="S72" s="3592">
        <v>1.0780000000000001</v>
      </c>
      <c r="T72" s="4150">
        <f t="shared" si="14"/>
        <v>0</v>
      </c>
      <c r="U72" s="4150">
        <f t="shared" si="14"/>
        <v>0</v>
      </c>
      <c r="V72" s="4150">
        <f t="shared" si="15"/>
        <v>0</v>
      </c>
      <c r="W72" s="3635" t="e">
        <f t="shared" si="16"/>
        <v>#DIV/0!</v>
      </c>
      <c r="X72" s="3635" t="e">
        <f t="shared" si="17"/>
        <v>#DIV/0!</v>
      </c>
      <c r="Y72" s="3635" t="e">
        <f t="shared" si="18"/>
        <v>#DIV/0!</v>
      </c>
    </row>
    <row r="73" spans="2:25">
      <c r="B73" s="323"/>
      <c r="C73" s="3593" t="s">
        <v>195</v>
      </c>
      <c r="D73" s="3574">
        <v>0</v>
      </c>
      <c r="E73" s="3593" t="s">
        <v>559</v>
      </c>
      <c r="F73" s="3593" t="s">
        <v>186</v>
      </c>
      <c r="G73" s="3594"/>
      <c r="H73" s="3594"/>
      <c r="I73" s="4156">
        <v>0</v>
      </c>
      <c r="J73" s="3574"/>
      <c r="K73" s="3574"/>
      <c r="L73" s="3574"/>
      <c r="M73" s="278" t="e">
        <f t="shared" si="10"/>
        <v>#DIV/0!</v>
      </c>
      <c r="N73" s="4594" t="e">
        <f t="shared" si="11"/>
        <v>#DIV/0!</v>
      </c>
      <c r="O73" s="3548">
        <f t="shared" si="12"/>
        <v>0</v>
      </c>
      <c r="P73" s="3548">
        <f t="shared" si="13"/>
        <v>0</v>
      </c>
      <c r="Q73" s="3548">
        <f>IF(K73=0, 0, (HLOOKUP(K73,'[3]G-CESTDWO'!$A$5:$G$35,J73+1,FALSE)*R23))</f>
        <v>0</v>
      </c>
      <c r="R73" s="3548">
        <f>IF(K73=0, 0, (HLOOKUP(K73,'[3]G-CESTD'!$A$5:$G$35,J73+1,FALSE)*R23))</f>
        <v>0</v>
      </c>
      <c r="S73" s="3592">
        <v>1.0780000000000001</v>
      </c>
      <c r="T73" s="4150">
        <f t="shared" si="14"/>
        <v>0</v>
      </c>
      <c r="U73" s="4150">
        <f t="shared" si="14"/>
        <v>0</v>
      </c>
      <c r="V73" s="4150">
        <f t="shared" si="15"/>
        <v>0</v>
      </c>
      <c r="W73" s="3635" t="e">
        <f t="shared" si="16"/>
        <v>#DIV/0!</v>
      </c>
      <c r="X73" s="3635" t="e">
        <f t="shared" si="17"/>
        <v>#DIV/0!</v>
      </c>
      <c r="Y73" s="3635" t="e">
        <f t="shared" si="18"/>
        <v>#DIV/0!</v>
      </c>
    </row>
    <row r="74" spans="2:25">
      <c r="B74" s="323" t="s">
        <v>7</v>
      </c>
      <c r="C74" s="3593" t="s">
        <v>196</v>
      </c>
      <c r="D74" s="3593">
        <v>0</v>
      </c>
      <c r="E74" s="3593" t="s">
        <v>559</v>
      </c>
      <c r="F74" s="3593" t="s">
        <v>186</v>
      </c>
      <c r="G74" s="3594"/>
      <c r="H74" s="3594"/>
      <c r="I74" s="4156">
        <v>0</v>
      </c>
      <c r="J74" s="3574"/>
      <c r="K74" s="3574"/>
      <c r="L74" s="3574"/>
      <c r="M74" s="278" t="e">
        <f t="shared" si="10"/>
        <v>#DIV/0!</v>
      </c>
      <c r="N74" s="4594" t="e">
        <f t="shared" si="11"/>
        <v>#DIV/0!</v>
      </c>
      <c r="O74" s="3548">
        <f t="shared" si="12"/>
        <v>0</v>
      </c>
      <c r="P74" s="3548">
        <f t="shared" si="13"/>
        <v>0</v>
      </c>
      <c r="Q74" s="3548">
        <f>IF(K74=0, 0, (HLOOKUP(K74,'[3]G-CESTDWO'!$A$5:$G$35,J74+1,FALSE)*R24))</f>
        <v>0</v>
      </c>
      <c r="R74" s="3548">
        <f>IF(K74=0, 0, (HLOOKUP(K74,'[3]G-CESTD'!$A$5:$G$35,J74+1,FALSE)*R24))</f>
        <v>0</v>
      </c>
      <c r="S74" s="3592">
        <v>1.0780000000000001</v>
      </c>
      <c r="T74" s="4150">
        <f t="shared" si="14"/>
        <v>0</v>
      </c>
      <c r="U74" s="4150">
        <f t="shared" si="14"/>
        <v>0</v>
      </c>
      <c r="V74" s="4150">
        <f t="shared" si="15"/>
        <v>0</v>
      </c>
      <c r="W74" s="3635" t="e">
        <f t="shared" si="16"/>
        <v>#DIV/0!</v>
      </c>
      <c r="X74" s="3635" t="e">
        <f t="shared" si="17"/>
        <v>#DIV/0!</v>
      </c>
      <c r="Y74" s="3635" t="e">
        <f t="shared" si="18"/>
        <v>#DIV/0!</v>
      </c>
    </row>
    <row r="75" spans="2:25">
      <c r="B75" s="323"/>
      <c r="C75" s="3593" t="s">
        <v>197</v>
      </c>
      <c r="D75" s="3574">
        <v>0</v>
      </c>
      <c r="E75" s="3593" t="s">
        <v>559</v>
      </c>
      <c r="F75" s="3593" t="s">
        <v>186</v>
      </c>
      <c r="G75" s="3594"/>
      <c r="H75" s="3594"/>
      <c r="I75" s="4156">
        <v>0</v>
      </c>
      <c r="J75" s="3574"/>
      <c r="K75" s="3574"/>
      <c r="L75" s="3574"/>
      <c r="M75" s="278" t="e">
        <f t="shared" si="10"/>
        <v>#DIV/0!</v>
      </c>
      <c r="N75" s="4594" t="e">
        <f t="shared" si="11"/>
        <v>#DIV/0!</v>
      </c>
      <c r="O75" s="3548">
        <f t="shared" si="12"/>
        <v>0</v>
      </c>
      <c r="P75" s="3548">
        <f t="shared" si="13"/>
        <v>0</v>
      </c>
      <c r="Q75" s="3548">
        <f>IF(K75=0, 0, (HLOOKUP(K75,'[3]G-CESTDWO'!$A$5:$G$35,J75+1,FALSE)*R25))</f>
        <v>0</v>
      </c>
      <c r="R75" s="3548">
        <f>IF(K75=0, 0, (HLOOKUP(K75,'[3]G-CESTD'!$A$5:$G$35,J75+1,FALSE)*R25))</f>
        <v>0</v>
      </c>
      <c r="S75" s="3592">
        <v>1.0780000000000001</v>
      </c>
      <c r="T75" s="4150">
        <f t="shared" si="14"/>
        <v>0</v>
      </c>
      <c r="U75" s="4150">
        <f t="shared" si="14"/>
        <v>0</v>
      </c>
      <c r="V75" s="4150">
        <f t="shared" si="15"/>
        <v>0</v>
      </c>
      <c r="W75" s="3635" t="e">
        <f t="shared" si="16"/>
        <v>#DIV/0!</v>
      </c>
      <c r="X75" s="3635" t="e">
        <f t="shared" si="17"/>
        <v>#DIV/0!</v>
      </c>
      <c r="Y75" s="3635" t="e">
        <f t="shared" si="18"/>
        <v>#DIV/0!</v>
      </c>
    </row>
    <row r="76" spans="2:25">
      <c r="B76" s="323"/>
      <c r="C76" s="3593" t="s">
        <v>198</v>
      </c>
      <c r="D76" s="3593">
        <v>0</v>
      </c>
      <c r="E76" s="3593" t="s">
        <v>559</v>
      </c>
      <c r="F76" s="3593" t="s">
        <v>186</v>
      </c>
      <c r="G76" s="3594"/>
      <c r="H76" s="3594"/>
      <c r="I76" s="4156">
        <v>0</v>
      </c>
      <c r="J76" s="3574"/>
      <c r="K76" s="3574"/>
      <c r="L76" s="3574"/>
      <c r="M76" s="278" t="e">
        <f t="shared" si="10"/>
        <v>#DIV/0!</v>
      </c>
      <c r="N76" s="4594" t="e">
        <f t="shared" si="11"/>
        <v>#DIV/0!</v>
      </c>
      <c r="O76" s="3548">
        <f t="shared" si="12"/>
        <v>0</v>
      </c>
      <c r="P76" s="3548">
        <f t="shared" si="13"/>
        <v>0</v>
      </c>
      <c r="Q76" s="3548">
        <f>IF(K76=0, 0, (HLOOKUP(K76,'[3]G-CESTDWO'!$A$5:$G$35,J76+1,FALSE)*R26))</f>
        <v>0</v>
      </c>
      <c r="R76" s="3548">
        <f>IF(K76=0, 0, (HLOOKUP(K76,'[3]G-CESTD'!$A$5:$G$35,J76+1,FALSE)*R26))</f>
        <v>0</v>
      </c>
      <c r="S76" s="3592">
        <v>1.0780000000000001</v>
      </c>
      <c r="T76" s="4150">
        <f t="shared" si="14"/>
        <v>0</v>
      </c>
      <c r="U76" s="4150">
        <f t="shared" si="14"/>
        <v>0</v>
      </c>
      <c r="V76" s="4150">
        <f t="shared" si="15"/>
        <v>0</v>
      </c>
      <c r="W76" s="3635" t="e">
        <f t="shared" si="16"/>
        <v>#DIV/0!</v>
      </c>
      <c r="X76" s="3635" t="e">
        <f t="shared" si="17"/>
        <v>#DIV/0!</v>
      </c>
      <c r="Y76" s="3635" t="e">
        <f t="shared" si="18"/>
        <v>#DIV/0!</v>
      </c>
    </row>
    <row r="77" spans="2:25">
      <c r="B77" s="323"/>
      <c r="C77" s="3593" t="s">
        <v>199</v>
      </c>
      <c r="D77" s="3574">
        <v>0</v>
      </c>
      <c r="E77" s="3593" t="s">
        <v>559</v>
      </c>
      <c r="F77" s="3593" t="s">
        <v>186</v>
      </c>
      <c r="G77" s="3594"/>
      <c r="H77" s="3594"/>
      <c r="I77" s="4156">
        <v>0</v>
      </c>
      <c r="J77" s="3574"/>
      <c r="K77" s="3574"/>
      <c r="L77" s="3574"/>
      <c r="M77" s="278" t="e">
        <f t="shared" si="10"/>
        <v>#DIV/0!</v>
      </c>
      <c r="N77" s="4594" t="e">
        <f t="shared" si="11"/>
        <v>#DIV/0!</v>
      </c>
      <c r="O77" s="3548">
        <f t="shared" si="12"/>
        <v>0</v>
      </c>
      <c r="P77" s="3548">
        <f t="shared" si="13"/>
        <v>0</v>
      </c>
      <c r="Q77" s="3548">
        <f>IF(K77=0, 0, (HLOOKUP(K77,'[3]G-CESTDWO'!$A$5:$G$35,J77+1,FALSE)*R27))</f>
        <v>0</v>
      </c>
      <c r="R77" s="3548">
        <f>IF(K77=0, 0, (HLOOKUP(K77,'[3]G-CESTD'!$A$5:$G$35,J77+1,FALSE)*R27))</f>
        <v>0</v>
      </c>
      <c r="S77" s="3592">
        <v>1.0780000000000001</v>
      </c>
      <c r="T77" s="4150">
        <f t="shared" si="14"/>
        <v>0</v>
      </c>
      <c r="U77" s="4150">
        <f t="shared" si="14"/>
        <v>0</v>
      </c>
      <c r="V77" s="4150">
        <f t="shared" si="15"/>
        <v>0</v>
      </c>
      <c r="W77" s="3635" t="e">
        <f t="shared" si="16"/>
        <v>#DIV/0!</v>
      </c>
      <c r="X77" s="3635" t="e">
        <f t="shared" si="17"/>
        <v>#DIV/0!</v>
      </c>
      <c r="Y77" s="3635" t="e">
        <f t="shared" si="18"/>
        <v>#DIV/0!</v>
      </c>
    </row>
    <row r="78" spans="2:25">
      <c r="B78" s="323"/>
      <c r="C78" s="3593" t="s">
        <v>200</v>
      </c>
      <c r="D78" s="3593">
        <v>0</v>
      </c>
      <c r="E78" s="3593" t="s">
        <v>559</v>
      </c>
      <c r="F78" s="3593" t="s">
        <v>186</v>
      </c>
      <c r="G78" s="3594"/>
      <c r="H78" s="3594"/>
      <c r="I78" s="4156">
        <v>0</v>
      </c>
      <c r="J78" s="3574"/>
      <c r="K78" s="3574"/>
      <c r="L78" s="3574"/>
      <c r="M78" s="278" t="e">
        <f t="shared" si="10"/>
        <v>#DIV/0!</v>
      </c>
      <c r="N78" s="4594" t="e">
        <f t="shared" si="11"/>
        <v>#DIV/0!</v>
      </c>
      <c r="O78" s="3548">
        <f t="shared" si="12"/>
        <v>0</v>
      </c>
      <c r="P78" s="3548">
        <f t="shared" si="13"/>
        <v>0</v>
      </c>
      <c r="Q78" s="3548">
        <f>IF(K78=0, 0, (HLOOKUP(K78,'[3]G-CESTDWO'!$A$5:$G$35,J78+1,FALSE)*R28))</f>
        <v>0</v>
      </c>
      <c r="R78" s="3548">
        <f>IF(K78=0, 0, (HLOOKUP(K78,'[3]G-CESTD'!$A$5:$G$35,J78+1,FALSE)*R28))</f>
        <v>0</v>
      </c>
      <c r="S78" s="3592">
        <v>1.0780000000000001</v>
      </c>
      <c r="T78" s="4150">
        <f t="shared" si="14"/>
        <v>0</v>
      </c>
      <c r="U78" s="4150">
        <f t="shared" si="14"/>
        <v>0</v>
      </c>
      <c r="V78" s="4150">
        <f t="shared" si="15"/>
        <v>0</v>
      </c>
      <c r="W78" s="3635" t="e">
        <f t="shared" si="16"/>
        <v>#DIV/0!</v>
      </c>
      <c r="X78" s="3635" t="e">
        <f t="shared" si="17"/>
        <v>#DIV/0!</v>
      </c>
      <c r="Y78" s="3635" t="e">
        <f t="shared" si="18"/>
        <v>#DIV/0!</v>
      </c>
    </row>
    <row r="79" spans="2:25">
      <c r="B79" s="323"/>
      <c r="C79" s="3593" t="s">
        <v>201</v>
      </c>
      <c r="D79" s="3574">
        <v>0</v>
      </c>
      <c r="E79" s="3593" t="s">
        <v>559</v>
      </c>
      <c r="F79" s="3593" t="s">
        <v>186</v>
      </c>
      <c r="G79" s="3594"/>
      <c r="H79" s="3594"/>
      <c r="I79" s="4156">
        <v>0</v>
      </c>
      <c r="J79" s="3574"/>
      <c r="K79" s="3574"/>
      <c r="L79" s="3574"/>
      <c r="M79" s="278" t="e">
        <f t="shared" si="10"/>
        <v>#DIV/0!</v>
      </c>
      <c r="N79" s="4594" t="e">
        <f t="shared" si="11"/>
        <v>#DIV/0!</v>
      </c>
      <c r="O79" s="3548">
        <f t="shared" si="12"/>
        <v>0</v>
      </c>
      <c r="P79" s="3548">
        <f t="shared" si="13"/>
        <v>0</v>
      </c>
      <c r="Q79" s="3548">
        <f>IF(K79=0, 0, (HLOOKUP(K79,'[3]G-CESTDWO'!$A$5:$G$35,J79+1,FALSE)*R29))</f>
        <v>0</v>
      </c>
      <c r="R79" s="3548">
        <f>IF(K79=0, 0, (HLOOKUP(K79,'[3]G-CESTD'!$A$5:$G$35,J79+1,FALSE)*R29))</f>
        <v>0</v>
      </c>
      <c r="S79" s="3592">
        <v>1.0780000000000001</v>
      </c>
      <c r="T79" s="4150">
        <f t="shared" si="14"/>
        <v>0</v>
      </c>
      <c r="U79" s="4150">
        <f t="shared" si="14"/>
        <v>0</v>
      </c>
      <c r="V79" s="4150">
        <f t="shared" si="15"/>
        <v>0</v>
      </c>
      <c r="W79" s="3635" t="e">
        <f t="shared" si="16"/>
        <v>#DIV/0!</v>
      </c>
      <c r="X79" s="3635" t="e">
        <f t="shared" si="17"/>
        <v>#DIV/0!</v>
      </c>
      <c r="Y79" s="3635" t="e">
        <f t="shared" si="18"/>
        <v>#DIV/0!</v>
      </c>
    </row>
    <row r="80" spans="2:25">
      <c r="B80" s="323"/>
      <c r="C80" s="3593" t="s">
        <v>202</v>
      </c>
      <c r="D80" s="3593">
        <v>0</v>
      </c>
      <c r="E80" s="3593" t="s">
        <v>559</v>
      </c>
      <c r="F80" s="3593" t="s">
        <v>186</v>
      </c>
      <c r="G80" s="3594"/>
      <c r="H80" s="3594"/>
      <c r="I80" s="4156">
        <v>0</v>
      </c>
      <c r="J80" s="3574"/>
      <c r="K80" s="3574"/>
      <c r="L80" s="3574"/>
      <c r="M80" s="278" t="e">
        <f t="shared" si="10"/>
        <v>#DIV/0!</v>
      </c>
      <c r="N80" s="4594" t="e">
        <f t="shared" si="11"/>
        <v>#DIV/0!</v>
      </c>
      <c r="O80" s="3548">
        <f t="shared" si="12"/>
        <v>0</v>
      </c>
      <c r="P80" s="3548">
        <f t="shared" si="13"/>
        <v>0</v>
      </c>
      <c r="Q80" s="3548">
        <f>IF(K80=0, 0, (HLOOKUP(K80,'[3]G-CESTDWO'!$A$5:$G$35,J80+1,FALSE)*R30))</f>
        <v>0</v>
      </c>
      <c r="R80" s="3548">
        <f>IF(K80=0, 0, (HLOOKUP(K80,'[3]G-CESTD'!$A$5:$G$35,J80+1,FALSE)*R30))</f>
        <v>0</v>
      </c>
      <c r="S80" s="3592">
        <v>1.0780000000000001</v>
      </c>
      <c r="T80" s="4150">
        <f t="shared" si="14"/>
        <v>0</v>
      </c>
      <c r="U80" s="4150">
        <f t="shared" si="14"/>
        <v>0</v>
      </c>
      <c r="V80" s="4150">
        <f t="shared" si="15"/>
        <v>0</v>
      </c>
      <c r="W80" s="3635" t="e">
        <f t="shared" si="16"/>
        <v>#DIV/0!</v>
      </c>
      <c r="X80" s="3635" t="e">
        <f t="shared" si="17"/>
        <v>#DIV/0!</v>
      </c>
      <c r="Y80" s="3635" t="e">
        <f t="shared" si="18"/>
        <v>#DIV/0!</v>
      </c>
    </row>
    <row r="81" spans="2:25">
      <c r="B81" s="323"/>
      <c r="C81" s="3593" t="s">
        <v>203</v>
      </c>
      <c r="D81" s="3593">
        <v>0</v>
      </c>
      <c r="E81" s="3593" t="s">
        <v>559</v>
      </c>
      <c r="F81" s="3593" t="s">
        <v>186</v>
      </c>
      <c r="G81" s="3594"/>
      <c r="H81" s="3594"/>
      <c r="I81" s="4156">
        <v>0</v>
      </c>
      <c r="J81" s="3574"/>
      <c r="K81" s="3574"/>
      <c r="L81" s="3574"/>
      <c r="M81" s="278" t="e">
        <f t="shared" si="10"/>
        <v>#DIV/0!</v>
      </c>
      <c r="N81" s="4594" t="e">
        <f t="shared" si="11"/>
        <v>#DIV/0!</v>
      </c>
      <c r="O81" s="3548">
        <f t="shared" si="12"/>
        <v>0</v>
      </c>
      <c r="P81" s="3548">
        <f t="shared" si="13"/>
        <v>0</v>
      </c>
      <c r="Q81" s="3548">
        <f>IF(K81=0, 0, (HLOOKUP(K81,'[3]G-CESTDWO'!$A$5:$G$35,J81+1,FALSE)*R31))</f>
        <v>0</v>
      </c>
      <c r="R81" s="3548">
        <f>IF(K81=0, 0, (HLOOKUP(K81,'[3]G-CESTD'!$A$5:$G$35,J81+1,FALSE)*R31))</f>
        <v>0</v>
      </c>
      <c r="S81" s="3592">
        <v>1.0780000000000001</v>
      </c>
      <c r="T81" s="4150">
        <f t="shared" si="14"/>
        <v>0</v>
      </c>
      <c r="U81" s="4150">
        <f t="shared" si="14"/>
        <v>0</v>
      </c>
      <c r="V81" s="4150">
        <f t="shared" si="15"/>
        <v>0</v>
      </c>
      <c r="W81" s="3635" t="e">
        <f t="shared" si="16"/>
        <v>#DIV/0!</v>
      </c>
      <c r="X81" s="3635" t="e">
        <f t="shared" si="17"/>
        <v>#DIV/0!</v>
      </c>
      <c r="Y81" s="3635" t="e">
        <f t="shared" si="18"/>
        <v>#DIV/0!</v>
      </c>
    </row>
    <row r="82" spans="2:25">
      <c r="B82" s="323"/>
      <c r="C82" s="3593" t="s">
        <v>204</v>
      </c>
      <c r="D82" s="3593">
        <v>0</v>
      </c>
      <c r="E82" s="3593" t="s">
        <v>559</v>
      </c>
      <c r="F82" s="3593" t="s">
        <v>186</v>
      </c>
      <c r="G82" s="3594"/>
      <c r="H82" s="3594"/>
      <c r="I82" s="4156">
        <v>0</v>
      </c>
      <c r="J82" s="3574"/>
      <c r="K82" s="3574"/>
      <c r="L82" s="3574"/>
      <c r="M82" s="278" t="e">
        <f t="shared" si="10"/>
        <v>#DIV/0!</v>
      </c>
      <c r="N82" s="4594" t="e">
        <f t="shared" si="11"/>
        <v>#DIV/0!</v>
      </c>
      <c r="O82" s="3548">
        <f t="shared" si="12"/>
        <v>0</v>
      </c>
      <c r="P82" s="3548">
        <f t="shared" si="13"/>
        <v>0</v>
      </c>
      <c r="Q82" s="3548">
        <f>IF(K82=0, 0, (HLOOKUP(K82,'[3]G-CESTDWO'!$A$5:$G$35,J82+1,FALSE)*R32))</f>
        <v>0</v>
      </c>
      <c r="R82" s="3548">
        <f>IF(K82=0, 0, (HLOOKUP(K82,'[3]G-CESTD'!$A$5:$G$35,J82+1,FALSE)*R32))</f>
        <v>0</v>
      </c>
      <c r="S82" s="3592">
        <v>1.0780000000000001</v>
      </c>
      <c r="T82" s="4150">
        <f t="shared" si="14"/>
        <v>0</v>
      </c>
      <c r="U82" s="4150">
        <f t="shared" si="14"/>
        <v>0</v>
      </c>
      <c r="V82" s="4150">
        <f t="shared" si="15"/>
        <v>0</v>
      </c>
    </row>
    <row r="83" spans="2:25">
      <c r="B83" s="323"/>
      <c r="C83" s="3593" t="s">
        <v>205</v>
      </c>
      <c r="D83" s="3595">
        <v>0</v>
      </c>
      <c r="E83" s="3593" t="s">
        <v>559</v>
      </c>
      <c r="F83" s="3593" t="s">
        <v>186</v>
      </c>
      <c r="G83" s="3594"/>
      <c r="H83" s="3594"/>
      <c r="I83" s="4156">
        <v>0</v>
      </c>
      <c r="J83" s="3574"/>
      <c r="K83" s="3574"/>
      <c r="L83" s="3574"/>
      <c r="M83" s="278" t="e">
        <f t="shared" si="10"/>
        <v>#DIV/0!</v>
      </c>
      <c r="N83" s="4594" t="e">
        <f t="shared" si="11"/>
        <v>#DIV/0!</v>
      </c>
      <c r="O83" s="3548">
        <f t="shared" si="12"/>
        <v>0</v>
      </c>
      <c r="P83" s="3548">
        <f t="shared" si="13"/>
        <v>0</v>
      </c>
      <c r="Q83" s="3548">
        <f>IF(K83=0, 0, (HLOOKUP(K83,'[3]G-CESTDWO'!$A$5:$G$35,J83+1,FALSE)*R33))</f>
        <v>0</v>
      </c>
      <c r="R83" s="3548">
        <f>IF(K83=0, 0, (HLOOKUP(K83,'[3]G-CESTD'!$A$5:$G$35,J83+1,FALSE)*R33))</f>
        <v>0</v>
      </c>
      <c r="S83" s="3592">
        <v>1.0780000000000001</v>
      </c>
      <c r="T83" s="4150">
        <f t="shared" si="14"/>
        <v>0</v>
      </c>
      <c r="U83" s="4150">
        <f t="shared" si="14"/>
        <v>0</v>
      </c>
      <c r="V83" s="4150">
        <f t="shared" si="15"/>
        <v>0</v>
      </c>
    </row>
    <row r="84" spans="2:25">
      <c r="B84" s="323"/>
      <c r="C84" s="3593" t="s">
        <v>206</v>
      </c>
      <c r="D84" s="3595">
        <v>0</v>
      </c>
      <c r="E84" s="3593" t="s">
        <v>559</v>
      </c>
      <c r="F84" s="3593" t="s">
        <v>186</v>
      </c>
      <c r="G84" s="3594"/>
      <c r="H84" s="3594"/>
      <c r="I84" s="4156">
        <v>0</v>
      </c>
      <c r="J84" s="3574"/>
      <c r="K84" s="3574"/>
      <c r="L84" s="3574"/>
      <c r="M84" s="278" t="e">
        <f t="shared" si="10"/>
        <v>#DIV/0!</v>
      </c>
      <c r="N84" s="4594" t="e">
        <f t="shared" si="11"/>
        <v>#DIV/0!</v>
      </c>
      <c r="O84" s="3548">
        <f t="shared" si="12"/>
        <v>0</v>
      </c>
      <c r="P84" s="3548">
        <f t="shared" si="13"/>
        <v>0</v>
      </c>
      <c r="Q84" s="3548">
        <f>IF(K84=0, 0, (HLOOKUP(K84,'[3]G-CESTDWO'!$A$5:$G$35,J84+1,FALSE)*R34))</f>
        <v>0</v>
      </c>
      <c r="R84" s="3548">
        <f>IF(K84=0, 0, (HLOOKUP(K84,'[3]G-CESTD'!$A$5:$G$35,J84+1,FALSE)*R34))</f>
        <v>0</v>
      </c>
      <c r="S84" s="3592">
        <v>1.0780000000000001</v>
      </c>
      <c r="T84" s="4150">
        <f t="shared" si="14"/>
        <v>0</v>
      </c>
      <c r="U84" s="4150">
        <f t="shared" si="14"/>
        <v>0</v>
      </c>
      <c r="V84" s="4150">
        <f t="shared" si="15"/>
        <v>0</v>
      </c>
    </row>
    <row r="85" spans="2:25">
      <c r="B85" s="323"/>
      <c r="C85" s="3593" t="s">
        <v>207</v>
      </c>
      <c r="D85" s="3595">
        <v>0</v>
      </c>
      <c r="E85" s="3593" t="s">
        <v>559</v>
      </c>
      <c r="F85" s="3593" t="s">
        <v>186</v>
      </c>
      <c r="G85" s="3594"/>
      <c r="H85" s="3594"/>
      <c r="I85" s="4156">
        <v>0</v>
      </c>
      <c r="J85" s="3574"/>
      <c r="K85" s="3574"/>
      <c r="L85" s="3574"/>
      <c r="M85" s="278" t="e">
        <f t="shared" si="10"/>
        <v>#DIV/0!</v>
      </c>
      <c r="N85" s="4594" t="e">
        <f t="shared" si="11"/>
        <v>#DIV/0!</v>
      </c>
      <c r="O85" s="3548">
        <f t="shared" si="12"/>
        <v>0</v>
      </c>
      <c r="P85" s="3548">
        <f t="shared" si="13"/>
        <v>0</v>
      </c>
      <c r="Q85" s="3548">
        <f>IF(K85=0, 0, (HLOOKUP(K85,'[3]G-CESTDWO'!$A$5:$G$35,J85+1,FALSE)*R35))</f>
        <v>0</v>
      </c>
      <c r="R85" s="3548">
        <f>IF(K85=0, 0, (HLOOKUP(K85,'[3]G-CESTD'!$A$5:$G$35,J85+1,FALSE)*R35))</f>
        <v>0</v>
      </c>
      <c r="S85" s="3592">
        <v>1.0780000000000001</v>
      </c>
      <c r="T85" s="4150">
        <f t="shared" si="14"/>
        <v>0</v>
      </c>
      <c r="U85" s="4150">
        <f t="shared" si="14"/>
        <v>0</v>
      </c>
      <c r="V85" s="4150">
        <f t="shared" si="15"/>
        <v>0</v>
      </c>
    </row>
    <row r="86" spans="2:25">
      <c r="B86" s="323"/>
      <c r="C86" s="3593" t="s">
        <v>208</v>
      </c>
      <c r="D86" s="3595">
        <v>0</v>
      </c>
      <c r="E86" s="3593" t="s">
        <v>559</v>
      </c>
      <c r="F86" s="3593" t="s">
        <v>186</v>
      </c>
      <c r="G86" s="3594"/>
      <c r="H86" s="3594"/>
      <c r="I86" s="4156">
        <v>0</v>
      </c>
      <c r="J86" s="3574"/>
      <c r="K86" s="3574"/>
      <c r="L86" s="3574"/>
      <c r="M86" s="278" t="e">
        <f t="shared" si="10"/>
        <v>#DIV/0!</v>
      </c>
      <c r="N86" s="4594" t="e">
        <f t="shared" si="11"/>
        <v>#DIV/0!</v>
      </c>
      <c r="O86" s="3548">
        <f t="shared" si="12"/>
        <v>0</v>
      </c>
      <c r="P86" s="3548">
        <f t="shared" si="13"/>
        <v>0</v>
      </c>
      <c r="Q86" s="3548">
        <f>IF(K86=0, 0, (HLOOKUP(K86,'[3]G-CESTDWO'!$A$5:$G$35,J86+1,FALSE)*R36))</f>
        <v>0</v>
      </c>
      <c r="R86" s="3548">
        <f>IF(K86=0, 0, (HLOOKUP(K86,'[3]G-CESTD'!$A$5:$G$35,J86+1,FALSE)*R36))</f>
        <v>0</v>
      </c>
      <c r="S86" s="3592">
        <v>1.0780000000000001</v>
      </c>
      <c r="T86" s="4150">
        <f t="shared" si="14"/>
        <v>0</v>
      </c>
      <c r="U86" s="4150">
        <f t="shared" si="14"/>
        <v>0</v>
      </c>
      <c r="V86" s="4150">
        <f t="shared" si="15"/>
        <v>0</v>
      </c>
    </row>
    <row r="87" spans="2:25">
      <c r="B87" s="323"/>
      <c r="C87" s="3593" t="s">
        <v>209</v>
      </c>
      <c r="D87" s="3595">
        <v>0</v>
      </c>
      <c r="E87" s="3593" t="s">
        <v>559</v>
      </c>
      <c r="F87" s="3593" t="s">
        <v>186</v>
      </c>
      <c r="G87" s="3594"/>
      <c r="H87" s="3594"/>
      <c r="I87" s="4156">
        <v>0</v>
      </c>
      <c r="J87" s="3574"/>
      <c r="K87" s="3574"/>
      <c r="L87" s="3574"/>
      <c r="M87" s="278" t="e">
        <f t="shared" si="10"/>
        <v>#DIV/0!</v>
      </c>
      <c r="N87" s="4594" t="e">
        <f t="shared" si="11"/>
        <v>#DIV/0!</v>
      </c>
      <c r="O87" s="3548">
        <f t="shared" si="12"/>
        <v>0</v>
      </c>
      <c r="P87" s="3548">
        <f t="shared" si="13"/>
        <v>0</v>
      </c>
      <c r="Q87" s="3548">
        <f>IF(K87=0, 0, (HLOOKUP(K87,'[3]G-CESTDWO'!$A$5:$G$35,J87+1,FALSE)*R37))</f>
        <v>0</v>
      </c>
      <c r="R87" s="3548">
        <f>IF(K87=0, 0, (HLOOKUP(K87,'[3]G-CESTD'!$A$5:$G$35,J87+1,FALSE)*R37))</f>
        <v>0</v>
      </c>
      <c r="S87" s="3592">
        <v>1.0780000000000001</v>
      </c>
      <c r="T87" s="4150">
        <f t="shared" si="14"/>
        <v>0</v>
      </c>
      <c r="U87" s="4150">
        <f t="shared" si="14"/>
        <v>0</v>
      </c>
      <c r="V87" s="4150">
        <f t="shared" si="15"/>
        <v>0</v>
      </c>
    </row>
    <row r="88" spans="2:25">
      <c r="B88" s="323"/>
      <c r="C88" s="3593" t="s">
        <v>210</v>
      </c>
      <c r="D88" s="3595">
        <v>0</v>
      </c>
      <c r="E88" s="3593" t="s">
        <v>559</v>
      </c>
      <c r="F88" s="3593" t="s">
        <v>186</v>
      </c>
      <c r="G88" s="3594"/>
      <c r="H88" s="3594"/>
      <c r="I88" s="4156">
        <v>0</v>
      </c>
      <c r="J88" s="3574"/>
      <c r="K88" s="3574"/>
      <c r="L88" s="3574"/>
      <c r="M88" s="278" t="e">
        <f t="shared" si="10"/>
        <v>#DIV/0!</v>
      </c>
      <c r="N88" s="4594" t="e">
        <f t="shared" si="11"/>
        <v>#DIV/0!</v>
      </c>
      <c r="O88" s="3548">
        <f t="shared" si="12"/>
        <v>0</v>
      </c>
      <c r="P88" s="3548">
        <f t="shared" si="13"/>
        <v>0</v>
      </c>
      <c r="Q88" s="3548">
        <f>IF(K88=0, 0, (HLOOKUP(K88,'[3]G-CESTDWO'!$A$5:$G$35,J88+1,FALSE)*R38))</f>
        <v>0</v>
      </c>
      <c r="R88" s="3548">
        <f>IF(K88=0, 0, (HLOOKUP(K88,'[3]G-CESTD'!$A$5:$G$35,J88+1,FALSE)*R38))</f>
        <v>0</v>
      </c>
      <c r="S88" s="3592">
        <v>1.0780000000000001</v>
      </c>
      <c r="T88" s="4150">
        <f t="shared" si="14"/>
        <v>0</v>
      </c>
      <c r="U88" s="4150">
        <f t="shared" si="14"/>
        <v>0</v>
      </c>
      <c r="V88" s="4150">
        <f t="shared" si="15"/>
        <v>0</v>
      </c>
    </row>
    <row r="89" spans="2:25">
      <c r="B89" s="323"/>
      <c r="C89" s="3593" t="s">
        <v>211</v>
      </c>
      <c r="D89" s="3595">
        <v>0</v>
      </c>
      <c r="E89" s="3593" t="s">
        <v>559</v>
      </c>
      <c r="F89" s="3593" t="s">
        <v>186</v>
      </c>
      <c r="G89" s="3594"/>
      <c r="H89" s="3594"/>
      <c r="I89" s="4156">
        <v>0</v>
      </c>
      <c r="J89" s="3574"/>
      <c r="K89" s="3574"/>
      <c r="L89" s="3574"/>
      <c r="M89" s="278" t="e">
        <f t="shared" si="10"/>
        <v>#DIV/0!</v>
      </c>
      <c r="N89" s="4594" t="e">
        <f t="shared" si="11"/>
        <v>#DIV/0!</v>
      </c>
      <c r="O89" s="3548">
        <f t="shared" si="12"/>
        <v>0</v>
      </c>
      <c r="P89" s="3548">
        <f t="shared" si="13"/>
        <v>0</v>
      </c>
      <c r="Q89" s="3548">
        <f>IF(K89=0, 0, (HLOOKUP(K89,'[3]G-CESTDWO'!$A$5:$G$35,J89+1,FALSE)*R39))</f>
        <v>0</v>
      </c>
      <c r="R89" s="3548">
        <f>IF(K89=0, 0, (HLOOKUP(K89,'[3]G-CESTD'!$A$5:$G$35,J89+1,FALSE)*R39))</f>
        <v>0</v>
      </c>
      <c r="S89" s="3592">
        <v>1.0780000000000001</v>
      </c>
      <c r="T89" s="4150">
        <f t="shared" si="14"/>
        <v>0</v>
      </c>
      <c r="U89" s="4150">
        <f t="shared" si="14"/>
        <v>0</v>
      </c>
      <c r="V89" s="4150">
        <f t="shared" si="15"/>
        <v>0</v>
      </c>
    </row>
    <row r="90" spans="2:25">
      <c r="B90" s="323"/>
      <c r="C90" s="3593" t="s">
        <v>212</v>
      </c>
      <c r="D90" s="3595">
        <v>0</v>
      </c>
      <c r="E90" s="3593" t="s">
        <v>559</v>
      </c>
      <c r="F90" s="3593" t="s">
        <v>186</v>
      </c>
      <c r="G90" s="3594"/>
      <c r="H90" s="3594"/>
      <c r="I90" s="4156">
        <v>0</v>
      </c>
      <c r="J90" s="3574"/>
      <c r="K90" s="3574"/>
      <c r="L90" s="3574"/>
      <c r="M90" s="278" t="e">
        <f t="shared" si="10"/>
        <v>#DIV/0!</v>
      </c>
      <c r="N90" s="4594" t="e">
        <f t="shared" si="11"/>
        <v>#DIV/0!</v>
      </c>
      <c r="O90" s="3548">
        <f t="shared" si="12"/>
        <v>0</v>
      </c>
      <c r="P90" s="3548">
        <f t="shared" si="13"/>
        <v>0</v>
      </c>
      <c r="Q90" s="3548">
        <f>IF(K90=0, 0, (HLOOKUP(K90,'[3]G-CESTDWO'!$A$5:$G$35,J90+1,FALSE)*R40))</f>
        <v>0</v>
      </c>
      <c r="R90" s="3548">
        <f>IF(K90=0, 0, (HLOOKUP(K90,'[3]G-CESTD'!$A$5:$G$35,J90+1,FALSE)*R40))</f>
        <v>0</v>
      </c>
      <c r="S90" s="3592">
        <v>1.0780000000000001</v>
      </c>
      <c r="T90" s="4150">
        <f t="shared" si="14"/>
        <v>0</v>
      </c>
      <c r="U90" s="4150">
        <f t="shared" si="14"/>
        <v>0</v>
      </c>
      <c r="V90" s="4150">
        <f t="shared" si="15"/>
        <v>0</v>
      </c>
    </row>
    <row r="91" spans="2:25">
      <c r="B91" s="323" t="s">
        <v>7</v>
      </c>
      <c r="C91" s="3593" t="s">
        <v>213</v>
      </c>
      <c r="D91" s="3595">
        <v>0</v>
      </c>
      <c r="E91" s="3593" t="s">
        <v>559</v>
      </c>
      <c r="F91" s="3593" t="s">
        <v>186</v>
      </c>
      <c r="G91" s="3594"/>
      <c r="H91" s="3594"/>
      <c r="I91" s="4156">
        <v>0</v>
      </c>
      <c r="J91" s="3574"/>
      <c r="K91" s="3574"/>
      <c r="L91" s="3574"/>
      <c r="M91" s="278" t="e">
        <f t="shared" si="10"/>
        <v>#DIV/0!</v>
      </c>
      <c r="N91" s="4594" t="e">
        <f t="shared" si="11"/>
        <v>#DIV/0!</v>
      </c>
      <c r="O91" s="3548">
        <f t="shared" si="12"/>
        <v>0</v>
      </c>
      <c r="P91" s="3548">
        <f t="shared" si="13"/>
        <v>0</v>
      </c>
      <c r="Q91" s="3548">
        <f>IF(K91=0, 0, (HLOOKUP(K91,'[3]G-CESTDWO'!$A$5:$G$35,J91+1,FALSE)*R41))</f>
        <v>0</v>
      </c>
      <c r="R91" s="3548">
        <f>IF(K91=0, 0, (HLOOKUP(K91,'[3]G-CESTD'!$A$5:$G$35,J91+1,FALSE)*R41))</f>
        <v>0</v>
      </c>
      <c r="S91" s="3592">
        <v>1.0780000000000001</v>
      </c>
      <c r="T91" s="4150">
        <f t="shared" si="14"/>
        <v>0</v>
      </c>
      <c r="U91" s="4150">
        <f t="shared" si="14"/>
        <v>0</v>
      </c>
      <c r="V91" s="4150">
        <f t="shared" si="15"/>
        <v>0</v>
      </c>
    </row>
    <row r="92" spans="2:25">
      <c r="B92" s="323" t="s">
        <v>7</v>
      </c>
      <c r="C92" s="3593" t="s">
        <v>214</v>
      </c>
      <c r="D92" s="3595">
        <v>0</v>
      </c>
      <c r="E92" s="3593" t="s">
        <v>559</v>
      </c>
      <c r="F92" s="3593" t="s">
        <v>186</v>
      </c>
      <c r="G92" s="3594"/>
      <c r="H92" s="3594"/>
      <c r="I92" s="4156">
        <v>0</v>
      </c>
      <c r="J92" s="3574"/>
      <c r="K92" s="3574"/>
      <c r="L92" s="3574"/>
      <c r="M92" s="278" t="e">
        <f t="shared" si="10"/>
        <v>#DIV/0!</v>
      </c>
      <c r="N92" s="4594" t="e">
        <f t="shared" si="11"/>
        <v>#DIV/0!</v>
      </c>
      <c r="O92" s="3548">
        <f t="shared" si="12"/>
        <v>0</v>
      </c>
      <c r="P92" s="3548">
        <f t="shared" si="13"/>
        <v>0</v>
      </c>
      <c r="Q92" s="3548">
        <f>IF(K92=0, 0, (HLOOKUP(K92,'[3]G-CESTDWO'!$A$5:$G$35,J92+1,FALSE)*R42))</f>
        <v>0</v>
      </c>
      <c r="R92" s="3548">
        <f>IF(K92=0, 0, (HLOOKUP(K92,'[3]G-CESTD'!$A$5:$G$35,J92+1,FALSE)*R42))</f>
        <v>0</v>
      </c>
      <c r="S92" s="3592">
        <v>1.0780000000000001</v>
      </c>
      <c r="T92" s="4150">
        <f t="shared" si="14"/>
        <v>0</v>
      </c>
      <c r="U92" s="4150">
        <f t="shared" si="14"/>
        <v>0</v>
      </c>
      <c r="V92" s="4150">
        <f t="shared" si="15"/>
        <v>0</v>
      </c>
    </row>
    <row r="93" spans="2:25">
      <c r="B93" s="323" t="s">
        <v>7</v>
      </c>
      <c r="C93" s="3593" t="s">
        <v>215</v>
      </c>
      <c r="D93" s="3595">
        <v>0</v>
      </c>
      <c r="E93" s="3593" t="s">
        <v>559</v>
      </c>
      <c r="F93" s="3593" t="s">
        <v>186</v>
      </c>
      <c r="G93" s="3594"/>
      <c r="H93" s="3594"/>
      <c r="I93" s="4156">
        <v>0</v>
      </c>
      <c r="J93" s="3574"/>
      <c r="K93" s="3574"/>
      <c r="L93" s="3574"/>
      <c r="M93" s="278" t="e">
        <f t="shared" si="10"/>
        <v>#DIV/0!</v>
      </c>
      <c r="N93" s="4594" t="e">
        <f t="shared" si="11"/>
        <v>#DIV/0!</v>
      </c>
      <c r="O93" s="3548">
        <f t="shared" si="12"/>
        <v>0</v>
      </c>
      <c r="P93" s="3548">
        <f t="shared" si="13"/>
        <v>0</v>
      </c>
      <c r="Q93" s="3548">
        <f>IF(K93=0, 0, (HLOOKUP(K93,'[3]G-CESTDWO'!$A$5:$G$35,J93+1,FALSE)*R43))</f>
        <v>0</v>
      </c>
      <c r="R93" s="3548">
        <f>IF(K93=0, 0, (HLOOKUP(K93,'[3]G-CESTD'!$A$5:$G$35,J93+1,FALSE)*R43))</f>
        <v>0</v>
      </c>
      <c r="S93" s="3592">
        <v>1.0780000000000001</v>
      </c>
      <c r="T93" s="4150">
        <f t="shared" si="14"/>
        <v>0</v>
      </c>
      <c r="U93" s="4150">
        <f t="shared" si="14"/>
        <v>0</v>
      </c>
      <c r="V93" s="4150">
        <f t="shared" si="15"/>
        <v>0</v>
      </c>
    </row>
    <row r="94" spans="2:25">
      <c r="B94" s="323" t="s">
        <v>7</v>
      </c>
      <c r="C94" s="3593" t="s">
        <v>216</v>
      </c>
      <c r="D94" s="3595">
        <v>0</v>
      </c>
      <c r="E94" s="3593" t="s">
        <v>559</v>
      </c>
      <c r="F94" s="3593" t="s">
        <v>186</v>
      </c>
      <c r="G94" s="3594"/>
      <c r="H94" s="3594"/>
      <c r="I94" s="4156">
        <v>0</v>
      </c>
      <c r="J94" s="3574"/>
      <c r="K94" s="3574"/>
      <c r="L94" s="3574"/>
      <c r="M94" s="278" t="e">
        <f t="shared" si="10"/>
        <v>#DIV/0!</v>
      </c>
      <c r="N94" s="4594" t="e">
        <f t="shared" si="11"/>
        <v>#DIV/0!</v>
      </c>
      <c r="O94" s="3548">
        <f t="shared" si="12"/>
        <v>0</v>
      </c>
      <c r="P94" s="3548">
        <f t="shared" si="13"/>
        <v>0</v>
      </c>
      <c r="Q94" s="3548">
        <f>IF(K94=0, 0, (HLOOKUP(K94,'[3]G-CESTDWO'!$A$5:$G$35,J94+1,FALSE)*R44))</f>
        <v>0</v>
      </c>
      <c r="R94" s="3548">
        <f>IF(K94=0, 0, (HLOOKUP(K94,'[3]G-CESTD'!$A$5:$G$35,J94+1,FALSE)*R44))</f>
        <v>0</v>
      </c>
      <c r="S94" s="3592">
        <v>1.0780000000000001</v>
      </c>
      <c r="T94" s="4150">
        <f t="shared" si="14"/>
        <v>0</v>
      </c>
      <c r="U94" s="4150">
        <f t="shared" si="14"/>
        <v>0</v>
      </c>
      <c r="V94" s="4150">
        <f t="shared" si="15"/>
        <v>0</v>
      </c>
    </row>
    <row r="95" spans="2:25">
      <c r="B95" s="323" t="s">
        <v>7</v>
      </c>
      <c r="C95" s="3593" t="s">
        <v>217</v>
      </c>
      <c r="D95" s="3595">
        <v>0</v>
      </c>
      <c r="E95" s="3593" t="s">
        <v>559</v>
      </c>
      <c r="F95" s="3593" t="s">
        <v>186</v>
      </c>
      <c r="G95" s="3594"/>
      <c r="H95" s="3594"/>
      <c r="I95" s="4156">
        <v>0</v>
      </c>
      <c r="J95" s="3574"/>
      <c r="K95" s="3574"/>
      <c r="L95" s="3574"/>
      <c r="M95" s="278" t="e">
        <f t="shared" si="10"/>
        <v>#DIV/0!</v>
      </c>
      <c r="N95" s="4594" t="e">
        <f t="shared" si="11"/>
        <v>#DIV/0!</v>
      </c>
      <c r="O95" s="3548">
        <f t="shared" si="12"/>
        <v>0</v>
      </c>
      <c r="P95" s="3548">
        <f t="shared" si="13"/>
        <v>0</v>
      </c>
      <c r="Q95" s="3548">
        <f>IF(K95=0, 0, (HLOOKUP(K95,'[3]G-CESTDWO'!$A$5:$G$35,J95+1,FALSE)*R45))</f>
        <v>0</v>
      </c>
      <c r="R95" s="3548">
        <f>IF(K95=0, 0, (HLOOKUP(K95,'[3]G-CESTD'!$A$5:$G$35,J95+1,FALSE)*R45))</f>
        <v>0</v>
      </c>
      <c r="S95" s="3592">
        <v>1.0780000000000001</v>
      </c>
      <c r="T95" s="4150">
        <f t="shared" si="14"/>
        <v>0</v>
      </c>
      <c r="U95" s="4150">
        <f t="shared" si="14"/>
        <v>0</v>
      </c>
      <c r="V95" s="4150">
        <f t="shared" si="15"/>
        <v>0</v>
      </c>
    </row>
    <row r="96" spans="2:25">
      <c r="B96" s="323" t="s">
        <v>7</v>
      </c>
      <c r="C96" s="3593" t="s">
        <v>218</v>
      </c>
      <c r="D96" s="3595">
        <v>0</v>
      </c>
      <c r="E96" s="3593" t="s">
        <v>559</v>
      </c>
      <c r="F96" s="3593" t="s">
        <v>186</v>
      </c>
      <c r="G96" s="3594"/>
      <c r="H96" s="3594"/>
      <c r="I96" s="4156">
        <v>0</v>
      </c>
      <c r="J96" s="3574"/>
      <c r="K96" s="3574"/>
      <c r="L96" s="3574"/>
      <c r="M96" s="278" t="e">
        <f t="shared" si="10"/>
        <v>#DIV/0!</v>
      </c>
      <c r="N96" s="4594" t="e">
        <f t="shared" si="11"/>
        <v>#DIV/0!</v>
      </c>
      <c r="O96" s="3548">
        <f t="shared" si="12"/>
        <v>0</v>
      </c>
      <c r="P96" s="3548">
        <f t="shared" si="13"/>
        <v>0</v>
      </c>
      <c r="Q96" s="3548">
        <f>IF(K96=0, 0, (HLOOKUP(K96,'[3]G-CESTDWO'!$A$5:$G$35,J96+1,FALSE)*R46))</f>
        <v>0</v>
      </c>
      <c r="R96" s="3548">
        <f>IF(K96=0, 0, (HLOOKUP(K96,'[3]G-CESTD'!$A$5:$G$35,J96+1,FALSE)*R46))</f>
        <v>0</v>
      </c>
      <c r="S96" s="3592">
        <v>1.0780000000000001</v>
      </c>
      <c r="T96" s="4150">
        <f t="shared" si="14"/>
        <v>0</v>
      </c>
      <c r="U96" s="4150">
        <f t="shared" si="14"/>
        <v>0</v>
      </c>
      <c r="V96" s="4150">
        <f t="shared" si="15"/>
        <v>0</v>
      </c>
    </row>
    <row r="97" spans="2:22">
      <c r="B97" s="323" t="s">
        <v>7</v>
      </c>
      <c r="C97" s="3593" t="s">
        <v>219</v>
      </c>
      <c r="D97" s="3595">
        <v>0</v>
      </c>
      <c r="E97" s="3593" t="s">
        <v>559</v>
      </c>
      <c r="F97" s="3593" t="s">
        <v>186</v>
      </c>
      <c r="G97" s="3594"/>
      <c r="H97" s="3594"/>
      <c r="I97" s="4156">
        <v>0</v>
      </c>
      <c r="J97" s="3574"/>
      <c r="K97" s="3574"/>
      <c r="L97" s="3574"/>
      <c r="M97" s="278" t="e">
        <f t="shared" si="10"/>
        <v>#DIV/0!</v>
      </c>
      <c r="N97" s="4594" t="e">
        <f t="shared" si="11"/>
        <v>#DIV/0!</v>
      </c>
      <c r="O97" s="3548">
        <f t="shared" si="12"/>
        <v>0</v>
      </c>
      <c r="P97" s="3548">
        <f t="shared" si="13"/>
        <v>0</v>
      </c>
      <c r="Q97" s="3548">
        <f>IF(K97=0, 0, (HLOOKUP(K97,'[3]G-CESTDWO'!$A$5:$G$35,J97+1,FALSE)*R47))</f>
        <v>0</v>
      </c>
      <c r="R97" s="3548">
        <f>IF(K97=0, 0, (HLOOKUP(K97,'[3]G-CESTD'!$A$5:$G$35,J97+1,FALSE)*R47))</f>
        <v>0</v>
      </c>
      <c r="S97" s="3592">
        <v>1.0780000000000001</v>
      </c>
      <c r="T97" s="4150">
        <f t="shared" si="14"/>
        <v>0</v>
      </c>
      <c r="U97" s="4150">
        <f t="shared" si="14"/>
        <v>0</v>
      </c>
      <c r="V97" s="4150">
        <f t="shared" si="15"/>
        <v>0</v>
      </c>
    </row>
    <row r="98" spans="2:22">
      <c r="B98" s="3593" t="s">
        <v>7</v>
      </c>
      <c r="C98" s="3593" t="s">
        <v>220</v>
      </c>
      <c r="D98" s="3595">
        <v>0</v>
      </c>
      <c r="E98" s="3593" t="s">
        <v>559</v>
      </c>
      <c r="F98" s="3593" t="s">
        <v>186</v>
      </c>
      <c r="G98" s="3594"/>
      <c r="H98" s="3594"/>
      <c r="I98" s="4156">
        <v>0</v>
      </c>
      <c r="J98" s="3574"/>
      <c r="K98" s="3574"/>
      <c r="L98" s="3574"/>
      <c r="M98" s="278" t="e">
        <f t="shared" si="10"/>
        <v>#DIV/0!</v>
      </c>
      <c r="N98" s="4594" t="e">
        <f t="shared" si="11"/>
        <v>#DIV/0!</v>
      </c>
      <c r="O98" s="3548">
        <f t="shared" si="12"/>
        <v>0</v>
      </c>
      <c r="P98" s="3548">
        <f t="shared" si="13"/>
        <v>0</v>
      </c>
      <c r="Q98" s="3548">
        <f>IF(K98=0, 0, (HLOOKUP(K98,'[3]G-CESTDWO'!$A$5:$G$35,J98+1,FALSE)*R48))</f>
        <v>0</v>
      </c>
      <c r="R98" s="3548">
        <f>IF(K98=0, 0, (HLOOKUP(K98,'[3]G-CESTD'!$A$5:$G$35,J98+1,FALSE)*R48))</f>
        <v>0</v>
      </c>
      <c r="S98" s="3592">
        <v>1.0780000000000001</v>
      </c>
      <c r="T98" s="4150">
        <f t="shared" si="14"/>
        <v>0</v>
      </c>
      <c r="U98" s="4150">
        <f t="shared" si="14"/>
        <v>0</v>
      </c>
      <c r="V98" s="4150">
        <f t="shared" si="15"/>
        <v>0</v>
      </c>
    </row>
    <row r="99" spans="2:22">
      <c r="B99" s="3593"/>
      <c r="C99" s="3593" t="s">
        <v>221</v>
      </c>
      <c r="D99" s="3595">
        <v>0</v>
      </c>
      <c r="E99" s="3593" t="s">
        <v>559</v>
      </c>
      <c r="F99" s="3593" t="s">
        <v>186</v>
      </c>
      <c r="G99" s="3594"/>
      <c r="H99" s="3594"/>
      <c r="I99" s="4156">
        <v>0</v>
      </c>
      <c r="J99" s="3574"/>
      <c r="K99" s="3574"/>
      <c r="L99" s="3574"/>
      <c r="M99" s="278" t="e">
        <f t="shared" si="10"/>
        <v>#DIV/0!</v>
      </c>
      <c r="N99" s="4594" t="e">
        <f t="shared" si="11"/>
        <v>#DIV/0!</v>
      </c>
      <c r="O99" s="3548">
        <f t="shared" si="12"/>
        <v>0</v>
      </c>
      <c r="P99" s="3548">
        <f t="shared" si="13"/>
        <v>0</v>
      </c>
      <c r="Q99" s="3548">
        <f>IF(K99=0, 0, (HLOOKUP(K99,'[3]G-CESTDWO'!$A$5:$G$35,J99+1,FALSE)*R49))</f>
        <v>0</v>
      </c>
      <c r="R99" s="3548">
        <f>IF(K99=0, 0, (HLOOKUP(K99,'[3]G-CESTD'!$A$5:$G$35,J99+1,FALSE)*R49))</f>
        <v>0</v>
      </c>
      <c r="S99" s="3592">
        <v>1.0780000000000001</v>
      </c>
      <c r="T99" s="4150">
        <f t="shared" si="14"/>
        <v>0</v>
      </c>
      <c r="U99" s="4150">
        <f t="shared" si="14"/>
        <v>0</v>
      </c>
      <c r="V99" s="4150">
        <f t="shared" si="15"/>
        <v>0</v>
      </c>
    </row>
    <row r="100" spans="2:22">
      <c r="B100" s="3593"/>
      <c r="C100" s="3593" t="s">
        <v>222</v>
      </c>
      <c r="D100" s="3595">
        <v>0</v>
      </c>
      <c r="E100" s="3593" t="s">
        <v>559</v>
      </c>
      <c r="F100" s="3593" t="s">
        <v>186</v>
      </c>
      <c r="G100" s="3594"/>
      <c r="H100" s="3594"/>
      <c r="I100" s="4156">
        <v>0</v>
      </c>
      <c r="J100" s="3574"/>
      <c r="K100" s="3574"/>
      <c r="L100" s="3574"/>
      <c r="M100" s="278" t="e">
        <f t="shared" si="10"/>
        <v>#DIV/0!</v>
      </c>
      <c r="N100" s="4594" t="e">
        <f t="shared" si="11"/>
        <v>#DIV/0!</v>
      </c>
      <c r="O100" s="3548">
        <f t="shared" si="12"/>
        <v>0</v>
      </c>
      <c r="P100" s="3548">
        <f t="shared" si="13"/>
        <v>0</v>
      </c>
      <c r="Q100" s="3548">
        <f>IF(K100=0, 0, (HLOOKUP(K100,'[3]G-CESTDWO'!$A$5:$G$35,J100+1,FALSE)*R50))</f>
        <v>0</v>
      </c>
      <c r="R100" s="3548">
        <f>IF(K100=0, 0, (HLOOKUP(K100,'[3]G-CESTD'!$A$5:$G$35,J100+1,FALSE)*R50))</f>
        <v>0</v>
      </c>
      <c r="S100" s="3592">
        <v>1.0780000000000001</v>
      </c>
      <c r="T100" s="4150">
        <f t="shared" si="14"/>
        <v>0</v>
      </c>
      <c r="U100" s="4150">
        <f t="shared" si="14"/>
        <v>0</v>
      </c>
      <c r="V100" s="4150">
        <f t="shared" si="15"/>
        <v>0</v>
      </c>
    </row>
    <row r="101" spans="2:22">
      <c r="B101" s="3593"/>
      <c r="C101" s="3593" t="s">
        <v>223</v>
      </c>
      <c r="D101" s="3595">
        <v>0</v>
      </c>
      <c r="E101" s="3593" t="s">
        <v>559</v>
      </c>
      <c r="F101" s="3593" t="s">
        <v>186</v>
      </c>
      <c r="G101" s="3594"/>
      <c r="H101" s="3594"/>
      <c r="I101" s="4156">
        <v>0</v>
      </c>
      <c r="J101" s="3574"/>
      <c r="K101" s="3574"/>
      <c r="L101" s="3574"/>
      <c r="M101" s="278" t="e">
        <f t="shared" si="10"/>
        <v>#DIV/0!</v>
      </c>
      <c r="N101" s="4594" t="e">
        <f t="shared" si="11"/>
        <v>#DIV/0!</v>
      </c>
      <c r="O101" s="3548">
        <f t="shared" si="12"/>
        <v>0</v>
      </c>
      <c r="P101" s="3548">
        <f t="shared" si="13"/>
        <v>0</v>
      </c>
      <c r="Q101" s="3548">
        <f>IF(K101=0, 0, (HLOOKUP(K101,'[3]G-CESTDWO'!$A$5:$G$35,J101+1,FALSE)*R51))</f>
        <v>0</v>
      </c>
      <c r="R101" s="3548">
        <f>IF(K101=0, 0, (HLOOKUP(K101,'[3]G-CESTD'!$A$5:$G$35,J101+1,FALSE)*R51))</f>
        <v>0</v>
      </c>
      <c r="S101" s="3592">
        <v>1.0780000000000001</v>
      </c>
      <c r="T101" s="4150">
        <f t="shared" si="14"/>
        <v>0</v>
      </c>
      <c r="U101" s="4150">
        <f t="shared" si="14"/>
        <v>0</v>
      </c>
      <c r="V101" s="4150">
        <f t="shared" si="15"/>
        <v>0</v>
      </c>
    </row>
    <row r="102" spans="2:22">
      <c r="B102" s="3593"/>
      <c r="C102" s="3593" t="s">
        <v>224</v>
      </c>
      <c r="D102" s="3595">
        <v>0</v>
      </c>
      <c r="E102" s="3593" t="s">
        <v>559</v>
      </c>
      <c r="F102" s="3593" t="s">
        <v>186</v>
      </c>
      <c r="G102" s="3594"/>
      <c r="H102" s="3594"/>
      <c r="I102" s="4156">
        <v>0</v>
      </c>
      <c r="J102" s="3574"/>
      <c r="K102" s="3574"/>
      <c r="L102" s="3574"/>
      <c r="M102" s="278" t="e">
        <f t="shared" si="10"/>
        <v>#DIV/0!</v>
      </c>
      <c r="N102" s="4594" t="e">
        <f t="shared" si="11"/>
        <v>#DIV/0!</v>
      </c>
      <c r="O102" s="3548">
        <f t="shared" si="12"/>
        <v>0</v>
      </c>
      <c r="P102" s="3548">
        <f t="shared" si="13"/>
        <v>0</v>
      </c>
      <c r="Q102" s="3548">
        <f>IF(K102=0, 0, (HLOOKUP(K102,'[3]G-CESTDWO'!$A$5:$G$35,J102+1,FALSE)*R52))</f>
        <v>0</v>
      </c>
      <c r="R102" s="3548">
        <f>IF(K102=0, 0, (HLOOKUP(K102,'[3]G-CESTD'!$A$5:$G$35,J102+1,FALSE)*R52))</f>
        <v>0</v>
      </c>
      <c r="S102" s="3592">
        <v>1.0780000000000001</v>
      </c>
      <c r="T102" s="4150">
        <f t="shared" si="14"/>
        <v>0</v>
      </c>
      <c r="U102" s="4150">
        <f t="shared" si="14"/>
        <v>0</v>
      </c>
      <c r="V102" s="4150">
        <f t="shared" si="15"/>
        <v>0</v>
      </c>
    </row>
    <row r="103" spans="2:22">
      <c r="B103" s="3593"/>
      <c r="C103" s="3593" t="s">
        <v>225</v>
      </c>
      <c r="D103" s="3595">
        <v>0</v>
      </c>
      <c r="E103" s="3593" t="s">
        <v>559</v>
      </c>
      <c r="F103" s="3593" t="s">
        <v>186</v>
      </c>
      <c r="G103" s="3594"/>
      <c r="H103" s="3594"/>
      <c r="I103" s="4156">
        <v>0</v>
      </c>
      <c r="J103" s="3574"/>
      <c r="K103" s="3574"/>
      <c r="L103" s="3574"/>
      <c r="M103" s="278" t="e">
        <f t="shared" si="10"/>
        <v>#DIV/0!</v>
      </c>
      <c r="N103" s="4594" t="e">
        <f t="shared" si="11"/>
        <v>#DIV/0!</v>
      </c>
      <c r="O103" s="3548">
        <f t="shared" si="12"/>
        <v>0</v>
      </c>
      <c r="P103" s="3548">
        <f t="shared" si="13"/>
        <v>0</v>
      </c>
      <c r="Q103" s="3548">
        <f>IF(K103=0, 0, (HLOOKUP(K103,'[3]G-CESTDWO'!$A$5:$G$35,J103+1,FALSE)*R53))</f>
        <v>0</v>
      </c>
      <c r="R103" s="3548">
        <f>IF(K103=0, 0, (HLOOKUP(K103,'[3]G-CESTD'!$A$5:$G$35,J103+1,FALSE)*R53))</f>
        <v>0</v>
      </c>
      <c r="S103" s="3592">
        <v>1.0780000000000001</v>
      </c>
      <c r="T103" s="4150">
        <f t="shared" si="14"/>
        <v>0</v>
      </c>
      <c r="U103" s="4150">
        <f t="shared" si="14"/>
        <v>0</v>
      </c>
      <c r="V103" s="4150">
        <f t="shared" si="15"/>
        <v>0</v>
      </c>
    </row>
    <row r="104" spans="2:22" ht="13.5" thickBot="1">
      <c r="B104" s="3593"/>
      <c r="C104" s="3593" t="s">
        <v>226</v>
      </c>
      <c r="D104" s="3595">
        <v>0</v>
      </c>
      <c r="E104" s="3593" t="s">
        <v>559</v>
      </c>
      <c r="F104" s="3593" t="s">
        <v>186</v>
      </c>
      <c r="G104" s="3594"/>
      <c r="H104" s="3594"/>
      <c r="I104" s="4156">
        <v>0</v>
      </c>
      <c r="J104" s="3574"/>
      <c r="K104" s="3574"/>
      <c r="L104" s="3574"/>
      <c r="M104" s="278" t="e">
        <f t="shared" si="10"/>
        <v>#DIV/0!</v>
      </c>
      <c r="N104" s="4594" t="e">
        <f t="shared" si="11"/>
        <v>#DIV/0!</v>
      </c>
      <c r="O104" s="3548">
        <f t="shared" si="12"/>
        <v>0</v>
      </c>
      <c r="P104" s="3548">
        <f t="shared" si="13"/>
        <v>0</v>
      </c>
      <c r="Q104" s="3548">
        <f>IF(K104=0, 0, (HLOOKUP(K104,'[3]G-CESTDWO'!$A$5:$G$35,J104+1,FALSE)*R54))</f>
        <v>0</v>
      </c>
      <c r="R104" s="3548">
        <f>IF(K104=0, 0, (HLOOKUP(K104,'[3]G-CESTD'!$A$5:$G$35,J104+1,FALSE)*R54))</f>
        <v>0</v>
      </c>
      <c r="S104" s="3592">
        <v>1.0780000000000001</v>
      </c>
      <c r="T104" s="4150">
        <f t="shared" si="14"/>
        <v>0</v>
      </c>
      <c r="U104" s="4150">
        <f t="shared" si="14"/>
        <v>0</v>
      </c>
      <c r="V104" s="4150">
        <f t="shared" si="15"/>
        <v>0</v>
      </c>
    </row>
    <row r="105" spans="2:22" ht="13.5" thickBot="1">
      <c r="G105" s="3596">
        <f>SUMPRODUCT(G63:G104,O13:O54)</f>
        <v>458000</v>
      </c>
      <c r="H105" s="3597">
        <f>V105</f>
        <v>390000</v>
      </c>
      <c r="I105" s="3598">
        <f>SUM(I63:I104)</f>
        <v>1</v>
      </c>
      <c r="J105" s="3599">
        <f>ROUND(SUMPRODUCT(J63:J104,R13:R54)/R55,0)</f>
        <v>20</v>
      </c>
      <c r="K105" s="3580"/>
      <c r="L105" s="304">
        <f>SUM(L63:L104)</f>
        <v>0</v>
      </c>
      <c r="M105" s="290">
        <f>Q105/O105</f>
        <v>1.138441624000466</v>
      </c>
      <c r="N105" s="278">
        <f t="shared" ref="N105" si="19">((L105/S105)+R105)/P105</f>
        <v>0.99050458859520774</v>
      </c>
      <c r="O105" s="3602">
        <f>SUM(O63:O104)</f>
        <v>422347.3098330241</v>
      </c>
      <c r="P105" s="3602">
        <f>SUM(P63:P104)</f>
        <v>485427.08719851577</v>
      </c>
      <c r="Q105" s="3602">
        <f>SUM(Q63:Q104)</f>
        <v>480817.7572985359</v>
      </c>
      <c r="R105" s="3602">
        <f>SUM(R63:R104)</f>
        <v>480817.7572985359</v>
      </c>
      <c r="S105" s="3600">
        <v>1.081</v>
      </c>
      <c r="T105" s="3601">
        <f>SUM(T63:T104)</f>
        <v>0</v>
      </c>
      <c r="U105" s="3601">
        <f>SUM(U63:U104)</f>
        <v>390000</v>
      </c>
      <c r="V105" s="3601">
        <f>SUM(V63:V104)</f>
        <v>390000</v>
      </c>
    </row>
  </sheetData>
  <sheetProtection password="9E1F" sheet="1" objects="1" scenarios="1"/>
  <customSheetViews>
    <customSheetView guid="{074EB09C-6289-46D7-9513-012B68BCA7BF}">
      <pane xSplit="1" ySplit="1" topLeftCell="B2" activePane="bottomRight" state="frozen"/>
      <selection pane="bottomRight" activeCell="C26" sqref="C26"/>
      <pageMargins left="0.7" right="0.7" top="0.75" bottom="0.75" header="0.3" footer="0.3"/>
    </customSheetView>
  </customSheetViews>
  <mergeCells count="16">
    <mergeCell ref="Q2:R2"/>
    <mergeCell ref="S2:U2"/>
    <mergeCell ref="V2:V3"/>
    <mergeCell ref="D10:E10"/>
    <mergeCell ref="I10:L10"/>
    <mergeCell ref="M10:N10"/>
    <mergeCell ref="B61:K61"/>
    <mergeCell ref="L61:R61"/>
    <mergeCell ref="S61:U61"/>
    <mergeCell ref="V61:X61"/>
    <mergeCell ref="C11:F11"/>
    <mergeCell ref="I11:L11"/>
    <mergeCell ref="M11:O11"/>
    <mergeCell ref="P11:R11"/>
    <mergeCell ref="I12:K12"/>
    <mergeCell ref="D60:H60"/>
  </mergeCells>
  <pageMargins left="0.7" right="0.41" top="0.38" bottom="0.37" header="0.3" footer="0.3"/>
  <pageSetup paperSize="3" scale="50" orientation="landscape" r:id="rId1"/>
  <drawing r:id="rId2"/>
  <legacyDrawing r:id="rId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sheetPr enableFormatConditionsCalculation="0">
    <tabColor theme="8" tint="0.59999389629810485"/>
    <pageSetUpPr fitToPage="1"/>
  </sheetPr>
  <dimension ref="A1:X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6.28515625" style="3064" customWidth="1"/>
    <col min="2" max="2" width="17.28515625" customWidth="1"/>
    <col min="3" max="3" width="38.7109375" customWidth="1"/>
    <col min="4" max="4" width="15.7109375" style="19" customWidth="1"/>
    <col min="5" max="5" width="15.7109375" customWidth="1"/>
    <col min="6" max="6" width="14.140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22.140625" bestFit="1" customWidth="1"/>
    <col min="18" max="18" width="17.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19.28515625" bestFit="1" customWidth="1"/>
    <col min="259" max="259" width="43.85546875" customWidth="1"/>
    <col min="260" max="260" width="19.28515625" customWidth="1"/>
    <col min="261" max="261" width="15.28515625" bestFit="1" customWidth="1"/>
    <col min="262" max="262" width="12"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22.140625" bestFit="1" customWidth="1"/>
    <col min="274" max="274" width="17.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19.28515625" bestFit="1" customWidth="1"/>
    <col min="515" max="515" width="43.85546875" customWidth="1"/>
    <col min="516" max="516" width="19.28515625" customWidth="1"/>
    <col min="517" max="517" width="15.28515625" bestFit="1" customWidth="1"/>
    <col min="518" max="518" width="12"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22.140625" bestFit="1" customWidth="1"/>
    <col min="530" max="530" width="17.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19.28515625" bestFit="1" customWidth="1"/>
    <col min="771" max="771" width="43.85546875" customWidth="1"/>
    <col min="772" max="772" width="19.28515625" customWidth="1"/>
    <col min="773" max="773" width="15.28515625" bestFit="1" customWidth="1"/>
    <col min="774" max="774" width="12"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22.140625" bestFit="1" customWidth="1"/>
    <col min="786" max="786" width="17.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19.28515625" bestFit="1" customWidth="1"/>
    <col min="1027" max="1027" width="43.85546875" customWidth="1"/>
    <col min="1028" max="1028" width="19.28515625" customWidth="1"/>
    <col min="1029" max="1029" width="15.28515625" bestFit="1" customWidth="1"/>
    <col min="1030" max="1030" width="12"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22.140625" bestFit="1" customWidth="1"/>
    <col min="1042" max="1042" width="17.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19.28515625" bestFit="1" customWidth="1"/>
    <col min="1283" max="1283" width="43.85546875" customWidth="1"/>
    <col min="1284" max="1284" width="19.28515625" customWidth="1"/>
    <col min="1285" max="1285" width="15.28515625" bestFit="1" customWidth="1"/>
    <col min="1286" max="1286" width="12"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22.140625" bestFit="1" customWidth="1"/>
    <col min="1298" max="1298" width="17.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19.28515625" bestFit="1" customWidth="1"/>
    <col min="1539" max="1539" width="43.85546875" customWidth="1"/>
    <col min="1540" max="1540" width="19.28515625" customWidth="1"/>
    <col min="1541" max="1541" width="15.28515625" bestFit="1" customWidth="1"/>
    <col min="1542" max="1542" width="12"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22.140625" bestFit="1" customWidth="1"/>
    <col min="1554" max="1554" width="17.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19.28515625" bestFit="1" customWidth="1"/>
    <col min="1795" max="1795" width="43.85546875" customWidth="1"/>
    <col min="1796" max="1796" width="19.28515625" customWidth="1"/>
    <col min="1797" max="1797" width="15.28515625" bestFit="1" customWidth="1"/>
    <col min="1798" max="1798" width="12"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22.140625" bestFit="1" customWidth="1"/>
    <col min="1810" max="1810" width="17.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19.28515625" bestFit="1" customWidth="1"/>
    <col min="2051" max="2051" width="43.85546875" customWidth="1"/>
    <col min="2052" max="2052" width="19.28515625" customWidth="1"/>
    <col min="2053" max="2053" width="15.28515625" bestFit="1" customWidth="1"/>
    <col min="2054" max="2054" width="12"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22.140625" bestFit="1" customWidth="1"/>
    <col min="2066" max="2066" width="17.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19.28515625" bestFit="1" customWidth="1"/>
    <col min="2307" max="2307" width="43.85546875" customWidth="1"/>
    <col min="2308" max="2308" width="19.28515625" customWidth="1"/>
    <col min="2309" max="2309" width="15.28515625" bestFit="1" customWidth="1"/>
    <col min="2310" max="2310" width="12"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22.140625" bestFit="1" customWidth="1"/>
    <col min="2322" max="2322" width="17.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19.28515625" bestFit="1" customWidth="1"/>
    <col min="2563" max="2563" width="43.85546875" customWidth="1"/>
    <col min="2564" max="2564" width="19.28515625" customWidth="1"/>
    <col min="2565" max="2565" width="15.28515625" bestFit="1" customWidth="1"/>
    <col min="2566" max="2566" width="12"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22.140625" bestFit="1" customWidth="1"/>
    <col min="2578" max="2578" width="17.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19.28515625" bestFit="1" customWidth="1"/>
    <col min="2819" max="2819" width="43.85546875" customWidth="1"/>
    <col min="2820" max="2820" width="19.28515625" customWidth="1"/>
    <col min="2821" max="2821" width="15.28515625" bestFit="1" customWidth="1"/>
    <col min="2822" max="2822" width="12"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22.140625" bestFit="1" customWidth="1"/>
    <col min="2834" max="2834" width="17.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19.28515625" bestFit="1" customWidth="1"/>
    <col min="3075" max="3075" width="43.85546875" customWidth="1"/>
    <col min="3076" max="3076" width="19.28515625" customWidth="1"/>
    <col min="3077" max="3077" width="15.28515625" bestFit="1" customWidth="1"/>
    <col min="3078" max="3078" width="12"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22.140625" bestFit="1" customWidth="1"/>
    <col min="3090" max="3090" width="17.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19.28515625" bestFit="1" customWidth="1"/>
    <col min="3331" max="3331" width="43.85546875" customWidth="1"/>
    <col min="3332" max="3332" width="19.28515625" customWidth="1"/>
    <col min="3333" max="3333" width="15.28515625" bestFit="1" customWidth="1"/>
    <col min="3334" max="3334" width="12"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22.140625" bestFit="1" customWidth="1"/>
    <col min="3346" max="3346" width="17.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19.28515625" bestFit="1" customWidth="1"/>
    <col min="3587" max="3587" width="43.85546875" customWidth="1"/>
    <col min="3588" max="3588" width="19.28515625" customWidth="1"/>
    <col min="3589" max="3589" width="15.28515625" bestFit="1" customWidth="1"/>
    <col min="3590" max="3590" width="12"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22.140625" bestFit="1" customWidth="1"/>
    <col min="3602" max="3602" width="17.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19.28515625" bestFit="1" customWidth="1"/>
    <col min="3843" max="3843" width="43.85546875" customWidth="1"/>
    <col min="3844" max="3844" width="19.28515625" customWidth="1"/>
    <col min="3845" max="3845" width="15.28515625" bestFit="1" customWidth="1"/>
    <col min="3846" max="3846" width="12"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22.140625" bestFit="1" customWidth="1"/>
    <col min="3858" max="3858" width="17.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19.28515625" bestFit="1" customWidth="1"/>
    <col min="4099" max="4099" width="43.85546875" customWidth="1"/>
    <col min="4100" max="4100" width="19.28515625" customWidth="1"/>
    <col min="4101" max="4101" width="15.28515625" bestFit="1" customWidth="1"/>
    <col min="4102" max="4102" width="12"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22.140625" bestFit="1" customWidth="1"/>
    <col min="4114" max="4114" width="17.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19.28515625" bestFit="1" customWidth="1"/>
    <col min="4355" max="4355" width="43.85546875" customWidth="1"/>
    <col min="4356" max="4356" width="19.28515625" customWidth="1"/>
    <col min="4357" max="4357" width="15.28515625" bestFit="1" customWidth="1"/>
    <col min="4358" max="4358" width="12"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22.140625" bestFit="1" customWidth="1"/>
    <col min="4370" max="4370" width="17.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19.28515625" bestFit="1" customWidth="1"/>
    <col min="4611" max="4611" width="43.85546875" customWidth="1"/>
    <col min="4612" max="4612" width="19.28515625" customWidth="1"/>
    <col min="4613" max="4613" width="15.28515625" bestFit="1" customWidth="1"/>
    <col min="4614" max="4614" width="12"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22.140625" bestFit="1" customWidth="1"/>
    <col min="4626" max="4626" width="17.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19.28515625" bestFit="1" customWidth="1"/>
    <col min="4867" max="4867" width="43.85546875" customWidth="1"/>
    <col min="4868" max="4868" width="19.28515625" customWidth="1"/>
    <col min="4869" max="4869" width="15.28515625" bestFit="1" customWidth="1"/>
    <col min="4870" max="4870" width="12"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22.140625" bestFit="1" customWidth="1"/>
    <col min="4882" max="4882" width="17.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19.28515625" bestFit="1" customWidth="1"/>
    <col min="5123" max="5123" width="43.85546875" customWidth="1"/>
    <col min="5124" max="5124" width="19.28515625" customWidth="1"/>
    <col min="5125" max="5125" width="15.28515625" bestFit="1" customWidth="1"/>
    <col min="5126" max="5126" width="12"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22.140625" bestFit="1" customWidth="1"/>
    <col min="5138" max="5138" width="17.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19.28515625" bestFit="1" customWidth="1"/>
    <col min="5379" max="5379" width="43.85546875" customWidth="1"/>
    <col min="5380" max="5380" width="19.28515625" customWidth="1"/>
    <col min="5381" max="5381" width="15.28515625" bestFit="1" customWidth="1"/>
    <col min="5382" max="5382" width="12"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22.140625" bestFit="1" customWidth="1"/>
    <col min="5394" max="5394" width="17.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19.28515625" bestFit="1" customWidth="1"/>
    <col min="5635" max="5635" width="43.85546875" customWidth="1"/>
    <col min="5636" max="5636" width="19.28515625" customWidth="1"/>
    <col min="5637" max="5637" width="15.28515625" bestFit="1" customWidth="1"/>
    <col min="5638" max="5638" width="12"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22.140625" bestFit="1" customWidth="1"/>
    <col min="5650" max="5650" width="17.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19.28515625" bestFit="1" customWidth="1"/>
    <col min="5891" max="5891" width="43.85546875" customWidth="1"/>
    <col min="5892" max="5892" width="19.28515625" customWidth="1"/>
    <col min="5893" max="5893" width="15.28515625" bestFit="1" customWidth="1"/>
    <col min="5894" max="5894" width="12"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22.140625" bestFit="1" customWidth="1"/>
    <col min="5906" max="5906" width="17.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19.28515625" bestFit="1" customWidth="1"/>
    <col min="6147" max="6147" width="43.85546875" customWidth="1"/>
    <col min="6148" max="6148" width="19.28515625" customWidth="1"/>
    <col min="6149" max="6149" width="15.28515625" bestFit="1" customWidth="1"/>
    <col min="6150" max="6150" width="12"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22.140625" bestFit="1" customWidth="1"/>
    <col min="6162" max="6162" width="17.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19.28515625" bestFit="1" customWidth="1"/>
    <col min="6403" max="6403" width="43.85546875" customWidth="1"/>
    <col min="6404" max="6404" width="19.28515625" customWidth="1"/>
    <col min="6405" max="6405" width="15.28515625" bestFit="1" customWidth="1"/>
    <col min="6406" max="6406" width="12"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22.140625" bestFit="1" customWidth="1"/>
    <col min="6418" max="6418" width="17.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19.28515625" bestFit="1" customWidth="1"/>
    <col min="6659" max="6659" width="43.85546875" customWidth="1"/>
    <col min="6660" max="6660" width="19.28515625" customWidth="1"/>
    <col min="6661" max="6661" width="15.28515625" bestFit="1" customWidth="1"/>
    <col min="6662" max="6662" width="12"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22.140625" bestFit="1" customWidth="1"/>
    <col min="6674" max="6674" width="17.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19.28515625" bestFit="1" customWidth="1"/>
    <col min="6915" max="6915" width="43.85546875" customWidth="1"/>
    <col min="6916" max="6916" width="19.28515625" customWidth="1"/>
    <col min="6917" max="6917" width="15.28515625" bestFit="1" customWidth="1"/>
    <col min="6918" max="6918" width="12"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22.140625" bestFit="1" customWidth="1"/>
    <col min="6930" max="6930" width="17.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19.28515625" bestFit="1" customWidth="1"/>
    <col min="7171" max="7171" width="43.85546875" customWidth="1"/>
    <col min="7172" max="7172" width="19.28515625" customWidth="1"/>
    <col min="7173" max="7173" width="15.28515625" bestFit="1" customWidth="1"/>
    <col min="7174" max="7174" width="12"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22.140625" bestFit="1" customWidth="1"/>
    <col min="7186" max="7186" width="17.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19.28515625" bestFit="1" customWidth="1"/>
    <col min="7427" max="7427" width="43.85546875" customWidth="1"/>
    <col min="7428" max="7428" width="19.28515625" customWidth="1"/>
    <col min="7429" max="7429" width="15.28515625" bestFit="1" customWidth="1"/>
    <col min="7430" max="7430" width="12"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22.140625" bestFit="1" customWidth="1"/>
    <col min="7442" max="7442" width="17.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19.28515625" bestFit="1" customWidth="1"/>
    <col min="7683" max="7683" width="43.85546875" customWidth="1"/>
    <col min="7684" max="7684" width="19.28515625" customWidth="1"/>
    <col min="7685" max="7685" width="15.28515625" bestFit="1" customWidth="1"/>
    <col min="7686" max="7686" width="12"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22.140625" bestFit="1" customWidth="1"/>
    <col min="7698" max="7698" width="17.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19.28515625" bestFit="1" customWidth="1"/>
    <col min="7939" max="7939" width="43.85546875" customWidth="1"/>
    <col min="7940" max="7940" width="19.28515625" customWidth="1"/>
    <col min="7941" max="7941" width="15.28515625" bestFit="1" customWidth="1"/>
    <col min="7942" max="7942" width="12"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22.140625" bestFit="1" customWidth="1"/>
    <col min="7954" max="7954" width="17.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19.28515625" bestFit="1" customWidth="1"/>
    <col min="8195" max="8195" width="43.85546875" customWidth="1"/>
    <col min="8196" max="8196" width="19.28515625" customWidth="1"/>
    <col min="8197" max="8197" width="15.28515625" bestFit="1" customWidth="1"/>
    <col min="8198" max="8198" width="12"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22.140625" bestFit="1" customWidth="1"/>
    <col min="8210" max="8210" width="17.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19.28515625" bestFit="1" customWidth="1"/>
    <col min="8451" max="8451" width="43.85546875" customWidth="1"/>
    <col min="8452" max="8452" width="19.28515625" customWidth="1"/>
    <col min="8453" max="8453" width="15.28515625" bestFit="1" customWidth="1"/>
    <col min="8454" max="8454" width="12"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22.140625" bestFit="1" customWidth="1"/>
    <col min="8466" max="8466" width="17.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19.28515625" bestFit="1" customWidth="1"/>
    <col min="8707" max="8707" width="43.85546875" customWidth="1"/>
    <col min="8708" max="8708" width="19.28515625" customWidth="1"/>
    <col min="8709" max="8709" width="15.28515625" bestFit="1" customWidth="1"/>
    <col min="8710" max="8710" width="12"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22.140625" bestFit="1" customWidth="1"/>
    <col min="8722" max="8722" width="17.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19.28515625" bestFit="1" customWidth="1"/>
    <col min="8963" max="8963" width="43.85546875" customWidth="1"/>
    <col min="8964" max="8964" width="19.28515625" customWidth="1"/>
    <col min="8965" max="8965" width="15.28515625" bestFit="1" customWidth="1"/>
    <col min="8966" max="8966" width="12"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22.140625" bestFit="1" customWidth="1"/>
    <col min="8978" max="8978" width="17.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19.28515625" bestFit="1" customWidth="1"/>
    <col min="9219" max="9219" width="43.85546875" customWidth="1"/>
    <col min="9220" max="9220" width="19.28515625" customWidth="1"/>
    <col min="9221" max="9221" width="15.28515625" bestFit="1" customWidth="1"/>
    <col min="9222" max="9222" width="12"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22.140625" bestFit="1" customWidth="1"/>
    <col min="9234" max="9234" width="17.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19.28515625" bestFit="1" customWidth="1"/>
    <col min="9475" max="9475" width="43.85546875" customWidth="1"/>
    <col min="9476" max="9476" width="19.28515625" customWidth="1"/>
    <col min="9477" max="9477" width="15.28515625" bestFit="1" customWidth="1"/>
    <col min="9478" max="9478" width="12"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22.140625" bestFit="1" customWidth="1"/>
    <col min="9490" max="9490" width="17.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19.28515625" bestFit="1" customWidth="1"/>
    <col min="9731" max="9731" width="43.85546875" customWidth="1"/>
    <col min="9732" max="9732" width="19.28515625" customWidth="1"/>
    <col min="9733" max="9733" width="15.28515625" bestFit="1" customWidth="1"/>
    <col min="9734" max="9734" width="12"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22.140625" bestFit="1" customWidth="1"/>
    <col min="9746" max="9746" width="17.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19.28515625" bestFit="1" customWidth="1"/>
    <col min="9987" max="9987" width="43.85546875" customWidth="1"/>
    <col min="9988" max="9988" width="19.28515625" customWidth="1"/>
    <col min="9989" max="9989" width="15.28515625" bestFit="1" customWidth="1"/>
    <col min="9990" max="9990" width="12"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22.140625" bestFit="1" customWidth="1"/>
    <col min="10002" max="10002" width="17.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19.28515625" bestFit="1" customWidth="1"/>
    <col min="10243" max="10243" width="43.85546875" customWidth="1"/>
    <col min="10244" max="10244" width="19.28515625" customWidth="1"/>
    <col min="10245" max="10245" width="15.28515625" bestFit="1" customWidth="1"/>
    <col min="10246" max="10246" width="12"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22.140625" bestFit="1" customWidth="1"/>
    <col min="10258" max="10258" width="17.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19.28515625" bestFit="1" customWidth="1"/>
    <col min="10499" max="10499" width="43.85546875" customWidth="1"/>
    <col min="10500" max="10500" width="19.28515625" customWidth="1"/>
    <col min="10501" max="10501" width="15.28515625" bestFit="1" customWidth="1"/>
    <col min="10502" max="10502" width="12"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22.140625" bestFit="1" customWidth="1"/>
    <col min="10514" max="10514" width="17.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19.28515625" bestFit="1" customWidth="1"/>
    <col min="10755" max="10755" width="43.85546875" customWidth="1"/>
    <col min="10756" max="10756" width="19.28515625" customWidth="1"/>
    <col min="10757" max="10757" width="15.28515625" bestFit="1" customWidth="1"/>
    <col min="10758" max="10758" width="12"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22.140625" bestFit="1" customWidth="1"/>
    <col min="10770" max="10770" width="17.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19.28515625" bestFit="1" customWidth="1"/>
    <col min="11011" max="11011" width="43.85546875" customWidth="1"/>
    <col min="11012" max="11012" width="19.28515625" customWidth="1"/>
    <col min="11013" max="11013" width="15.28515625" bestFit="1" customWidth="1"/>
    <col min="11014" max="11014" width="12"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22.140625" bestFit="1" customWidth="1"/>
    <col min="11026" max="11026" width="17.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19.28515625" bestFit="1" customWidth="1"/>
    <col min="11267" max="11267" width="43.85546875" customWidth="1"/>
    <col min="11268" max="11268" width="19.28515625" customWidth="1"/>
    <col min="11269" max="11269" width="15.28515625" bestFit="1" customWidth="1"/>
    <col min="11270" max="11270" width="12"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22.140625" bestFit="1" customWidth="1"/>
    <col min="11282" max="11282" width="17.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19.28515625" bestFit="1" customWidth="1"/>
    <col min="11523" max="11523" width="43.85546875" customWidth="1"/>
    <col min="11524" max="11524" width="19.28515625" customWidth="1"/>
    <col min="11525" max="11525" width="15.28515625" bestFit="1" customWidth="1"/>
    <col min="11526" max="11526" width="12"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22.140625" bestFit="1" customWidth="1"/>
    <col min="11538" max="11538" width="17.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19.28515625" bestFit="1" customWidth="1"/>
    <col min="11779" max="11779" width="43.85546875" customWidth="1"/>
    <col min="11780" max="11780" width="19.28515625" customWidth="1"/>
    <col min="11781" max="11781" width="15.28515625" bestFit="1" customWidth="1"/>
    <col min="11782" max="11782" width="12"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22.140625" bestFit="1" customWidth="1"/>
    <col min="11794" max="11794" width="17.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19.28515625" bestFit="1" customWidth="1"/>
    <col min="12035" max="12035" width="43.85546875" customWidth="1"/>
    <col min="12036" max="12036" width="19.28515625" customWidth="1"/>
    <col min="12037" max="12037" width="15.28515625" bestFit="1" customWidth="1"/>
    <col min="12038" max="12038" width="12"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22.140625" bestFit="1" customWidth="1"/>
    <col min="12050" max="12050" width="17.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19.28515625" bestFit="1" customWidth="1"/>
    <col min="12291" max="12291" width="43.85546875" customWidth="1"/>
    <col min="12292" max="12292" width="19.28515625" customWidth="1"/>
    <col min="12293" max="12293" width="15.28515625" bestFit="1" customWidth="1"/>
    <col min="12294" max="12294" width="12"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22.140625" bestFit="1" customWidth="1"/>
    <col min="12306" max="12306" width="17.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19.28515625" bestFit="1" customWidth="1"/>
    <col min="12547" max="12547" width="43.85546875" customWidth="1"/>
    <col min="12548" max="12548" width="19.28515625" customWidth="1"/>
    <col min="12549" max="12549" width="15.28515625" bestFit="1" customWidth="1"/>
    <col min="12550" max="12550" width="12"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22.140625" bestFit="1" customWidth="1"/>
    <col min="12562" max="12562" width="17.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19.28515625" bestFit="1" customWidth="1"/>
    <col min="12803" max="12803" width="43.85546875" customWidth="1"/>
    <col min="12804" max="12804" width="19.28515625" customWidth="1"/>
    <col min="12805" max="12805" width="15.28515625" bestFit="1" customWidth="1"/>
    <col min="12806" max="12806" width="12"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22.140625" bestFit="1" customWidth="1"/>
    <col min="12818" max="12818" width="17.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19.28515625" bestFit="1" customWidth="1"/>
    <col min="13059" max="13059" width="43.85546875" customWidth="1"/>
    <col min="13060" max="13060" width="19.28515625" customWidth="1"/>
    <col min="13061" max="13061" width="15.28515625" bestFit="1" customWidth="1"/>
    <col min="13062" max="13062" width="12"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22.140625" bestFit="1" customWidth="1"/>
    <col min="13074" max="13074" width="17.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19.28515625" bestFit="1" customWidth="1"/>
    <col min="13315" max="13315" width="43.85546875" customWidth="1"/>
    <col min="13316" max="13316" width="19.28515625" customWidth="1"/>
    <col min="13317" max="13317" width="15.28515625" bestFit="1" customWidth="1"/>
    <col min="13318" max="13318" width="12"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22.140625" bestFit="1" customWidth="1"/>
    <col min="13330" max="13330" width="17.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19.28515625" bestFit="1" customWidth="1"/>
    <col min="13571" max="13571" width="43.85546875" customWidth="1"/>
    <col min="13572" max="13572" width="19.28515625" customWidth="1"/>
    <col min="13573" max="13573" width="15.28515625" bestFit="1" customWidth="1"/>
    <col min="13574" max="13574" width="12"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22.140625" bestFit="1" customWidth="1"/>
    <col min="13586" max="13586" width="17.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19.28515625" bestFit="1" customWidth="1"/>
    <col min="13827" max="13827" width="43.85546875" customWidth="1"/>
    <col min="13828" max="13828" width="19.28515625" customWidth="1"/>
    <col min="13829" max="13829" width="15.28515625" bestFit="1" customWidth="1"/>
    <col min="13830" max="13830" width="12"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22.140625" bestFit="1" customWidth="1"/>
    <col min="13842" max="13842" width="17.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19.28515625" bestFit="1" customWidth="1"/>
    <col min="14083" max="14083" width="43.85546875" customWidth="1"/>
    <col min="14084" max="14084" width="19.28515625" customWidth="1"/>
    <col min="14085" max="14085" width="15.28515625" bestFit="1" customWidth="1"/>
    <col min="14086" max="14086" width="12"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22.140625" bestFit="1" customWidth="1"/>
    <col min="14098" max="14098" width="17.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19.28515625" bestFit="1" customWidth="1"/>
    <col min="14339" max="14339" width="43.85546875" customWidth="1"/>
    <col min="14340" max="14340" width="19.28515625" customWidth="1"/>
    <col min="14341" max="14341" width="15.28515625" bestFit="1" customWidth="1"/>
    <col min="14342" max="14342" width="12"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22.140625" bestFit="1" customWidth="1"/>
    <col min="14354" max="14354" width="17.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19.28515625" bestFit="1" customWidth="1"/>
    <col min="14595" max="14595" width="43.85546875" customWidth="1"/>
    <col min="14596" max="14596" width="19.28515625" customWidth="1"/>
    <col min="14597" max="14597" width="15.28515625" bestFit="1" customWidth="1"/>
    <col min="14598" max="14598" width="12"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22.140625" bestFit="1" customWidth="1"/>
    <col min="14610" max="14610" width="17.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19.28515625" bestFit="1" customWidth="1"/>
    <col min="14851" max="14851" width="43.85546875" customWidth="1"/>
    <col min="14852" max="14852" width="19.28515625" customWidth="1"/>
    <col min="14853" max="14853" width="15.28515625" bestFit="1" customWidth="1"/>
    <col min="14854" max="14854" width="12"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22.140625" bestFit="1" customWidth="1"/>
    <col min="14866" max="14866" width="17.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19.28515625" bestFit="1" customWidth="1"/>
    <col min="15107" max="15107" width="43.85546875" customWidth="1"/>
    <col min="15108" max="15108" width="19.28515625" customWidth="1"/>
    <col min="15109" max="15109" width="15.28515625" bestFit="1" customWidth="1"/>
    <col min="15110" max="15110" width="12"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22.140625" bestFit="1" customWidth="1"/>
    <col min="15122" max="15122" width="17.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19.28515625" bestFit="1" customWidth="1"/>
    <col min="15363" max="15363" width="43.85546875" customWidth="1"/>
    <col min="15364" max="15364" width="19.28515625" customWidth="1"/>
    <col min="15365" max="15365" width="15.28515625" bestFit="1" customWidth="1"/>
    <col min="15366" max="15366" width="12"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22.140625" bestFit="1" customWidth="1"/>
    <col min="15378" max="15378" width="17.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19.28515625" bestFit="1" customWidth="1"/>
    <col min="15619" max="15619" width="43.85546875" customWidth="1"/>
    <col min="15620" max="15620" width="19.28515625" customWidth="1"/>
    <col min="15621" max="15621" width="15.28515625" bestFit="1" customWidth="1"/>
    <col min="15622" max="15622" width="12"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22.140625" bestFit="1" customWidth="1"/>
    <col min="15634" max="15634" width="17.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19.28515625" bestFit="1" customWidth="1"/>
    <col min="15875" max="15875" width="43.85546875" customWidth="1"/>
    <col min="15876" max="15876" width="19.28515625" customWidth="1"/>
    <col min="15877" max="15877" width="15.28515625" bestFit="1" customWidth="1"/>
    <col min="15878" max="15878" width="12"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22.140625" bestFit="1" customWidth="1"/>
    <col min="15890" max="15890" width="17.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19.28515625" bestFit="1" customWidth="1"/>
    <col min="16131" max="16131" width="43.85546875" customWidth="1"/>
    <col min="16132" max="16132" width="19.28515625" customWidth="1"/>
    <col min="16133" max="16133" width="15.28515625" bestFit="1" customWidth="1"/>
    <col min="16134" max="16134" width="12"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22.140625" bestFit="1" customWidth="1"/>
    <col min="16146" max="16146" width="17.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3.5" customHeight="1" thickBot="1">
      <c r="B1" s="3461"/>
      <c r="D1" s="368"/>
      <c r="F1" s="198"/>
      <c r="G1" s="198">
        <f>C3</f>
        <v>18230738</v>
      </c>
      <c r="H1" s="198" t="str">
        <f>C4</f>
        <v>Home Energy Reports G</v>
      </c>
      <c r="I1" s="198"/>
    </row>
    <row r="2" spans="2:22" ht="16.5" thickBot="1">
      <c r="B2" s="198" t="s">
        <v>109</v>
      </c>
      <c r="C2" s="199" t="s">
        <v>636</v>
      </c>
      <c r="G2" s="200" t="s">
        <v>8</v>
      </c>
      <c r="Q2" s="5133" t="s">
        <v>556</v>
      </c>
      <c r="R2" s="5133"/>
      <c r="S2" s="5124" t="s">
        <v>110</v>
      </c>
      <c r="T2" s="5125"/>
      <c r="U2" s="5126"/>
      <c r="V2" s="5118" t="s">
        <v>111</v>
      </c>
    </row>
    <row r="3" spans="2:22" ht="16.5" thickBot="1">
      <c r="B3" s="199" t="s">
        <v>6</v>
      </c>
      <c r="C3" s="199">
        <v>18230738</v>
      </c>
      <c r="D3" s="369"/>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638</v>
      </c>
      <c r="F4" s="198">
        <v>2011</v>
      </c>
      <c r="G4" s="206">
        <f>B13</f>
        <v>11532</v>
      </c>
      <c r="H4" s="207">
        <f>B18</f>
        <v>1200</v>
      </c>
      <c r="I4" s="207">
        <f>B23</f>
        <v>8021</v>
      </c>
      <c r="J4" s="207">
        <f>B28</f>
        <v>3600</v>
      </c>
      <c r="K4" s="207">
        <f>B33</f>
        <v>243</v>
      </c>
      <c r="L4" s="207">
        <f>B38</f>
        <v>133131</v>
      </c>
      <c r="M4" s="207">
        <f>B43</f>
        <v>0</v>
      </c>
      <c r="N4" s="207">
        <f>B48</f>
        <v>779</v>
      </c>
      <c r="O4" s="207">
        <f>B53</f>
        <v>97138</v>
      </c>
      <c r="P4" s="207">
        <f>B54</f>
        <v>0</v>
      </c>
      <c r="Q4" s="209">
        <f>B55</f>
        <v>255644</v>
      </c>
      <c r="R4" s="355">
        <f>T55</f>
        <v>0</v>
      </c>
      <c r="S4" s="316">
        <f>O4/Q4</f>
        <v>0.37997371344525982</v>
      </c>
      <c r="T4" s="316">
        <f>(J4+(H4*1.63))/Q4</f>
        <v>2.1733347936974855E-2</v>
      </c>
      <c r="U4" s="316">
        <f>L4/Q4</f>
        <v>0.52076716058268535</v>
      </c>
      <c r="V4" s="212" t="e">
        <f>Q4/R4</f>
        <v>#DIV/0!</v>
      </c>
    </row>
    <row r="5" spans="2:22" ht="16.5" thickBot="1">
      <c r="B5" s="198" t="s">
        <v>33</v>
      </c>
      <c r="F5" s="198">
        <v>2012</v>
      </c>
      <c r="G5" s="213">
        <f>D13</f>
        <v>8337.5999999999985</v>
      </c>
      <c r="H5" s="214">
        <f>D18</f>
        <v>6000</v>
      </c>
      <c r="I5" s="214">
        <f>D23</f>
        <v>9032.6879999999983</v>
      </c>
      <c r="J5" s="214">
        <f>D28</f>
        <v>0</v>
      </c>
      <c r="K5" s="214">
        <f>D33</f>
        <v>0</v>
      </c>
      <c r="L5" s="214">
        <f>D38</f>
        <v>37149</v>
      </c>
      <c r="M5" s="214">
        <f>D43</f>
        <v>0</v>
      </c>
      <c r="N5" s="214">
        <f>D48</f>
        <v>0</v>
      </c>
      <c r="O5" s="214">
        <f>D53</f>
        <v>37149</v>
      </c>
      <c r="P5" s="214">
        <f>D54</f>
        <v>0</v>
      </c>
      <c r="Q5" s="215">
        <f>SUM(G5:P5)</f>
        <v>97668.288</v>
      </c>
      <c r="R5" s="356">
        <f>P55</f>
        <v>346724</v>
      </c>
      <c r="S5" s="317">
        <f>O5/Q5</f>
        <v>0.38035887349637992</v>
      </c>
      <c r="T5" s="317">
        <f>(J5+(H5*1.63))/Q5</f>
        <v>0.10013485646436231</v>
      </c>
      <c r="U5" s="317">
        <f>L5/Q5</f>
        <v>0.38035887349637992</v>
      </c>
      <c r="V5" s="218">
        <f>Q5/R5</f>
        <v>0.28168885915021746</v>
      </c>
    </row>
    <row r="6" spans="2:22" s="3532" customFormat="1" ht="16.5" thickBot="1">
      <c r="B6" s="3536"/>
      <c r="D6" s="3533"/>
      <c r="F6" s="4249" t="s">
        <v>1168</v>
      </c>
      <c r="G6" s="3547">
        <v>8587.7250000000004</v>
      </c>
      <c r="H6" s="3548">
        <v>6150</v>
      </c>
      <c r="I6" s="3548">
        <v>9284.7667500000007</v>
      </c>
      <c r="J6" s="3548">
        <v>0</v>
      </c>
      <c r="K6" s="3548">
        <v>0</v>
      </c>
      <c r="L6" s="3548">
        <v>37149</v>
      </c>
      <c r="M6" s="3548">
        <v>0</v>
      </c>
      <c r="N6" s="3548">
        <v>0</v>
      </c>
      <c r="O6" s="3548">
        <v>37149</v>
      </c>
      <c r="P6" s="3548">
        <v>0</v>
      </c>
      <c r="Q6" s="3549">
        <v>98320.491750000001</v>
      </c>
      <c r="R6" s="3610">
        <v>346724</v>
      </c>
      <c r="S6" s="3637">
        <v>0.37783578314944705</v>
      </c>
      <c r="T6" s="3637">
        <v>0.10195738265314362</v>
      </c>
      <c r="U6" s="3637">
        <v>0.37783578314944705</v>
      </c>
      <c r="V6" s="3498">
        <v>0.28356990502532275</v>
      </c>
    </row>
    <row r="7" spans="2:22" ht="16.5" thickBot="1">
      <c r="C7" s="198" t="s">
        <v>373</v>
      </c>
      <c r="F7" s="4281" t="s">
        <v>1169</v>
      </c>
      <c r="G7" s="4195">
        <f>E13</f>
        <v>8587.7250000000004</v>
      </c>
      <c r="H7" s="4196">
        <f>E18</f>
        <v>6150</v>
      </c>
      <c r="I7" s="4196">
        <f>E23</f>
        <v>10419.571575</v>
      </c>
      <c r="J7" s="4196">
        <f>E28</f>
        <v>0</v>
      </c>
      <c r="K7" s="4196">
        <f>E33</f>
        <v>0</v>
      </c>
      <c r="L7" s="4196">
        <f>E38</f>
        <v>37149</v>
      </c>
      <c r="M7" s="4196">
        <f>E43</f>
        <v>0</v>
      </c>
      <c r="N7" s="4196">
        <f>E48</f>
        <v>0</v>
      </c>
      <c r="O7" s="4196">
        <f>E53</f>
        <v>37149</v>
      </c>
      <c r="P7" s="4196">
        <f>E54</f>
        <v>0</v>
      </c>
      <c r="Q7" s="4197">
        <f>SUM(G7:P7)</f>
        <v>99455.296575</v>
      </c>
      <c r="R7" s="4198">
        <f>Q55</f>
        <v>346724</v>
      </c>
      <c r="S7" s="317">
        <f>O7/Q7</f>
        <v>0.37352460129647952</v>
      </c>
      <c r="T7" s="317">
        <f>(J7+(H7*1.63))/Q7</f>
        <v>0.10079402852557429</v>
      </c>
      <c r="U7" s="317">
        <f>L7/Q7</f>
        <v>0.37352460129647952</v>
      </c>
      <c r="V7" s="218">
        <f>Q7/R7</f>
        <v>0.28684283918909564</v>
      </c>
    </row>
    <row r="8" spans="2:22" ht="16.5" thickBot="1">
      <c r="C8" s="220" t="s">
        <v>548</v>
      </c>
      <c r="F8" s="3611" t="s">
        <v>1175</v>
      </c>
      <c r="G8" s="357">
        <f>SUM(G5+G7)</f>
        <v>16925.324999999997</v>
      </c>
      <c r="H8" s="3612">
        <f t="shared" ref="H8:R8" si="0">SUM(H5+H7)</f>
        <v>12150</v>
      </c>
      <c r="I8" s="3612">
        <f t="shared" si="0"/>
        <v>19452.259574999996</v>
      </c>
      <c r="J8" s="3612">
        <f t="shared" si="0"/>
        <v>0</v>
      </c>
      <c r="K8" s="3612">
        <f t="shared" si="0"/>
        <v>0</v>
      </c>
      <c r="L8" s="3612">
        <f t="shared" si="0"/>
        <v>74298</v>
      </c>
      <c r="M8" s="3612">
        <f t="shared" si="0"/>
        <v>0</v>
      </c>
      <c r="N8" s="3612">
        <f t="shared" si="0"/>
        <v>0</v>
      </c>
      <c r="O8" s="3612">
        <f t="shared" si="0"/>
        <v>74298</v>
      </c>
      <c r="P8" s="3612">
        <f t="shared" si="0"/>
        <v>0</v>
      </c>
      <c r="Q8" s="3612">
        <f t="shared" si="0"/>
        <v>197123.58457499999</v>
      </c>
      <c r="R8" s="3610">
        <f t="shared" si="0"/>
        <v>693448</v>
      </c>
      <c r="S8" s="317">
        <f>O8/Q8</f>
        <v>0.37691075961401105</v>
      </c>
      <c r="T8" s="317">
        <f>(J8+(H8*1.63))/Q8</f>
        <v>0.10046743033157934</v>
      </c>
      <c r="U8" s="317">
        <f>L8/Q8</f>
        <v>0.37691075961401105</v>
      </c>
      <c r="V8" s="218">
        <f>Q8/R8</f>
        <v>0.28426584916965653</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11532</v>
      </c>
      <c r="C13" s="236" t="s">
        <v>138</v>
      </c>
      <c r="D13" s="338">
        <f>SUM(D14:D17)</f>
        <v>8337.5999999999985</v>
      </c>
      <c r="E13" s="338">
        <f>SUM(E14:E17)</f>
        <v>8587.7250000000004</v>
      </c>
      <c r="F13" s="374">
        <f>D13+E13</f>
        <v>16925.324999999997</v>
      </c>
      <c r="H13" s="132"/>
      <c r="I13" s="239" t="str">
        <f t="shared" ref="I13:I54" si="1">C63</f>
        <v>Home Energy Reports - OPOWER</v>
      </c>
      <c r="J13" s="240"/>
      <c r="K13" s="241"/>
      <c r="L13" s="360">
        <f t="shared" ref="L13:L54" si="2">D63</f>
        <v>14</v>
      </c>
      <c r="M13" s="257">
        <v>24766</v>
      </c>
      <c r="N13" s="257">
        <v>24766</v>
      </c>
      <c r="O13" s="244">
        <f>M13+N13</f>
        <v>49532</v>
      </c>
      <c r="P13" s="361">
        <f t="shared" ref="P13:R28" si="3">M13*$D63</f>
        <v>346724</v>
      </c>
      <c r="Q13" s="361">
        <f t="shared" si="3"/>
        <v>346724</v>
      </c>
      <c r="R13" s="362">
        <f t="shared" si="3"/>
        <v>693448</v>
      </c>
      <c r="T13" s="3535"/>
    </row>
    <row r="14" spans="2:22">
      <c r="B14" s="247"/>
      <c r="C14" s="248" t="s">
        <v>239</v>
      </c>
      <c r="D14" s="341">
        <v>5558.4</v>
      </c>
      <c r="E14" s="341">
        <v>5725.15</v>
      </c>
      <c r="F14" s="341">
        <f>SUM(D14:E14)</f>
        <v>11283.55</v>
      </c>
      <c r="H14" s="132"/>
      <c r="I14" s="250" t="str">
        <f t="shared" si="1"/>
        <v>Measure 2</v>
      </c>
      <c r="J14" s="251"/>
      <c r="K14" s="252"/>
      <c r="L14" s="360">
        <f t="shared" si="2"/>
        <v>0</v>
      </c>
      <c r="M14" s="257">
        <v>40000</v>
      </c>
      <c r="N14" s="257">
        <v>40000</v>
      </c>
      <c r="O14" s="244">
        <f t="shared" ref="O14:O54" si="4">M14+N14</f>
        <v>80000</v>
      </c>
      <c r="P14" s="361">
        <f t="shared" si="3"/>
        <v>0</v>
      </c>
      <c r="Q14" s="361">
        <f t="shared" si="3"/>
        <v>0</v>
      </c>
      <c r="R14" s="362">
        <f t="shared" si="3"/>
        <v>0</v>
      </c>
      <c r="T14" s="3535"/>
    </row>
    <row r="15" spans="2:22">
      <c r="B15" s="254"/>
      <c r="C15" s="255" t="s">
        <v>376</v>
      </c>
      <c r="D15" s="341">
        <v>0</v>
      </c>
      <c r="E15" s="341">
        <v>0</v>
      </c>
      <c r="F15" s="341">
        <f t="shared" ref="F15:F25" si="5">SUM(D15:E15)</f>
        <v>0</v>
      </c>
      <c r="H15" s="132"/>
      <c r="I15" s="250" t="str">
        <f t="shared" si="1"/>
        <v>Measure 3</v>
      </c>
      <c r="J15" s="251"/>
      <c r="K15" s="252"/>
      <c r="L15" s="360">
        <f t="shared" si="2"/>
        <v>0</v>
      </c>
      <c r="M15" s="257">
        <v>0</v>
      </c>
      <c r="N15" s="257">
        <v>0</v>
      </c>
      <c r="O15" s="244">
        <f t="shared" si="4"/>
        <v>0</v>
      </c>
      <c r="P15" s="361">
        <f t="shared" si="3"/>
        <v>0</v>
      </c>
      <c r="Q15" s="361">
        <f t="shared" si="3"/>
        <v>0</v>
      </c>
      <c r="R15" s="362">
        <f t="shared" si="3"/>
        <v>0</v>
      </c>
      <c r="T15" s="3535"/>
    </row>
    <row r="16" spans="2:22">
      <c r="B16" s="254"/>
      <c r="C16" s="255" t="s">
        <v>377</v>
      </c>
      <c r="D16" s="344">
        <v>2779.2</v>
      </c>
      <c r="E16" s="344">
        <v>2862.5750000000003</v>
      </c>
      <c r="F16" s="341">
        <f t="shared" si="5"/>
        <v>5641.7749999999996</v>
      </c>
      <c r="H16" s="132"/>
      <c r="I16" s="250" t="str">
        <f t="shared" si="1"/>
        <v>Measure 4</v>
      </c>
      <c r="J16" s="251"/>
      <c r="K16" s="252"/>
      <c r="L16" s="360">
        <f t="shared" si="2"/>
        <v>0</v>
      </c>
      <c r="M16" s="257">
        <v>0</v>
      </c>
      <c r="N16" s="257">
        <v>0</v>
      </c>
      <c r="O16" s="244">
        <f t="shared" si="4"/>
        <v>0</v>
      </c>
      <c r="P16" s="361">
        <f t="shared" si="3"/>
        <v>0</v>
      </c>
      <c r="Q16" s="361">
        <f t="shared" si="3"/>
        <v>0</v>
      </c>
      <c r="R16" s="362">
        <f t="shared" si="3"/>
        <v>0</v>
      </c>
      <c r="T16" s="3535"/>
    </row>
    <row r="17" spans="2:20" ht="13.5" thickBot="1">
      <c r="B17" s="254"/>
      <c r="C17" s="255" t="s">
        <v>378</v>
      </c>
      <c r="D17" s="344">
        <v>0</v>
      </c>
      <c r="E17" s="344">
        <v>0</v>
      </c>
      <c r="F17" s="341">
        <f t="shared" si="5"/>
        <v>0</v>
      </c>
      <c r="H17" s="132"/>
      <c r="I17" s="250" t="str">
        <f t="shared" si="1"/>
        <v>Measure 5</v>
      </c>
      <c r="J17" s="251"/>
      <c r="K17" s="252"/>
      <c r="L17" s="360">
        <f t="shared" si="2"/>
        <v>0</v>
      </c>
      <c r="M17" s="257">
        <v>0</v>
      </c>
      <c r="N17" s="257">
        <v>0</v>
      </c>
      <c r="O17" s="244">
        <f t="shared" si="4"/>
        <v>0</v>
      </c>
      <c r="P17" s="361">
        <f t="shared" si="3"/>
        <v>0</v>
      </c>
      <c r="Q17" s="361">
        <f t="shared" si="3"/>
        <v>0</v>
      </c>
      <c r="R17" s="362">
        <f t="shared" si="3"/>
        <v>0</v>
      </c>
      <c r="T17" s="3535"/>
    </row>
    <row r="18" spans="2:20" ht="13.5" thickBot="1">
      <c r="B18" s="262">
        <v>1200</v>
      </c>
      <c r="C18" s="236" t="s">
        <v>143</v>
      </c>
      <c r="D18" s="338">
        <f>SUM(D19:D22)</f>
        <v>6000</v>
      </c>
      <c r="E18" s="338">
        <f>SUM(E19:E22)</f>
        <v>6150</v>
      </c>
      <c r="F18" s="374">
        <f>D18+E18</f>
        <v>12150</v>
      </c>
      <c r="H18" s="132"/>
      <c r="I18" s="250" t="str">
        <f t="shared" si="1"/>
        <v>Measure 6</v>
      </c>
      <c r="J18" s="251"/>
      <c r="K18" s="252"/>
      <c r="L18" s="360">
        <f t="shared" si="2"/>
        <v>0</v>
      </c>
      <c r="M18" s="257">
        <v>0</v>
      </c>
      <c r="N18" s="257">
        <v>0</v>
      </c>
      <c r="O18" s="244">
        <f t="shared" si="4"/>
        <v>0</v>
      </c>
      <c r="P18" s="361">
        <f t="shared" si="3"/>
        <v>0</v>
      </c>
      <c r="Q18" s="361">
        <f t="shared" si="3"/>
        <v>0</v>
      </c>
      <c r="R18" s="362">
        <f t="shared" si="3"/>
        <v>0</v>
      </c>
      <c r="T18" s="3535"/>
    </row>
    <row r="19" spans="2:20">
      <c r="B19" s="247"/>
      <c r="C19" s="330" t="s">
        <v>379</v>
      </c>
      <c r="D19" s="341">
        <v>3000</v>
      </c>
      <c r="E19" s="341">
        <v>3075</v>
      </c>
      <c r="F19" s="341">
        <f t="shared" si="5"/>
        <v>6075</v>
      </c>
      <c r="H19" s="132"/>
      <c r="I19" s="250" t="str">
        <f t="shared" si="1"/>
        <v>Measure 7</v>
      </c>
      <c r="J19" s="251"/>
      <c r="K19" s="252"/>
      <c r="L19" s="360">
        <f t="shared" si="2"/>
        <v>0</v>
      </c>
      <c r="M19" s="257">
        <v>0</v>
      </c>
      <c r="N19" s="257">
        <v>0</v>
      </c>
      <c r="O19" s="244">
        <f t="shared" si="4"/>
        <v>0</v>
      </c>
      <c r="P19" s="361">
        <f t="shared" si="3"/>
        <v>0</v>
      </c>
      <c r="Q19" s="361">
        <f t="shared" si="3"/>
        <v>0</v>
      </c>
      <c r="R19" s="362">
        <f t="shared" si="3"/>
        <v>0</v>
      </c>
      <c r="T19" s="3535"/>
    </row>
    <row r="20" spans="2:20">
      <c r="B20" s="254"/>
      <c r="C20" s="332" t="s">
        <v>380</v>
      </c>
      <c r="D20" s="341">
        <v>3000</v>
      </c>
      <c r="E20" s="341">
        <v>3075</v>
      </c>
      <c r="F20" s="341">
        <f t="shared" si="5"/>
        <v>6075</v>
      </c>
      <c r="H20" s="132"/>
      <c r="I20" s="250" t="str">
        <f t="shared" si="1"/>
        <v>Measure 8</v>
      </c>
      <c r="J20" s="251"/>
      <c r="K20" s="252"/>
      <c r="L20" s="360">
        <f t="shared" si="2"/>
        <v>0</v>
      </c>
      <c r="M20" s="257">
        <v>0</v>
      </c>
      <c r="N20" s="257">
        <v>0</v>
      </c>
      <c r="O20" s="244">
        <f t="shared" si="4"/>
        <v>0</v>
      </c>
      <c r="P20" s="361">
        <f t="shared" si="3"/>
        <v>0</v>
      </c>
      <c r="Q20" s="361">
        <f t="shared" si="3"/>
        <v>0</v>
      </c>
      <c r="R20" s="362">
        <f t="shared" si="3"/>
        <v>0</v>
      </c>
      <c r="T20" s="3535"/>
    </row>
    <row r="21" spans="2:20">
      <c r="B21" s="254"/>
      <c r="C21" s="255" t="s">
        <v>141</v>
      </c>
      <c r="D21" s="344">
        <v>0</v>
      </c>
      <c r="E21" s="344"/>
      <c r="F21" s="341">
        <f t="shared" si="5"/>
        <v>0</v>
      </c>
      <c r="H21" s="132"/>
      <c r="I21" s="250" t="str">
        <f t="shared" si="1"/>
        <v>Measure 9</v>
      </c>
      <c r="J21" s="251"/>
      <c r="K21" s="252"/>
      <c r="L21" s="360">
        <f t="shared" si="2"/>
        <v>0</v>
      </c>
      <c r="M21" s="257">
        <v>0</v>
      </c>
      <c r="N21" s="257">
        <v>0</v>
      </c>
      <c r="O21" s="244">
        <f t="shared" si="4"/>
        <v>0</v>
      </c>
      <c r="P21" s="361">
        <f t="shared" si="3"/>
        <v>0</v>
      </c>
      <c r="Q21" s="361">
        <f t="shared" si="3"/>
        <v>0</v>
      </c>
      <c r="R21" s="362">
        <f t="shared" si="3"/>
        <v>0</v>
      </c>
      <c r="T21" s="3535"/>
    </row>
    <row r="22" spans="2:20" ht="13.5" thickBot="1">
      <c r="B22" s="254"/>
      <c r="C22" s="255" t="s">
        <v>142</v>
      </c>
      <c r="D22" s="344">
        <v>0</v>
      </c>
      <c r="E22" s="344"/>
      <c r="F22" s="341">
        <f t="shared" si="5"/>
        <v>0</v>
      </c>
      <c r="H22" s="132"/>
      <c r="I22" s="250" t="str">
        <f t="shared" si="1"/>
        <v>Measure 10</v>
      </c>
      <c r="J22" s="251"/>
      <c r="K22" s="252"/>
      <c r="L22" s="360">
        <f t="shared" si="2"/>
        <v>0</v>
      </c>
      <c r="M22" s="257">
        <v>0</v>
      </c>
      <c r="N22" s="257">
        <v>0</v>
      </c>
      <c r="O22" s="244">
        <f t="shared" si="4"/>
        <v>0</v>
      </c>
      <c r="P22" s="361">
        <f t="shared" si="3"/>
        <v>0</v>
      </c>
      <c r="Q22" s="361">
        <f t="shared" si="3"/>
        <v>0</v>
      </c>
      <c r="R22" s="362">
        <f t="shared" si="3"/>
        <v>0</v>
      </c>
      <c r="T22" s="3535"/>
    </row>
    <row r="23" spans="2:20" ht="13.5" thickBot="1">
      <c r="B23" s="262">
        <v>8021</v>
      </c>
      <c r="C23" s="236" t="s">
        <v>144</v>
      </c>
      <c r="D23" s="338">
        <f>SUM(D24:D27)</f>
        <v>9032.6879999999983</v>
      </c>
      <c r="E23" s="338">
        <f>SUM(E24:E27)</f>
        <v>10419.571575</v>
      </c>
      <c r="F23" s="374">
        <f>D23+E23</f>
        <v>19452.259574999996</v>
      </c>
      <c r="G23" s="53"/>
      <c r="H23" s="132"/>
      <c r="I23" s="250" t="str">
        <f t="shared" si="1"/>
        <v>Measure 11</v>
      </c>
      <c r="J23" s="251"/>
      <c r="K23" s="252"/>
      <c r="L23" s="360">
        <f t="shared" si="2"/>
        <v>0</v>
      </c>
      <c r="M23" s="257">
        <v>0</v>
      </c>
      <c r="N23" s="257">
        <v>0</v>
      </c>
      <c r="O23" s="244">
        <f t="shared" si="4"/>
        <v>0</v>
      </c>
      <c r="P23" s="361">
        <f t="shared" si="3"/>
        <v>0</v>
      </c>
      <c r="Q23" s="361">
        <f t="shared" si="3"/>
        <v>0</v>
      </c>
      <c r="R23" s="362">
        <f t="shared" si="3"/>
        <v>0</v>
      </c>
      <c r="T23" s="3535"/>
    </row>
    <row r="24" spans="2:20">
      <c r="B24" s="247"/>
      <c r="C24" s="3566" t="s">
        <v>1434</v>
      </c>
      <c r="D24" s="341">
        <f>0.63*D13</f>
        <v>5252.6879999999992</v>
      </c>
      <c r="E24" s="341">
        <f>0.707*E13</f>
        <v>6071.5215749999998</v>
      </c>
      <c r="F24" s="341">
        <f t="shared" si="5"/>
        <v>11324.209574999999</v>
      </c>
      <c r="H24" s="132"/>
      <c r="I24" s="250" t="str">
        <f t="shared" si="1"/>
        <v>Measure 12</v>
      </c>
      <c r="J24" s="251"/>
      <c r="K24" s="252"/>
      <c r="L24" s="360">
        <f t="shared" si="2"/>
        <v>0</v>
      </c>
      <c r="M24" s="257">
        <v>0</v>
      </c>
      <c r="N24" s="257">
        <v>0</v>
      </c>
      <c r="O24" s="244">
        <f t="shared" si="4"/>
        <v>0</v>
      </c>
      <c r="P24" s="361">
        <f t="shared" si="3"/>
        <v>0</v>
      </c>
      <c r="Q24" s="361">
        <f t="shared" si="3"/>
        <v>0</v>
      </c>
      <c r="R24" s="362">
        <f t="shared" si="3"/>
        <v>0</v>
      </c>
      <c r="T24" s="3535"/>
    </row>
    <row r="25" spans="2:20">
      <c r="B25" s="247"/>
      <c r="C25" s="3566" t="s">
        <v>1435</v>
      </c>
      <c r="D25" s="335">
        <f>0.63*D18</f>
        <v>3780</v>
      </c>
      <c r="E25" s="335">
        <f>0.707*E18</f>
        <v>4348.05</v>
      </c>
      <c r="F25" s="341">
        <f t="shared" si="5"/>
        <v>8128.05</v>
      </c>
      <c r="H25" s="132"/>
      <c r="I25" s="250" t="str">
        <f t="shared" si="1"/>
        <v>Measure 13</v>
      </c>
      <c r="J25" s="251"/>
      <c r="K25" s="252"/>
      <c r="L25" s="360">
        <f t="shared" si="2"/>
        <v>0</v>
      </c>
      <c r="M25" s="257">
        <v>0</v>
      </c>
      <c r="N25" s="257">
        <v>0</v>
      </c>
      <c r="O25" s="244">
        <f t="shared" si="4"/>
        <v>0</v>
      </c>
      <c r="P25" s="361">
        <f t="shared" si="3"/>
        <v>0</v>
      </c>
      <c r="Q25" s="361">
        <f t="shared" si="3"/>
        <v>0</v>
      </c>
      <c r="R25" s="362">
        <f t="shared" si="3"/>
        <v>0</v>
      </c>
      <c r="T25" s="3535"/>
    </row>
    <row r="26" spans="2:20">
      <c r="B26" s="254"/>
      <c r="C26" s="255"/>
      <c r="D26" s="344"/>
      <c r="E26" s="344"/>
      <c r="F26" s="344"/>
      <c r="H26" s="132"/>
      <c r="I26" s="250" t="str">
        <f t="shared" si="1"/>
        <v>Measure 14</v>
      </c>
      <c r="J26" s="251"/>
      <c r="K26" s="252"/>
      <c r="L26" s="360">
        <f t="shared" si="2"/>
        <v>0</v>
      </c>
      <c r="M26" s="257">
        <v>0</v>
      </c>
      <c r="N26" s="257">
        <v>0</v>
      </c>
      <c r="O26" s="244">
        <f t="shared" si="4"/>
        <v>0</v>
      </c>
      <c r="P26" s="361">
        <f t="shared" si="3"/>
        <v>0</v>
      </c>
      <c r="Q26" s="361">
        <f t="shared" si="3"/>
        <v>0</v>
      </c>
      <c r="R26" s="362">
        <f t="shared" si="3"/>
        <v>0</v>
      </c>
      <c r="T26" s="3535"/>
    </row>
    <row r="27" spans="2:20" ht="13.5" thickBot="1">
      <c r="B27" s="254"/>
      <c r="C27" s="255"/>
      <c r="D27" s="344"/>
      <c r="E27" s="344"/>
      <c r="F27" s="344"/>
      <c r="H27" s="132"/>
      <c r="I27" s="250" t="str">
        <f t="shared" si="1"/>
        <v>Measure 15</v>
      </c>
      <c r="J27" s="251"/>
      <c r="K27" s="252"/>
      <c r="L27" s="360">
        <f t="shared" si="2"/>
        <v>0</v>
      </c>
      <c r="M27" s="257">
        <v>0</v>
      </c>
      <c r="N27" s="257">
        <v>0</v>
      </c>
      <c r="O27" s="244">
        <f t="shared" si="4"/>
        <v>0</v>
      </c>
      <c r="P27" s="361">
        <f t="shared" si="3"/>
        <v>0</v>
      </c>
      <c r="Q27" s="361">
        <f t="shared" si="3"/>
        <v>0</v>
      </c>
      <c r="R27" s="362">
        <f t="shared" si="3"/>
        <v>0</v>
      </c>
      <c r="T27" s="3535"/>
    </row>
    <row r="28" spans="2:20" ht="13.5" thickBot="1">
      <c r="B28" s="262">
        <v>3600</v>
      </c>
      <c r="C28" s="236" t="s">
        <v>145</v>
      </c>
      <c r="D28" s="338">
        <f>SUM(D29:D32)</f>
        <v>0</v>
      </c>
      <c r="E28" s="338">
        <f>SUM(E29:E32)</f>
        <v>0</v>
      </c>
      <c r="F28" s="374">
        <f>D28+E28</f>
        <v>0</v>
      </c>
      <c r="H28" s="132"/>
      <c r="I28" s="250" t="str">
        <f t="shared" si="1"/>
        <v>Measure 16</v>
      </c>
      <c r="J28" s="251"/>
      <c r="K28" s="252"/>
      <c r="L28" s="360">
        <f t="shared" si="2"/>
        <v>0</v>
      </c>
      <c r="M28" s="257">
        <v>0</v>
      </c>
      <c r="N28" s="257">
        <v>0</v>
      </c>
      <c r="O28" s="244">
        <f t="shared" si="4"/>
        <v>0</v>
      </c>
      <c r="P28" s="361">
        <f t="shared" si="3"/>
        <v>0</v>
      </c>
      <c r="Q28" s="361">
        <f t="shared" si="3"/>
        <v>0</v>
      </c>
      <c r="R28" s="362">
        <f t="shared" si="3"/>
        <v>0</v>
      </c>
      <c r="T28" s="3535"/>
    </row>
    <row r="29" spans="2:20">
      <c r="B29" s="247"/>
      <c r="C29" s="248" t="s">
        <v>139</v>
      </c>
      <c r="D29" s="341">
        <v>0</v>
      </c>
      <c r="E29" s="341"/>
      <c r="F29" s="341">
        <f t="shared" ref="F29:F37" si="6">SUM(D29:E29)</f>
        <v>0</v>
      </c>
      <c r="H29" s="132"/>
      <c r="I29" s="250" t="str">
        <f t="shared" si="1"/>
        <v>Measure 17</v>
      </c>
      <c r="J29" s="251"/>
      <c r="K29" s="252"/>
      <c r="L29" s="360">
        <f t="shared" si="2"/>
        <v>0</v>
      </c>
      <c r="M29" s="257">
        <v>0</v>
      </c>
      <c r="N29" s="257">
        <v>0</v>
      </c>
      <c r="O29" s="244">
        <f t="shared" si="4"/>
        <v>0</v>
      </c>
      <c r="P29" s="361">
        <f t="shared" ref="P29:R44" si="7">M29*$D79</f>
        <v>0</v>
      </c>
      <c r="Q29" s="361">
        <f t="shared" si="7"/>
        <v>0</v>
      </c>
      <c r="R29" s="362">
        <f t="shared" si="7"/>
        <v>0</v>
      </c>
      <c r="T29" s="3535"/>
    </row>
    <row r="30" spans="2:20">
      <c r="B30" s="254"/>
      <c r="C30" s="255" t="s">
        <v>140</v>
      </c>
      <c r="D30" s="335">
        <v>0</v>
      </c>
      <c r="E30" s="335"/>
      <c r="F30" s="341">
        <f t="shared" si="6"/>
        <v>0</v>
      </c>
      <c r="H30" s="132"/>
      <c r="I30" s="250" t="str">
        <f t="shared" si="1"/>
        <v>Measure 18</v>
      </c>
      <c r="J30" s="251"/>
      <c r="K30" s="252"/>
      <c r="L30" s="360">
        <f t="shared" si="2"/>
        <v>0</v>
      </c>
      <c r="M30" s="257">
        <v>0</v>
      </c>
      <c r="N30" s="257">
        <v>0</v>
      </c>
      <c r="O30" s="244">
        <f t="shared" si="4"/>
        <v>0</v>
      </c>
      <c r="P30" s="361">
        <f t="shared" si="7"/>
        <v>0</v>
      </c>
      <c r="Q30" s="361">
        <f t="shared" si="7"/>
        <v>0</v>
      </c>
      <c r="R30" s="362">
        <f t="shared" si="7"/>
        <v>0</v>
      </c>
      <c r="T30" s="3535"/>
    </row>
    <row r="31" spans="2:20">
      <c r="B31" s="254"/>
      <c r="C31" s="255" t="s">
        <v>141</v>
      </c>
      <c r="D31" s="335">
        <v>0</v>
      </c>
      <c r="E31" s="335"/>
      <c r="F31" s="341">
        <f t="shared" si="6"/>
        <v>0</v>
      </c>
      <c r="H31" s="132"/>
      <c r="I31" s="250" t="str">
        <f t="shared" si="1"/>
        <v>Measure 19</v>
      </c>
      <c r="J31" s="251"/>
      <c r="K31" s="252"/>
      <c r="L31" s="360">
        <f t="shared" si="2"/>
        <v>0</v>
      </c>
      <c r="M31" s="257">
        <v>0</v>
      </c>
      <c r="N31" s="257">
        <v>0</v>
      </c>
      <c r="O31" s="244">
        <f t="shared" si="4"/>
        <v>0</v>
      </c>
      <c r="P31" s="361">
        <f t="shared" si="7"/>
        <v>0</v>
      </c>
      <c r="Q31" s="361">
        <f t="shared" si="7"/>
        <v>0</v>
      </c>
      <c r="R31" s="362">
        <f t="shared" si="7"/>
        <v>0</v>
      </c>
      <c r="T31" s="3535"/>
    </row>
    <row r="32" spans="2:20" ht="13.5" thickBot="1">
      <c r="B32" s="254"/>
      <c r="C32" s="255" t="s">
        <v>142</v>
      </c>
      <c r="D32" s="335">
        <v>0</v>
      </c>
      <c r="E32" s="335"/>
      <c r="F32" s="341">
        <f t="shared" si="6"/>
        <v>0</v>
      </c>
      <c r="H32" s="132"/>
      <c r="I32" s="250" t="str">
        <f t="shared" si="1"/>
        <v>Measure 20</v>
      </c>
      <c r="J32" s="251"/>
      <c r="K32" s="252"/>
      <c r="L32" s="360">
        <f t="shared" si="2"/>
        <v>0</v>
      </c>
      <c r="M32" s="257">
        <v>0</v>
      </c>
      <c r="N32" s="257">
        <v>0</v>
      </c>
      <c r="O32" s="244">
        <f t="shared" si="4"/>
        <v>0</v>
      </c>
      <c r="P32" s="361">
        <f t="shared" si="7"/>
        <v>0</v>
      </c>
      <c r="Q32" s="361">
        <f t="shared" si="7"/>
        <v>0</v>
      </c>
      <c r="R32" s="362">
        <f t="shared" si="7"/>
        <v>0</v>
      </c>
      <c r="T32" s="3535"/>
    </row>
    <row r="33" spans="2:20" ht="13.5" thickBot="1">
      <c r="B33" s="262">
        <v>243</v>
      </c>
      <c r="C33" s="236" t="s">
        <v>146</v>
      </c>
      <c r="D33" s="338">
        <f>SUM(D34:D37)</f>
        <v>0</v>
      </c>
      <c r="E33" s="338">
        <f>SUM(E34:E37)</f>
        <v>0</v>
      </c>
      <c r="F33" s="374">
        <f>D33+E33</f>
        <v>0</v>
      </c>
      <c r="H33" s="132"/>
      <c r="I33" s="250" t="str">
        <f t="shared" si="1"/>
        <v>Measure 21</v>
      </c>
      <c r="J33" s="251"/>
      <c r="K33" s="252"/>
      <c r="L33" s="360">
        <f t="shared" si="2"/>
        <v>0</v>
      </c>
      <c r="M33" s="257">
        <v>0</v>
      </c>
      <c r="N33" s="257">
        <v>0</v>
      </c>
      <c r="O33" s="244">
        <f t="shared" si="4"/>
        <v>0</v>
      </c>
      <c r="P33" s="361">
        <f t="shared" si="7"/>
        <v>0</v>
      </c>
      <c r="Q33" s="361">
        <f t="shared" si="7"/>
        <v>0</v>
      </c>
      <c r="R33" s="362">
        <f t="shared" si="7"/>
        <v>0</v>
      </c>
      <c r="T33" s="3535"/>
    </row>
    <row r="34" spans="2:20">
      <c r="B34" s="254"/>
      <c r="C34" s="255" t="s">
        <v>139</v>
      </c>
      <c r="D34" s="335">
        <v>0</v>
      </c>
      <c r="E34" s="335"/>
      <c r="F34" s="341">
        <f t="shared" si="6"/>
        <v>0</v>
      </c>
      <c r="H34" s="132"/>
      <c r="I34" s="250" t="str">
        <f t="shared" si="1"/>
        <v>Measure 22</v>
      </c>
      <c r="J34" s="251"/>
      <c r="K34" s="252"/>
      <c r="L34" s="360">
        <f t="shared" si="2"/>
        <v>0</v>
      </c>
      <c r="M34" s="257">
        <v>0</v>
      </c>
      <c r="N34" s="257">
        <v>0</v>
      </c>
      <c r="O34" s="244">
        <f t="shared" si="4"/>
        <v>0</v>
      </c>
      <c r="P34" s="361">
        <f t="shared" si="7"/>
        <v>0</v>
      </c>
      <c r="Q34" s="361">
        <f t="shared" si="7"/>
        <v>0</v>
      </c>
      <c r="R34" s="362">
        <f t="shared" si="7"/>
        <v>0</v>
      </c>
      <c r="T34" s="3535"/>
    </row>
    <row r="35" spans="2:20">
      <c r="B35" s="254"/>
      <c r="C35" s="255" t="s">
        <v>140</v>
      </c>
      <c r="D35" s="335">
        <v>0</v>
      </c>
      <c r="E35" s="335"/>
      <c r="F35" s="341">
        <f t="shared" si="6"/>
        <v>0</v>
      </c>
      <c r="H35" s="132"/>
      <c r="I35" s="250" t="str">
        <f t="shared" si="1"/>
        <v>Measure 23</v>
      </c>
      <c r="J35" s="251"/>
      <c r="K35" s="252"/>
      <c r="L35" s="360">
        <f t="shared" si="2"/>
        <v>0</v>
      </c>
      <c r="M35" s="257">
        <v>0</v>
      </c>
      <c r="N35" s="257">
        <v>0</v>
      </c>
      <c r="O35" s="244">
        <f t="shared" si="4"/>
        <v>0</v>
      </c>
      <c r="P35" s="361">
        <f t="shared" si="7"/>
        <v>0</v>
      </c>
      <c r="Q35" s="361">
        <f t="shared" si="7"/>
        <v>0</v>
      </c>
      <c r="R35" s="362">
        <f t="shared" si="7"/>
        <v>0</v>
      </c>
      <c r="T35" s="3535"/>
    </row>
    <row r="36" spans="2:20">
      <c r="B36" s="254"/>
      <c r="C36" s="255" t="s">
        <v>141</v>
      </c>
      <c r="D36" s="335">
        <v>0</v>
      </c>
      <c r="E36" s="335"/>
      <c r="F36" s="341">
        <f t="shared" si="6"/>
        <v>0</v>
      </c>
      <c r="H36" s="132"/>
      <c r="I36" s="250" t="str">
        <f t="shared" si="1"/>
        <v>Measure 24</v>
      </c>
      <c r="J36" s="251"/>
      <c r="K36" s="252"/>
      <c r="L36" s="360">
        <f t="shared" si="2"/>
        <v>0</v>
      </c>
      <c r="M36" s="257">
        <v>0</v>
      </c>
      <c r="N36" s="257">
        <v>0</v>
      </c>
      <c r="O36" s="244">
        <f t="shared" si="4"/>
        <v>0</v>
      </c>
      <c r="P36" s="361">
        <f t="shared" si="7"/>
        <v>0</v>
      </c>
      <c r="Q36" s="361">
        <f t="shared" si="7"/>
        <v>0</v>
      </c>
      <c r="R36" s="362">
        <f t="shared" si="7"/>
        <v>0</v>
      </c>
      <c r="T36" s="3535"/>
    </row>
    <row r="37" spans="2:20" ht="13.5" thickBot="1">
      <c r="B37" s="254"/>
      <c r="C37" s="255" t="s">
        <v>142</v>
      </c>
      <c r="D37" s="335">
        <v>0</v>
      </c>
      <c r="E37" s="335"/>
      <c r="F37" s="341">
        <f t="shared" si="6"/>
        <v>0</v>
      </c>
      <c r="H37" s="132"/>
      <c r="I37" s="250" t="str">
        <f t="shared" si="1"/>
        <v>Measure 25</v>
      </c>
      <c r="J37" s="251"/>
      <c r="K37" s="252"/>
      <c r="L37" s="360">
        <f t="shared" si="2"/>
        <v>0</v>
      </c>
      <c r="M37" s="257">
        <v>0</v>
      </c>
      <c r="N37" s="257">
        <v>0</v>
      </c>
      <c r="O37" s="244">
        <f t="shared" si="4"/>
        <v>0</v>
      </c>
      <c r="P37" s="361">
        <f t="shared" si="7"/>
        <v>0</v>
      </c>
      <c r="Q37" s="361">
        <f t="shared" si="7"/>
        <v>0</v>
      </c>
      <c r="R37" s="362">
        <f t="shared" si="7"/>
        <v>0</v>
      </c>
      <c r="T37" s="3535"/>
    </row>
    <row r="38" spans="2:20" ht="13.5" thickBot="1">
      <c r="B38" s="262">
        <v>133131</v>
      </c>
      <c r="C38" s="236" t="s">
        <v>147</v>
      </c>
      <c r="D38" s="338">
        <f>SUM(D39:D42)</f>
        <v>37149</v>
      </c>
      <c r="E38" s="338">
        <f>SUM(E39:E42)</f>
        <v>37149</v>
      </c>
      <c r="F38" s="374">
        <f>D38+E38</f>
        <v>74298</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3535"/>
    </row>
    <row r="39" spans="2:20">
      <c r="B39" s="254"/>
      <c r="C39" s="255" t="s">
        <v>543</v>
      </c>
      <c r="D39" s="335">
        <v>37149</v>
      </c>
      <c r="E39" s="335">
        <v>37149</v>
      </c>
      <c r="F39" s="341">
        <f t="shared" ref="F39:F52" si="8">SUM(D39:E39)</f>
        <v>74298</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3535"/>
    </row>
    <row r="40" spans="2:20">
      <c r="B40" s="254"/>
      <c r="C40" s="3572" t="s">
        <v>140</v>
      </c>
      <c r="D40" s="335">
        <v>0</v>
      </c>
      <c r="E40" s="335">
        <v>0</v>
      </c>
      <c r="F40" s="341">
        <f t="shared" si="8"/>
        <v>0</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3535"/>
    </row>
    <row r="41" spans="2:20">
      <c r="B41" s="254"/>
      <c r="C41" s="3572" t="s">
        <v>141</v>
      </c>
      <c r="D41" s="335">
        <v>0</v>
      </c>
      <c r="E41" s="335">
        <v>0</v>
      </c>
      <c r="F41" s="341">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3535"/>
    </row>
    <row r="42" spans="2:20" ht="13.5" thickBot="1">
      <c r="B42" s="254"/>
      <c r="C42" s="255" t="s">
        <v>142</v>
      </c>
      <c r="D42" s="335">
        <v>0</v>
      </c>
      <c r="E42" s="335"/>
      <c r="F42" s="341">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3535"/>
    </row>
    <row r="43" spans="2:20" ht="13.5" thickBot="1">
      <c r="B43" s="262">
        <v>0</v>
      </c>
      <c r="C43" s="236" t="s">
        <v>148</v>
      </c>
      <c r="D43" s="338">
        <f>SUM(D44:D47)</f>
        <v>0</v>
      </c>
      <c r="E43" s="338">
        <f>SUM(E44:E47)</f>
        <v>0</v>
      </c>
      <c r="F43" s="374">
        <f>D43+E43</f>
        <v>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3535"/>
    </row>
    <row r="44" spans="2:20">
      <c r="B44" s="254"/>
      <c r="C44" s="255" t="s">
        <v>139</v>
      </c>
      <c r="D44" s="335">
        <v>0</v>
      </c>
      <c r="E44" s="335"/>
      <c r="F44" s="341">
        <f t="shared" si="8"/>
        <v>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3535"/>
    </row>
    <row r="45" spans="2:20">
      <c r="B45" s="254"/>
      <c r="C45" s="255" t="s">
        <v>140</v>
      </c>
      <c r="D45" s="335">
        <v>0</v>
      </c>
      <c r="E45" s="335"/>
      <c r="F45" s="341">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3535"/>
    </row>
    <row r="46" spans="2:20">
      <c r="B46" s="254"/>
      <c r="C46" s="255" t="s">
        <v>141</v>
      </c>
      <c r="D46" s="335">
        <v>0</v>
      </c>
      <c r="E46" s="335"/>
      <c r="F46" s="341">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3535"/>
    </row>
    <row r="47" spans="2:20" ht="13.5" thickBot="1">
      <c r="B47" s="254"/>
      <c r="C47" s="255" t="s">
        <v>142</v>
      </c>
      <c r="D47" s="335">
        <v>0</v>
      </c>
      <c r="E47" s="335"/>
      <c r="F47" s="341">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3535"/>
    </row>
    <row r="48" spans="2:20" ht="13.5" thickBot="1">
      <c r="B48" s="262">
        <v>779</v>
      </c>
      <c r="C48" s="236" t="s">
        <v>149</v>
      </c>
      <c r="D48" s="338">
        <f>SUM(D49:D52)</f>
        <v>0</v>
      </c>
      <c r="E48" s="338">
        <f>SUM(E49:E52)</f>
        <v>0</v>
      </c>
      <c r="F48" s="374">
        <f>D48+E48</f>
        <v>0</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3535"/>
    </row>
    <row r="49" spans="2:24">
      <c r="B49" s="254"/>
      <c r="C49" s="255" t="s">
        <v>139</v>
      </c>
      <c r="D49" s="335">
        <v>0</v>
      </c>
      <c r="E49" s="335"/>
      <c r="F49" s="341">
        <f t="shared" si="8"/>
        <v>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3535"/>
    </row>
    <row r="50" spans="2:24">
      <c r="B50" s="254"/>
      <c r="C50" s="255" t="s">
        <v>140</v>
      </c>
      <c r="D50" s="335">
        <v>0</v>
      </c>
      <c r="E50" s="335"/>
      <c r="F50" s="341">
        <f t="shared" si="8"/>
        <v>0</v>
      </c>
      <c r="I50" s="250" t="str">
        <f t="shared" si="1"/>
        <v>Measure 38</v>
      </c>
      <c r="J50" s="251"/>
      <c r="K50" s="252"/>
      <c r="L50" s="360">
        <f t="shared" si="2"/>
        <v>0</v>
      </c>
      <c r="M50" s="257">
        <v>0</v>
      </c>
      <c r="N50" s="257">
        <v>0</v>
      </c>
      <c r="O50" s="244">
        <f t="shared" si="4"/>
        <v>0</v>
      </c>
      <c r="P50" s="361">
        <f t="shared" si="9"/>
        <v>0</v>
      </c>
      <c r="Q50" s="361">
        <f t="shared" si="9"/>
        <v>0</v>
      </c>
      <c r="R50" s="362">
        <f t="shared" si="9"/>
        <v>0</v>
      </c>
      <c r="T50" s="3535"/>
    </row>
    <row r="51" spans="2:24">
      <c r="B51" s="254"/>
      <c r="C51" s="255" t="s">
        <v>141</v>
      </c>
      <c r="D51" s="335">
        <v>0</v>
      </c>
      <c r="E51" s="335"/>
      <c r="F51" s="341">
        <f t="shared" si="8"/>
        <v>0</v>
      </c>
      <c r="I51" s="250" t="str">
        <f t="shared" si="1"/>
        <v>Measure 39</v>
      </c>
      <c r="J51" s="251"/>
      <c r="K51" s="252"/>
      <c r="L51" s="360">
        <f t="shared" si="2"/>
        <v>0</v>
      </c>
      <c r="M51" s="257">
        <v>0</v>
      </c>
      <c r="N51" s="257">
        <v>0</v>
      </c>
      <c r="O51" s="244">
        <f t="shared" si="4"/>
        <v>0</v>
      </c>
      <c r="P51" s="361">
        <f t="shared" si="9"/>
        <v>0</v>
      </c>
      <c r="Q51" s="361">
        <f t="shared" si="9"/>
        <v>0</v>
      </c>
      <c r="R51" s="362">
        <f t="shared" si="9"/>
        <v>0</v>
      </c>
      <c r="T51" s="3535"/>
    </row>
    <row r="52" spans="2:24" ht="13.5" thickBot="1">
      <c r="B52" s="254"/>
      <c r="C52" s="255" t="s">
        <v>142</v>
      </c>
      <c r="D52" s="335">
        <v>0</v>
      </c>
      <c r="E52" s="335"/>
      <c r="F52" s="341">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3535"/>
    </row>
    <row r="53" spans="2:24" ht="13.5" thickBot="1">
      <c r="B53" s="262">
        <v>97138</v>
      </c>
      <c r="C53" s="236" t="s">
        <v>150</v>
      </c>
      <c r="D53" s="338">
        <f>S105</f>
        <v>37149</v>
      </c>
      <c r="E53" s="338">
        <f>T105</f>
        <v>37149</v>
      </c>
      <c r="F53" s="374">
        <f>U105</f>
        <v>74298</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3535"/>
    </row>
    <row r="54" spans="2:24" ht="13.5" thickBot="1">
      <c r="B54" s="262">
        <v>0</v>
      </c>
      <c r="C54" s="236" t="s">
        <v>152</v>
      </c>
      <c r="D54" s="338">
        <v>0</v>
      </c>
      <c r="E54" s="338">
        <v>0</v>
      </c>
      <c r="F54" s="374">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3535"/>
    </row>
    <row r="55" spans="2:24">
      <c r="B55" s="299">
        <f>B13+B18+B23+B28+B33+B38+B43+B48+B53+B54</f>
        <v>255644</v>
      </c>
      <c r="C55" s="264" t="s">
        <v>153</v>
      </c>
      <c r="D55" s="345">
        <f>D13+D18+D23+D28+D33+D38+D43+D48+D53+D54</f>
        <v>97668.288</v>
      </c>
      <c r="E55" s="345">
        <f>E13+E18+E23+E28+E33+E38+E43+E48+E53+E54</f>
        <v>99455.296575</v>
      </c>
      <c r="F55" s="345">
        <f>F13+F18+F23+F28+F33+F38+F43+F48+F53+F54</f>
        <v>197123.58457499999</v>
      </c>
      <c r="P55" s="365">
        <f>SUM(P13:P54)</f>
        <v>346724</v>
      </c>
      <c r="Q55" s="365">
        <f>SUM(Q13:Q54)</f>
        <v>346724</v>
      </c>
      <c r="R55" s="365">
        <f>SUM(R13:R54)</f>
        <v>693448</v>
      </c>
      <c r="T55" s="4894"/>
    </row>
    <row r="56" spans="2:24">
      <c r="C56" s="264"/>
      <c r="D56" s="345"/>
      <c r="E56" s="345"/>
      <c r="F56" s="345"/>
    </row>
    <row r="57" spans="2:24">
      <c r="C57" s="264" t="s">
        <v>154</v>
      </c>
      <c r="D57" s="345">
        <f>D55-D53</f>
        <v>60519.288</v>
      </c>
      <c r="E57" s="345">
        <f>E55-E53</f>
        <v>62306.296575</v>
      </c>
      <c r="F57" s="345">
        <f>F55-F53</f>
        <v>122825.58457499999</v>
      </c>
    </row>
    <row r="58" spans="2:24">
      <c r="C58" s="264" t="s">
        <v>155</v>
      </c>
      <c r="D58" s="345">
        <f>D53</f>
        <v>37149</v>
      </c>
      <c r="E58" s="345">
        <f>E53</f>
        <v>37149</v>
      </c>
      <c r="F58" s="345">
        <f>F53</f>
        <v>74298</v>
      </c>
      <c r="G58" s="319">
        <f>F58/(F57+F58)</f>
        <v>0.37691075961401105</v>
      </c>
      <c r="H58" s="268" t="s">
        <v>156</v>
      </c>
    </row>
    <row r="59" spans="2:24" ht="13.5" thickBot="1"/>
    <row r="60" spans="2:24" ht="16.5" thickBot="1">
      <c r="B60" s="269" t="s">
        <v>157</v>
      </c>
      <c r="C60" s="270"/>
      <c r="D60" s="5130" t="s">
        <v>158</v>
      </c>
      <c r="E60" s="5131"/>
      <c r="F60" s="5131"/>
      <c r="G60" s="5131"/>
      <c r="H60" s="5131"/>
      <c r="K60" s="271"/>
    </row>
    <row r="61" spans="2:24"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4" ht="13.5" thickBot="1">
      <c r="B62" s="272" t="s">
        <v>162</v>
      </c>
      <c r="C62" s="273" t="s">
        <v>129</v>
      </c>
      <c r="D62" s="273" t="s">
        <v>130</v>
      </c>
      <c r="E62" s="273" t="s">
        <v>163</v>
      </c>
      <c r="F62" s="273" t="s">
        <v>164</v>
      </c>
      <c r="G62" s="273" t="s">
        <v>165</v>
      </c>
      <c r="H62" s="273" t="s">
        <v>166</v>
      </c>
      <c r="I62" s="273" t="s">
        <v>167</v>
      </c>
      <c r="J62" s="273" t="s">
        <v>168</v>
      </c>
      <c r="K62" s="274" t="s">
        <v>169</v>
      </c>
      <c r="L62" s="275" t="s">
        <v>170</v>
      </c>
      <c r="M62" s="276" t="s">
        <v>171</v>
      </c>
      <c r="N62" s="276" t="s">
        <v>172</v>
      </c>
      <c r="O62" s="276" t="s">
        <v>173</v>
      </c>
      <c r="P62" s="277" t="s">
        <v>174</v>
      </c>
      <c r="Q62" s="277" t="s">
        <v>175</v>
      </c>
      <c r="R62" s="277" t="s">
        <v>176</v>
      </c>
      <c r="S62" s="204" t="s">
        <v>177</v>
      </c>
      <c r="T62" s="204" t="s">
        <v>178</v>
      </c>
      <c r="U62" s="205" t="s">
        <v>179</v>
      </c>
      <c r="V62" s="204" t="s">
        <v>115</v>
      </c>
      <c r="W62" s="204" t="s">
        <v>12</v>
      </c>
      <c r="X62" s="205" t="s">
        <v>116</v>
      </c>
    </row>
    <row r="63" spans="2:24">
      <c r="B63" s="257"/>
      <c r="C63" s="3658" t="s">
        <v>544</v>
      </c>
      <c r="D63" s="3659">
        <v>14</v>
      </c>
      <c r="E63" s="3659" t="s">
        <v>559</v>
      </c>
      <c r="F63" s="3658" t="s">
        <v>186</v>
      </c>
      <c r="G63" s="3660">
        <v>0</v>
      </c>
      <c r="H63" s="3666">
        <v>1.5</v>
      </c>
      <c r="I63" s="3661">
        <v>1</v>
      </c>
      <c r="J63" s="3659">
        <v>1</v>
      </c>
      <c r="K63" s="3659" t="s">
        <v>233</v>
      </c>
      <c r="L63" s="3664">
        <v>2.1466870418450981</v>
      </c>
      <c r="M63" s="3664">
        <v>3.4573414247216867</v>
      </c>
      <c r="N63" s="3665">
        <v>181303.21901017576</v>
      </c>
      <c r="O63" s="3665">
        <v>112572.41419981497</v>
      </c>
      <c r="P63" s="3665">
        <v>389201.27089394815</v>
      </c>
      <c r="Q63" s="3665">
        <v>389201.27089394815</v>
      </c>
      <c r="R63" s="3663">
        <v>1.081</v>
      </c>
      <c r="S63" s="280">
        <f t="shared" ref="S63:U78" si="10">M13*$H63</f>
        <v>37149</v>
      </c>
      <c r="T63" s="280">
        <f t="shared" si="10"/>
        <v>37149</v>
      </c>
      <c r="U63" s="280">
        <f t="shared" si="10"/>
        <v>74298</v>
      </c>
      <c r="V63" s="322">
        <f>U63/(U63+(I63*F$57))</f>
        <v>0.37691075961401105</v>
      </c>
      <c r="W63" s="322">
        <f t="shared" ref="W63:W81" si="11">(I63*((F$18*1.63)+F$28))/(U63+(I63*F$57))</f>
        <v>0.10046743033157934</v>
      </c>
      <c r="X63" s="322">
        <f>(I63*F$38)/(U63+(I63*F$57))</f>
        <v>0.37691075961401105</v>
      </c>
    </row>
    <row r="64" spans="2:24">
      <c r="B64" s="282"/>
      <c r="C64" s="3658" t="s">
        <v>369</v>
      </c>
      <c r="D64" s="3658">
        <v>0</v>
      </c>
      <c r="E64" s="3658" t="s">
        <v>559</v>
      </c>
      <c r="F64" s="3658" t="s">
        <v>186</v>
      </c>
      <c r="G64" s="3660">
        <v>0</v>
      </c>
      <c r="H64" s="3666"/>
      <c r="I64" s="3661">
        <v>0</v>
      </c>
      <c r="J64" s="3659"/>
      <c r="K64" s="3659"/>
      <c r="L64" s="3664" t="e">
        <v>#DIV/0!</v>
      </c>
      <c r="M64" s="3664" t="e">
        <v>#DIV/0!</v>
      </c>
      <c r="N64" s="3665">
        <v>0</v>
      </c>
      <c r="O64" s="3665">
        <v>0</v>
      </c>
      <c r="P64" s="3665">
        <v>0</v>
      </c>
      <c r="Q64" s="3665">
        <v>0</v>
      </c>
      <c r="R64" s="3663">
        <v>1.081</v>
      </c>
      <c r="S64" s="280">
        <f t="shared" si="10"/>
        <v>0</v>
      </c>
      <c r="T64" s="280">
        <f t="shared" si="10"/>
        <v>0</v>
      </c>
      <c r="U64" s="280">
        <f t="shared" si="10"/>
        <v>0</v>
      </c>
      <c r="V64" s="322" t="e">
        <f t="shared" ref="V64:V81" si="12">U64/(U64+(I64*F$57))</f>
        <v>#DIV/0!</v>
      </c>
      <c r="W64" s="322" t="e">
        <f t="shared" si="11"/>
        <v>#DIV/0!</v>
      </c>
      <c r="X64" s="322" t="e">
        <f t="shared" ref="X64:X81" si="13">(I64*F$38)/(U64+(I64*F$57))</f>
        <v>#DIV/0!</v>
      </c>
    </row>
    <row r="65" spans="2:24">
      <c r="B65" s="282"/>
      <c r="C65" s="282" t="s">
        <v>370</v>
      </c>
      <c r="D65" s="257">
        <v>0</v>
      </c>
      <c r="E65" s="282" t="s">
        <v>559</v>
      </c>
      <c r="F65" s="282" t="s">
        <v>186</v>
      </c>
      <c r="G65" s="283"/>
      <c r="H65" s="313"/>
      <c r="I65" s="311">
        <v>0</v>
      </c>
      <c r="J65" s="257"/>
      <c r="K65" s="257"/>
      <c r="L65" s="3447" t="e">
        <f t="shared" ref="L65:M104" si="14">P65/N65</f>
        <v>#DIV/0!</v>
      </c>
      <c r="M65" s="3447" t="e">
        <f t="shared" si="14"/>
        <v>#DIV/0!</v>
      </c>
      <c r="N65" s="214">
        <f t="shared" ref="N65:N104" si="15">(($I65*$F$57)+$U65)/$R65</f>
        <v>0</v>
      </c>
      <c r="O65" s="214">
        <f t="shared" ref="O65:O104" si="16">(($I65*$F$57)+($G65*$O15))/$R65</f>
        <v>0</v>
      </c>
      <c r="P65" s="214">
        <f>IF(K65=0, 0, (HLOOKUP(K65,'[1]G-CESTD'!$A$5:$G$35,J65+1,FALSE)*R15))</f>
        <v>0</v>
      </c>
      <c r="Q65" s="214">
        <f>IF(K65=0, 0, (HLOOKUP(K65,'[1]G-CESTD'!$A$5:$G$35,J65+1,FALSE)*R15))</f>
        <v>0</v>
      </c>
      <c r="R65" s="279">
        <v>1.081</v>
      </c>
      <c r="S65" s="280">
        <f t="shared" si="10"/>
        <v>0</v>
      </c>
      <c r="T65" s="280">
        <f t="shared" si="10"/>
        <v>0</v>
      </c>
      <c r="U65" s="280">
        <f t="shared" si="10"/>
        <v>0</v>
      </c>
      <c r="V65" s="322" t="e">
        <f t="shared" si="12"/>
        <v>#DIV/0!</v>
      </c>
      <c r="W65" s="322" t="e">
        <f t="shared" si="11"/>
        <v>#DIV/0!</v>
      </c>
      <c r="X65" s="322" t="e">
        <f t="shared" si="13"/>
        <v>#DIV/0!</v>
      </c>
    </row>
    <row r="66" spans="2:24">
      <c r="B66" s="282"/>
      <c r="C66" s="282" t="s">
        <v>188</v>
      </c>
      <c r="D66" s="282">
        <v>0</v>
      </c>
      <c r="E66" s="282" t="s">
        <v>559</v>
      </c>
      <c r="F66" s="282" t="s">
        <v>186</v>
      </c>
      <c r="G66" s="283"/>
      <c r="H66" s="283"/>
      <c r="I66" s="311">
        <v>0</v>
      </c>
      <c r="J66" s="257"/>
      <c r="K66" s="257"/>
      <c r="L66" s="3447" t="e">
        <f t="shared" si="14"/>
        <v>#DIV/0!</v>
      </c>
      <c r="M66" s="3447" t="e">
        <f t="shared" si="14"/>
        <v>#DIV/0!</v>
      </c>
      <c r="N66" s="214">
        <f t="shared" si="15"/>
        <v>0</v>
      </c>
      <c r="O66" s="214">
        <f t="shared" si="16"/>
        <v>0</v>
      </c>
      <c r="P66" s="214">
        <f>IF(K66=0, 0, (HLOOKUP(K66,'[1]G-CESTD'!$A$5:$G$35,J66+1,FALSE)*R16))</f>
        <v>0</v>
      </c>
      <c r="Q66" s="214">
        <f>IF(K66=0, 0, (HLOOKUP(K66,'[1]G-CESTD'!$A$5:$G$35,J66+1,FALSE)*R16))</f>
        <v>0</v>
      </c>
      <c r="R66" s="279">
        <v>1.081</v>
      </c>
      <c r="S66" s="280">
        <f t="shared" si="10"/>
        <v>0</v>
      </c>
      <c r="T66" s="280">
        <f t="shared" si="10"/>
        <v>0</v>
      </c>
      <c r="U66" s="280">
        <f t="shared" si="10"/>
        <v>0</v>
      </c>
      <c r="V66" s="322" t="e">
        <f t="shared" si="12"/>
        <v>#DIV/0!</v>
      </c>
      <c r="W66" s="322" t="e">
        <f t="shared" si="11"/>
        <v>#DIV/0!</v>
      </c>
      <c r="X66" s="322" t="e">
        <f t="shared" si="13"/>
        <v>#DIV/0!</v>
      </c>
    </row>
    <row r="67" spans="2:24">
      <c r="B67" s="282"/>
      <c r="C67" s="282" t="s">
        <v>189</v>
      </c>
      <c r="D67" s="257">
        <v>0</v>
      </c>
      <c r="E67" s="282" t="s">
        <v>559</v>
      </c>
      <c r="F67" s="282" t="s">
        <v>186</v>
      </c>
      <c r="G67" s="283"/>
      <c r="H67" s="283"/>
      <c r="I67" s="311">
        <v>0</v>
      </c>
      <c r="J67" s="257"/>
      <c r="K67" s="257"/>
      <c r="L67" s="3447" t="e">
        <f t="shared" si="14"/>
        <v>#DIV/0!</v>
      </c>
      <c r="M67" s="3447" t="e">
        <f t="shared" si="14"/>
        <v>#DIV/0!</v>
      </c>
      <c r="N67" s="214">
        <f t="shared" si="15"/>
        <v>0</v>
      </c>
      <c r="O67" s="214">
        <f t="shared" si="16"/>
        <v>0</v>
      </c>
      <c r="P67" s="214">
        <f>IF(K67=0, 0, (HLOOKUP(K67,'[1]G-CESTD'!$A$5:$G$35,J67+1,FALSE)*R17))</f>
        <v>0</v>
      </c>
      <c r="Q67" s="214">
        <f>IF(K67=0, 0, (HLOOKUP(K67,'[1]G-CESTD'!$A$5:$G$35,J67+1,FALSE)*R17))</f>
        <v>0</v>
      </c>
      <c r="R67" s="279">
        <v>1.081</v>
      </c>
      <c r="S67" s="280">
        <f t="shared" si="10"/>
        <v>0</v>
      </c>
      <c r="T67" s="280">
        <f t="shared" si="10"/>
        <v>0</v>
      </c>
      <c r="U67" s="280">
        <f t="shared" si="10"/>
        <v>0</v>
      </c>
      <c r="V67" s="322" t="e">
        <f t="shared" si="12"/>
        <v>#DIV/0!</v>
      </c>
      <c r="W67" s="322" t="e">
        <f t="shared" si="11"/>
        <v>#DIV/0!</v>
      </c>
      <c r="X67" s="322" t="e">
        <f t="shared" si="13"/>
        <v>#DIV/0!</v>
      </c>
    </row>
    <row r="68" spans="2:24">
      <c r="B68" s="282"/>
      <c r="C68" s="282" t="s">
        <v>190</v>
      </c>
      <c r="D68" s="282">
        <v>0</v>
      </c>
      <c r="E68" s="282" t="s">
        <v>559</v>
      </c>
      <c r="F68" s="282" t="s">
        <v>186</v>
      </c>
      <c r="G68" s="283"/>
      <c r="H68" s="283"/>
      <c r="I68" s="311">
        <v>0</v>
      </c>
      <c r="J68" s="257"/>
      <c r="K68" s="257"/>
      <c r="L68" s="3447" t="e">
        <f t="shared" si="14"/>
        <v>#DIV/0!</v>
      </c>
      <c r="M68" s="3447" t="e">
        <f t="shared" si="14"/>
        <v>#DIV/0!</v>
      </c>
      <c r="N68" s="214">
        <f t="shared" si="15"/>
        <v>0</v>
      </c>
      <c r="O68" s="214">
        <f t="shared" si="16"/>
        <v>0</v>
      </c>
      <c r="P68" s="214">
        <f>IF(K68=0, 0, (HLOOKUP(K68,'[1]G-CESTD'!$A$5:$G$35,J68+1,FALSE)*R18))</f>
        <v>0</v>
      </c>
      <c r="Q68" s="214">
        <f>IF(K68=0, 0, (HLOOKUP(K68,'[1]G-CESTD'!$A$5:$G$35,J68+1,FALSE)*R18))</f>
        <v>0</v>
      </c>
      <c r="R68" s="279">
        <v>1.081</v>
      </c>
      <c r="S68" s="280">
        <f t="shared" si="10"/>
        <v>0</v>
      </c>
      <c r="T68" s="280">
        <f t="shared" si="10"/>
        <v>0</v>
      </c>
      <c r="U68" s="280">
        <f t="shared" si="10"/>
        <v>0</v>
      </c>
      <c r="V68" s="322" t="e">
        <f t="shared" si="12"/>
        <v>#DIV/0!</v>
      </c>
      <c r="W68" s="322" t="e">
        <f t="shared" si="11"/>
        <v>#DIV/0!</v>
      </c>
      <c r="X68" s="322" t="e">
        <f t="shared" si="13"/>
        <v>#DIV/0!</v>
      </c>
    </row>
    <row r="69" spans="2:24">
      <c r="B69" s="282"/>
      <c r="C69" s="282" t="s">
        <v>191</v>
      </c>
      <c r="D69" s="257">
        <v>0</v>
      </c>
      <c r="E69" s="282" t="s">
        <v>559</v>
      </c>
      <c r="F69" s="282" t="s">
        <v>186</v>
      </c>
      <c r="G69" s="283"/>
      <c r="H69" s="283"/>
      <c r="I69" s="311">
        <v>0</v>
      </c>
      <c r="J69" s="257"/>
      <c r="K69" s="257"/>
      <c r="L69" s="3447" t="e">
        <f t="shared" si="14"/>
        <v>#DIV/0!</v>
      </c>
      <c r="M69" s="3447" t="e">
        <f t="shared" si="14"/>
        <v>#DIV/0!</v>
      </c>
      <c r="N69" s="214">
        <f t="shared" si="15"/>
        <v>0</v>
      </c>
      <c r="O69" s="214">
        <f t="shared" si="16"/>
        <v>0</v>
      </c>
      <c r="P69" s="214">
        <f>IF(K69=0, 0, (HLOOKUP(K69,'[1]G-CESTD'!$A$5:$G$35,J69+1,FALSE)*R19))</f>
        <v>0</v>
      </c>
      <c r="Q69" s="214">
        <f>IF(K69=0, 0, (HLOOKUP(K69,'[1]G-CESTD'!$A$5:$G$35,J69+1,FALSE)*R19))</f>
        <v>0</v>
      </c>
      <c r="R69" s="279">
        <v>1.081</v>
      </c>
      <c r="S69" s="280">
        <f t="shared" si="10"/>
        <v>0</v>
      </c>
      <c r="T69" s="280">
        <f t="shared" si="10"/>
        <v>0</v>
      </c>
      <c r="U69" s="280">
        <f t="shared" si="10"/>
        <v>0</v>
      </c>
      <c r="V69" s="322" t="e">
        <f t="shared" si="12"/>
        <v>#DIV/0!</v>
      </c>
      <c r="W69" s="322" t="e">
        <f t="shared" si="11"/>
        <v>#DIV/0!</v>
      </c>
      <c r="X69" s="322" t="e">
        <f t="shared" si="13"/>
        <v>#DIV/0!</v>
      </c>
    </row>
    <row r="70" spans="2:24">
      <c r="B70" s="282"/>
      <c r="C70" s="282" t="s">
        <v>192</v>
      </c>
      <c r="D70" s="282">
        <v>0</v>
      </c>
      <c r="E70" s="282" t="s">
        <v>559</v>
      </c>
      <c r="F70" s="282" t="s">
        <v>186</v>
      </c>
      <c r="G70" s="283"/>
      <c r="H70" s="283"/>
      <c r="I70" s="311">
        <v>0</v>
      </c>
      <c r="J70" s="257"/>
      <c r="K70" s="257"/>
      <c r="L70" s="3447" t="e">
        <f t="shared" si="14"/>
        <v>#DIV/0!</v>
      </c>
      <c r="M70" s="3447" t="e">
        <f t="shared" si="14"/>
        <v>#DIV/0!</v>
      </c>
      <c r="N70" s="214">
        <f t="shared" si="15"/>
        <v>0</v>
      </c>
      <c r="O70" s="214">
        <f t="shared" si="16"/>
        <v>0</v>
      </c>
      <c r="P70" s="214">
        <f>IF(K70=0, 0, (HLOOKUP(K70,'[1]G-CESTD'!$A$5:$G$35,J70+1,FALSE)*R20))</f>
        <v>0</v>
      </c>
      <c r="Q70" s="214">
        <f>IF(K70=0, 0, (HLOOKUP(K70,'[1]G-CESTD'!$A$5:$G$35,J70+1,FALSE)*R20))</f>
        <v>0</v>
      </c>
      <c r="R70" s="279">
        <v>1.081</v>
      </c>
      <c r="S70" s="280">
        <f t="shared" si="10"/>
        <v>0</v>
      </c>
      <c r="T70" s="280">
        <f t="shared" si="10"/>
        <v>0</v>
      </c>
      <c r="U70" s="280">
        <f t="shared" si="10"/>
        <v>0</v>
      </c>
      <c r="V70" s="322" t="e">
        <f t="shared" si="12"/>
        <v>#DIV/0!</v>
      </c>
      <c r="W70" s="322" t="e">
        <f t="shared" si="11"/>
        <v>#DIV/0!</v>
      </c>
      <c r="X70" s="322" t="e">
        <f t="shared" si="13"/>
        <v>#DIV/0!</v>
      </c>
    </row>
    <row r="71" spans="2:24">
      <c r="B71" s="282"/>
      <c r="C71" s="282" t="s">
        <v>193</v>
      </c>
      <c r="D71" s="257">
        <v>0</v>
      </c>
      <c r="E71" s="282" t="s">
        <v>559</v>
      </c>
      <c r="F71" s="282" t="s">
        <v>186</v>
      </c>
      <c r="G71" s="283"/>
      <c r="H71" s="283"/>
      <c r="I71" s="311">
        <v>0</v>
      </c>
      <c r="J71" s="257"/>
      <c r="K71" s="257"/>
      <c r="L71" s="3447" t="e">
        <f t="shared" si="14"/>
        <v>#DIV/0!</v>
      </c>
      <c r="M71" s="3447" t="e">
        <f t="shared" si="14"/>
        <v>#DIV/0!</v>
      </c>
      <c r="N71" s="214">
        <f t="shared" si="15"/>
        <v>0</v>
      </c>
      <c r="O71" s="214">
        <f t="shared" si="16"/>
        <v>0</v>
      </c>
      <c r="P71" s="214">
        <f>IF(K71=0, 0, (HLOOKUP(K71,'[1]G-CESTD'!$A$5:$G$35,J71+1,FALSE)*R21))</f>
        <v>0</v>
      </c>
      <c r="Q71" s="214">
        <f>IF(K71=0, 0, (HLOOKUP(K71,'[1]G-CESTD'!$A$5:$G$35,J71+1,FALSE)*R21))</f>
        <v>0</v>
      </c>
      <c r="R71" s="279">
        <v>1.081</v>
      </c>
      <c r="S71" s="280">
        <f t="shared" si="10"/>
        <v>0</v>
      </c>
      <c r="T71" s="280">
        <f t="shared" si="10"/>
        <v>0</v>
      </c>
      <c r="U71" s="280">
        <f t="shared" si="10"/>
        <v>0</v>
      </c>
      <c r="V71" s="322" t="e">
        <f t="shared" si="12"/>
        <v>#DIV/0!</v>
      </c>
      <c r="W71" s="322" t="e">
        <f t="shared" si="11"/>
        <v>#DIV/0!</v>
      </c>
      <c r="X71" s="322" t="e">
        <f t="shared" si="13"/>
        <v>#DIV/0!</v>
      </c>
    </row>
    <row r="72" spans="2:24">
      <c r="B72" s="282"/>
      <c r="C72" s="282" t="s">
        <v>194</v>
      </c>
      <c r="D72" s="282">
        <v>0</v>
      </c>
      <c r="E72" s="282" t="s">
        <v>559</v>
      </c>
      <c r="F72" s="282" t="s">
        <v>186</v>
      </c>
      <c r="G72" s="283"/>
      <c r="H72" s="283"/>
      <c r="I72" s="311">
        <v>0</v>
      </c>
      <c r="J72" s="257"/>
      <c r="K72" s="257"/>
      <c r="L72" s="3447" t="e">
        <f t="shared" si="14"/>
        <v>#DIV/0!</v>
      </c>
      <c r="M72" s="3447" t="e">
        <f t="shared" si="14"/>
        <v>#DIV/0!</v>
      </c>
      <c r="N72" s="214">
        <f t="shared" si="15"/>
        <v>0</v>
      </c>
      <c r="O72" s="214">
        <f t="shared" si="16"/>
        <v>0</v>
      </c>
      <c r="P72" s="214">
        <f>IF(K72=0, 0, (HLOOKUP(K72,'[1]G-CESTD'!$A$5:$G$35,J72+1,FALSE)*R22))</f>
        <v>0</v>
      </c>
      <c r="Q72" s="214">
        <f>IF(K72=0, 0, (HLOOKUP(K72,'[1]G-CESTD'!$A$5:$G$35,J72+1,FALSE)*R22))</f>
        <v>0</v>
      </c>
      <c r="R72" s="279">
        <v>1.081</v>
      </c>
      <c r="S72" s="280">
        <f t="shared" si="10"/>
        <v>0</v>
      </c>
      <c r="T72" s="280">
        <f t="shared" si="10"/>
        <v>0</v>
      </c>
      <c r="U72" s="280">
        <f t="shared" si="10"/>
        <v>0</v>
      </c>
      <c r="V72" s="322" t="e">
        <f t="shared" si="12"/>
        <v>#DIV/0!</v>
      </c>
      <c r="W72" s="322" t="e">
        <f t="shared" si="11"/>
        <v>#DIV/0!</v>
      </c>
      <c r="X72" s="322" t="e">
        <f t="shared" si="13"/>
        <v>#DIV/0!</v>
      </c>
    </row>
    <row r="73" spans="2:24">
      <c r="B73" s="282"/>
      <c r="C73" s="282" t="s">
        <v>195</v>
      </c>
      <c r="D73" s="257">
        <v>0</v>
      </c>
      <c r="E73" s="282" t="s">
        <v>559</v>
      </c>
      <c r="F73" s="282" t="s">
        <v>186</v>
      </c>
      <c r="G73" s="283"/>
      <c r="H73" s="283"/>
      <c r="I73" s="311">
        <v>0</v>
      </c>
      <c r="J73" s="257"/>
      <c r="K73" s="257"/>
      <c r="L73" s="3447" t="e">
        <f t="shared" si="14"/>
        <v>#DIV/0!</v>
      </c>
      <c r="M73" s="3447" t="e">
        <f t="shared" si="14"/>
        <v>#DIV/0!</v>
      </c>
      <c r="N73" s="214">
        <f t="shared" si="15"/>
        <v>0</v>
      </c>
      <c r="O73" s="214">
        <f t="shared" si="16"/>
        <v>0</v>
      </c>
      <c r="P73" s="214">
        <f>IF(K73=0, 0, (HLOOKUP(K73,'[1]G-CESTD'!$A$5:$G$35,J73+1,FALSE)*R23))</f>
        <v>0</v>
      </c>
      <c r="Q73" s="214">
        <f>IF(K73=0, 0, (HLOOKUP(K73,'[1]G-CESTD'!$A$5:$G$35,J73+1,FALSE)*R23))</f>
        <v>0</v>
      </c>
      <c r="R73" s="279">
        <v>1.081</v>
      </c>
      <c r="S73" s="280">
        <f t="shared" si="10"/>
        <v>0</v>
      </c>
      <c r="T73" s="280">
        <f t="shared" si="10"/>
        <v>0</v>
      </c>
      <c r="U73" s="280">
        <f t="shared" si="10"/>
        <v>0</v>
      </c>
      <c r="V73" s="322" t="e">
        <f t="shared" si="12"/>
        <v>#DIV/0!</v>
      </c>
      <c r="W73" s="322" t="e">
        <f t="shared" si="11"/>
        <v>#DIV/0!</v>
      </c>
      <c r="X73" s="322" t="e">
        <f t="shared" si="13"/>
        <v>#DIV/0!</v>
      </c>
    </row>
    <row r="74" spans="2:24">
      <c r="B74" s="282"/>
      <c r="C74" s="282" t="s">
        <v>196</v>
      </c>
      <c r="D74" s="282">
        <v>0</v>
      </c>
      <c r="E74" s="282" t="s">
        <v>559</v>
      </c>
      <c r="F74" s="282" t="s">
        <v>186</v>
      </c>
      <c r="G74" s="283"/>
      <c r="H74" s="283"/>
      <c r="I74" s="311">
        <v>0</v>
      </c>
      <c r="J74" s="257"/>
      <c r="K74" s="257"/>
      <c r="L74" s="3447" t="e">
        <f t="shared" si="14"/>
        <v>#DIV/0!</v>
      </c>
      <c r="M74" s="3447" t="e">
        <f t="shared" si="14"/>
        <v>#DIV/0!</v>
      </c>
      <c r="N74" s="214">
        <f t="shared" si="15"/>
        <v>0</v>
      </c>
      <c r="O74" s="214">
        <f t="shared" si="16"/>
        <v>0</v>
      </c>
      <c r="P74" s="214">
        <f>IF(K74=0, 0, (HLOOKUP(K74,'[1]G-CESTD'!$A$5:$G$35,J74+1,FALSE)*R24))</f>
        <v>0</v>
      </c>
      <c r="Q74" s="214">
        <f>IF(K74=0, 0, (HLOOKUP(K74,'[1]G-CESTD'!$A$5:$G$35,J74+1,FALSE)*R24))</f>
        <v>0</v>
      </c>
      <c r="R74" s="279">
        <v>1.081</v>
      </c>
      <c r="S74" s="280">
        <f t="shared" si="10"/>
        <v>0</v>
      </c>
      <c r="T74" s="280">
        <f t="shared" si="10"/>
        <v>0</v>
      </c>
      <c r="U74" s="280">
        <f t="shared" si="10"/>
        <v>0</v>
      </c>
      <c r="V74" s="322" t="e">
        <f t="shared" si="12"/>
        <v>#DIV/0!</v>
      </c>
      <c r="W74" s="322" t="e">
        <f t="shared" si="11"/>
        <v>#DIV/0!</v>
      </c>
      <c r="X74" s="322" t="e">
        <f t="shared" si="13"/>
        <v>#DIV/0!</v>
      </c>
    </row>
    <row r="75" spans="2:24">
      <c r="B75" s="282"/>
      <c r="C75" s="282" t="s">
        <v>197</v>
      </c>
      <c r="D75" s="257">
        <v>0</v>
      </c>
      <c r="E75" s="282" t="s">
        <v>559</v>
      </c>
      <c r="F75" s="282" t="s">
        <v>186</v>
      </c>
      <c r="G75" s="283"/>
      <c r="H75" s="283"/>
      <c r="I75" s="311">
        <v>0</v>
      </c>
      <c r="J75" s="257"/>
      <c r="K75" s="257"/>
      <c r="L75" s="3447" t="e">
        <f t="shared" si="14"/>
        <v>#DIV/0!</v>
      </c>
      <c r="M75" s="3447" t="e">
        <f t="shared" si="14"/>
        <v>#DIV/0!</v>
      </c>
      <c r="N75" s="214">
        <f t="shared" si="15"/>
        <v>0</v>
      </c>
      <c r="O75" s="214">
        <f t="shared" si="16"/>
        <v>0</v>
      </c>
      <c r="P75" s="214">
        <f>IF(K75=0, 0, (HLOOKUP(K75,'[1]G-CESTD'!$A$5:$G$35,J75+1,FALSE)*R25))</f>
        <v>0</v>
      </c>
      <c r="Q75" s="214">
        <f>IF(K75=0, 0, (HLOOKUP(K75,'[1]G-CESTD'!$A$5:$G$35,J75+1,FALSE)*R25))</f>
        <v>0</v>
      </c>
      <c r="R75" s="279">
        <v>1.081</v>
      </c>
      <c r="S75" s="280">
        <f t="shared" si="10"/>
        <v>0</v>
      </c>
      <c r="T75" s="280">
        <f t="shared" si="10"/>
        <v>0</v>
      </c>
      <c r="U75" s="280">
        <f t="shared" si="10"/>
        <v>0</v>
      </c>
      <c r="V75" s="322" t="e">
        <f t="shared" si="12"/>
        <v>#DIV/0!</v>
      </c>
      <c r="W75" s="322" t="e">
        <f t="shared" si="11"/>
        <v>#DIV/0!</v>
      </c>
      <c r="X75" s="322" t="e">
        <f t="shared" si="13"/>
        <v>#DIV/0!</v>
      </c>
    </row>
    <row r="76" spans="2:24">
      <c r="B76" s="282"/>
      <c r="C76" s="282" t="s">
        <v>198</v>
      </c>
      <c r="D76" s="282">
        <v>0</v>
      </c>
      <c r="E76" s="282" t="s">
        <v>559</v>
      </c>
      <c r="F76" s="282" t="s">
        <v>186</v>
      </c>
      <c r="G76" s="283"/>
      <c r="H76" s="283"/>
      <c r="I76" s="311">
        <v>0</v>
      </c>
      <c r="J76" s="257"/>
      <c r="K76" s="257"/>
      <c r="L76" s="3447" t="e">
        <f t="shared" si="14"/>
        <v>#DIV/0!</v>
      </c>
      <c r="M76" s="3447" t="e">
        <f t="shared" si="14"/>
        <v>#DIV/0!</v>
      </c>
      <c r="N76" s="214">
        <f t="shared" si="15"/>
        <v>0</v>
      </c>
      <c r="O76" s="214">
        <f t="shared" si="16"/>
        <v>0</v>
      </c>
      <c r="P76" s="214">
        <f>IF(K76=0, 0, (HLOOKUP(K76,'[1]G-CESTD'!$A$5:$G$35,J76+1,FALSE)*R26))</f>
        <v>0</v>
      </c>
      <c r="Q76" s="214">
        <f>IF(K76=0, 0, (HLOOKUP(K76,'[1]G-CESTD'!$A$5:$G$35,J76+1,FALSE)*R26))</f>
        <v>0</v>
      </c>
      <c r="R76" s="279">
        <v>1.081</v>
      </c>
      <c r="S76" s="280">
        <f t="shared" si="10"/>
        <v>0</v>
      </c>
      <c r="T76" s="280">
        <f t="shared" si="10"/>
        <v>0</v>
      </c>
      <c r="U76" s="280">
        <f t="shared" si="10"/>
        <v>0</v>
      </c>
      <c r="V76" s="322" t="e">
        <f t="shared" si="12"/>
        <v>#DIV/0!</v>
      </c>
      <c r="W76" s="322" t="e">
        <f t="shared" si="11"/>
        <v>#DIV/0!</v>
      </c>
      <c r="X76" s="322" t="e">
        <f t="shared" si="13"/>
        <v>#DIV/0!</v>
      </c>
    </row>
    <row r="77" spans="2:24">
      <c r="B77" s="282"/>
      <c r="C77" s="282" t="s">
        <v>199</v>
      </c>
      <c r="D77" s="257">
        <v>0</v>
      </c>
      <c r="E77" s="282" t="s">
        <v>559</v>
      </c>
      <c r="F77" s="282" t="s">
        <v>186</v>
      </c>
      <c r="G77" s="283"/>
      <c r="H77" s="283"/>
      <c r="I77" s="311">
        <v>0</v>
      </c>
      <c r="J77" s="257"/>
      <c r="K77" s="257"/>
      <c r="L77" s="3447" t="e">
        <f t="shared" si="14"/>
        <v>#DIV/0!</v>
      </c>
      <c r="M77" s="3447" t="e">
        <f t="shared" si="14"/>
        <v>#DIV/0!</v>
      </c>
      <c r="N77" s="214">
        <f t="shared" si="15"/>
        <v>0</v>
      </c>
      <c r="O77" s="214">
        <f t="shared" si="16"/>
        <v>0</v>
      </c>
      <c r="P77" s="214">
        <f>IF(K77=0, 0, (HLOOKUP(K77,'[1]G-CESTD'!$A$5:$G$35,J77+1,FALSE)*R27))</f>
        <v>0</v>
      </c>
      <c r="Q77" s="214">
        <f>IF(K77=0, 0, (HLOOKUP(K77,'[1]G-CESTD'!$A$5:$G$35,J77+1,FALSE)*R27))</f>
        <v>0</v>
      </c>
      <c r="R77" s="279">
        <v>1.081</v>
      </c>
      <c r="S77" s="280">
        <f t="shared" si="10"/>
        <v>0</v>
      </c>
      <c r="T77" s="280">
        <f t="shared" si="10"/>
        <v>0</v>
      </c>
      <c r="U77" s="280">
        <f t="shared" si="10"/>
        <v>0</v>
      </c>
      <c r="V77" s="322" t="e">
        <f t="shared" si="12"/>
        <v>#DIV/0!</v>
      </c>
      <c r="W77" s="322" t="e">
        <f t="shared" si="11"/>
        <v>#DIV/0!</v>
      </c>
      <c r="X77" s="322" t="e">
        <f t="shared" si="13"/>
        <v>#DIV/0!</v>
      </c>
    </row>
    <row r="78" spans="2:24">
      <c r="B78" s="282"/>
      <c r="C78" s="282" t="s">
        <v>200</v>
      </c>
      <c r="D78" s="282">
        <v>0</v>
      </c>
      <c r="E78" s="282" t="s">
        <v>559</v>
      </c>
      <c r="F78" s="282" t="s">
        <v>186</v>
      </c>
      <c r="G78" s="283"/>
      <c r="H78" s="283"/>
      <c r="I78" s="311">
        <v>0</v>
      </c>
      <c r="J78" s="257"/>
      <c r="K78" s="257"/>
      <c r="L78" s="3447" t="e">
        <f t="shared" si="14"/>
        <v>#DIV/0!</v>
      </c>
      <c r="M78" s="3447" t="e">
        <f t="shared" si="14"/>
        <v>#DIV/0!</v>
      </c>
      <c r="N78" s="214">
        <f t="shared" si="15"/>
        <v>0</v>
      </c>
      <c r="O78" s="214">
        <f t="shared" si="16"/>
        <v>0</v>
      </c>
      <c r="P78" s="214">
        <f>IF(K78=0, 0, (HLOOKUP(K78,'[1]G-CESTD'!$A$5:$G$35,J78+1,FALSE)*R28))</f>
        <v>0</v>
      </c>
      <c r="Q78" s="214">
        <f>IF(K78=0, 0, (HLOOKUP(K78,'[1]G-CESTD'!$A$5:$G$35,J78+1,FALSE)*R28))</f>
        <v>0</v>
      </c>
      <c r="R78" s="279">
        <v>1.081</v>
      </c>
      <c r="S78" s="280">
        <f t="shared" si="10"/>
        <v>0</v>
      </c>
      <c r="T78" s="280">
        <f t="shared" si="10"/>
        <v>0</v>
      </c>
      <c r="U78" s="280">
        <f t="shared" si="10"/>
        <v>0</v>
      </c>
      <c r="V78" s="322" t="e">
        <f t="shared" si="12"/>
        <v>#DIV/0!</v>
      </c>
      <c r="W78" s="322" t="e">
        <f t="shared" si="11"/>
        <v>#DIV/0!</v>
      </c>
      <c r="X78" s="322" t="e">
        <f t="shared" si="13"/>
        <v>#DIV/0!</v>
      </c>
    </row>
    <row r="79" spans="2:24">
      <c r="B79" s="282"/>
      <c r="C79" s="282" t="s">
        <v>201</v>
      </c>
      <c r="D79" s="257">
        <v>0</v>
      </c>
      <c r="E79" s="282" t="s">
        <v>559</v>
      </c>
      <c r="F79" s="282" t="s">
        <v>186</v>
      </c>
      <c r="G79" s="283"/>
      <c r="H79" s="283"/>
      <c r="I79" s="311">
        <v>0</v>
      </c>
      <c r="J79" s="257"/>
      <c r="K79" s="257"/>
      <c r="L79" s="3447" t="e">
        <f t="shared" si="14"/>
        <v>#DIV/0!</v>
      </c>
      <c r="M79" s="3447" t="e">
        <f t="shared" si="14"/>
        <v>#DIV/0!</v>
      </c>
      <c r="N79" s="214">
        <f t="shared" si="15"/>
        <v>0</v>
      </c>
      <c r="O79" s="214">
        <f t="shared" si="16"/>
        <v>0</v>
      </c>
      <c r="P79" s="214">
        <f>IF(K79=0, 0, (HLOOKUP(K79,'[1]G-CESTD'!$A$5:$G$35,J79+1,FALSE)*R29))</f>
        <v>0</v>
      </c>
      <c r="Q79" s="214">
        <f>IF(K79=0, 0, (HLOOKUP(K79,'[1]G-CESTD'!$A$5:$G$35,J79+1,FALSE)*R29))</f>
        <v>0</v>
      </c>
      <c r="R79" s="279">
        <v>1.081</v>
      </c>
      <c r="S79" s="280">
        <f t="shared" ref="S79:U104" si="17">M29*$H79</f>
        <v>0</v>
      </c>
      <c r="T79" s="280">
        <f t="shared" si="17"/>
        <v>0</v>
      </c>
      <c r="U79" s="280">
        <f t="shared" si="17"/>
        <v>0</v>
      </c>
      <c r="V79" s="322" t="e">
        <f t="shared" si="12"/>
        <v>#DIV/0!</v>
      </c>
      <c r="W79" s="322" t="e">
        <f t="shared" si="11"/>
        <v>#DIV/0!</v>
      </c>
      <c r="X79" s="322" t="e">
        <f t="shared" si="13"/>
        <v>#DIV/0!</v>
      </c>
    </row>
    <row r="80" spans="2:24">
      <c r="B80" s="282"/>
      <c r="C80" s="282" t="s">
        <v>202</v>
      </c>
      <c r="D80" s="282">
        <v>0</v>
      </c>
      <c r="E80" s="282" t="s">
        <v>559</v>
      </c>
      <c r="F80" s="282" t="s">
        <v>186</v>
      </c>
      <c r="G80" s="283"/>
      <c r="H80" s="283"/>
      <c r="I80" s="311">
        <v>0</v>
      </c>
      <c r="J80" s="257"/>
      <c r="K80" s="257"/>
      <c r="L80" s="3447" t="e">
        <f t="shared" si="14"/>
        <v>#DIV/0!</v>
      </c>
      <c r="M80" s="3447" t="e">
        <f t="shared" si="14"/>
        <v>#DIV/0!</v>
      </c>
      <c r="N80" s="214">
        <f t="shared" si="15"/>
        <v>0</v>
      </c>
      <c r="O80" s="214">
        <f t="shared" si="16"/>
        <v>0</v>
      </c>
      <c r="P80" s="214">
        <f>IF(K80=0, 0, (HLOOKUP(K80,'[1]G-CESTD'!$A$5:$G$35,J80+1,FALSE)*R30))</f>
        <v>0</v>
      </c>
      <c r="Q80" s="214">
        <f>IF(K80=0, 0, (HLOOKUP(K80,'[1]G-CESTD'!$A$5:$G$35,J80+1,FALSE)*R30))</f>
        <v>0</v>
      </c>
      <c r="R80" s="279">
        <v>1.081</v>
      </c>
      <c r="S80" s="280">
        <f t="shared" si="17"/>
        <v>0</v>
      </c>
      <c r="T80" s="280">
        <f t="shared" si="17"/>
        <v>0</v>
      </c>
      <c r="U80" s="280">
        <f t="shared" si="17"/>
        <v>0</v>
      </c>
      <c r="V80" s="322" t="e">
        <f t="shared" si="12"/>
        <v>#DIV/0!</v>
      </c>
      <c r="W80" s="322" t="e">
        <f t="shared" si="11"/>
        <v>#DIV/0!</v>
      </c>
      <c r="X80" s="322" t="e">
        <f t="shared" si="13"/>
        <v>#DIV/0!</v>
      </c>
    </row>
    <row r="81" spans="2:24">
      <c r="B81" s="282"/>
      <c r="C81" s="282" t="s">
        <v>203</v>
      </c>
      <c r="D81" s="282">
        <v>0</v>
      </c>
      <c r="E81" s="282" t="s">
        <v>559</v>
      </c>
      <c r="F81" s="282" t="s">
        <v>186</v>
      </c>
      <c r="G81" s="283"/>
      <c r="H81" s="283"/>
      <c r="I81" s="311">
        <v>0</v>
      </c>
      <c r="J81" s="257"/>
      <c r="K81" s="257"/>
      <c r="L81" s="3447" t="e">
        <f t="shared" si="14"/>
        <v>#DIV/0!</v>
      </c>
      <c r="M81" s="3447" t="e">
        <f t="shared" si="14"/>
        <v>#DIV/0!</v>
      </c>
      <c r="N81" s="214">
        <f t="shared" si="15"/>
        <v>0</v>
      </c>
      <c r="O81" s="214">
        <f t="shared" si="16"/>
        <v>0</v>
      </c>
      <c r="P81" s="214">
        <f>IF(K81=0, 0, (HLOOKUP(K81,'[1]G-CESTD'!$A$5:$G$35,J81+1,FALSE)*R31))</f>
        <v>0</v>
      </c>
      <c r="Q81" s="214">
        <f>IF(K81=0, 0, (HLOOKUP(K81,'[1]G-CESTD'!$A$5:$G$35,J81+1,FALSE)*R31))</f>
        <v>0</v>
      </c>
      <c r="R81" s="279">
        <v>1.081</v>
      </c>
      <c r="S81" s="280">
        <f t="shared" si="17"/>
        <v>0</v>
      </c>
      <c r="T81" s="280">
        <f t="shared" si="17"/>
        <v>0</v>
      </c>
      <c r="U81" s="280">
        <f t="shared" si="17"/>
        <v>0</v>
      </c>
      <c r="V81" s="322" t="e">
        <f t="shared" si="12"/>
        <v>#DIV/0!</v>
      </c>
      <c r="W81" s="322" t="e">
        <f t="shared" si="11"/>
        <v>#DIV/0!</v>
      </c>
      <c r="X81" s="322" t="e">
        <f t="shared" si="13"/>
        <v>#DIV/0!</v>
      </c>
    </row>
    <row r="82" spans="2:24">
      <c r="B82" s="282"/>
      <c r="C82" s="282" t="s">
        <v>204</v>
      </c>
      <c r="D82" s="282">
        <v>0</v>
      </c>
      <c r="E82" s="282" t="s">
        <v>559</v>
      </c>
      <c r="F82" s="282" t="s">
        <v>186</v>
      </c>
      <c r="G82" s="283"/>
      <c r="H82" s="283"/>
      <c r="I82" s="311">
        <v>0</v>
      </c>
      <c r="J82" s="257"/>
      <c r="K82" s="257"/>
      <c r="L82" s="3447" t="e">
        <f t="shared" si="14"/>
        <v>#DIV/0!</v>
      </c>
      <c r="M82" s="3447" t="e">
        <f t="shared" si="14"/>
        <v>#DIV/0!</v>
      </c>
      <c r="N82" s="214">
        <f t="shared" si="15"/>
        <v>0</v>
      </c>
      <c r="O82" s="214">
        <f t="shared" si="16"/>
        <v>0</v>
      </c>
      <c r="P82" s="214">
        <f>IF(K82=0, 0, (HLOOKUP(K82,'[1]G-CESTD'!$A$5:$G$35,J82+1,FALSE)*R32))</f>
        <v>0</v>
      </c>
      <c r="Q82" s="214">
        <f>IF(K82=0, 0, (HLOOKUP(K82,'[1]G-CESTD'!$A$5:$G$35,J82+1,FALSE)*R32))</f>
        <v>0</v>
      </c>
      <c r="R82" s="279">
        <v>1.081</v>
      </c>
      <c r="S82" s="280">
        <f t="shared" si="17"/>
        <v>0</v>
      </c>
      <c r="T82" s="280">
        <f t="shared" si="17"/>
        <v>0</v>
      </c>
      <c r="U82" s="280">
        <f t="shared" si="17"/>
        <v>0</v>
      </c>
    </row>
    <row r="83" spans="2:24">
      <c r="B83" s="282"/>
      <c r="C83" s="282" t="s">
        <v>205</v>
      </c>
      <c r="D83" s="285">
        <v>0</v>
      </c>
      <c r="E83" s="282" t="s">
        <v>559</v>
      </c>
      <c r="F83" s="282" t="s">
        <v>186</v>
      </c>
      <c r="G83" s="283"/>
      <c r="H83" s="283"/>
      <c r="I83" s="311">
        <v>0</v>
      </c>
      <c r="J83" s="257"/>
      <c r="K83" s="257"/>
      <c r="L83" s="3447" t="e">
        <f t="shared" si="14"/>
        <v>#DIV/0!</v>
      </c>
      <c r="M83" s="3447" t="e">
        <f t="shared" si="14"/>
        <v>#DIV/0!</v>
      </c>
      <c r="N83" s="214">
        <f t="shared" si="15"/>
        <v>0</v>
      </c>
      <c r="O83" s="214">
        <f t="shared" si="16"/>
        <v>0</v>
      </c>
      <c r="P83" s="214">
        <f>IF(K83=0, 0, (HLOOKUP(K83,'[1]G-CESTD'!$A$5:$G$35,J83+1,FALSE)*R33))</f>
        <v>0</v>
      </c>
      <c r="Q83" s="214">
        <f>IF(K83=0, 0, (HLOOKUP(K83,'[1]G-CESTD'!$A$5:$G$35,J83+1,FALSE)*R33))</f>
        <v>0</v>
      </c>
      <c r="R83" s="279">
        <v>1.081</v>
      </c>
      <c r="S83" s="280">
        <f t="shared" si="17"/>
        <v>0</v>
      </c>
      <c r="T83" s="280">
        <f t="shared" si="17"/>
        <v>0</v>
      </c>
      <c r="U83" s="280">
        <f t="shared" si="17"/>
        <v>0</v>
      </c>
    </row>
    <row r="84" spans="2:24">
      <c r="B84" s="282"/>
      <c r="C84" s="282" t="s">
        <v>206</v>
      </c>
      <c r="D84" s="285">
        <v>0</v>
      </c>
      <c r="E84" s="282" t="s">
        <v>559</v>
      </c>
      <c r="F84" s="282" t="s">
        <v>186</v>
      </c>
      <c r="G84" s="283"/>
      <c r="H84" s="283"/>
      <c r="I84" s="311">
        <v>0</v>
      </c>
      <c r="J84" s="257"/>
      <c r="K84" s="257"/>
      <c r="L84" s="3447" t="e">
        <f t="shared" si="14"/>
        <v>#DIV/0!</v>
      </c>
      <c r="M84" s="3447" t="e">
        <f t="shared" si="14"/>
        <v>#DIV/0!</v>
      </c>
      <c r="N84" s="214">
        <f t="shared" si="15"/>
        <v>0</v>
      </c>
      <c r="O84" s="214">
        <f t="shared" si="16"/>
        <v>0</v>
      </c>
      <c r="P84" s="214">
        <f>IF(K84=0, 0, (HLOOKUP(K84,'[1]G-CESTD'!$A$5:$G$35,J84+1,FALSE)*R34))</f>
        <v>0</v>
      </c>
      <c r="Q84" s="214">
        <f>IF(K84=0, 0, (HLOOKUP(K84,'[1]G-CESTD'!$A$5:$G$35,J84+1,FALSE)*R34))</f>
        <v>0</v>
      </c>
      <c r="R84" s="279">
        <v>1.081</v>
      </c>
      <c r="S84" s="280">
        <f t="shared" si="17"/>
        <v>0</v>
      </c>
      <c r="T84" s="280">
        <f t="shared" si="17"/>
        <v>0</v>
      </c>
      <c r="U84" s="280">
        <f t="shared" si="17"/>
        <v>0</v>
      </c>
    </row>
    <row r="85" spans="2:24">
      <c r="B85" s="282"/>
      <c r="C85" s="282" t="s">
        <v>207</v>
      </c>
      <c r="D85" s="285">
        <v>0</v>
      </c>
      <c r="E85" s="282" t="s">
        <v>559</v>
      </c>
      <c r="F85" s="282" t="s">
        <v>186</v>
      </c>
      <c r="G85" s="283"/>
      <c r="H85" s="283"/>
      <c r="I85" s="311">
        <v>0</v>
      </c>
      <c r="J85" s="257"/>
      <c r="K85" s="257"/>
      <c r="L85" s="3447" t="e">
        <f t="shared" si="14"/>
        <v>#DIV/0!</v>
      </c>
      <c r="M85" s="3447" t="e">
        <f t="shared" si="14"/>
        <v>#DIV/0!</v>
      </c>
      <c r="N85" s="214">
        <f t="shared" si="15"/>
        <v>0</v>
      </c>
      <c r="O85" s="214">
        <f t="shared" si="16"/>
        <v>0</v>
      </c>
      <c r="P85" s="214">
        <f>IF(K85=0, 0, (HLOOKUP(K85,'[1]G-CESTD'!$A$5:$G$35,J85+1,FALSE)*R35))</f>
        <v>0</v>
      </c>
      <c r="Q85" s="214">
        <f>IF(K85=0, 0, (HLOOKUP(K85,'[1]G-CESTD'!$A$5:$G$35,J85+1,FALSE)*R35))</f>
        <v>0</v>
      </c>
      <c r="R85" s="279">
        <v>1.081</v>
      </c>
      <c r="S85" s="280">
        <f t="shared" si="17"/>
        <v>0</v>
      </c>
      <c r="T85" s="280">
        <f t="shared" si="17"/>
        <v>0</v>
      </c>
      <c r="U85" s="280">
        <f t="shared" si="17"/>
        <v>0</v>
      </c>
    </row>
    <row r="86" spans="2:24">
      <c r="B86" s="282"/>
      <c r="C86" s="282" t="s">
        <v>208</v>
      </c>
      <c r="D86" s="285">
        <v>0</v>
      </c>
      <c r="E86" s="282" t="s">
        <v>559</v>
      </c>
      <c r="F86" s="282" t="s">
        <v>186</v>
      </c>
      <c r="G86" s="283"/>
      <c r="H86" s="283"/>
      <c r="I86" s="311">
        <v>0</v>
      </c>
      <c r="J86" s="257"/>
      <c r="K86" s="257"/>
      <c r="L86" s="3447" t="e">
        <f t="shared" si="14"/>
        <v>#DIV/0!</v>
      </c>
      <c r="M86" s="3447" t="e">
        <f t="shared" si="14"/>
        <v>#DIV/0!</v>
      </c>
      <c r="N86" s="214">
        <f t="shared" si="15"/>
        <v>0</v>
      </c>
      <c r="O86" s="214">
        <f t="shared" si="16"/>
        <v>0</v>
      </c>
      <c r="P86" s="214">
        <f>IF(K86=0, 0, (HLOOKUP(K86,'[1]G-CESTD'!$A$5:$G$35,J86+1,FALSE)*R36))</f>
        <v>0</v>
      </c>
      <c r="Q86" s="214">
        <f>IF(K86=0, 0, (HLOOKUP(K86,'[1]G-CESTD'!$A$5:$G$35,J86+1,FALSE)*R36))</f>
        <v>0</v>
      </c>
      <c r="R86" s="279">
        <v>1.081</v>
      </c>
      <c r="S86" s="280">
        <f t="shared" si="17"/>
        <v>0</v>
      </c>
      <c r="T86" s="280">
        <f t="shared" si="17"/>
        <v>0</v>
      </c>
      <c r="U86" s="280">
        <f t="shared" si="17"/>
        <v>0</v>
      </c>
    </row>
    <row r="87" spans="2:24">
      <c r="B87" s="282"/>
      <c r="C87" s="282" t="s">
        <v>209</v>
      </c>
      <c r="D87" s="285">
        <v>0</v>
      </c>
      <c r="E87" s="282" t="s">
        <v>559</v>
      </c>
      <c r="F87" s="282" t="s">
        <v>186</v>
      </c>
      <c r="G87" s="283"/>
      <c r="H87" s="283"/>
      <c r="I87" s="311">
        <v>0</v>
      </c>
      <c r="J87" s="257"/>
      <c r="K87" s="257"/>
      <c r="L87" s="3447" t="e">
        <f t="shared" si="14"/>
        <v>#DIV/0!</v>
      </c>
      <c r="M87" s="3447" t="e">
        <f t="shared" si="14"/>
        <v>#DIV/0!</v>
      </c>
      <c r="N87" s="214">
        <f t="shared" si="15"/>
        <v>0</v>
      </c>
      <c r="O87" s="214">
        <f t="shared" si="16"/>
        <v>0</v>
      </c>
      <c r="P87" s="214">
        <f>IF(K87=0, 0, (HLOOKUP(K87,'[1]G-CESTD'!$A$5:$G$35,J87+1,FALSE)*R37))</f>
        <v>0</v>
      </c>
      <c r="Q87" s="214">
        <f>IF(K87=0, 0, (HLOOKUP(K87,'[1]G-CESTD'!$A$5:$G$35,J87+1,FALSE)*R37))</f>
        <v>0</v>
      </c>
      <c r="R87" s="279">
        <v>1.081</v>
      </c>
      <c r="S87" s="280">
        <f t="shared" si="17"/>
        <v>0</v>
      </c>
      <c r="T87" s="280">
        <f t="shared" si="17"/>
        <v>0</v>
      </c>
      <c r="U87" s="280">
        <f t="shared" si="17"/>
        <v>0</v>
      </c>
    </row>
    <row r="88" spans="2:24">
      <c r="B88" s="282"/>
      <c r="C88" s="282" t="s">
        <v>210</v>
      </c>
      <c r="D88" s="285">
        <v>0</v>
      </c>
      <c r="E88" s="282" t="s">
        <v>559</v>
      </c>
      <c r="F88" s="282" t="s">
        <v>186</v>
      </c>
      <c r="G88" s="283"/>
      <c r="H88" s="283"/>
      <c r="I88" s="311">
        <v>0</v>
      </c>
      <c r="J88" s="257"/>
      <c r="K88" s="257"/>
      <c r="L88" s="3447" t="e">
        <f t="shared" si="14"/>
        <v>#DIV/0!</v>
      </c>
      <c r="M88" s="3447" t="e">
        <f t="shared" si="14"/>
        <v>#DIV/0!</v>
      </c>
      <c r="N88" s="214">
        <f t="shared" si="15"/>
        <v>0</v>
      </c>
      <c r="O88" s="214">
        <f t="shared" si="16"/>
        <v>0</v>
      </c>
      <c r="P88" s="214">
        <f>IF(K88=0, 0, (HLOOKUP(K88,'[1]G-CESTD'!$A$5:$G$35,J88+1,FALSE)*R38))</f>
        <v>0</v>
      </c>
      <c r="Q88" s="214">
        <f>IF(K88=0, 0, (HLOOKUP(K88,'[1]G-CESTD'!$A$5:$G$35,J88+1,FALSE)*R38))</f>
        <v>0</v>
      </c>
      <c r="R88" s="279">
        <v>1.081</v>
      </c>
      <c r="S88" s="280">
        <f t="shared" si="17"/>
        <v>0</v>
      </c>
      <c r="T88" s="280">
        <f t="shared" si="17"/>
        <v>0</v>
      </c>
      <c r="U88" s="280">
        <f t="shared" si="17"/>
        <v>0</v>
      </c>
    </row>
    <row r="89" spans="2:24">
      <c r="B89" s="282"/>
      <c r="C89" s="282" t="s">
        <v>211</v>
      </c>
      <c r="D89" s="285">
        <v>0</v>
      </c>
      <c r="E89" s="282" t="s">
        <v>559</v>
      </c>
      <c r="F89" s="282" t="s">
        <v>186</v>
      </c>
      <c r="G89" s="283"/>
      <c r="H89" s="283"/>
      <c r="I89" s="311">
        <v>0</v>
      </c>
      <c r="J89" s="257"/>
      <c r="K89" s="257"/>
      <c r="L89" s="3447" t="e">
        <f t="shared" si="14"/>
        <v>#DIV/0!</v>
      </c>
      <c r="M89" s="3447" t="e">
        <f t="shared" si="14"/>
        <v>#DIV/0!</v>
      </c>
      <c r="N89" s="214">
        <f t="shared" si="15"/>
        <v>0</v>
      </c>
      <c r="O89" s="214">
        <f t="shared" si="16"/>
        <v>0</v>
      </c>
      <c r="P89" s="214">
        <f>IF(K89=0, 0, (HLOOKUP(K89,'[1]G-CESTD'!$A$5:$G$35,J89+1,FALSE)*R39))</f>
        <v>0</v>
      </c>
      <c r="Q89" s="214">
        <f>IF(K89=0, 0, (HLOOKUP(K89,'[1]G-CESTD'!$A$5:$G$35,J89+1,FALSE)*R39))</f>
        <v>0</v>
      </c>
      <c r="R89" s="279">
        <v>1.081</v>
      </c>
      <c r="S89" s="280">
        <f t="shared" si="17"/>
        <v>0</v>
      </c>
      <c r="T89" s="280">
        <f t="shared" si="17"/>
        <v>0</v>
      </c>
      <c r="U89" s="280">
        <f t="shared" si="17"/>
        <v>0</v>
      </c>
    </row>
    <row r="90" spans="2:24">
      <c r="B90" s="282"/>
      <c r="C90" s="282" t="s">
        <v>212</v>
      </c>
      <c r="D90" s="285">
        <v>0</v>
      </c>
      <c r="E90" s="282" t="s">
        <v>559</v>
      </c>
      <c r="F90" s="282" t="s">
        <v>186</v>
      </c>
      <c r="G90" s="283"/>
      <c r="H90" s="283"/>
      <c r="I90" s="311">
        <v>0</v>
      </c>
      <c r="J90" s="257"/>
      <c r="K90" s="257"/>
      <c r="L90" s="3447" t="e">
        <f t="shared" si="14"/>
        <v>#DIV/0!</v>
      </c>
      <c r="M90" s="3447" t="e">
        <f t="shared" si="14"/>
        <v>#DIV/0!</v>
      </c>
      <c r="N90" s="214">
        <f t="shared" si="15"/>
        <v>0</v>
      </c>
      <c r="O90" s="214">
        <f t="shared" si="16"/>
        <v>0</v>
      </c>
      <c r="P90" s="214">
        <f>IF(K90=0, 0, (HLOOKUP(K90,'[1]G-CESTD'!$A$5:$G$35,J90+1,FALSE)*R40))</f>
        <v>0</v>
      </c>
      <c r="Q90" s="214">
        <f>IF(K90=0, 0, (HLOOKUP(K90,'[1]G-CESTD'!$A$5:$G$35,J90+1,FALSE)*R40))</f>
        <v>0</v>
      </c>
      <c r="R90" s="279">
        <v>1.081</v>
      </c>
      <c r="S90" s="280">
        <f t="shared" si="17"/>
        <v>0</v>
      </c>
      <c r="T90" s="280">
        <f t="shared" si="17"/>
        <v>0</v>
      </c>
      <c r="U90" s="280">
        <f t="shared" si="17"/>
        <v>0</v>
      </c>
    </row>
    <row r="91" spans="2:24">
      <c r="B91" s="282"/>
      <c r="C91" s="282" t="s">
        <v>213</v>
      </c>
      <c r="D91" s="285">
        <v>0</v>
      </c>
      <c r="E91" s="282" t="s">
        <v>559</v>
      </c>
      <c r="F91" s="282" t="s">
        <v>186</v>
      </c>
      <c r="G91" s="283"/>
      <c r="H91" s="283"/>
      <c r="I91" s="311">
        <v>0</v>
      </c>
      <c r="J91" s="257"/>
      <c r="K91" s="257"/>
      <c r="L91" s="3447" t="e">
        <f t="shared" si="14"/>
        <v>#DIV/0!</v>
      </c>
      <c r="M91" s="3447" t="e">
        <f t="shared" si="14"/>
        <v>#DIV/0!</v>
      </c>
      <c r="N91" s="214">
        <f t="shared" si="15"/>
        <v>0</v>
      </c>
      <c r="O91" s="214">
        <f t="shared" si="16"/>
        <v>0</v>
      </c>
      <c r="P91" s="214">
        <f>IF(K91=0, 0, (HLOOKUP(K91,'[1]G-CESTD'!$A$5:$G$35,J91+1,FALSE)*R41))</f>
        <v>0</v>
      </c>
      <c r="Q91" s="214">
        <f>IF(K91=0, 0, (HLOOKUP(K91,'[1]G-CESTD'!$A$5:$G$35,J91+1,FALSE)*R41))</f>
        <v>0</v>
      </c>
      <c r="R91" s="279">
        <v>1.081</v>
      </c>
      <c r="S91" s="280">
        <f t="shared" si="17"/>
        <v>0</v>
      </c>
      <c r="T91" s="280">
        <f t="shared" si="17"/>
        <v>0</v>
      </c>
      <c r="U91" s="280">
        <f t="shared" si="17"/>
        <v>0</v>
      </c>
    </row>
    <row r="92" spans="2:24">
      <c r="B92" s="282"/>
      <c r="C92" s="282" t="s">
        <v>214</v>
      </c>
      <c r="D92" s="285">
        <v>0</v>
      </c>
      <c r="E92" s="282" t="s">
        <v>559</v>
      </c>
      <c r="F92" s="282" t="s">
        <v>186</v>
      </c>
      <c r="G92" s="283"/>
      <c r="H92" s="283"/>
      <c r="I92" s="311">
        <v>0</v>
      </c>
      <c r="J92" s="257"/>
      <c r="K92" s="257"/>
      <c r="L92" s="3447" t="e">
        <f t="shared" si="14"/>
        <v>#DIV/0!</v>
      </c>
      <c r="M92" s="3447" t="e">
        <f t="shared" si="14"/>
        <v>#DIV/0!</v>
      </c>
      <c r="N92" s="214">
        <f t="shared" si="15"/>
        <v>0</v>
      </c>
      <c r="O92" s="214">
        <f t="shared" si="16"/>
        <v>0</v>
      </c>
      <c r="P92" s="214">
        <f>IF(K92=0, 0, (HLOOKUP(K92,'[1]G-CESTD'!$A$5:$G$35,J92+1,FALSE)*R42))</f>
        <v>0</v>
      </c>
      <c r="Q92" s="214">
        <f>IF(K92=0, 0, (HLOOKUP(K92,'[1]G-CESTD'!$A$5:$G$35,J92+1,FALSE)*R42))</f>
        <v>0</v>
      </c>
      <c r="R92" s="279">
        <v>1.081</v>
      </c>
      <c r="S92" s="280">
        <f t="shared" si="17"/>
        <v>0</v>
      </c>
      <c r="T92" s="280">
        <f t="shared" si="17"/>
        <v>0</v>
      </c>
      <c r="U92" s="280">
        <f t="shared" si="17"/>
        <v>0</v>
      </c>
    </row>
    <row r="93" spans="2:24">
      <c r="B93" s="282"/>
      <c r="C93" s="282" t="s">
        <v>215</v>
      </c>
      <c r="D93" s="285">
        <v>0</v>
      </c>
      <c r="E93" s="282" t="s">
        <v>559</v>
      </c>
      <c r="F93" s="282" t="s">
        <v>186</v>
      </c>
      <c r="G93" s="283"/>
      <c r="H93" s="283"/>
      <c r="I93" s="311">
        <v>0</v>
      </c>
      <c r="J93" s="257"/>
      <c r="K93" s="257"/>
      <c r="L93" s="3447" t="e">
        <f t="shared" si="14"/>
        <v>#DIV/0!</v>
      </c>
      <c r="M93" s="3447" t="e">
        <f t="shared" si="14"/>
        <v>#DIV/0!</v>
      </c>
      <c r="N93" s="214">
        <f t="shared" si="15"/>
        <v>0</v>
      </c>
      <c r="O93" s="214">
        <f t="shared" si="16"/>
        <v>0</v>
      </c>
      <c r="P93" s="214">
        <f>IF(K93=0, 0, (HLOOKUP(K93,'[1]G-CESTD'!$A$5:$G$35,J93+1,FALSE)*R43))</f>
        <v>0</v>
      </c>
      <c r="Q93" s="214">
        <f>IF(K93=0, 0, (HLOOKUP(K93,'[1]G-CESTD'!$A$5:$G$35,J93+1,FALSE)*R43))</f>
        <v>0</v>
      </c>
      <c r="R93" s="279">
        <v>1.081</v>
      </c>
      <c r="S93" s="280">
        <f t="shared" si="17"/>
        <v>0</v>
      </c>
      <c r="T93" s="280">
        <f t="shared" si="17"/>
        <v>0</v>
      </c>
      <c r="U93" s="280">
        <f t="shared" si="17"/>
        <v>0</v>
      </c>
    </row>
    <row r="94" spans="2:24">
      <c r="B94" s="282"/>
      <c r="C94" s="282" t="s">
        <v>216</v>
      </c>
      <c r="D94" s="285">
        <v>0</v>
      </c>
      <c r="E94" s="282" t="s">
        <v>559</v>
      </c>
      <c r="F94" s="282" t="s">
        <v>186</v>
      </c>
      <c r="G94" s="283"/>
      <c r="H94" s="283"/>
      <c r="I94" s="311">
        <v>0</v>
      </c>
      <c r="J94" s="257"/>
      <c r="K94" s="257"/>
      <c r="L94" s="3447" t="e">
        <f t="shared" si="14"/>
        <v>#DIV/0!</v>
      </c>
      <c r="M94" s="3447" t="e">
        <f t="shared" si="14"/>
        <v>#DIV/0!</v>
      </c>
      <c r="N94" s="214">
        <f t="shared" si="15"/>
        <v>0</v>
      </c>
      <c r="O94" s="214">
        <f t="shared" si="16"/>
        <v>0</v>
      </c>
      <c r="P94" s="214">
        <f>IF(K94=0, 0, (HLOOKUP(K94,'[1]G-CESTD'!$A$5:$G$35,J94+1,FALSE)*R44))</f>
        <v>0</v>
      </c>
      <c r="Q94" s="214">
        <f>IF(K94=0, 0, (HLOOKUP(K94,'[1]G-CESTD'!$A$5:$G$35,J94+1,FALSE)*R44))</f>
        <v>0</v>
      </c>
      <c r="R94" s="279">
        <v>1.081</v>
      </c>
      <c r="S94" s="280">
        <f t="shared" si="17"/>
        <v>0</v>
      </c>
      <c r="T94" s="280">
        <f t="shared" si="17"/>
        <v>0</v>
      </c>
      <c r="U94" s="280">
        <f t="shared" si="17"/>
        <v>0</v>
      </c>
    </row>
    <row r="95" spans="2:24">
      <c r="B95" s="282"/>
      <c r="C95" s="282" t="s">
        <v>217</v>
      </c>
      <c r="D95" s="285">
        <v>0</v>
      </c>
      <c r="E95" s="282" t="s">
        <v>559</v>
      </c>
      <c r="F95" s="282" t="s">
        <v>186</v>
      </c>
      <c r="G95" s="283"/>
      <c r="H95" s="283"/>
      <c r="I95" s="311">
        <v>0</v>
      </c>
      <c r="J95" s="257"/>
      <c r="K95" s="257"/>
      <c r="L95" s="3447" t="e">
        <f t="shared" si="14"/>
        <v>#DIV/0!</v>
      </c>
      <c r="M95" s="3447" t="e">
        <f t="shared" si="14"/>
        <v>#DIV/0!</v>
      </c>
      <c r="N95" s="214">
        <f t="shared" si="15"/>
        <v>0</v>
      </c>
      <c r="O95" s="214">
        <f t="shared" si="16"/>
        <v>0</v>
      </c>
      <c r="P95" s="214">
        <f>IF(K95=0, 0, (HLOOKUP(K95,'[1]G-CESTD'!$A$5:$G$35,J95+1,FALSE)*R45))</f>
        <v>0</v>
      </c>
      <c r="Q95" s="214">
        <f>IF(K95=0, 0, (HLOOKUP(K95,'[1]G-CESTD'!$A$5:$G$35,J95+1,FALSE)*R45))</f>
        <v>0</v>
      </c>
      <c r="R95" s="279">
        <v>1.081</v>
      </c>
      <c r="S95" s="280">
        <f t="shared" si="17"/>
        <v>0</v>
      </c>
      <c r="T95" s="280">
        <f t="shared" si="17"/>
        <v>0</v>
      </c>
      <c r="U95" s="280">
        <f t="shared" si="17"/>
        <v>0</v>
      </c>
    </row>
    <row r="96" spans="2:24">
      <c r="B96" s="282"/>
      <c r="C96" s="282" t="s">
        <v>218</v>
      </c>
      <c r="D96" s="285">
        <v>0</v>
      </c>
      <c r="E96" s="282" t="s">
        <v>559</v>
      </c>
      <c r="F96" s="282" t="s">
        <v>186</v>
      </c>
      <c r="G96" s="283"/>
      <c r="H96" s="283"/>
      <c r="I96" s="311">
        <v>0</v>
      </c>
      <c r="J96" s="257"/>
      <c r="K96" s="257"/>
      <c r="L96" s="3447" t="e">
        <f t="shared" si="14"/>
        <v>#DIV/0!</v>
      </c>
      <c r="M96" s="3447" t="e">
        <f t="shared" si="14"/>
        <v>#DIV/0!</v>
      </c>
      <c r="N96" s="214">
        <f t="shared" si="15"/>
        <v>0</v>
      </c>
      <c r="O96" s="214">
        <f t="shared" si="16"/>
        <v>0</v>
      </c>
      <c r="P96" s="214">
        <f>IF(K96=0, 0, (HLOOKUP(K96,'[1]G-CESTD'!$A$5:$G$35,J96+1,FALSE)*R46))</f>
        <v>0</v>
      </c>
      <c r="Q96" s="214">
        <f>IF(K96=0, 0, (HLOOKUP(K96,'[1]G-CESTD'!$A$5:$G$35,J96+1,FALSE)*R46))</f>
        <v>0</v>
      </c>
      <c r="R96" s="279">
        <v>1.081</v>
      </c>
      <c r="S96" s="280">
        <f t="shared" si="17"/>
        <v>0</v>
      </c>
      <c r="T96" s="280">
        <f t="shared" si="17"/>
        <v>0</v>
      </c>
      <c r="U96" s="280">
        <f t="shared" si="17"/>
        <v>0</v>
      </c>
    </row>
    <row r="97" spans="2:21">
      <c r="B97" s="282"/>
      <c r="C97" s="282" t="s">
        <v>219</v>
      </c>
      <c r="D97" s="285">
        <v>0</v>
      </c>
      <c r="E97" s="282" t="s">
        <v>559</v>
      </c>
      <c r="F97" s="282" t="s">
        <v>186</v>
      </c>
      <c r="G97" s="283"/>
      <c r="H97" s="283"/>
      <c r="I97" s="311">
        <v>0</v>
      </c>
      <c r="J97" s="257"/>
      <c r="K97" s="257"/>
      <c r="L97" s="3447" t="e">
        <f t="shared" si="14"/>
        <v>#DIV/0!</v>
      </c>
      <c r="M97" s="3447" t="e">
        <f t="shared" si="14"/>
        <v>#DIV/0!</v>
      </c>
      <c r="N97" s="214">
        <f t="shared" si="15"/>
        <v>0</v>
      </c>
      <c r="O97" s="214">
        <f t="shared" si="16"/>
        <v>0</v>
      </c>
      <c r="P97" s="214">
        <f>IF(K97=0, 0, (HLOOKUP(K97,'[1]G-CESTD'!$A$5:$G$35,J97+1,FALSE)*R47))</f>
        <v>0</v>
      </c>
      <c r="Q97" s="214">
        <f>IF(K97=0, 0, (HLOOKUP(K97,'[1]G-CESTD'!$A$5:$G$35,J97+1,FALSE)*R47))</f>
        <v>0</v>
      </c>
      <c r="R97" s="279">
        <v>1.081</v>
      </c>
      <c r="S97" s="280">
        <f t="shared" si="17"/>
        <v>0</v>
      </c>
      <c r="T97" s="280">
        <f t="shared" si="17"/>
        <v>0</v>
      </c>
      <c r="U97" s="280">
        <f t="shared" si="17"/>
        <v>0</v>
      </c>
    </row>
    <row r="98" spans="2:21">
      <c r="B98" s="282"/>
      <c r="C98" s="282" t="s">
        <v>220</v>
      </c>
      <c r="D98" s="285">
        <v>0</v>
      </c>
      <c r="E98" s="282" t="s">
        <v>559</v>
      </c>
      <c r="F98" s="282" t="s">
        <v>186</v>
      </c>
      <c r="G98" s="283"/>
      <c r="H98" s="283"/>
      <c r="I98" s="311">
        <v>0</v>
      </c>
      <c r="J98" s="257"/>
      <c r="K98" s="257"/>
      <c r="L98" s="3447" t="e">
        <f t="shared" si="14"/>
        <v>#DIV/0!</v>
      </c>
      <c r="M98" s="3447" t="e">
        <f t="shared" si="14"/>
        <v>#DIV/0!</v>
      </c>
      <c r="N98" s="214">
        <f t="shared" si="15"/>
        <v>0</v>
      </c>
      <c r="O98" s="214">
        <f t="shared" si="16"/>
        <v>0</v>
      </c>
      <c r="P98" s="214">
        <f>IF(K98=0, 0, (HLOOKUP(K98,'[1]G-CESTD'!$A$5:$G$35,J98+1,FALSE)*R48))</f>
        <v>0</v>
      </c>
      <c r="Q98" s="214">
        <f>IF(K98=0, 0, (HLOOKUP(K98,'[1]G-CESTD'!$A$5:$G$35,J98+1,FALSE)*R48))</f>
        <v>0</v>
      </c>
      <c r="R98" s="279">
        <v>1.081</v>
      </c>
      <c r="S98" s="280">
        <f t="shared" si="17"/>
        <v>0</v>
      </c>
      <c r="T98" s="280">
        <f t="shared" si="17"/>
        <v>0</v>
      </c>
      <c r="U98" s="280">
        <f t="shared" si="17"/>
        <v>0</v>
      </c>
    </row>
    <row r="99" spans="2:21">
      <c r="B99" s="282"/>
      <c r="C99" s="282" t="s">
        <v>221</v>
      </c>
      <c r="D99" s="285">
        <v>0</v>
      </c>
      <c r="E99" s="282" t="s">
        <v>559</v>
      </c>
      <c r="F99" s="282" t="s">
        <v>186</v>
      </c>
      <c r="G99" s="283"/>
      <c r="H99" s="283"/>
      <c r="I99" s="311">
        <v>0</v>
      </c>
      <c r="J99" s="257"/>
      <c r="K99" s="257"/>
      <c r="L99" s="3447" t="e">
        <f t="shared" si="14"/>
        <v>#DIV/0!</v>
      </c>
      <c r="M99" s="3447" t="e">
        <f t="shared" si="14"/>
        <v>#DIV/0!</v>
      </c>
      <c r="N99" s="214">
        <f t="shared" si="15"/>
        <v>0</v>
      </c>
      <c r="O99" s="214">
        <f t="shared" si="16"/>
        <v>0</v>
      </c>
      <c r="P99" s="214">
        <f>IF(K99=0, 0, (HLOOKUP(K99,'[1]G-CESTD'!$A$5:$G$35,J99+1,FALSE)*R49))</f>
        <v>0</v>
      </c>
      <c r="Q99" s="214">
        <f>IF(K99=0, 0, (HLOOKUP(K99,'[1]G-CESTD'!$A$5:$G$35,J99+1,FALSE)*R49))</f>
        <v>0</v>
      </c>
      <c r="R99" s="279">
        <v>1.081</v>
      </c>
      <c r="S99" s="280">
        <f t="shared" si="17"/>
        <v>0</v>
      </c>
      <c r="T99" s="280">
        <f t="shared" si="17"/>
        <v>0</v>
      </c>
      <c r="U99" s="280">
        <f t="shared" si="17"/>
        <v>0</v>
      </c>
    </row>
    <row r="100" spans="2:21">
      <c r="B100" s="282"/>
      <c r="C100" s="282" t="s">
        <v>222</v>
      </c>
      <c r="D100" s="285">
        <v>0</v>
      </c>
      <c r="E100" s="282" t="s">
        <v>559</v>
      </c>
      <c r="F100" s="282" t="s">
        <v>186</v>
      </c>
      <c r="G100" s="283"/>
      <c r="H100" s="283"/>
      <c r="I100" s="311">
        <v>0</v>
      </c>
      <c r="J100" s="257"/>
      <c r="K100" s="257"/>
      <c r="L100" s="3447" t="e">
        <f t="shared" si="14"/>
        <v>#DIV/0!</v>
      </c>
      <c r="M100" s="3447" t="e">
        <f t="shared" si="14"/>
        <v>#DIV/0!</v>
      </c>
      <c r="N100" s="214">
        <f t="shared" si="15"/>
        <v>0</v>
      </c>
      <c r="O100" s="214">
        <f t="shared" si="16"/>
        <v>0</v>
      </c>
      <c r="P100" s="214">
        <f>IF(K100=0, 0, (HLOOKUP(K100,'[1]G-CESTD'!$A$5:$G$35,J100+1,FALSE)*R50))</f>
        <v>0</v>
      </c>
      <c r="Q100" s="214">
        <f>IF(K100=0, 0, (HLOOKUP(K100,'[1]G-CESTD'!$A$5:$G$35,J100+1,FALSE)*R50))</f>
        <v>0</v>
      </c>
      <c r="R100" s="279">
        <v>1.081</v>
      </c>
      <c r="S100" s="280">
        <f t="shared" si="17"/>
        <v>0</v>
      </c>
      <c r="T100" s="280">
        <f t="shared" si="17"/>
        <v>0</v>
      </c>
      <c r="U100" s="280">
        <f t="shared" si="17"/>
        <v>0</v>
      </c>
    </row>
    <row r="101" spans="2:21">
      <c r="B101" s="282"/>
      <c r="C101" s="282" t="s">
        <v>223</v>
      </c>
      <c r="D101" s="285">
        <v>0</v>
      </c>
      <c r="E101" s="282" t="s">
        <v>559</v>
      </c>
      <c r="F101" s="282" t="s">
        <v>186</v>
      </c>
      <c r="G101" s="283"/>
      <c r="H101" s="283"/>
      <c r="I101" s="311">
        <v>0</v>
      </c>
      <c r="J101" s="257"/>
      <c r="K101" s="257"/>
      <c r="L101" s="3447" t="e">
        <f t="shared" si="14"/>
        <v>#DIV/0!</v>
      </c>
      <c r="M101" s="3447" t="e">
        <f t="shared" si="14"/>
        <v>#DIV/0!</v>
      </c>
      <c r="N101" s="214">
        <f t="shared" si="15"/>
        <v>0</v>
      </c>
      <c r="O101" s="214">
        <f t="shared" si="16"/>
        <v>0</v>
      </c>
      <c r="P101" s="214">
        <f>IF(K101=0, 0, (HLOOKUP(K101,'[1]G-CESTD'!$A$5:$G$35,J101+1,FALSE)*R51))</f>
        <v>0</v>
      </c>
      <c r="Q101" s="214">
        <f>IF(K101=0, 0, (HLOOKUP(K101,'[1]G-CESTD'!$A$5:$G$35,J101+1,FALSE)*R51))</f>
        <v>0</v>
      </c>
      <c r="R101" s="279">
        <v>1.081</v>
      </c>
      <c r="S101" s="280">
        <f t="shared" si="17"/>
        <v>0</v>
      </c>
      <c r="T101" s="280">
        <f t="shared" si="17"/>
        <v>0</v>
      </c>
      <c r="U101" s="280">
        <f t="shared" si="17"/>
        <v>0</v>
      </c>
    </row>
    <row r="102" spans="2:21">
      <c r="B102" s="282"/>
      <c r="C102" s="282" t="s">
        <v>224</v>
      </c>
      <c r="D102" s="285">
        <v>0</v>
      </c>
      <c r="E102" s="282" t="s">
        <v>559</v>
      </c>
      <c r="F102" s="282" t="s">
        <v>186</v>
      </c>
      <c r="G102" s="283"/>
      <c r="H102" s="283"/>
      <c r="I102" s="311">
        <v>0</v>
      </c>
      <c r="J102" s="257"/>
      <c r="K102" s="257"/>
      <c r="L102" s="3447" t="e">
        <f t="shared" si="14"/>
        <v>#DIV/0!</v>
      </c>
      <c r="M102" s="3447" t="e">
        <f t="shared" si="14"/>
        <v>#DIV/0!</v>
      </c>
      <c r="N102" s="214">
        <f t="shared" si="15"/>
        <v>0</v>
      </c>
      <c r="O102" s="214">
        <f t="shared" si="16"/>
        <v>0</v>
      </c>
      <c r="P102" s="214">
        <f>IF(K102=0, 0, (HLOOKUP(K102,'[1]G-CESTD'!$A$5:$G$35,J102+1,FALSE)*R52))</f>
        <v>0</v>
      </c>
      <c r="Q102" s="214">
        <f>IF(K102=0, 0, (HLOOKUP(K102,'[1]G-CESTD'!$A$5:$G$35,J102+1,FALSE)*R52))</f>
        <v>0</v>
      </c>
      <c r="R102" s="279">
        <v>1.081</v>
      </c>
      <c r="S102" s="280">
        <f t="shared" si="17"/>
        <v>0</v>
      </c>
      <c r="T102" s="280">
        <f t="shared" si="17"/>
        <v>0</v>
      </c>
      <c r="U102" s="280">
        <f t="shared" si="17"/>
        <v>0</v>
      </c>
    </row>
    <row r="103" spans="2:21">
      <c r="B103" s="282"/>
      <c r="C103" s="282" t="s">
        <v>225</v>
      </c>
      <c r="D103" s="285">
        <v>0</v>
      </c>
      <c r="E103" s="282" t="s">
        <v>559</v>
      </c>
      <c r="F103" s="282" t="s">
        <v>186</v>
      </c>
      <c r="G103" s="283"/>
      <c r="H103" s="283"/>
      <c r="I103" s="311">
        <v>0</v>
      </c>
      <c r="J103" s="257"/>
      <c r="K103" s="257"/>
      <c r="L103" s="3447" t="e">
        <f t="shared" si="14"/>
        <v>#DIV/0!</v>
      </c>
      <c r="M103" s="3447" t="e">
        <f t="shared" si="14"/>
        <v>#DIV/0!</v>
      </c>
      <c r="N103" s="214">
        <f t="shared" si="15"/>
        <v>0</v>
      </c>
      <c r="O103" s="214">
        <f t="shared" si="16"/>
        <v>0</v>
      </c>
      <c r="P103" s="214">
        <f>IF(K103=0, 0, (HLOOKUP(K103,'[1]G-CESTD'!$A$5:$G$35,J103+1,FALSE)*R53))</f>
        <v>0</v>
      </c>
      <c r="Q103" s="214">
        <f>IF(K103=0, 0, (HLOOKUP(K103,'[1]G-CESTD'!$A$5:$G$35,J103+1,FALSE)*R53))</f>
        <v>0</v>
      </c>
      <c r="R103" s="279">
        <v>1.081</v>
      </c>
      <c r="S103" s="280">
        <f t="shared" si="17"/>
        <v>0</v>
      </c>
      <c r="T103" s="280">
        <f t="shared" si="17"/>
        <v>0</v>
      </c>
      <c r="U103" s="280">
        <f t="shared" si="17"/>
        <v>0</v>
      </c>
    </row>
    <row r="104" spans="2:21" ht="13.5" thickBot="1">
      <c r="B104" s="282"/>
      <c r="C104" s="282" t="s">
        <v>226</v>
      </c>
      <c r="D104" s="285">
        <v>0</v>
      </c>
      <c r="E104" s="282" t="s">
        <v>559</v>
      </c>
      <c r="F104" s="282" t="s">
        <v>186</v>
      </c>
      <c r="G104" s="283"/>
      <c r="H104" s="283"/>
      <c r="I104" s="311">
        <v>0</v>
      </c>
      <c r="J104" s="257"/>
      <c r="K104" s="257"/>
      <c r="L104" s="3447" t="e">
        <f t="shared" si="14"/>
        <v>#DIV/0!</v>
      </c>
      <c r="M104" s="3447" t="e">
        <f t="shared" si="14"/>
        <v>#DIV/0!</v>
      </c>
      <c r="N104" s="214">
        <f t="shared" si="15"/>
        <v>0</v>
      </c>
      <c r="O104" s="214">
        <f t="shared" si="16"/>
        <v>0</v>
      </c>
      <c r="P104" s="214">
        <f>IF(K104=0, 0, (HLOOKUP(K104,'[1]G-CESTD'!$A$5:$G$35,J104+1,FALSE)*R54))</f>
        <v>0</v>
      </c>
      <c r="Q104" s="214">
        <f>IF(K104=0, 0, (HLOOKUP(K104,'[1]G-CESTD'!$A$5:$G$35,J104+1,FALSE)*R54))</f>
        <v>0</v>
      </c>
      <c r="R104" s="279">
        <v>1.081</v>
      </c>
      <c r="S104" s="280">
        <f t="shared" si="17"/>
        <v>0</v>
      </c>
      <c r="T104" s="280">
        <f t="shared" si="17"/>
        <v>0</v>
      </c>
      <c r="U104" s="280">
        <f t="shared" si="17"/>
        <v>0</v>
      </c>
    </row>
    <row r="105" spans="2:21" ht="13.5" thickBot="1">
      <c r="G105" s="286">
        <f>SUMPRODUCT(G63:G104,O13:O54)</f>
        <v>0</v>
      </c>
      <c r="H105" s="287">
        <f>U105</f>
        <v>74298</v>
      </c>
      <c r="I105" s="288">
        <f>SUM(I63:I104)</f>
        <v>1</v>
      </c>
      <c r="J105" s="289">
        <f>ROUND(SUMPRODUCT(J63:J104,R13:R54)/R55,0)</f>
        <v>1</v>
      </c>
      <c r="K105" s="264"/>
      <c r="L105" s="3448">
        <f>P105/N105</f>
        <v>2.1466870418450981</v>
      </c>
      <c r="M105" s="3449">
        <f>Q105/O105</f>
        <v>3.4573414247216867</v>
      </c>
      <c r="N105" s="297">
        <f>SUM(N63:N104)</f>
        <v>181303.21901017576</v>
      </c>
      <c r="O105" s="297">
        <f>SUM(O63:O104)</f>
        <v>112572.41419981497</v>
      </c>
      <c r="P105" s="297">
        <f>SUM(P63:P104)</f>
        <v>389201.27089394815</v>
      </c>
      <c r="Q105" s="297">
        <f>SUM(Q63:Q104)</f>
        <v>389201.27089394815</v>
      </c>
      <c r="R105" s="293">
        <v>1.081</v>
      </c>
      <c r="S105" s="294">
        <f>SUM(S63:S104)</f>
        <v>37149</v>
      </c>
      <c r="T105" s="294">
        <f>SUM(T63:T104)</f>
        <v>37149</v>
      </c>
      <c r="U105" s="294">
        <f>SUM(U63:U104)</f>
        <v>74298</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22" top="0.34" bottom="0.33"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7" right="0.22" top="0.34" bottom="0.33" header="0.3" footer="0.3"/>
  <pageSetup paperSize="17" scale="53" orientation="landscape" r:id="rId2"/>
  <drawing r:id="rId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sheetPr enableFormatConditionsCalculation="0">
    <tabColor theme="9" tint="-0.249977111117893"/>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6" style="3064" customWidth="1"/>
    <col min="2" max="2" width="17.28515625" customWidth="1"/>
    <col min="3" max="3" width="36.7109375" customWidth="1"/>
    <col min="4" max="4" width="15.42578125" style="19" customWidth="1"/>
    <col min="5" max="5" width="15.42578125" customWidth="1"/>
    <col min="6" max="6" width="17"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6.42578125" customWidth="1"/>
    <col min="17" max="17" width="16.140625" customWidth="1"/>
    <col min="18" max="18" width="16.7109375" bestFit="1" customWidth="1"/>
    <col min="19" max="19" width="15.42578125" bestFit="1" customWidth="1"/>
    <col min="20" max="20" width="18"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5.28515625" bestFit="1" customWidth="1"/>
    <col min="262" max="262" width="17.4257812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6.42578125" customWidth="1"/>
    <col min="273" max="273" width="16.140625" customWidth="1"/>
    <col min="274" max="274" width="16.7109375" bestFit="1" customWidth="1"/>
    <col min="275" max="275" width="15.42578125" bestFit="1" customWidth="1"/>
    <col min="276" max="276" width="18"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5.28515625" bestFit="1" customWidth="1"/>
    <col min="518" max="518" width="17.4257812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6.42578125" customWidth="1"/>
    <col min="529" max="529" width="16.140625" customWidth="1"/>
    <col min="530" max="530" width="16.7109375" bestFit="1" customWidth="1"/>
    <col min="531" max="531" width="15.42578125" bestFit="1" customWidth="1"/>
    <col min="532" max="532" width="18"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5.28515625" bestFit="1" customWidth="1"/>
    <col min="774" max="774" width="17.4257812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6.42578125" customWidth="1"/>
    <col min="785" max="785" width="16.140625" customWidth="1"/>
    <col min="786" max="786" width="16.7109375" bestFit="1" customWidth="1"/>
    <col min="787" max="787" width="15.42578125" bestFit="1" customWidth="1"/>
    <col min="788" max="788" width="18"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5.28515625" bestFit="1" customWidth="1"/>
    <col min="1030" max="1030" width="17.4257812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6.42578125" customWidth="1"/>
    <col min="1041" max="1041" width="16.140625" customWidth="1"/>
    <col min="1042" max="1042" width="16.7109375" bestFit="1" customWidth="1"/>
    <col min="1043" max="1043" width="15.42578125" bestFit="1" customWidth="1"/>
    <col min="1044" max="1044" width="18"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5.28515625" bestFit="1" customWidth="1"/>
    <col min="1286" max="1286" width="17.4257812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6.42578125" customWidth="1"/>
    <col min="1297" max="1297" width="16.140625" customWidth="1"/>
    <col min="1298" max="1298" width="16.7109375" bestFit="1" customWidth="1"/>
    <col min="1299" max="1299" width="15.42578125" bestFit="1" customWidth="1"/>
    <col min="1300" max="1300" width="18"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5.28515625" bestFit="1" customWidth="1"/>
    <col min="1542" max="1542" width="17.4257812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6.42578125" customWidth="1"/>
    <col min="1553" max="1553" width="16.140625" customWidth="1"/>
    <col min="1554" max="1554" width="16.7109375" bestFit="1" customWidth="1"/>
    <col min="1555" max="1555" width="15.42578125" bestFit="1" customWidth="1"/>
    <col min="1556" max="1556" width="18"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5.28515625" bestFit="1" customWidth="1"/>
    <col min="1798" max="1798" width="17.4257812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6.42578125" customWidth="1"/>
    <col min="1809" max="1809" width="16.140625" customWidth="1"/>
    <col min="1810" max="1810" width="16.7109375" bestFit="1" customWidth="1"/>
    <col min="1811" max="1811" width="15.42578125" bestFit="1" customWidth="1"/>
    <col min="1812" max="1812" width="18"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5.28515625" bestFit="1" customWidth="1"/>
    <col min="2054" max="2054" width="17.4257812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6.42578125" customWidth="1"/>
    <col min="2065" max="2065" width="16.140625" customWidth="1"/>
    <col min="2066" max="2066" width="16.7109375" bestFit="1" customWidth="1"/>
    <col min="2067" max="2067" width="15.42578125" bestFit="1" customWidth="1"/>
    <col min="2068" max="2068" width="18"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5.28515625" bestFit="1" customWidth="1"/>
    <col min="2310" max="2310" width="17.4257812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6.42578125" customWidth="1"/>
    <col min="2321" max="2321" width="16.140625" customWidth="1"/>
    <col min="2322" max="2322" width="16.7109375" bestFit="1" customWidth="1"/>
    <col min="2323" max="2323" width="15.42578125" bestFit="1" customWidth="1"/>
    <col min="2324" max="2324" width="18"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5.28515625" bestFit="1" customWidth="1"/>
    <col min="2566" max="2566" width="17.4257812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6.42578125" customWidth="1"/>
    <col min="2577" max="2577" width="16.140625" customWidth="1"/>
    <col min="2578" max="2578" width="16.7109375" bestFit="1" customWidth="1"/>
    <col min="2579" max="2579" width="15.42578125" bestFit="1" customWidth="1"/>
    <col min="2580" max="2580" width="18"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5.28515625" bestFit="1" customWidth="1"/>
    <col min="2822" max="2822" width="17.4257812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6.42578125" customWidth="1"/>
    <col min="2833" max="2833" width="16.140625" customWidth="1"/>
    <col min="2834" max="2834" width="16.7109375" bestFit="1" customWidth="1"/>
    <col min="2835" max="2835" width="15.42578125" bestFit="1" customWidth="1"/>
    <col min="2836" max="2836" width="18"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5.28515625" bestFit="1" customWidth="1"/>
    <col min="3078" max="3078" width="17.4257812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6.42578125" customWidth="1"/>
    <col min="3089" max="3089" width="16.140625" customWidth="1"/>
    <col min="3090" max="3090" width="16.7109375" bestFit="1" customWidth="1"/>
    <col min="3091" max="3091" width="15.42578125" bestFit="1" customWidth="1"/>
    <col min="3092" max="3092" width="18"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5.28515625" bestFit="1" customWidth="1"/>
    <col min="3334" max="3334" width="17.4257812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6.42578125" customWidth="1"/>
    <col min="3345" max="3345" width="16.140625" customWidth="1"/>
    <col min="3346" max="3346" width="16.7109375" bestFit="1" customWidth="1"/>
    <col min="3347" max="3347" width="15.42578125" bestFit="1" customWidth="1"/>
    <col min="3348" max="3348" width="18"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5.28515625" bestFit="1" customWidth="1"/>
    <col min="3590" max="3590" width="17.4257812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6.42578125" customWidth="1"/>
    <col min="3601" max="3601" width="16.140625" customWidth="1"/>
    <col min="3602" max="3602" width="16.7109375" bestFit="1" customWidth="1"/>
    <col min="3603" max="3603" width="15.42578125" bestFit="1" customWidth="1"/>
    <col min="3604" max="3604" width="18"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5.28515625" bestFit="1" customWidth="1"/>
    <col min="3846" max="3846" width="17.4257812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6.42578125" customWidth="1"/>
    <col min="3857" max="3857" width="16.140625" customWidth="1"/>
    <col min="3858" max="3858" width="16.7109375" bestFit="1" customWidth="1"/>
    <col min="3859" max="3859" width="15.42578125" bestFit="1" customWidth="1"/>
    <col min="3860" max="3860" width="18"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5.28515625" bestFit="1" customWidth="1"/>
    <col min="4102" max="4102" width="17.4257812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6.42578125" customWidth="1"/>
    <col min="4113" max="4113" width="16.140625" customWidth="1"/>
    <col min="4114" max="4114" width="16.7109375" bestFit="1" customWidth="1"/>
    <col min="4115" max="4115" width="15.42578125" bestFit="1" customWidth="1"/>
    <col min="4116" max="4116" width="18"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5.28515625" bestFit="1" customWidth="1"/>
    <col min="4358" max="4358" width="17.4257812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6.42578125" customWidth="1"/>
    <col min="4369" max="4369" width="16.140625" customWidth="1"/>
    <col min="4370" max="4370" width="16.7109375" bestFit="1" customWidth="1"/>
    <col min="4371" max="4371" width="15.42578125" bestFit="1" customWidth="1"/>
    <col min="4372" max="4372" width="18"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5.28515625" bestFit="1" customWidth="1"/>
    <col min="4614" max="4614" width="17.4257812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6.42578125" customWidth="1"/>
    <col min="4625" max="4625" width="16.140625" customWidth="1"/>
    <col min="4626" max="4626" width="16.7109375" bestFit="1" customWidth="1"/>
    <col min="4627" max="4627" width="15.42578125" bestFit="1" customWidth="1"/>
    <col min="4628" max="4628" width="18"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5.28515625" bestFit="1" customWidth="1"/>
    <col min="4870" max="4870" width="17.4257812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6.42578125" customWidth="1"/>
    <col min="4881" max="4881" width="16.140625" customWidth="1"/>
    <col min="4882" max="4882" width="16.7109375" bestFit="1" customWidth="1"/>
    <col min="4883" max="4883" width="15.42578125" bestFit="1" customWidth="1"/>
    <col min="4884" max="4884" width="18"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5.28515625" bestFit="1" customWidth="1"/>
    <col min="5126" max="5126" width="17.4257812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6.42578125" customWidth="1"/>
    <col min="5137" max="5137" width="16.140625" customWidth="1"/>
    <col min="5138" max="5138" width="16.7109375" bestFit="1" customWidth="1"/>
    <col min="5139" max="5139" width="15.42578125" bestFit="1" customWidth="1"/>
    <col min="5140" max="5140" width="18"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5.28515625" bestFit="1" customWidth="1"/>
    <col min="5382" max="5382" width="17.4257812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6.42578125" customWidth="1"/>
    <col min="5393" max="5393" width="16.140625" customWidth="1"/>
    <col min="5394" max="5394" width="16.7109375" bestFit="1" customWidth="1"/>
    <col min="5395" max="5395" width="15.42578125" bestFit="1" customWidth="1"/>
    <col min="5396" max="5396" width="18"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5.28515625" bestFit="1" customWidth="1"/>
    <col min="5638" max="5638" width="17.4257812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6.42578125" customWidth="1"/>
    <col min="5649" max="5649" width="16.140625" customWidth="1"/>
    <col min="5650" max="5650" width="16.7109375" bestFit="1" customWidth="1"/>
    <col min="5651" max="5651" width="15.42578125" bestFit="1" customWidth="1"/>
    <col min="5652" max="5652" width="18"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5.28515625" bestFit="1" customWidth="1"/>
    <col min="5894" max="5894" width="17.4257812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6.42578125" customWidth="1"/>
    <col min="5905" max="5905" width="16.140625" customWidth="1"/>
    <col min="5906" max="5906" width="16.7109375" bestFit="1" customWidth="1"/>
    <col min="5907" max="5907" width="15.42578125" bestFit="1" customWidth="1"/>
    <col min="5908" max="5908" width="18"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5.28515625" bestFit="1" customWidth="1"/>
    <col min="6150" max="6150" width="17.4257812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6.42578125" customWidth="1"/>
    <col min="6161" max="6161" width="16.140625" customWidth="1"/>
    <col min="6162" max="6162" width="16.7109375" bestFit="1" customWidth="1"/>
    <col min="6163" max="6163" width="15.42578125" bestFit="1" customWidth="1"/>
    <col min="6164" max="6164" width="18"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5.28515625" bestFit="1" customWidth="1"/>
    <col min="6406" max="6406" width="17.4257812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6.42578125" customWidth="1"/>
    <col min="6417" max="6417" width="16.140625" customWidth="1"/>
    <col min="6418" max="6418" width="16.7109375" bestFit="1" customWidth="1"/>
    <col min="6419" max="6419" width="15.42578125" bestFit="1" customWidth="1"/>
    <col min="6420" max="6420" width="18"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5.28515625" bestFit="1" customWidth="1"/>
    <col min="6662" max="6662" width="17.4257812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6.42578125" customWidth="1"/>
    <col min="6673" max="6673" width="16.140625" customWidth="1"/>
    <col min="6674" max="6674" width="16.7109375" bestFit="1" customWidth="1"/>
    <col min="6675" max="6675" width="15.42578125" bestFit="1" customWidth="1"/>
    <col min="6676" max="6676" width="18"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5.28515625" bestFit="1" customWidth="1"/>
    <col min="6918" max="6918" width="17.4257812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6.42578125" customWidth="1"/>
    <col min="6929" max="6929" width="16.140625" customWidth="1"/>
    <col min="6930" max="6930" width="16.7109375" bestFit="1" customWidth="1"/>
    <col min="6931" max="6931" width="15.42578125" bestFit="1" customWidth="1"/>
    <col min="6932" max="6932" width="18"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5.28515625" bestFit="1" customWidth="1"/>
    <col min="7174" max="7174" width="17.4257812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6.42578125" customWidth="1"/>
    <col min="7185" max="7185" width="16.140625" customWidth="1"/>
    <col min="7186" max="7186" width="16.7109375" bestFit="1" customWidth="1"/>
    <col min="7187" max="7187" width="15.42578125" bestFit="1" customWidth="1"/>
    <col min="7188" max="7188" width="18"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5.28515625" bestFit="1" customWidth="1"/>
    <col min="7430" max="7430" width="17.4257812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6.42578125" customWidth="1"/>
    <col min="7441" max="7441" width="16.140625" customWidth="1"/>
    <col min="7442" max="7442" width="16.7109375" bestFit="1" customWidth="1"/>
    <col min="7443" max="7443" width="15.42578125" bestFit="1" customWidth="1"/>
    <col min="7444" max="7444" width="18"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5.28515625" bestFit="1" customWidth="1"/>
    <col min="7686" max="7686" width="17.4257812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6.42578125" customWidth="1"/>
    <col min="7697" max="7697" width="16.140625" customWidth="1"/>
    <col min="7698" max="7698" width="16.7109375" bestFit="1" customWidth="1"/>
    <col min="7699" max="7699" width="15.42578125" bestFit="1" customWidth="1"/>
    <col min="7700" max="7700" width="18"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5.28515625" bestFit="1" customWidth="1"/>
    <col min="7942" max="7942" width="17.4257812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6.42578125" customWidth="1"/>
    <col min="7953" max="7953" width="16.140625" customWidth="1"/>
    <col min="7954" max="7954" width="16.7109375" bestFit="1" customWidth="1"/>
    <col min="7955" max="7955" width="15.42578125" bestFit="1" customWidth="1"/>
    <col min="7956" max="7956" width="18"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5.28515625" bestFit="1" customWidth="1"/>
    <col min="8198" max="8198" width="17.4257812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6.42578125" customWidth="1"/>
    <col min="8209" max="8209" width="16.140625" customWidth="1"/>
    <col min="8210" max="8210" width="16.7109375" bestFit="1" customWidth="1"/>
    <col min="8211" max="8211" width="15.42578125" bestFit="1" customWidth="1"/>
    <col min="8212" max="8212" width="18"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5.28515625" bestFit="1" customWidth="1"/>
    <col min="8454" max="8454" width="17.4257812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6.42578125" customWidth="1"/>
    <col min="8465" max="8465" width="16.140625" customWidth="1"/>
    <col min="8466" max="8466" width="16.7109375" bestFit="1" customWidth="1"/>
    <col min="8467" max="8467" width="15.42578125" bestFit="1" customWidth="1"/>
    <col min="8468" max="8468" width="18"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5.28515625" bestFit="1" customWidth="1"/>
    <col min="8710" max="8710" width="17.4257812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6.42578125" customWidth="1"/>
    <col min="8721" max="8721" width="16.140625" customWidth="1"/>
    <col min="8722" max="8722" width="16.7109375" bestFit="1" customWidth="1"/>
    <col min="8723" max="8723" width="15.42578125" bestFit="1" customWidth="1"/>
    <col min="8724" max="8724" width="18"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5.28515625" bestFit="1" customWidth="1"/>
    <col min="8966" max="8966" width="17.4257812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6.42578125" customWidth="1"/>
    <col min="8977" max="8977" width="16.140625" customWidth="1"/>
    <col min="8978" max="8978" width="16.7109375" bestFit="1" customWidth="1"/>
    <col min="8979" max="8979" width="15.42578125" bestFit="1" customWidth="1"/>
    <col min="8980" max="8980" width="18"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5.28515625" bestFit="1" customWidth="1"/>
    <col min="9222" max="9222" width="17.4257812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6.42578125" customWidth="1"/>
    <col min="9233" max="9233" width="16.140625" customWidth="1"/>
    <col min="9234" max="9234" width="16.7109375" bestFit="1" customWidth="1"/>
    <col min="9235" max="9235" width="15.42578125" bestFit="1" customWidth="1"/>
    <col min="9236" max="9236" width="18"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5.28515625" bestFit="1" customWidth="1"/>
    <col min="9478" max="9478" width="17.4257812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6.42578125" customWidth="1"/>
    <col min="9489" max="9489" width="16.140625" customWidth="1"/>
    <col min="9490" max="9490" width="16.7109375" bestFit="1" customWidth="1"/>
    <col min="9491" max="9491" width="15.42578125" bestFit="1" customWidth="1"/>
    <col min="9492" max="9492" width="18"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5.28515625" bestFit="1" customWidth="1"/>
    <col min="9734" max="9734" width="17.4257812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6.42578125" customWidth="1"/>
    <col min="9745" max="9745" width="16.140625" customWidth="1"/>
    <col min="9746" max="9746" width="16.7109375" bestFit="1" customWidth="1"/>
    <col min="9747" max="9747" width="15.42578125" bestFit="1" customWidth="1"/>
    <col min="9748" max="9748" width="18"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5.28515625" bestFit="1" customWidth="1"/>
    <col min="9990" max="9990" width="17.4257812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6.42578125" customWidth="1"/>
    <col min="10001" max="10001" width="16.140625" customWidth="1"/>
    <col min="10002" max="10002" width="16.7109375" bestFit="1" customWidth="1"/>
    <col min="10003" max="10003" width="15.42578125" bestFit="1" customWidth="1"/>
    <col min="10004" max="10004" width="18"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5.28515625" bestFit="1" customWidth="1"/>
    <col min="10246" max="10246" width="17.4257812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6.42578125" customWidth="1"/>
    <col min="10257" max="10257" width="16.140625" customWidth="1"/>
    <col min="10258" max="10258" width="16.7109375" bestFit="1" customWidth="1"/>
    <col min="10259" max="10259" width="15.42578125" bestFit="1" customWidth="1"/>
    <col min="10260" max="10260" width="18"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5.28515625" bestFit="1" customWidth="1"/>
    <col min="10502" max="10502" width="17.4257812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6.42578125" customWidth="1"/>
    <col min="10513" max="10513" width="16.140625" customWidth="1"/>
    <col min="10514" max="10514" width="16.7109375" bestFit="1" customWidth="1"/>
    <col min="10515" max="10515" width="15.42578125" bestFit="1" customWidth="1"/>
    <col min="10516" max="10516" width="18"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5.28515625" bestFit="1" customWidth="1"/>
    <col min="10758" max="10758" width="17.4257812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6.42578125" customWidth="1"/>
    <col min="10769" max="10769" width="16.140625" customWidth="1"/>
    <col min="10770" max="10770" width="16.7109375" bestFit="1" customWidth="1"/>
    <col min="10771" max="10771" width="15.42578125" bestFit="1" customWidth="1"/>
    <col min="10772" max="10772" width="18"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5.28515625" bestFit="1" customWidth="1"/>
    <col min="11014" max="11014" width="17.4257812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6.42578125" customWidth="1"/>
    <col min="11025" max="11025" width="16.140625" customWidth="1"/>
    <col min="11026" max="11026" width="16.7109375" bestFit="1" customWidth="1"/>
    <col min="11027" max="11027" width="15.42578125" bestFit="1" customWidth="1"/>
    <col min="11028" max="11028" width="18"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5.28515625" bestFit="1" customWidth="1"/>
    <col min="11270" max="11270" width="17.4257812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6.42578125" customWidth="1"/>
    <col min="11281" max="11281" width="16.140625" customWidth="1"/>
    <col min="11282" max="11282" width="16.7109375" bestFit="1" customWidth="1"/>
    <col min="11283" max="11283" width="15.42578125" bestFit="1" customWidth="1"/>
    <col min="11284" max="11284" width="18"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5.28515625" bestFit="1" customWidth="1"/>
    <col min="11526" max="11526" width="17.4257812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6.42578125" customWidth="1"/>
    <col min="11537" max="11537" width="16.140625" customWidth="1"/>
    <col min="11538" max="11538" width="16.7109375" bestFit="1" customWidth="1"/>
    <col min="11539" max="11539" width="15.42578125" bestFit="1" customWidth="1"/>
    <col min="11540" max="11540" width="18"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5.28515625" bestFit="1" customWidth="1"/>
    <col min="11782" max="11782" width="17.4257812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6.42578125" customWidth="1"/>
    <col min="11793" max="11793" width="16.140625" customWidth="1"/>
    <col min="11794" max="11794" width="16.7109375" bestFit="1" customWidth="1"/>
    <col min="11795" max="11795" width="15.42578125" bestFit="1" customWidth="1"/>
    <col min="11796" max="11796" width="18"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5.28515625" bestFit="1" customWidth="1"/>
    <col min="12038" max="12038" width="17.4257812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6.42578125" customWidth="1"/>
    <col min="12049" max="12049" width="16.140625" customWidth="1"/>
    <col min="12050" max="12050" width="16.7109375" bestFit="1" customWidth="1"/>
    <col min="12051" max="12051" width="15.42578125" bestFit="1" customWidth="1"/>
    <col min="12052" max="12052" width="18"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5.28515625" bestFit="1" customWidth="1"/>
    <col min="12294" max="12294" width="17.4257812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6.42578125" customWidth="1"/>
    <col min="12305" max="12305" width="16.140625" customWidth="1"/>
    <col min="12306" max="12306" width="16.7109375" bestFit="1" customWidth="1"/>
    <col min="12307" max="12307" width="15.42578125" bestFit="1" customWidth="1"/>
    <col min="12308" max="12308" width="18"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5.28515625" bestFit="1" customWidth="1"/>
    <col min="12550" max="12550" width="17.4257812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6.42578125" customWidth="1"/>
    <col min="12561" max="12561" width="16.140625" customWidth="1"/>
    <col min="12562" max="12562" width="16.7109375" bestFit="1" customWidth="1"/>
    <col min="12563" max="12563" width="15.42578125" bestFit="1" customWidth="1"/>
    <col min="12564" max="12564" width="18"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5.28515625" bestFit="1" customWidth="1"/>
    <col min="12806" max="12806" width="17.4257812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6.42578125" customWidth="1"/>
    <col min="12817" max="12817" width="16.140625" customWidth="1"/>
    <col min="12818" max="12818" width="16.7109375" bestFit="1" customWidth="1"/>
    <col min="12819" max="12819" width="15.42578125" bestFit="1" customWidth="1"/>
    <col min="12820" max="12820" width="18"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5.28515625" bestFit="1" customWidth="1"/>
    <col min="13062" max="13062" width="17.4257812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6.42578125" customWidth="1"/>
    <col min="13073" max="13073" width="16.140625" customWidth="1"/>
    <col min="13074" max="13074" width="16.7109375" bestFit="1" customWidth="1"/>
    <col min="13075" max="13075" width="15.42578125" bestFit="1" customWidth="1"/>
    <col min="13076" max="13076" width="18"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5.28515625" bestFit="1" customWidth="1"/>
    <col min="13318" max="13318" width="17.4257812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6.42578125" customWidth="1"/>
    <col min="13329" max="13329" width="16.140625" customWidth="1"/>
    <col min="13330" max="13330" width="16.7109375" bestFit="1" customWidth="1"/>
    <col min="13331" max="13331" width="15.42578125" bestFit="1" customWidth="1"/>
    <col min="13332" max="13332" width="18"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5.28515625" bestFit="1" customWidth="1"/>
    <col min="13574" max="13574" width="17.4257812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6.42578125" customWidth="1"/>
    <col min="13585" max="13585" width="16.140625" customWidth="1"/>
    <col min="13586" max="13586" width="16.7109375" bestFit="1" customWidth="1"/>
    <col min="13587" max="13587" width="15.42578125" bestFit="1" customWidth="1"/>
    <col min="13588" max="13588" width="18"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5.28515625" bestFit="1" customWidth="1"/>
    <col min="13830" max="13830" width="17.4257812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6.42578125" customWidth="1"/>
    <col min="13841" max="13841" width="16.140625" customWidth="1"/>
    <col min="13842" max="13842" width="16.7109375" bestFit="1" customWidth="1"/>
    <col min="13843" max="13843" width="15.42578125" bestFit="1" customWidth="1"/>
    <col min="13844" max="13844" width="18"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5.28515625" bestFit="1" customWidth="1"/>
    <col min="14086" max="14086" width="17.4257812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6.42578125" customWidth="1"/>
    <col min="14097" max="14097" width="16.140625" customWidth="1"/>
    <col min="14098" max="14098" width="16.7109375" bestFit="1" customWidth="1"/>
    <col min="14099" max="14099" width="15.42578125" bestFit="1" customWidth="1"/>
    <col min="14100" max="14100" width="18"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5.28515625" bestFit="1" customWidth="1"/>
    <col min="14342" max="14342" width="17.4257812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6.42578125" customWidth="1"/>
    <col min="14353" max="14353" width="16.140625" customWidth="1"/>
    <col min="14354" max="14354" width="16.7109375" bestFit="1" customWidth="1"/>
    <col min="14355" max="14355" width="15.42578125" bestFit="1" customWidth="1"/>
    <col min="14356" max="14356" width="18"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5.28515625" bestFit="1" customWidth="1"/>
    <col min="14598" max="14598" width="17.4257812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6.42578125" customWidth="1"/>
    <col min="14609" max="14609" width="16.140625" customWidth="1"/>
    <col min="14610" max="14610" width="16.7109375" bestFit="1" customWidth="1"/>
    <col min="14611" max="14611" width="15.42578125" bestFit="1" customWidth="1"/>
    <col min="14612" max="14612" width="18"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5.28515625" bestFit="1" customWidth="1"/>
    <col min="14854" max="14854" width="17.4257812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6.42578125" customWidth="1"/>
    <col min="14865" max="14865" width="16.140625" customWidth="1"/>
    <col min="14866" max="14866" width="16.7109375" bestFit="1" customWidth="1"/>
    <col min="14867" max="14867" width="15.42578125" bestFit="1" customWidth="1"/>
    <col min="14868" max="14868" width="18"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5.28515625" bestFit="1" customWidth="1"/>
    <col min="15110" max="15110" width="17.4257812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6.42578125" customWidth="1"/>
    <col min="15121" max="15121" width="16.140625" customWidth="1"/>
    <col min="15122" max="15122" width="16.7109375" bestFit="1" customWidth="1"/>
    <col min="15123" max="15123" width="15.42578125" bestFit="1" customWidth="1"/>
    <col min="15124" max="15124" width="18"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5.28515625" bestFit="1" customWidth="1"/>
    <col min="15366" max="15366" width="17.4257812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6.42578125" customWidth="1"/>
    <col min="15377" max="15377" width="16.140625" customWidth="1"/>
    <col min="15378" max="15378" width="16.7109375" bestFit="1" customWidth="1"/>
    <col min="15379" max="15379" width="15.42578125" bestFit="1" customWidth="1"/>
    <col min="15380" max="15380" width="18"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5.28515625" bestFit="1" customWidth="1"/>
    <col min="15622" max="15622" width="17.4257812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6.42578125" customWidth="1"/>
    <col min="15633" max="15633" width="16.140625" customWidth="1"/>
    <col min="15634" max="15634" width="16.7109375" bestFit="1" customWidth="1"/>
    <col min="15635" max="15635" width="15.42578125" bestFit="1" customWidth="1"/>
    <col min="15636" max="15636" width="18"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5.28515625" bestFit="1" customWidth="1"/>
    <col min="15878" max="15878" width="17.4257812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6.42578125" customWidth="1"/>
    <col min="15889" max="15889" width="16.140625" customWidth="1"/>
    <col min="15890" max="15890" width="16.7109375" bestFit="1" customWidth="1"/>
    <col min="15891" max="15891" width="15.42578125" bestFit="1" customWidth="1"/>
    <col min="15892" max="15892" width="18"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5.28515625" bestFit="1" customWidth="1"/>
    <col min="16134" max="16134" width="17.4257812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6.42578125" customWidth="1"/>
    <col min="16145" max="16145" width="16.140625" customWidth="1"/>
    <col min="16146" max="16146" width="16.7109375" bestFit="1" customWidth="1"/>
    <col min="16147" max="16147" width="15.42578125" bestFit="1" customWidth="1"/>
    <col min="16148" max="16148" width="18"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461"/>
      <c r="F1" s="198"/>
      <c r="G1" s="198">
        <f>C3</f>
        <v>18230684</v>
      </c>
      <c r="H1" s="198" t="str">
        <f>C4</f>
        <v>Single Family New Construction - Gas</v>
      </c>
      <c r="I1" s="198"/>
    </row>
    <row r="2" spans="2:22" ht="16.5" thickBot="1">
      <c r="B2" s="198" t="s">
        <v>109</v>
      </c>
      <c r="C2" s="199" t="s">
        <v>599</v>
      </c>
      <c r="G2" s="200" t="s">
        <v>8</v>
      </c>
      <c r="Q2" s="5133" t="s">
        <v>556</v>
      </c>
      <c r="R2" s="5133"/>
      <c r="S2" s="5124" t="s">
        <v>110</v>
      </c>
      <c r="T2" s="5125"/>
      <c r="U2" s="5126"/>
      <c r="V2" s="5118" t="s">
        <v>111</v>
      </c>
    </row>
    <row r="3" spans="2:22" ht="16.5" thickBot="1">
      <c r="B3" s="199" t="s">
        <v>6</v>
      </c>
      <c r="C3" s="199">
        <v>18230684</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614</v>
      </c>
      <c r="F4" s="198">
        <v>2011</v>
      </c>
      <c r="G4" s="206">
        <f>B13</f>
        <v>90672</v>
      </c>
      <c r="H4" s="207">
        <f>B18</f>
        <v>22000</v>
      </c>
      <c r="I4" s="207">
        <f>B23</f>
        <v>70983</v>
      </c>
      <c r="J4" s="207">
        <f>B28</f>
        <v>28622</v>
      </c>
      <c r="K4" s="207">
        <f>B33</f>
        <v>5000</v>
      </c>
      <c r="L4" s="207">
        <f>B38</f>
        <v>4320</v>
      </c>
      <c r="M4" s="207">
        <f>B43</f>
        <v>1200</v>
      </c>
      <c r="N4" s="207">
        <f>B48</f>
        <v>5000</v>
      </c>
      <c r="O4" s="207">
        <f>B53</f>
        <v>425000</v>
      </c>
      <c r="P4" s="207">
        <f>B54</f>
        <v>0</v>
      </c>
      <c r="Q4" s="209">
        <f>B55</f>
        <v>652797</v>
      </c>
      <c r="R4" s="355">
        <f>T55</f>
        <v>0</v>
      </c>
      <c r="S4" s="316">
        <f>O4/Q4</f>
        <v>0.6510446585998404</v>
      </c>
      <c r="T4" s="316">
        <f>(J4+(H4*1.63))/Q4</f>
        <v>9.8778027472552724E-2</v>
      </c>
      <c r="U4" s="316">
        <f>L4/Q4</f>
        <v>6.6176774709442599E-3</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P55</f>
        <v>0</v>
      </c>
      <c r="S5" s="317" t="e">
        <f>O5/Q5</f>
        <v>#DIV/0!</v>
      </c>
      <c r="T5" s="317" t="e">
        <f>(J5+(H5*1.63))/Q5</f>
        <v>#DIV/0!</v>
      </c>
      <c r="U5" s="317" t="e">
        <f>L5/Q5</f>
        <v>#DIV/0!</v>
      </c>
      <c r="V5" s="218" t="e">
        <f>Q5/R5</f>
        <v>#DIV/0!</v>
      </c>
    </row>
    <row r="6" spans="2:22" s="3532" customFormat="1" ht="16.5" thickBot="1">
      <c r="B6" s="3536"/>
      <c r="D6" s="3533"/>
      <c r="F6" s="4249" t="s">
        <v>1168</v>
      </c>
      <c r="G6" s="3547">
        <v>7729</v>
      </c>
      <c r="H6" s="3548">
        <v>3383</v>
      </c>
      <c r="I6" s="3548">
        <v>7000.56</v>
      </c>
      <c r="J6" s="3548">
        <v>36127</v>
      </c>
      <c r="K6" s="3548">
        <v>5000</v>
      </c>
      <c r="L6" s="3548">
        <v>2500</v>
      </c>
      <c r="M6" s="3548">
        <v>1200</v>
      </c>
      <c r="N6" s="3548">
        <v>5000</v>
      </c>
      <c r="O6" s="3548">
        <v>88750</v>
      </c>
      <c r="P6" s="3548">
        <v>0</v>
      </c>
      <c r="Q6" s="3549">
        <v>156689.56</v>
      </c>
      <c r="R6" s="3610">
        <v>28900</v>
      </c>
      <c r="S6" s="3637">
        <v>0.56640659403217419</v>
      </c>
      <c r="T6" s="3637">
        <v>0.26575663369020885</v>
      </c>
      <c r="U6" s="3637">
        <v>1.5955115324849979E-2</v>
      </c>
      <c r="V6" s="3498">
        <v>5.421784083044983</v>
      </c>
    </row>
    <row r="7" spans="2:22" ht="16.5" thickBot="1">
      <c r="C7" s="3536" t="s">
        <v>1171</v>
      </c>
      <c r="F7" s="4281" t="s">
        <v>1169</v>
      </c>
      <c r="G7" s="4195">
        <f>E13</f>
        <v>0</v>
      </c>
      <c r="H7" s="4196">
        <f>E18</f>
        <v>0</v>
      </c>
      <c r="I7" s="4196">
        <f>E23</f>
        <v>0</v>
      </c>
      <c r="J7" s="4196">
        <f>E28</f>
        <v>0</v>
      </c>
      <c r="K7" s="4196">
        <f>E33</f>
        <v>0</v>
      </c>
      <c r="L7" s="4196">
        <f>E38</f>
        <v>0</v>
      </c>
      <c r="M7" s="4196">
        <f>E43</f>
        <v>0</v>
      </c>
      <c r="N7" s="4196">
        <f>E48</f>
        <v>0</v>
      </c>
      <c r="O7" s="4196">
        <f>E53</f>
        <v>0</v>
      </c>
      <c r="P7" s="4196">
        <f>E54</f>
        <v>0</v>
      </c>
      <c r="Q7" s="4197">
        <f>SUM(G7:P7)</f>
        <v>0</v>
      </c>
      <c r="R7" s="4198">
        <f>Q55</f>
        <v>0</v>
      </c>
      <c r="S7" s="317" t="e">
        <f>O7/Q7</f>
        <v>#DIV/0!</v>
      </c>
      <c r="T7" s="317" t="e">
        <f>(J7+(H7*1.63))/Q7</f>
        <v>#DIV/0!</v>
      </c>
      <c r="U7" s="317" t="e">
        <f>L7/Q7</f>
        <v>#DIV/0!</v>
      </c>
      <c r="V7" s="218" t="e">
        <f>Q7/R7</f>
        <v>#DIV/0!</v>
      </c>
    </row>
    <row r="8" spans="2:22" ht="16.5" thickBot="1">
      <c r="C8" s="220" t="s">
        <v>445</v>
      </c>
      <c r="F8" s="3611" t="s">
        <v>1175</v>
      </c>
      <c r="G8" s="357">
        <f>SUM(G5+G7)</f>
        <v>0</v>
      </c>
      <c r="H8" s="3612">
        <f t="shared" ref="H8:R8" si="0">SUM(H5+H7)</f>
        <v>0</v>
      </c>
      <c r="I8" s="3612">
        <f t="shared" si="0"/>
        <v>0</v>
      </c>
      <c r="J8" s="3612">
        <f t="shared" si="0"/>
        <v>0</v>
      </c>
      <c r="K8" s="3612">
        <f t="shared" si="0"/>
        <v>0</v>
      </c>
      <c r="L8" s="3612">
        <f t="shared" si="0"/>
        <v>0</v>
      </c>
      <c r="M8" s="3612">
        <f t="shared" si="0"/>
        <v>0</v>
      </c>
      <c r="N8" s="3612">
        <f t="shared" si="0"/>
        <v>0</v>
      </c>
      <c r="O8" s="3612">
        <f t="shared" si="0"/>
        <v>0</v>
      </c>
      <c r="P8" s="3612">
        <f t="shared" si="0"/>
        <v>0</v>
      </c>
      <c r="Q8" s="3612">
        <f t="shared" si="0"/>
        <v>0</v>
      </c>
      <c r="R8" s="3610">
        <f t="shared" si="0"/>
        <v>0</v>
      </c>
      <c r="S8" s="317" t="e">
        <f>O8/Q8</f>
        <v>#DIV/0!</v>
      </c>
      <c r="T8" s="317" t="e">
        <f>(J8+(H8*1.63))/Q8</f>
        <v>#DIV/0!</v>
      </c>
      <c r="U8" s="317" t="e">
        <f>L8/Q8</f>
        <v>#DIV/0!</v>
      </c>
      <c r="V8" s="218" t="e">
        <f>Q8/R8</f>
        <v>#DIV/0!</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90672</v>
      </c>
      <c r="C13" s="236" t="s">
        <v>138</v>
      </c>
      <c r="D13" s="237">
        <f>SUM(D14:D17)</f>
        <v>0</v>
      </c>
      <c r="E13" s="4468">
        <f>SUM(E14:E17)</f>
        <v>0</v>
      </c>
      <c r="F13" s="238">
        <f>D13+E13</f>
        <v>0</v>
      </c>
      <c r="H13" s="132"/>
      <c r="I13" s="239" t="str">
        <f t="shared" ref="I13:I54" si="1">C63</f>
        <v>ENERGY STAR Gas Furnace Tier 2 (95% AFUE)</v>
      </c>
      <c r="J13" s="240"/>
      <c r="K13" s="241"/>
      <c r="L13" s="360">
        <f t="shared" ref="L13:L54" si="2">D63</f>
        <v>103</v>
      </c>
      <c r="M13" s="4148">
        <v>0</v>
      </c>
      <c r="N13" s="4534">
        <v>0</v>
      </c>
      <c r="O13" s="244">
        <f>M13+N13</f>
        <v>0</v>
      </c>
      <c r="P13" s="361">
        <f t="shared" ref="P13:R28" si="3">M13*$D63</f>
        <v>0</v>
      </c>
      <c r="Q13" s="361">
        <f t="shared" si="3"/>
        <v>0</v>
      </c>
      <c r="R13" s="362">
        <f t="shared" si="3"/>
        <v>0</v>
      </c>
      <c r="T13" s="3535"/>
    </row>
    <row r="14" spans="2:22">
      <c r="B14" s="247"/>
      <c r="C14" s="248" t="s">
        <v>601</v>
      </c>
      <c r="D14" s="249">
        <v>0</v>
      </c>
      <c r="E14" s="4447">
        <v>0</v>
      </c>
      <c r="F14" s="249">
        <f>SUM(D14:E14)</f>
        <v>0</v>
      </c>
      <c r="H14" s="132"/>
      <c r="I14" s="250" t="str">
        <f t="shared" si="1"/>
        <v>ENERGY STAR Gas Water Heater Tier 1 (.62-.66 EF)</v>
      </c>
      <c r="J14" s="251"/>
      <c r="K14" s="252"/>
      <c r="L14" s="360">
        <f t="shared" si="2"/>
        <v>0</v>
      </c>
      <c r="M14" s="4148">
        <v>0</v>
      </c>
      <c r="N14" s="4148">
        <v>0</v>
      </c>
      <c r="O14" s="244">
        <f t="shared" ref="O14:O54" si="4">M14+N14</f>
        <v>0</v>
      </c>
      <c r="P14" s="361">
        <f t="shared" si="3"/>
        <v>0</v>
      </c>
      <c r="Q14" s="361">
        <f t="shared" si="3"/>
        <v>0</v>
      </c>
      <c r="R14" s="362">
        <f t="shared" si="3"/>
        <v>0</v>
      </c>
      <c r="T14" s="3535"/>
    </row>
    <row r="15" spans="2:22">
      <c r="B15" s="254"/>
      <c r="C15" s="255" t="s">
        <v>140</v>
      </c>
      <c r="D15" s="256">
        <v>0</v>
      </c>
      <c r="E15" s="256"/>
      <c r="F15" s="249">
        <f t="shared" ref="F15:F25" si="5">SUM(D15:E15)</f>
        <v>0</v>
      </c>
      <c r="H15" s="132"/>
      <c r="I15" s="250" t="str">
        <f t="shared" si="1"/>
        <v>ENERGY STAR Gas Water Heater Tier 2 (.67 +)</v>
      </c>
      <c r="J15" s="251"/>
      <c r="K15" s="252"/>
      <c r="L15" s="360">
        <f t="shared" si="2"/>
        <v>0</v>
      </c>
      <c r="M15" s="4148">
        <v>0</v>
      </c>
      <c r="N15" s="4148">
        <v>0</v>
      </c>
      <c r="O15" s="244">
        <f t="shared" si="4"/>
        <v>0</v>
      </c>
      <c r="P15" s="361">
        <f t="shared" si="3"/>
        <v>0</v>
      </c>
      <c r="Q15" s="361">
        <f t="shared" si="3"/>
        <v>0</v>
      </c>
      <c r="R15" s="362">
        <f t="shared" si="3"/>
        <v>0</v>
      </c>
      <c r="T15" s="3535"/>
    </row>
    <row r="16" spans="2:22">
      <c r="B16" s="254"/>
      <c r="C16" s="255" t="s">
        <v>141</v>
      </c>
      <c r="D16" s="258">
        <v>0</v>
      </c>
      <c r="E16" s="258"/>
      <c r="F16" s="249">
        <f t="shared" si="5"/>
        <v>0</v>
      </c>
      <c r="H16" s="132"/>
      <c r="I16" s="250" t="str">
        <f t="shared" si="1"/>
        <v>ES Homes Ducts in Conditioned Space w/ PT</v>
      </c>
      <c r="J16" s="251"/>
      <c r="K16" s="252"/>
      <c r="L16" s="360">
        <f t="shared" si="2"/>
        <v>0</v>
      </c>
      <c r="M16" s="4148">
        <v>0</v>
      </c>
      <c r="N16" s="4148">
        <v>0</v>
      </c>
      <c r="O16" s="244">
        <f t="shared" si="4"/>
        <v>0</v>
      </c>
      <c r="P16" s="361">
        <f t="shared" si="3"/>
        <v>0</v>
      </c>
      <c r="Q16" s="361">
        <f t="shared" si="3"/>
        <v>0</v>
      </c>
      <c r="R16" s="362">
        <f t="shared" si="3"/>
        <v>0</v>
      </c>
      <c r="T16" s="3535"/>
    </row>
    <row r="17" spans="2:20" ht="13.5" thickBot="1">
      <c r="B17" s="254"/>
      <c r="C17" s="255" t="s">
        <v>142</v>
      </c>
      <c r="D17" s="258">
        <v>0</v>
      </c>
      <c r="E17" s="258"/>
      <c r="F17" s="249">
        <f t="shared" si="5"/>
        <v>0</v>
      </c>
      <c r="H17" s="132"/>
      <c r="I17" s="250" t="str">
        <f t="shared" si="1"/>
        <v xml:space="preserve">ENERGY STAR Tankless Water Heater </v>
      </c>
      <c r="J17" s="251"/>
      <c r="K17" s="252"/>
      <c r="L17" s="360">
        <f t="shared" si="2"/>
        <v>0</v>
      </c>
      <c r="M17" s="4148">
        <v>0</v>
      </c>
      <c r="N17" s="4148">
        <v>0</v>
      </c>
      <c r="O17" s="244">
        <f t="shared" si="4"/>
        <v>0</v>
      </c>
      <c r="P17" s="361">
        <f t="shared" si="3"/>
        <v>0</v>
      </c>
      <c r="Q17" s="361">
        <f t="shared" si="3"/>
        <v>0</v>
      </c>
      <c r="R17" s="362">
        <f t="shared" si="3"/>
        <v>0</v>
      </c>
      <c r="T17" s="3535"/>
    </row>
    <row r="18" spans="2:20" ht="13.5" thickBot="1">
      <c r="B18" s="262">
        <v>22000</v>
      </c>
      <c r="C18" s="236" t="s">
        <v>143</v>
      </c>
      <c r="D18" s="237">
        <f>SUM(D19:D22)</f>
        <v>0</v>
      </c>
      <c r="E18" s="4468">
        <f>SUM(E19:E22)</f>
        <v>0</v>
      </c>
      <c r="F18" s="238">
        <f>D18+E18</f>
        <v>0</v>
      </c>
      <c r="H18" s="132"/>
      <c r="I18" s="250" t="str">
        <f t="shared" si="1"/>
        <v>ENERGY STAR Gas Boiler/Hydronic (95% AFUE)</v>
      </c>
      <c r="J18" s="251"/>
      <c r="K18" s="252"/>
      <c r="L18" s="360">
        <f t="shared" si="2"/>
        <v>0</v>
      </c>
      <c r="M18" s="4148">
        <v>0</v>
      </c>
      <c r="N18" s="4148">
        <v>0</v>
      </c>
      <c r="O18" s="244">
        <f t="shared" si="4"/>
        <v>0</v>
      </c>
      <c r="P18" s="361">
        <f t="shared" si="3"/>
        <v>0</v>
      </c>
      <c r="Q18" s="361">
        <f t="shared" si="3"/>
        <v>0</v>
      </c>
      <c r="R18" s="362">
        <f t="shared" si="3"/>
        <v>0</v>
      </c>
      <c r="T18" s="3535"/>
    </row>
    <row r="19" spans="2:20">
      <c r="B19" s="247"/>
      <c r="C19" s="248" t="s">
        <v>425</v>
      </c>
      <c r="D19" s="249">
        <v>0</v>
      </c>
      <c r="E19" s="4447">
        <v>0</v>
      </c>
      <c r="F19" s="249">
        <f t="shared" si="5"/>
        <v>0</v>
      </c>
      <c r="H19" s="132"/>
      <c r="I19" s="250" t="str">
        <f t="shared" si="1"/>
        <v xml:space="preserve">High Efficiency Gas Fireplace </v>
      </c>
      <c r="J19" s="251"/>
      <c r="K19" s="252"/>
      <c r="L19" s="360">
        <f t="shared" si="2"/>
        <v>0</v>
      </c>
      <c r="M19" s="4148">
        <v>0</v>
      </c>
      <c r="N19" s="4148">
        <v>0</v>
      </c>
      <c r="O19" s="244">
        <f t="shared" si="4"/>
        <v>0</v>
      </c>
      <c r="P19" s="361">
        <f t="shared" si="3"/>
        <v>0</v>
      </c>
      <c r="Q19" s="361">
        <f t="shared" si="3"/>
        <v>0</v>
      </c>
      <c r="R19" s="362">
        <f t="shared" si="3"/>
        <v>0</v>
      </c>
      <c r="T19" s="3535"/>
    </row>
    <row r="20" spans="2:20">
      <c r="B20" s="254"/>
      <c r="C20" s="255" t="s">
        <v>140</v>
      </c>
      <c r="D20" s="256">
        <v>0</v>
      </c>
      <c r="E20" s="256"/>
      <c r="F20" s="249">
        <f t="shared" si="5"/>
        <v>0</v>
      </c>
      <c r="H20" s="132"/>
      <c r="I20" s="250" t="str">
        <f t="shared" si="1"/>
        <v>ENERGY STAR Gas Furnace Tier 1 (90%-94.9% AFUE)</v>
      </c>
      <c r="J20" s="251"/>
      <c r="K20" s="252"/>
      <c r="L20" s="360">
        <f t="shared" si="2"/>
        <v>83</v>
      </c>
      <c r="M20" s="4148">
        <v>0</v>
      </c>
      <c r="N20" s="4534">
        <v>0</v>
      </c>
      <c r="O20" s="244">
        <f t="shared" si="4"/>
        <v>0</v>
      </c>
      <c r="P20" s="361">
        <f t="shared" si="3"/>
        <v>0</v>
      </c>
      <c r="Q20" s="361">
        <f t="shared" si="3"/>
        <v>0</v>
      </c>
      <c r="R20" s="362">
        <f t="shared" si="3"/>
        <v>0</v>
      </c>
      <c r="T20" s="3535"/>
    </row>
    <row r="21" spans="2:20">
      <c r="B21" s="254"/>
      <c r="C21" s="255" t="s">
        <v>141</v>
      </c>
      <c r="D21" s="258">
        <v>0</v>
      </c>
      <c r="E21" s="258"/>
      <c r="F21" s="249">
        <f t="shared" si="5"/>
        <v>0</v>
      </c>
      <c r="H21" s="132"/>
      <c r="I21" s="250" t="str">
        <f t="shared" si="1"/>
        <v>ENERGY STAR Homes Bonus (Gas)</v>
      </c>
      <c r="J21" s="251"/>
      <c r="K21" s="252"/>
      <c r="L21" s="360">
        <f t="shared" si="2"/>
        <v>0</v>
      </c>
      <c r="M21" s="4148">
        <v>0</v>
      </c>
      <c r="N21" s="4148">
        <v>0</v>
      </c>
      <c r="O21" s="244">
        <f t="shared" si="4"/>
        <v>0</v>
      </c>
      <c r="P21" s="361">
        <f t="shared" si="3"/>
        <v>0</v>
      </c>
      <c r="Q21" s="361">
        <f t="shared" si="3"/>
        <v>0</v>
      </c>
      <c r="R21" s="362">
        <f t="shared" si="3"/>
        <v>0</v>
      </c>
      <c r="T21" s="3535"/>
    </row>
    <row r="22" spans="2:20" ht="13.5" thickBot="1">
      <c r="B22" s="254"/>
      <c r="C22" s="255" t="s">
        <v>142</v>
      </c>
      <c r="D22" s="258">
        <v>0</v>
      </c>
      <c r="E22" s="258"/>
      <c r="F22" s="249">
        <f t="shared" si="5"/>
        <v>0</v>
      </c>
      <c r="H22" s="132"/>
      <c r="I22" s="250" t="str">
        <f t="shared" si="1"/>
        <v xml:space="preserve">ENERGY STAR Homes Verifier Bonus </v>
      </c>
      <c r="J22" s="251"/>
      <c r="K22" s="252"/>
      <c r="L22" s="360">
        <f t="shared" si="2"/>
        <v>0</v>
      </c>
      <c r="M22" s="4148">
        <v>0</v>
      </c>
      <c r="N22" s="4148">
        <v>0</v>
      </c>
      <c r="O22" s="244">
        <f t="shared" si="4"/>
        <v>0</v>
      </c>
      <c r="P22" s="361">
        <f t="shared" si="3"/>
        <v>0</v>
      </c>
      <c r="Q22" s="361">
        <f t="shared" si="3"/>
        <v>0</v>
      </c>
      <c r="R22" s="362">
        <f t="shared" si="3"/>
        <v>0</v>
      </c>
      <c r="T22" s="3535"/>
    </row>
    <row r="23" spans="2:20" ht="13.5" thickBot="1">
      <c r="B23" s="262">
        <v>70983</v>
      </c>
      <c r="C23" s="236" t="s">
        <v>144</v>
      </c>
      <c r="D23" s="237">
        <f>SUM(D24:D27)</f>
        <v>0</v>
      </c>
      <c r="E23" s="237">
        <f>SUM(E24:E27)</f>
        <v>0</v>
      </c>
      <c r="F23" s="238">
        <f>D23+E23</f>
        <v>0</v>
      </c>
      <c r="G23" s="53"/>
      <c r="H23" s="132"/>
      <c r="I23" s="250" t="str">
        <f t="shared" si="1"/>
        <v>Showerhead - Max 1.50 gpm GWH</v>
      </c>
      <c r="J23" s="251"/>
      <c r="K23" s="252"/>
      <c r="L23" s="360">
        <f t="shared" si="2"/>
        <v>13</v>
      </c>
      <c r="M23" s="257">
        <v>0</v>
      </c>
      <c r="N23" s="257">
        <v>0</v>
      </c>
      <c r="O23" s="244">
        <f t="shared" si="4"/>
        <v>0</v>
      </c>
      <c r="P23" s="361">
        <f t="shared" si="3"/>
        <v>0</v>
      </c>
      <c r="Q23" s="361">
        <f t="shared" si="3"/>
        <v>0</v>
      </c>
      <c r="R23" s="362">
        <f t="shared" si="3"/>
        <v>0</v>
      </c>
      <c r="T23" s="3535"/>
    </row>
    <row r="24" spans="2:20">
      <c r="B24" s="247"/>
      <c r="C24" s="3566" t="s">
        <v>1434</v>
      </c>
      <c r="D24" s="249">
        <f>0.63*D13</f>
        <v>0</v>
      </c>
      <c r="E24" s="249">
        <f>0.707*E13</f>
        <v>0</v>
      </c>
      <c r="F24" s="249">
        <f t="shared" si="5"/>
        <v>0</v>
      </c>
      <c r="H24" s="132"/>
      <c r="I24" s="250">
        <f t="shared" si="1"/>
        <v>0</v>
      </c>
      <c r="J24" s="251"/>
      <c r="K24" s="252"/>
      <c r="L24" s="360">
        <f t="shared" si="2"/>
        <v>0</v>
      </c>
      <c r="M24" s="257">
        <v>0</v>
      </c>
      <c r="N24" s="257">
        <v>0</v>
      </c>
      <c r="O24" s="244">
        <f t="shared" si="4"/>
        <v>0</v>
      </c>
      <c r="P24" s="361">
        <f t="shared" si="3"/>
        <v>0</v>
      </c>
      <c r="Q24" s="361">
        <f t="shared" si="3"/>
        <v>0</v>
      </c>
      <c r="R24" s="362">
        <f t="shared" si="3"/>
        <v>0</v>
      </c>
      <c r="T24" s="3535"/>
    </row>
    <row r="25" spans="2:20">
      <c r="B25" s="247"/>
      <c r="C25" s="3566" t="s">
        <v>1435</v>
      </c>
      <c r="D25" s="256">
        <f>0.63*D18</f>
        <v>0</v>
      </c>
      <c r="E25" s="256">
        <f>0.707*E18</f>
        <v>0</v>
      </c>
      <c r="F25" s="249">
        <f t="shared" si="5"/>
        <v>0</v>
      </c>
      <c r="H25" s="132"/>
      <c r="I25" s="250" t="str">
        <f t="shared" si="1"/>
        <v>Measure 13</v>
      </c>
      <c r="J25" s="251"/>
      <c r="K25" s="252"/>
      <c r="L25" s="360">
        <f t="shared" si="2"/>
        <v>0</v>
      </c>
      <c r="M25" s="257">
        <v>0</v>
      </c>
      <c r="N25" s="257">
        <v>0</v>
      </c>
      <c r="O25" s="244">
        <f t="shared" si="4"/>
        <v>0</v>
      </c>
      <c r="P25" s="361">
        <f t="shared" si="3"/>
        <v>0</v>
      </c>
      <c r="Q25" s="361">
        <f t="shared" si="3"/>
        <v>0</v>
      </c>
      <c r="R25" s="362">
        <f t="shared" si="3"/>
        <v>0</v>
      </c>
      <c r="T25" s="3535"/>
    </row>
    <row r="26" spans="2:20">
      <c r="B26" s="254"/>
      <c r="C26" s="255"/>
      <c r="D26" s="258"/>
      <c r="E26" s="258"/>
      <c r="F26" s="258"/>
      <c r="H26" s="132"/>
      <c r="I26" s="250" t="str">
        <f t="shared" si="1"/>
        <v>Measure 14</v>
      </c>
      <c r="J26" s="251"/>
      <c r="K26" s="252"/>
      <c r="L26" s="360">
        <f t="shared" si="2"/>
        <v>0</v>
      </c>
      <c r="M26" s="257">
        <v>0</v>
      </c>
      <c r="N26" s="257">
        <v>0</v>
      </c>
      <c r="O26" s="244">
        <f t="shared" si="4"/>
        <v>0</v>
      </c>
      <c r="P26" s="361">
        <f t="shared" si="3"/>
        <v>0</v>
      </c>
      <c r="Q26" s="361">
        <f t="shared" si="3"/>
        <v>0</v>
      </c>
      <c r="R26" s="362">
        <f t="shared" si="3"/>
        <v>0</v>
      </c>
      <c r="T26" s="3535"/>
    </row>
    <row r="27" spans="2:20" ht="13.5" thickBot="1">
      <c r="B27" s="254"/>
      <c r="C27" s="255"/>
      <c r="D27" s="258"/>
      <c r="E27" s="258"/>
      <c r="F27" s="258"/>
      <c r="H27" s="132"/>
      <c r="I27" s="250" t="str">
        <f t="shared" si="1"/>
        <v>Measure 15</v>
      </c>
      <c r="J27" s="251"/>
      <c r="K27" s="252"/>
      <c r="L27" s="360">
        <f t="shared" si="2"/>
        <v>0</v>
      </c>
      <c r="M27" s="257">
        <v>0</v>
      </c>
      <c r="N27" s="257">
        <v>0</v>
      </c>
      <c r="O27" s="244">
        <f t="shared" si="4"/>
        <v>0</v>
      </c>
      <c r="P27" s="361">
        <f t="shared" si="3"/>
        <v>0</v>
      </c>
      <c r="Q27" s="361">
        <f t="shared" si="3"/>
        <v>0</v>
      </c>
      <c r="R27" s="362">
        <f t="shared" si="3"/>
        <v>0</v>
      </c>
      <c r="T27" s="3535"/>
    </row>
    <row r="28" spans="2:20" ht="13.5" thickBot="1">
      <c r="B28" s="262">
        <v>28622</v>
      </c>
      <c r="C28" s="236" t="s">
        <v>145</v>
      </c>
      <c r="D28" s="237">
        <f>SUM(D29:D32)</f>
        <v>0</v>
      </c>
      <c r="E28" s="4468">
        <f>SUM(E29:E32)</f>
        <v>0</v>
      </c>
      <c r="F28" s="238">
        <f>D28+E28</f>
        <v>0</v>
      </c>
      <c r="H28" s="132"/>
      <c r="I28" s="250" t="str">
        <f t="shared" si="1"/>
        <v>Measure 16</v>
      </c>
      <c r="J28" s="251"/>
      <c r="K28" s="252"/>
      <c r="L28" s="360">
        <f t="shared" si="2"/>
        <v>0</v>
      </c>
      <c r="M28" s="257">
        <v>0</v>
      </c>
      <c r="N28" s="257">
        <v>0</v>
      </c>
      <c r="O28" s="244">
        <f t="shared" si="4"/>
        <v>0</v>
      </c>
      <c r="P28" s="361">
        <f t="shared" si="3"/>
        <v>0</v>
      </c>
      <c r="Q28" s="361">
        <f t="shared" si="3"/>
        <v>0</v>
      </c>
      <c r="R28" s="362">
        <f t="shared" si="3"/>
        <v>0</v>
      </c>
      <c r="T28" s="3535"/>
    </row>
    <row r="29" spans="2:20">
      <c r="B29" s="247"/>
      <c r="C29" s="248" t="s">
        <v>427</v>
      </c>
      <c r="D29" s="249">
        <v>0</v>
      </c>
      <c r="E29" s="4447">
        <v>0</v>
      </c>
      <c r="F29" s="249">
        <f t="shared" ref="F29:F37" si="6">SUM(D29:E29)</f>
        <v>0</v>
      </c>
      <c r="H29" s="132"/>
      <c r="I29" s="250" t="str">
        <f t="shared" si="1"/>
        <v>Measure 17</v>
      </c>
      <c r="J29" s="251"/>
      <c r="K29" s="252"/>
      <c r="L29" s="360">
        <f t="shared" si="2"/>
        <v>0</v>
      </c>
      <c r="M29" s="257">
        <v>0</v>
      </c>
      <c r="N29" s="257">
        <v>0</v>
      </c>
      <c r="O29" s="244">
        <f t="shared" si="4"/>
        <v>0</v>
      </c>
      <c r="P29" s="361">
        <f t="shared" ref="P29:R44" si="7">M29*$D79</f>
        <v>0</v>
      </c>
      <c r="Q29" s="361">
        <f t="shared" si="7"/>
        <v>0</v>
      </c>
      <c r="R29" s="362">
        <f t="shared" si="7"/>
        <v>0</v>
      </c>
      <c r="T29" s="3535"/>
    </row>
    <row r="30" spans="2:20">
      <c r="B30" s="254"/>
      <c r="C30" s="255" t="s">
        <v>140</v>
      </c>
      <c r="D30" s="256">
        <v>0</v>
      </c>
      <c r="E30" s="256"/>
      <c r="F30" s="249">
        <f t="shared" si="6"/>
        <v>0</v>
      </c>
      <c r="H30" s="132"/>
      <c r="I30" s="250" t="str">
        <f t="shared" si="1"/>
        <v>Measure 18</v>
      </c>
      <c r="J30" s="251"/>
      <c r="K30" s="252"/>
      <c r="L30" s="360">
        <f t="shared" si="2"/>
        <v>0</v>
      </c>
      <c r="M30" s="257">
        <v>0</v>
      </c>
      <c r="N30" s="257">
        <v>0</v>
      </c>
      <c r="O30" s="244">
        <f t="shared" si="4"/>
        <v>0</v>
      </c>
      <c r="P30" s="361">
        <f t="shared" si="7"/>
        <v>0</v>
      </c>
      <c r="Q30" s="361">
        <f t="shared" si="7"/>
        <v>0</v>
      </c>
      <c r="R30" s="362">
        <f t="shared" si="7"/>
        <v>0</v>
      </c>
      <c r="T30" s="3535"/>
    </row>
    <row r="31" spans="2:20">
      <c r="B31" s="254"/>
      <c r="C31" s="255" t="s">
        <v>141</v>
      </c>
      <c r="D31" s="256">
        <v>0</v>
      </c>
      <c r="E31" s="256"/>
      <c r="F31" s="249">
        <f t="shared" si="6"/>
        <v>0</v>
      </c>
      <c r="H31" s="132"/>
      <c r="I31" s="250" t="str">
        <f t="shared" si="1"/>
        <v>Measure 19</v>
      </c>
      <c r="J31" s="251"/>
      <c r="K31" s="252"/>
      <c r="L31" s="360">
        <f t="shared" si="2"/>
        <v>0</v>
      </c>
      <c r="M31" s="257">
        <v>0</v>
      </c>
      <c r="N31" s="257">
        <v>0</v>
      </c>
      <c r="O31" s="244">
        <f t="shared" si="4"/>
        <v>0</v>
      </c>
      <c r="P31" s="361">
        <f t="shared" si="7"/>
        <v>0</v>
      </c>
      <c r="Q31" s="361">
        <f t="shared" si="7"/>
        <v>0</v>
      </c>
      <c r="R31" s="362">
        <f t="shared" si="7"/>
        <v>0</v>
      </c>
      <c r="T31" s="3535"/>
    </row>
    <row r="32" spans="2:20" ht="13.5" thickBot="1">
      <c r="B32" s="254"/>
      <c r="C32" s="255" t="s">
        <v>142</v>
      </c>
      <c r="D32" s="256">
        <v>0</v>
      </c>
      <c r="E32" s="256"/>
      <c r="F32" s="249">
        <f t="shared" si="6"/>
        <v>0</v>
      </c>
      <c r="H32" s="132"/>
      <c r="I32" s="250" t="str">
        <f t="shared" si="1"/>
        <v>Measure 20</v>
      </c>
      <c r="J32" s="251"/>
      <c r="K32" s="252"/>
      <c r="L32" s="360">
        <f t="shared" si="2"/>
        <v>0</v>
      </c>
      <c r="M32" s="257">
        <v>0</v>
      </c>
      <c r="N32" s="257">
        <v>0</v>
      </c>
      <c r="O32" s="244">
        <f t="shared" si="4"/>
        <v>0</v>
      </c>
      <c r="P32" s="361">
        <f t="shared" si="7"/>
        <v>0</v>
      </c>
      <c r="Q32" s="361">
        <f t="shared" si="7"/>
        <v>0</v>
      </c>
      <c r="R32" s="362">
        <f t="shared" si="7"/>
        <v>0</v>
      </c>
      <c r="T32" s="3535"/>
    </row>
    <row r="33" spans="2:20" ht="13.5" thickBot="1">
      <c r="B33" s="262">
        <v>5000</v>
      </c>
      <c r="C33" s="236" t="s">
        <v>146</v>
      </c>
      <c r="D33" s="237">
        <f>SUM(D34:D37)</f>
        <v>0</v>
      </c>
      <c r="E33" s="4468">
        <f>SUM(E34:E37)</f>
        <v>0</v>
      </c>
      <c r="F33" s="238">
        <f>D33+E33</f>
        <v>0</v>
      </c>
      <c r="H33" s="132"/>
      <c r="I33" s="250" t="str">
        <f t="shared" si="1"/>
        <v>Measure 21</v>
      </c>
      <c r="J33" s="251"/>
      <c r="K33" s="252"/>
      <c r="L33" s="360">
        <f t="shared" si="2"/>
        <v>0</v>
      </c>
      <c r="M33" s="257">
        <v>0</v>
      </c>
      <c r="N33" s="257">
        <v>0</v>
      </c>
      <c r="O33" s="244">
        <f t="shared" si="4"/>
        <v>0</v>
      </c>
      <c r="P33" s="361">
        <f t="shared" si="7"/>
        <v>0</v>
      </c>
      <c r="Q33" s="361">
        <f t="shared" si="7"/>
        <v>0</v>
      </c>
      <c r="R33" s="362">
        <f t="shared" si="7"/>
        <v>0</v>
      </c>
      <c r="T33" s="3535"/>
    </row>
    <row r="34" spans="2:20">
      <c r="B34" s="254"/>
      <c r="C34" s="255" t="s">
        <v>428</v>
      </c>
      <c r="D34" s="256">
        <v>0</v>
      </c>
      <c r="E34" s="4449">
        <v>0</v>
      </c>
      <c r="F34" s="249">
        <f t="shared" si="6"/>
        <v>0</v>
      </c>
      <c r="H34" s="132"/>
      <c r="I34" s="250" t="str">
        <f t="shared" si="1"/>
        <v>Measure 22</v>
      </c>
      <c r="J34" s="251"/>
      <c r="K34" s="252"/>
      <c r="L34" s="360">
        <f t="shared" si="2"/>
        <v>0</v>
      </c>
      <c r="M34" s="257">
        <v>0</v>
      </c>
      <c r="N34" s="257">
        <v>0</v>
      </c>
      <c r="O34" s="244">
        <f t="shared" si="4"/>
        <v>0</v>
      </c>
      <c r="P34" s="361">
        <f t="shared" si="7"/>
        <v>0</v>
      </c>
      <c r="Q34" s="361">
        <f t="shared" si="7"/>
        <v>0</v>
      </c>
      <c r="R34" s="362">
        <f t="shared" si="7"/>
        <v>0</v>
      </c>
      <c r="T34" s="3535"/>
    </row>
    <row r="35" spans="2:20">
      <c r="B35" s="254"/>
      <c r="C35" s="255" t="s">
        <v>140</v>
      </c>
      <c r="D35" s="256">
        <v>0</v>
      </c>
      <c r="E35" s="256"/>
      <c r="F35" s="249">
        <f t="shared" si="6"/>
        <v>0</v>
      </c>
      <c r="H35" s="132"/>
      <c r="I35" s="250" t="str">
        <f t="shared" si="1"/>
        <v>Measure 23</v>
      </c>
      <c r="J35" s="251"/>
      <c r="K35" s="252"/>
      <c r="L35" s="360">
        <f t="shared" si="2"/>
        <v>0</v>
      </c>
      <c r="M35" s="257">
        <v>0</v>
      </c>
      <c r="N35" s="257">
        <v>0</v>
      </c>
      <c r="O35" s="244">
        <f t="shared" si="4"/>
        <v>0</v>
      </c>
      <c r="P35" s="361">
        <f t="shared" si="7"/>
        <v>0</v>
      </c>
      <c r="Q35" s="361">
        <f t="shared" si="7"/>
        <v>0</v>
      </c>
      <c r="R35" s="362">
        <f t="shared" si="7"/>
        <v>0</v>
      </c>
      <c r="T35" s="3535"/>
    </row>
    <row r="36" spans="2:20">
      <c r="B36" s="254"/>
      <c r="C36" s="255" t="s">
        <v>141</v>
      </c>
      <c r="D36" s="256">
        <v>0</v>
      </c>
      <c r="E36" s="256"/>
      <c r="F36" s="249">
        <f t="shared" si="6"/>
        <v>0</v>
      </c>
      <c r="H36" s="132"/>
      <c r="I36" s="250" t="str">
        <f t="shared" si="1"/>
        <v>Measure 24</v>
      </c>
      <c r="J36" s="251"/>
      <c r="K36" s="252"/>
      <c r="L36" s="360">
        <f t="shared" si="2"/>
        <v>0</v>
      </c>
      <c r="M36" s="257">
        <v>0</v>
      </c>
      <c r="N36" s="257">
        <v>0</v>
      </c>
      <c r="O36" s="244">
        <f t="shared" si="4"/>
        <v>0</v>
      </c>
      <c r="P36" s="361">
        <f t="shared" si="7"/>
        <v>0</v>
      </c>
      <c r="Q36" s="361">
        <f t="shared" si="7"/>
        <v>0</v>
      </c>
      <c r="R36" s="362">
        <f t="shared" si="7"/>
        <v>0</v>
      </c>
      <c r="T36" s="3535"/>
    </row>
    <row r="37" spans="2:20" ht="13.5" thickBot="1">
      <c r="B37" s="254"/>
      <c r="C37" s="255" t="s">
        <v>142</v>
      </c>
      <c r="D37" s="256">
        <v>0</v>
      </c>
      <c r="E37" s="256"/>
      <c r="F37" s="249">
        <f t="shared" si="6"/>
        <v>0</v>
      </c>
      <c r="H37" s="132"/>
      <c r="I37" s="250" t="str">
        <f t="shared" si="1"/>
        <v>Measure 25</v>
      </c>
      <c r="J37" s="251"/>
      <c r="K37" s="252"/>
      <c r="L37" s="360">
        <f t="shared" si="2"/>
        <v>0</v>
      </c>
      <c r="M37" s="257">
        <v>0</v>
      </c>
      <c r="N37" s="257">
        <v>0</v>
      </c>
      <c r="O37" s="244">
        <f t="shared" si="4"/>
        <v>0</v>
      </c>
      <c r="P37" s="361">
        <f t="shared" si="7"/>
        <v>0</v>
      </c>
      <c r="Q37" s="361">
        <f t="shared" si="7"/>
        <v>0</v>
      </c>
      <c r="R37" s="362">
        <f t="shared" si="7"/>
        <v>0</v>
      </c>
      <c r="T37" s="3535"/>
    </row>
    <row r="38" spans="2:20" ht="13.5" thickBot="1">
      <c r="B38" s="262">
        <v>4320</v>
      </c>
      <c r="C38" s="236" t="s">
        <v>147</v>
      </c>
      <c r="D38" s="237">
        <f>SUM(D39:D42)</f>
        <v>0</v>
      </c>
      <c r="E38" s="4468">
        <f>SUM(E39:E42)</f>
        <v>0</v>
      </c>
      <c r="F38" s="238">
        <f>D38+E38</f>
        <v>0</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3535"/>
    </row>
    <row r="39" spans="2:20">
      <c r="B39" s="254"/>
      <c r="C39" s="255" t="s">
        <v>602</v>
      </c>
      <c r="D39" s="256">
        <v>0</v>
      </c>
      <c r="E39" s="4449">
        <v>0</v>
      </c>
      <c r="F39" s="249">
        <f t="shared" ref="F39:F52" si="8">SUM(D39:E39)</f>
        <v>0</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3535"/>
    </row>
    <row r="40" spans="2:20">
      <c r="B40" s="254"/>
      <c r="C40" s="255" t="s">
        <v>140</v>
      </c>
      <c r="D40" s="256">
        <v>0</v>
      </c>
      <c r="E40" s="256"/>
      <c r="F40" s="249">
        <f t="shared" si="8"/>
        <v>0</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3535"/>
    </row>
    <row r="41" spans="2:20">
      <c r="B41" s="254"/>
      <c r="C41" s="255" t="s">
        <v>141</v>
      </c>
      <c r="D41" s="256">
        <v>0</v>
      </c>
      <c r="E41" s="256"/>
      <c r="F41" s="249">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3535"/>
    </row>
    <row r="42" spans="2:20" ht="13.5" thickBot="1">
      <c r="B42" s="254"/>
      <c r="C42" s="255" t="s">
        <v>142</v>
      </c>
      <c r="D42" s="256">
        <v>0</v>
      </c>
      <c r="E42" s="256"/>
      <c r="F42" s="249">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3535"/>
    </row>
    <row r="43" spans="2:20" ht="13.5" thickBot="1">
      <c r="B43" s="262">
        <v>1200</v>
      </c>
      <c r="C43" s="236" t="s">
        <v>148</v>
      </c>
      <c r="D43" s="237">
        <f>SUM(D44:D47)</f>
        <v>0</v>
      </c>
      <c r="E43" s="4468">
        <f>SUM(E44:E47)</f>
        <v>0</v>
      </c>
      <c r="F43" s="238">
        <f>D43+E43</f>
        <v>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3535"/>
    </row>
    <row r="44" spans="2:20">
      <c r="B44" s="254"/>
      <c r="C44" s="255" t="s">
        <v>430</v>
      </c>
      <c r="D44" s="256">
        <v>0</v>
      </c>
      <c r="E44" s="4449">
        <v>0</v>
      </c>
      <c r="F44" s="249">
        <f t="shared" si="8"/>
        <v>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3535"/>
    </row>
    <row r="45" spans="2:20">
      <c r="B45" s="254"/>
      <c r="C45" s="255" t="s">
        <v>140</v>
      </c>
      <c r="D45" s="256">
        <v>0</v>
      </c>
      <c r="E45" s="256"/>
      <c r="F45" s="249">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3535"/>
    </row>
    <row r="46" spans="2:20">
      <c r="B46" s="254"/>
      <c r="C46" s="255" t="s">
        <v>141</v>
      </c>
      <c r="D46" s="256">
        <v>0</v>
      </c>
      <c r="E46" s="256"/>
      <c r="F46" s="249">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3535"/>
    </row>
    <row r="47" spans="2:20" ht="13.5" thickBot="1">
      <c r="B47" s="254"/>
      <c r="C47" s="255" t="s">
        <v>142</v>
      </c>
      <c r="D47" s="256">
        <v>0</v>
      </c>
      <c r="E47" s="256"/>
      <c r="F47" s="249">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3535"/>
    </row>
    <row r="48" spans="2:20" ht="13.5" thickBot="1">
      <c r="B48" s="262">
        <v>5000</v>
      </c>
      <c r="C48" s="236" t="s">
        <v>149</v>
      </c>
      <c r="D48" s="237">
        <f>SUM(D49:D52)</f>
        <v>0</v>
      </c>
      <c r="E48" s="4468">
        <f>SUM(E49:E52)</f>
        <v>0</v>
      </c>
      <c r="F48" s="238">
        <f>D48+E48</f>
        <v>0</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3535"/>
    </row>
    <row r="49" spans="2:25">
      <c r="B49" s="254"/>
      <c r="C49" s="255" t="s">
        <v>139</v>
      </c>
      <c r="D49" s="256">
        <v>0</v>
      </c>
      <c r="E49" s="4449">
        <v>0</v>
      </c>
      <c r="F49" s="249">
        <f t="shared" si="8"/>
        <v>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3535"/>
    </row>
    <row r="50" spans="2:25">
      <c r="B50" s="254"/>
      <c r="C50" s="255" t="s">
        <v>140</v>
      </c>
      <c r="D50" s="256">
        <v>0</v>
      </c>
      <c r="E50" s="256"/>
      <c r="F50" s="249">
        <f t="shared" si="8"/>
        <v>0</v>
      </c>
      <c r="I50" s="250" t="str">
        <f t="shared" si="1"/>
        <v>Measure 38</v>
      </c>
      <c r="J50" s="251"/>
      <c r="K50" s="252"/>
      <c r="L50" s="360">
        <f t="shared" si="2"/>
        <v>0</v>
      </c>
      <c r="M50" s="257">
        <v>0</v>
      </c>
      <c r="N50" s="257">
        <v>0</v>
      </c>
      <c r="O50" s="244">
        <f t="shared" si="4"/>
        <v>0</v>
      </c>
      <c r="P50" s="361">
        <f t="shared" si="9"/>
        <v>0</v>
      </c>
      <c r="Q50" s="361">
        <f t="shared" si="9"/>
        <v>0</v>
      </c>
      <c r="R50" s="362">
        <f t="shared" si="9"/>
        <v>0</v>
      </c>
      <c r="T50" s="3535"/>
    </row>
    <row r="51" spans="2:25">
      <c r="B51" s="254"/>
      <c r="C51" s="255" t="s">
        <v>141</v>
      </c>
      <c r="D51" s="256">
        <v>0</v>
      </c>
      <c r="E51" s="256"/>
      <c r="F51" s="249">
        <f t="shared" si="8"/>
        <v>0</v>
      </c>
      <c r="I51" s="250" t="str">
        <f t="shared" si="1"/>
        <v>Measure 39</v>
      </c>
      <c r="J51" s="251"/>
      <c r="K51" s="252"/>
      <c r="L51" s="360">
        <f t="shared" si="2"/>
        <v>0</v>
      </c>
      <c r="M51" s="257">
        <v>0</v>
      </c>
      <c r="N51" s="257">
        <v>0</v>
      </c>
      <c r="O51" s="244">
        <f t="shared" si="4"/>
        <v>0</v>
      </c>
      <c r="P51" s="361">
        <f t="shared" si="9"/>
        <v>0</v>
      </c>
      <c r="Q51" s="361">
        <f t="shared" si="9"/>
        <v>0</v>
      </c>
      <c r="R51" s="362">
        <f t="shared" si="9"/>
        <v>0</v>
      </c>
      <c r="T51" s="3535"/>
    </row>
    <row r="52" spans="2:25" ht="13.5" thickBot="1">
      <c r="B52" s="254"/>
      <c r="C52" s="255" t="s">
        <v>142</v>
      </c>
      <c r="D52" s="256">
        <v>0</v>
      </c>
      <c r="E52" s="256"/>
      <c r="F52" s="249">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3535"/>
    </row>
    <row r="53" spans="2:25" ht="13.5" thickBot="1">
      <c r="B53" s="262">
        <v>425000</v>
      </c>
      <c r="C53" s="236" t="s">
        <v>150</v>
      </c>
      <c r="D53" s="237">
        <f>T105</f>
        <v>0</v>
      </c>
      <c r="E53" s="237">
        <f>U105</f>
        <v>0</v>
      </c>
      <c r="F53" s="238">
        <f>V105</f>
        <v>0</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3535"/>
    </row>
    <row r="54" spans="2:25" ht="13.5" thickBot="1">
      <c r="B54" s="262">
        <v>0</v>
      </c>
      <c r="C54" s="236" t="s">
        <v>152</v>
      </c>
      <c r="D54" s="237">
        <v>0</v>
      </c>
      <c r="E54" s="237">
        <v>0</v>
      </c>
      <c r="F54" s="238">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3535"/>
    </row>
    <row r="55" spans="2:25">
      <c r="B55" s="263">
        <f>B13+B18+B23+B28+B33+B38+B43+B48+B53+B54</f>
        <v>652797</v>
      </c>
      <c r="C55" s="264" t="s">
        <v>153</v>
      </c>
      <c r="D55" s="263">
        <f>D13+D18+D23+D28+D33+D38+D43+D48+D53+D54</f>
        <v>0</v>
      </c>
      <c r="E55" s="263">
        <f>E13+E18+E23+E28+E33+E38+E43+E48+E53+E54</f>
        <v>0</v>
      </c>
      <c r="F55" s="263">
        <f>F13+F18+F23+F28+F33+F38+F43+F48+F53+F54</f>
        <v>0</v>
      </c>
      <c r="P55" s="365">
        <f>SUM(P13:P54)</f>
        <v>0</v>
      </c>
      <c r="Q55" s="365">
        <f>SUM(Q13:Q54)</f>
        <v>0</v>
      </c>
      <c r="R55" s="365">
        <f>SUM(R13:R54)</f>
        <v>0</v>
      </c>
      <c r="T55" s="4894"/>
    </row>
    <row r="56" spans="2:25">
      <c r="C56" s="264"/>
      <c r="D56" s="263"/>
      <c r="E56" s="263"/>
      <c r="F56" s="263"/>
    </row>
    <row r="57" spans="2:25">
      <c r="C57" s="264" t="s">
        <v>154</v>
      </c>
      <c r="D57" s="263">
        <f>D55-D53</f>
        <v>0</v>
      </c>
      <c r="E57" s="263">
        <f>E55-E53</f>
        <v>0</v>
      </c>
      <c r="F57" s="263">
        <f>F55-F53</f>
        <v>0</v>
      </c>
    </row>
    <row r="58" spans="2:25">
      <c r="C58" s="264" t="s">
        <v>155</v>
      </c>
      <c r="D58" s="266">
        <f>D53</f>
        <v>0</v>
      </c>
      <c r="E58" s="266">
        <f>E53</f>
        <v>0</v>
      </c>
      <c r="F58" s="266">
        <f>F53</f>
        <v>0</v>
      </c>
      <c r="G58" s="319" t="e">
        <f>F58/(F57+F58)</f>
        <v>#DIV/0!</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4519" t="s">
        <v>603</v>
      </c>
      <c r="D63" s="3574">
        <v>103</v>
      </c>
      <c r="E63" s="3574" t="s">
        <v>559</v>
      </c>
      <c r="F63" s="3574" t="s">
        <v>186</v>
      </c>
      <c r="G63" s="3594">
        <v>692</v>
      </c>
      <c r="H63" s="3594">
        <v>250</v>
      </c>
      <c r="I63" s="4151">
        <v>0</v>
      </c>
      <c r="J63" s="3574">
        <v>18</v>
      </c>
      <c r="K63" s="3574" t="s">
        <v>560</v>
      </c>
      <c r="L63" s="3574"/>
      <c r="M63" s="278" t="e">
        <f>Q63/O63</f>
        <v>#DIV/0!</v>
      </c>
      <c r="N63" s="278" t="e">
        <f>((L63/S63)+R63)/P63</f>
        <v>#DIV/0!</v>
      </c>
      <c r="O63" s="3548">
        <f t="shared" ref="O63:O104" si="10">(($I63*$F$57)+$V63)/$S63</f>
        <v>0</v>
      </c>
      <c r="P63" s="3548">
        <f t="shared" ref="P63:P104" si="11">(($I63*$F$57)+($G63*$O13))/$S63</f>
        <v>0</v>
      </c>
      <c r="Q63" s="3548">
        <f>IF(K63=0, 0, (HLOOKUP(K63,'[3]G-CESTD'!$A$5:$G$35,J63+1,FALSE)*R13))</f>
        <v>0</v>
      </c>
      <c r="R63" s="3548">
        <f>IF(K63=0, 0, (HLOOKUP(K63,'[3]G-CESTD'!$A$5:$G$35,J63+1,FALSE)*R13))</f>
        <v>0</v>
      </c>
      <c r="S63" s="3592">
        <v>1.0780000000000001</v>
      </c>
      <c r="T63" s="4150">
        <f t="shared" ref="T63:U104" si="12">M13*$H63</f>
        <v>0</v>
      </c>
      <c r="U63" s="4150">
        <f t="shared" si="12"/>
        <v>0</v>
      </c>
      <c r="V63" s="3059">
        <f>T63+U63</f>
        <v>0</v>
      </c>
      <c r="W63" s="322" t="e">
        <f t="shared" ref="W63:W81" si="13">V63/(V63+(I63*F$57))</f>
        <v>#DIV/0!</v>
      </c>
      <c r="X63" s="322" t="e">
        <f t="shared" ref="X63:X81" si="14">(I63*((F$18*1.63)+F$28))/(V63+(I63*F$57))</f>
        <v>#DIV/0!</v>
      </c>
      <c r="Y63" s="322" t="e">
        <f t="shared" ref="Y63:Y81" si="15">(I63*F$38)/(V63+(I63*F$57))</f>
        <v>#DIV/0!</v>
      </c>
    </row>
    <row r="64" spans="2:25">
      <c r="B64" s="282"/>
      <c r="C64" s="4520" t="s">
        <v>604</v>
      </c>
      <c r="D64" s="3593"/>
      <c r="E64" s="3593" t="s">
        <v>559</v>
      </c>
      <c r="F64" s="3574" t="s">
        <v>186</v>
      </c>
      <c r="G64" s="3594"/>
      <c r="H64" s="3594"/>
      <c r="I64" s="4156"/>
      <c r="J64" s="3574"/>
      <c r="K64" s="3574"/>
      <c r="L64" s="3574"/>
      <c r="M64" s="278" t="e">
        <f t="shared" ref="M64:M104" si="16">Q64/O64</f>
        <v>#DIV/0!</v>
      </c>
      <c r="N64" s="278" t="e">
        <f t="shared" ref="N64:N104" si="17">((L64/S64)+R64)/P64</f>
        <v>#DIV/0!</v>
      </c>
      <c r="O64" s="3548">
        <f t="shared" si="10"/>
        <v>0</v>
      </c>
      <c r="P64" s="3548">
        <f t="shared" si="11"/>
        <v>0</v>
      </c>
      <c r="Q64" s="3548">
        <f>IF(K64=0, 0, (HLOOKUP(K64,'[3]G-CESTD'!$A$5:$G$35,J64+1,FALSE)*R14))</f>
        <v>0</v>
      </c>
      <c r="R64" s="3548">
        <f>IF(K64=0, 0, (HLOOKUP(K64,'[3]G-CESTD'!$A$5:$G$35,J64+1,FALSE)*R14))</f>
        <v>0</v>
      </c>
      <c r="S64" s="3592">
        <v>1.0780000000000001</v>
      </c>
      <c r="T64" s="4150">
        <f t="shared" si="12"/>
        <v>0</v>
      </c>
      <c r="U64" s="4150">
        <f t="shared" si="12"/>
        <v>0</v>
      </c>
      <c r="V64" s="4149">
        <f t="shared" ref="V64:V72" si="18">T64+U64</f>
        <v>0</v>
      </c>
      <c r="W64" s="322" t="e">
        <f t="shared" si="13"/>
        <v>#DIV/0!</v>
      </c>
      <c r="X64" s="322" t="e">
        <f t="shared" si="14"/>
        <v>#DIV/0!</v>
      </c>
      <c r="Y64" s="322" t="e">
        <f t="shared" si="15"/>
        <v>#DIV/0!</v>
      </c>
    </row>
    <row r="65" spans="2:25">
      <c r="B65" s="282"/>
      <c r="C65" s="4520" t="s">
        <v>605</v>
      </c>
      <c r="D65" s="3593"/>
      <c r="E65" s="3593" t="s">
        <v>559</v>
      </c>
      <c r="F65" s="3574" t="s">
        <v>186</v>
      </c>
      <c r="G65" s="3594"/>
      <c r="H65" s="3594"/>
      <c r="I65" s="4156"/>
      <c r="J65" s="3574"/>
      <c r="K65" s="3574"/>
      <c r="L65" s="3574"/>
      <c r="M65" s="278" t="e">
        <f t="shared" si="16"/>
        <v>#DIV/0!</v>
      </c>
      <c r="N65" s="278" t="e">
        <f t="shared" si="17"/>
        <v>#DIV/0!</v>
      </c>
      <c r="O65" s="3548">
        <f t="shared" si="10"/>
        <v>0</v>
      </c>
      <c r="P65" s="3548">
        <f t="shared" si="11"/>
        <v>0</v>
      </c>
      <c r="Q65" s="3548">
        <f>IF(K65=0, 0, (HLOOKUP(K65,'[3]G-CESTD'!$A$5:$G$35,J65+1,FALSE)*R15))</f>
        <v>0</v>
      </c>
      <c r="R65" s="3548">
        <f>IF(K65=0, 0, (HLOOKUP(K65,'[3]G-CESTD'!$A$5:$G$35,J65+1,FALSE)*R15))</f>
        <v>0</v>
      </c>
      <c r="S65" s="3592">
        <v>1.0780000000000001</v>
      </c>
      <c r="T65" s="4150">
        <f t="shared" si="12"/>
        <v>0</v>
      </c>
      <c r="U65" s="4150">
        <f t="shared" si="12"/>
        <v>0</v>
      </c>
      <c r="V65" s="4149">
        <f t="shared" si="18"/>
        <v>0</v>
      </c>
      <c r="W65" s="322" t="e">
        <f t="shared" si="13"/>
        <v>#DIV/0!</v>
      </c>
      <c r="X65" s="322" t="e">
        <f t="shared" si="14"/>
        <v>#DIV/0!</v>
      </c>
      <c r="Y65" s="322" t="e">
        <f t="shared" si="15"/>
        <v>#DIV/0!</v>
      </c>
    </row>
    <row r="66" spans="2:25">
      <c r="B66" s="282"/>
      <c r="C66" s="4520" t="s">
        <v>606</v>
      </c>
      <c r="D66" s="3593"/>
      <c r="E66" s="3593" t="s">
        <v>559</v>
      </c>
      <c r="F66" s="3574" t="s">
        <v>186</v>
      </c>
      <c r="G66" s="3594"/>
      <c r="H66" s="3594"/>
      <c r="I66" s="4156"/>
      <c r="J66" s="3574"/>
      <c r="K66" s="3574"/>
      <c r="L66" s="3574"/>
      <c r="M66" s="278" t="e">
        <f t="shared" si="16"/>
        <v>#DIV/0!</v>
      </c>
      <c r="N66" s="278" t="e">
        <f t="shared" si="17"/>
        <v>#DIV/0!</v>
      </c>
      <c r="O66" s="3548">
        <f t="shared" si="10"/>
        <v>0</v>
      </c>
      <c r="P66" s="3548">
        <f t="shared" si="11"/>
        <v>0</v>
      </c>
      <c r="Q66" s="3548">
        <f>IF(K66=0, 0, (HLOOKUP(K66,'[3]G-CESTD'!$A$5:$G$35,J66+1,FALSE)*R16))</f>
        <v>0</v>
      </c>
      <c r="R66" s="3548">
        <f>IF(K66=0, 0, (HLOOKUP(K66,'[3]G-CESTD'!$A$5:$G$35,J66+1,FALSE)*R16))</f>
        <v>0</v>
      </c>
      <c r="S66" s="3592">
        <v>1.0780000000000001</v>
      </c>
      <c r="T66" s="4150">
        <f t="shared" si="12"/>
        <v>0</v>
      </c>
      <c r="U66" s="4150">
        <f t="shared" si="12"/>
        <v>0</v>
      </c>
      <c r="V66" s="4149">
        <f t="shared" si="18"/>
        <v>0</v>
      </c>
      <c r="W66" s="322" t="e">
        <f t="shared" si="13"/>
        <v>#DIV/0!</v>
      </c>
      <c r="X66" s="322" t="e">
        <f t="shared" si="14"/>
        <v>#DIV/0!</v>
      </c>
      <c r="Y66" s="322" t="e">
        <f t="shared" si="15"/>
        <v>#DIV/0!</v>
      </c>
    </row>
    <row r="67" spans="2:25">
      <c r="B67" s="282"/>
      <c r="C67" s="4520" t="s">
        <v>607</v>
      </c>
      <c r="D67" s="3593"/>
      <c r="E67" s="3593" t="s">
        <v>559</v>
      </c>
      <c r="F67" s="3574" t="s">
        <v>186</v>
      </c>
      <c r="G67" s="3594"/>
      <c r="H67" s="3594"/>
      <c r="I67" s="4156"/>
      <c r="J67" s="3574"/>
      <c r="K67" s="3574"/>
      <c r="L67" s="3574"/>
      <c r="M67" s="278" t="e">
        <f t="shared" si="16"/>
        <v>#DIV/0!</v>
      </c>
      <c r="N67" s="278" t="e">
        <f t="shared" si="17"/>
        <v>#DIV/0!</v>
      </c>
      <c r="O67" s="3548">
        <f t="shared" si="10"/>
        <v>0</v>
      </c>
      <c r="P67" s="3548">
        <f t="shared" si="11"/>
        <v>0</v>
      </c>
      <c r="Q67" s="3548">
        <f>IF(K67=0, 0, (HLOOKUP(K67,'[3]G-CESTD'!$A$5:$G$35,J67+1,FALSE)*R17))</f>
        <v>0</v>
      </c>
      <c r="R67" s="3548">
        <f>IF(K67=0, 0, (HLOOKUP(K67,'[3]G-CESTD'!$A$5:$G$35,J67+1,FALSE)*R17))</f>
        <v>0</v>
      </c>
      <c r="S67" s="3592">
        <v>1.0780000000000001</v>
      </c>
      <c r="T67" s="4150">
        <f t="shared" si="12"/>
        <v>0</v>
      </c>
      <c r="U67" s="4150">
        <f t="shared" si="12"/>
        <v>0</v>
      </c>
      <c r="V67" s="4149">
        <f t="shared" si="18"/>
        <v>0</v>
      </c>
      <c r="W67" s="322" t="e">
        <f t="shared" si="13"/>
        <v>#DIV/0!</v>
      </c>
      <c r="X67" s="322" t="e">
        <f t="shared" si="14"/>
        <v>#DIV/0!</v>
      </c>
      <c r="Y67" s="322" t="e">
        <f t="shared" si="15"/>
        <v>#DIV/0!</v>
      </c>
    </row>
    <row r="68" spans="2:25">
      <c r="B68" s="282"/>
      <c r="C68" s="4527" t="s">
        <v>608</v>
      </c>
      <c r="D68" s="3593"/>
      <c r="E68" s="3593" t="s">
        <v>559</v>
      </c>
      <c r="F68" s="3574" t="s">
        <v>186</v>
      </c>
      <c r="G68" s="3594"/>
      <c r="H68" s="3594"/>
      <c r="I68" s="4156"/>
      <c r="J68" s="3574"/>
      <c r="K68" s="3574"/>
      <c r="L68" s="3574"/>
      <c r="M68" s="278" t="e">
        <f t="shared" si="16"/>
        <v>#DIV/0!</v>
      </c>
      <c r="N68" s="278" t="e">
        <f t="shared" si="17"/>
        <v>#DIV/0!</v>
      </c>
      <c r="O68" s="3548">
        <f t="shared" si="10"/>
        <v>0</v>
      </c>
      <c r="P68" s="3548">
        <f t="shared" si="11"/>
        <v>0</v>
      </c>
      <c r="Q68" s="3548">
        <f>IF(K68=0, 0, (HLOOKUP(K68,'[3]G-CESTD'!$A$5:$G$35,J68+1,FALSE)*R18))</f>
        <v>0</v>
      </c>
      <c r="R68" s="3548">
        <f>IF(K68=0, 0, (HLOOKUP(K68,'[3]G-CESTD'!$A$5:$G$35,J68+1,FALSE)*R18))</f>
        <v>0</v>
      </c>
      <c r="S68" s="3592">
        <v>1.0780000000000001</v>
      </c>
      <c r="T68" s="4150">
        <f t="shared" si="12"/>
        <v>0</v>
      </c>
      <c r="U68" s="4150">
        <f t="shared" si="12"/>
        <v>0</v>
      </c>
      <c r="V68" s="4149">
        <f t="shared" si="18"/>
        <v>0</v>
      </c>
      <c r="W68" s="322" t="e">
        <f t="shared" si="13"/>
        <v>#DIV/0!</v>
      </c>
      <c r="X68" s="322" t="e">
        <f t="shared" si="14"/>
        <v>#DIV/0!</v>
      </c>
      <c r="Y68" s="322" t="e">
        <f t="shared" si="15"/>
        <v>#DIV/0!</v>
      </c>
    </row>
    <row r="69" spans="2:25">
      <c r="B69" s="282"/>
      <c r="C69" s="4527" t="s">
        <v>609</v>
      </c>
      <c r="D69" s="3593"/>
      <c r="E69" s="3593" t="s">
        <v>559</v>
      </c>
      <c r="F69" s="3574" t="s">
        <v>186</v>
      </c>
      <c r="G69" s="3594"/>
      <c r="H69" s="3594"/>
      <c r="I69" s="4156"/>
      <c r="J69" s="3574"/>
      <c r="K69" s="3574"/>
      <c r="L69" s="3574"/>
      <c r="M69" s="278" t="e">
        <f t="shared" si="16"/>
        <v>#DIV/0!</v>
      </c>
      <c r="N69" s="278" t="e">
        <f t="shared" si="17"/>
        <v>#DIV/0!</v>
      </c>
      <c r="O69" s="3548">
        <f t="shared" si="10"/>
        <v>0</v>
      </c>
      <c r="P69" s="3548">
        <f t="shared" si="11"/>
        <v>0</v>
      </c>
      <c r="Q69" s="3548">
        <f>IF(K69=0, 0, (HLOOKUP(K69,'[3]G-CESTD'!$A$5:$G$35,J69+1,FALSE)*R19))</f>
        <v>0</v>
      </c>
      <c r="R69" s="3548">
        <f>IF(K69=0, 0, (HLOOKUP(K69,'[3]G-CESTD'!$A$5:$G$35,J69+1,FALSE)*R19))</f>
        <v>0</v>
      </c>
      <c r="S69" s="3592">
        <v>1.0780000000000001</v>
      </c>
      <c r="T69" s="4150">
        <f t="shared" si="12"/>
        <v>0</v>
      </c>
      <c r="U69" s="4150">
        <f t="shared" si="12"/>
        <v>0</v>
      </c>
      <c r="V69" s="4149">
        <f t="shared" si="18"/>
        <v>0</v>
      </c>
      <c r="W69" s="322" t="e">
        <f t="shared" si="13"/>
        <v>#DIV/0!</v>
      </c>
      <c r="X69" s="322" t="e">
        <f t="shared" si="14"/>
        <v>#DIV/0!</v>
      </c>
      <c r="Y69" s="322" t="e">
        <f t="shared" si="15"/>
        <v>#DIV/0!</v>
      </c>
    </row>
    <row r="70" spans="2:25">
      <c r="B70" s="282"/>
      <c r="C70" s="4520" t="s">
        <v>610</v>
      </c>
      <c r="D70" s="3593">
        <v>83</v>
      </c>
      <c r="E70" s="3593" t="s">
        <v>559</v>
      </c>
      <c r="F70" s="3574" t="s">
        <v>186</v>
      </c>
      <c r="G70" s="3594">
        <v>685</v>
      </c>
      <c r="H70" s="3594">
        <v>350</v>
      </c>
      <c r="I70" s="4151">
        <v>0</v>
      </c>
      <c r="J70" s="3574">
        <v>18</v>
      </c>
      <c r="K70" s="3574" t="s">
        <v>560</v>
      </c>
      <c r="L70" s="3574"/>
      <c r="M70" s="278" t="e">
        <f t="shared" si="16"/>
        <v>#DIV/0!</v>
      </c>
      <c r="N70" s="278" t="e">
        <f t="shared" si="17"/>
        <v>#DIV/0!</v>
      </c>
      <c r="O70" s="3548">
        <f t="shared" si="10"/>
        <v>0</v>
      </c>
      <c r="P70" s="3548">
        <f t="shared" si="11"/>
        <v>0</v>
      </c>
      <c r="Q70" s="3548">
        <f>IF(K70=0, 0, (HLOOKUP(K70,'[3]G-CESTD'!$A$5:$G$35,J70+1,FALSE)*R20))</f>
        <v>0</v>
      </c>
      <c r="R70" s="3548">
        <f>IF(K70=0, 0, (HLOOKUP(K70,'[3]G-CESTD'!$A$5:$G$35,J70+1,FALSE)*R20))</f>
        <v>0</v>
      </c>
      <c r="S70" s="3592">
        <v>1.0780000000000001</v>
      </c>
      <c r="T70" s="4150">
        <f t="shared" si="12"/>
        <v>0</v>
      </c>
      <c r="U70" s="4150">
        <f t="shared" si="12"/>
        <v>0</v>
      </c>
      <c r="V70" s="4149">
        <f t="shared" si="18"/>
        <v>0</v>
      </c>
      <c r="W70" s="322" t="e">
        <f t="shared" si="13"/>
        <v>#DIV/0!</v>
      </c>
      <c r="X70" s="322" t="e">
        <f t="shared" si="14"/>
        <v>#DIV/0!</v>
      </c>
      <c r="Y70" s="322" t="e">
        <f t="shared" si="15"/>
        <v>#DIV/0!</v>
      </c>
    </row>
    <row r="71" spans="2:25">
      <c r="B71" s="282"/>
      <c r="C71" s="4520" t="s">
        <v>611</v>
      </c>
      <c r="D71" s="3593"/>
      <c r="E71" s="3593" t="s">
        <v>559</v>
      </c>
      <c r="F71" s="3574" t="s">
        <v>186</v>
      </c>
      <c r="G71" s="3594">
        <v>350</v>
      </c>
      <c r="H71" s="3594">
        <v>350</v>
      </c>
      <c r="I71" s="4156"/>
      <c r="J71" s="3574"/>
      <c r="K71" s="3574"/>
      <c r="L71" s="3574"/>
      <c r="M71" s="278" t="e">
        <f t="shared" si="16"/>
        <v>#DIV/0!</v>
      </c>
      <c r="N71" s="278" t="e">
        <f t="shared" si="17"/>
        <v>#DIV/0!</v>
      </c>
      <c r="O71" s="3548">
        <f t="shared" si="10"/>
        <v>0</v>
      </c>
      <c r="P71" s="3548">
        <f t="shared" si="11"/>
        <v>0</v>
      </c>
      <c r="Q71" s="3548">
        <f>IF(K71=0, 0, (HLOOKUP(K71,'[3]G-CESTD'!$A$5:$G$35,J71+1,FALSE)*R21))</f>
        <v>0</v>
      </c>
      <c r="R71" s="3548">
        <f>IF(K71=0, 0, (HLOOKUP(K71,'[3]G-CESTD'!$A$5:$G$35,J71+1,FALSE)*R21))</f>
        <v>0</v>
      </c>
      <c r="S71" s="3592">
        <v>1.0780000000000001</v>
      </c>
      <c r="T71" s="4150">
        <f t="shared" si="12"/>
        <v>0</v>
      </c>
      <c r="U71" s="4150">
        <f t="shared" si="12"/>
        <v>0</v>
      </c>
      <c r="V71" s="4149">
        <f t="shared" si="18"/>
        <v>0</v>
      </c>
      <c r="W71" s="322" t="e">
        <f t="shared" si="13"/>
        <v>#DIV/0!</v>
      </c>
      <c r="X71" s="322" t="e">
        <f t="shared" si="14"/>
        <v>#DIV/0!</v>
      </c>
      <c r="Y71" s="322" t="e">
        <f t="shared" si="15"/>
        <v>#DIV/0!</v>
      </c>
    </row>
    <row r="72" spans="2:25">
      <c r="B72" s="282"/>
      <c r="C72" s="4520" t="s">
        <v>612</v>
      </c>
      <c r="D72" s="3593"/>
      <c r="E72" s="3593" t="s">
        <v>559</v>
      </c>
      <c r="F72" s="3574" t="s">
        <v>186</v>
      </c>
      <c r="G72" s="3594">
        <v>15</v>
      </c>
      <c r="H72" s="3594">
        <v>15</v>
      </c>
      <c r="I72" s="4156"/>
      <c r="J72" s="3574"/>
      <c r="K72" s="3574"/>
      <c r="L72" s="3574"/>
      <c r="M72" s="278" t="e">
        <f t="shared" si="16"/>
        <v>#DIV/0!</v>
      </c>
      <c r="N72" s="278" t="e">
        <f t="shared" si="17"/>
        <v>#DIV/0!</v>
      </c>
      <c r="O72" s="3548">
        <f t="shared" si="10"/>
        <v>0</v>
      </c>
      <c r="P72" s="3548">
        <f t="shared" si="11"/>
        <v>0</v>
      </c>
      <c r="Q72" s="3548">
        <f>IF(K72=0, 0, (HLOOKUP(K72,'[3]G-CESTD'!$A$5:$G$35,J72+1,FALSE)*R22))</f>
        <v>0</v>
      </c>
      <c r="R72" s="3548">
        <f>IF(K72=0, 0, (HLOOKUP(K72,'[3]G-CESTD'!$A$5:$G$35,J72+1,FALSE)*R22))</f>
        <v>0</v>
      </c>
      <c r="S72" s="3592">
        <v>1.0780000000000001</v>
      </c>
      <c r="T72" s="4150">
        <f t="shared" si="12"/>
        <v>0</v>
      </c>
      <c r="U72" s="4150">
        <f t="shared" si="12"/>
        <v>0</v>
      </c>
      <c r="V72" s="4149">
        <f t="shared" si="18"/>
        <v>0</v>
      </c>
      <c r="W72" s="322" t="e">
        <f t="shared" si="13"/>
        <v>#DIV/0!</v>
      </c>
      <c r="X72" s="322" t="e">
        <f t="shared" si="14"/>
        <v>#DIV/0!</v>
      </c>
      <c r="Y72" s="322" t="e">
        <f t="shared" si="15"/>
        <v>#DIV/0!</v>
      </c>
    </row>
    <row r="73" spans="2:25">
      <c r="B73" s="282"/>
      <c r="C73" s="4603" t="s">
        <v>615</v>
      </c>
      <c r="D73" s="4537">
        <v>13</v>
      </c>
      <c r="E73" s="3593" t="s">
        <v>559</v>
      </c>
      <c r="F73" s="3593" t="s">
        <v>186</v>
      </c>
      <c r="G73" s="4467">
        <v>17.3</v>
      </c>
      <c r="H73" s="4467">
        <v>10</v>
      </c>
      <c r="I73" s="4151">
        <v>1</v>
      </c>
      <c r="J73" s="4537">
        <v>10</v>
      </c>
      <c r="K73" s="4537" t="s">
        <v>233</v>
      </c>
      <c r="L73" s="4553">
        <v>78316</v>
      </c>
      <c r="M73" s="278" t="e">
        <f t="shared" si="16"/>
        <v>#DIV/0!</v>
      </c>
      <c r="N73" s="278" t="e">
        <f t="shared" si="17"/>
        <v>#DIV/0!</v>
      </c>
      <c r="O73" s="3548">
        <f t="shared" si="10"/>
        <v>0</v>
      </c>
      <c r="P73" s="3548">
        <f t="shared" si="11"/>
        <v>0</v>
      </c>
      <c r="Q73" s="3548">
        <f>IF(K73=0, 0, (HLOOKUP(K73,'[3]G-CESTD'!$A$5:$G$35,J73+1,FALSE)*R23))</f>
        <v>0</v>
      </c>
      <c r="R73" s="3548">
        <f>IF(K73=0, 0, (HLOOKUP(K73,'[3]G-CESTD'!$A$5:$G$35,J73+1,FALSE)*R23))</f>
        <v>0</v>
      </c>
      <c r="S73" s="3592">
        <v>1.0780000000000001</v>
      </c>
      <c r="T73" s="4150">
        <f t="shared" si="12"/>
        <v>0</v>
      </c>
      <c r="U73" s="4150">
        <f t="shared" si="12"/>
        <v>0</v>
      </c>
      <c r="V73" s="280">
        <f t="shared" ref="V73:V104" si="19">O23*$H73</f>
        <v>0</v>
      </c>
      <c r="W73" s="322" t="e">
        <f t="shared" si="13"/>
        <v>#DIV/0!</v>
      </c>
      <c r="X73" s="322" t="e">
        <f t="shared" si="14"/>
        <v>#DIV/0!</v>
      </c>
      <c r="Y73" s="322" t="e">
        <f t="shared" si="15"/>
        <v>#DIV/0!</v>
      </c>
    </row>
    <row r="74" spans="2:25">
      <c r="B74" s="282"/>
      <c r="C74" s="4520"/>
      <c r="D74" s="3593">
        <v>0</v>
      </c>
      <c r="E74" s="3593" t="s">
        <v>559</v>
      </c>
      <c r="F74" s="3593" t="s">
        <v>186</v>
      </c>
      <c r="G74" s="3594"/>
      <c r="H74" s="3594"/>
      <c r="I74" s="4156"/>
      <c r="J74" s="3574"/>
      <c r="K74" s="3574"/>
      <c r="L74" s="3574"/>
      <c r="M74" s="278" t="e">
        <f t="shared" si="16"/>
        <v>#DIV/0!</v>
      </c>
      <c r="N74" s="278" t="e">
        <f t="shared" si="17"/>
        <v>#DIV/0!</v>
      </c>
      <c r="O74" s="3548">
        <f t="shared" si="10"/>
        <v>0</v>
      </c>
      <c r="P74" s="3548">
        <f t="shared" si="11"/>
        <v>0</v>
      </c>
      <c r="Q74" s="3548">
        <f>IF(K74=0, 0, (HLOOKUP(K74,'[3]G-CESTDWO'!$A$5:$G$35,J74+1,FALSE)*R24))</f>
        <v>0</v>
      </c>
      <c r="R74" s="3548">
        <f>IF(K74=0, 0, (HLOOKUP(K74,'[3]G-CESTD'!$A$5:$G$35,J74+1,FALSE)*R24))</f>
        <v>0</v>
      </c>
      <c r="S74" s="3592">
        <v>1.0780000000000001</v>
      </c>
      <c r="T74" s="4150">
        <f t="shared" si="12"/>
        <v>0</v>
      </c>
      <c r="U74" s="4150">
        <f t="shared" si="12"/>
        <v>0</v>
      </c>
      <c r="V74" s="280">
        <f t="shared" si="19"/>
        <v>0</v>
      </c>
      <c r="W74" s="322" t="e">
        <f t="shared" si="13"/>
        <v>#DIV/0!</v>
      </c>
      <c r="X74" s="322" t="e">
        <f t="shared" si="14"/>
        <v>#DIV/0!</v>
      </c>
      <c r="Y74" s="322" t="e">
        <f t="shared" si="15"/>
        <v>#DIV/0!</v>
      </c>
    </row>
    <row r="75" spans="2:25">
      <c r="B75" s="282"/>
      <c r="C75" s="3593" t="s">
        <v>197</v>
      </c>
      <c r="D75" s="3574">
        <v>0</v>
      </c>
      <c r="E75" s="3593" t="s">
        <v>559</v>
      </c>
      <c r="F75" s="3593" t="s">
        <v>186</v>
      </c>
      <c r="G75" s="3594"/>
      <c r="H75" s="3594"/>
      <c r="I75" s="4156"/>
      <c r="J75" s="3574"/>
      <c r="K75" s="3574"/>
      <c r="L75" s="3574"/>
      <c r="M75" s="278" t="e">
        <f t="shared" si="16"/>
        <v>#DIV/0!</v>
      </c>
      <c r="N75" s="278" t="e">
        <f t="shared" si="17"/>
        <v>#DIV/0!</v>
      </c>
      <c r="O75" s="3548">
        <f t="shared" si="10"/>
        <v>0</v>
      </c>
      <c r="P75" s="3548">
        <f t="shared" si="11"/>
        <v>0</v>
      </c>
      <c r="Q75" s="3548">
        <f>IF(K75=0, 0, (HLOOKUP(K75,'[3]G-CESTDWO'!$A$5:$G$35,J75+1,FALSE)*R25))</f>
        <v>0</v>
      </c>
      <c r="R75" s="3548">
        <f>IF(K75=0, 0, (HLOOKUP(K75,'[3]G-CESTD'!$A$5:$G$35,J75+1,FALSE)*R25))</f>
        <v>0</v>
      </c>
      <c r="S75" s="3592">
        <v>1.0780000000000001</v>
      </c>
      <c r="T75" s="4150">
        <f t="shared" si="12"/>
        <v>0</v>
      </c>
      <c r="U75" s="4150">
        <f t="shared" si="12"/>
        <v>0</v>
      </c>
      <c r="V75" s="280">
        <f t="shared" si="19"/>
        <v>0</v>
      </c>
      <c r="W75" s="322" t="e">
        <f t="shared" si="13"/>
        <v>#DIV/0!</v>
      </c>
      <c r="X75" s="322" t="e">
        <f t="shared" si="14"/>
        <v>#DIV/0!</v>
      </c>
      <c r="Y75" s="322" t="e">
        <f t="shared" si="15"/>
        <v>#DIV/0!</v>
      </c>
    </row>
    <row r="76" spans="2:25">
      <c r="B76" s="282"/>
      <c r="C76" s="3593" t="s">
        <v>198</v>
      </c>
      <c r="D76" s="3593">
        <v>0</v>
      </c>
      <c r="E76" s="3593" t="s">
        <v>559</v>
      </c>
      <c r="F76" s="3593" t="s">
        <v>186</v>
      </c>
      <c r="G76" s="3594"/>
      <c r="H76" s="3594"/>
      <c r="I76" s="4156"/>
      <c r="J76" s="3574"/>
      <c r="K76" s="3574"/>
      <c r="L76" s="3574"/>
      <c r="M76" s="278" t="e">
        <f t="shared" si="16"/>
        <v>#DIV/0!</v>
      </c>
      <c r="N76" s="278" t="e">
        <f t="shared" si="17"/>
        <v>#DIV/0!</v>
      </c>
      <c r="O76" s="3548">
        <f t="shared" si="10"/>
        <v>0</v>
      </c>
      <c r="P76" s="3548">
        <f t="shared" si="11"/>
        <v>0</v>
      </c>
      <c r="Q76" s="3548">
        <f>IF(K76=0, 0, (HLOOKUP(K76,'[3]G-CESTDWO'!$A$5:$G$35,J76+1,FALSE)*R26))</f>
        <v>0</v>
      </c>
      <c r="R76" s="3548">
        <f>IF(K76=0, 0, (HLOOKUP(K76,'[3]G-CESTD'!$A$5:$G$35,J76+1,FALSE)*R26))</f>
        <v>0</v>
      </c>
      <c r="S76" s="3592">
        <v>1.0780000000000001</v>
      </c>
      <c r="T76" s="4150">
        <f t="shared" si="12"/>
        <v>0</v>
      </c>
      <c r="U76" s="4150">
        <f t="shared" si="12"/>
        <v>0</v>
      </c>
      <c r="V76" s="280">
        <f t="shared" si="19"/>
        <v>0</v>
      </c>
      <c r="W76" s="322" t="e">
        <f t="shared" si="13"/>
        <v>#DIV/0!</v>
      </c>
      <c r="X76" s="322" t="e">
        <f t="shared" si="14"/>
        <v>#DIV/0!</v>
      </c>
      <c r="Y76" s="322" t="e">
        <f t="shared" si="15"/>
        <v>#DIV/0!</v>
      </c>
    </row>
    <row r="77" spans="2:25">
      <c r="B77" s="282"/>
      <c r="C77" s="3593" t="s">
        <v>199</v>
      </c>
      <c r="D77" s="3574">
        <v>0</v>
      </c>
      <c r="E77" s="3593" t="s">
        <v>559</v>
      </c>
      <c r="F77" s="3593" t="s">
        <v>186</v>
      </c>
      <c r="G77" s="3594"/>
      <c r="H77" s="3594"/>
      <c r="I77" s="4156"/>
      <c r="J77" s="3574"/>
      <c r="K77" s="3574"/>
      <c r="L77" s="3574"/>
      <c r="M77" s="278" t="e">
        <f t="shared" si="16"/>
        <v>#DIV/0!</v>
      </c>
      <c r="N77" s="278" t="e">
        <f t="shared" si="17"/>
        <v>#DIV/0!</v>
      </c>
      <c r="O77" s="3548">
        <f t="shared" si="10"/>
        <v>0</v>
      </c>
      <c r="P77" s="3548">
        <f t="shared" si="11"/>
        <v>0</v>
      </c>
      <c r="Q77" s="3548">
        <f>IF(K77=0, 0, (HLOOKUP(K77,'[3]G-CESTDWO'!$A$5:$G$35,J77+1,FALSE)*R27))</f>
        <v>0</v>
      </c>
      <c r="R77" s="3548">
        <f>IF(K77=0, 0, (HLOOKUP(K77,'[3]G-CESTD'!$A$5:$G$35,J77+1,FALSE)*R27))</f>
        <v>0</v>
      </c>
      <c r="S77" s="3592">
        <v>1.0780000000000001</v>
      </c>
      <c r="T77" s="4150">
        <f t="shared" si="12"/>
        <v>0</v>
      </c>
      <c r="U77" s="4150">
        <f t="shared" si="12"/>
        <v>0</v>
      </c>
      <c r="V77" s="280">
        <f t="shared" si="19"/>
        <v>0</v>
      </c>
      <c r="W77" s="322" t="e">
        <f t="shared" si="13"/>
        <v>#DIV/0!</v>
      </c>
      <c r="X77" s="322" t="e">
        <f t="shared" si="14"/>
        <v>#DIV/0!</v>
      </c>
      <c r="Y77" s="322" t="e">
        <f t="shared" si="15"/>
        <v>#DIV/0!</v>
      </c>
    </row>
    <row r="78" spans="2:25">
      <c r="B78" s="282"/>
      <c r="C78" s="3593" t="s">
        <v>200</v>
      </c>
      <c r="D78" s="3593">
        <v>0</v>
      </c>
      <c r="E78" s="3593" t="s">
        <v>559</v>
      </c>
      <c r="F78" s="3593" t="s">
        <v>186</v>
      </c>
      <c r="G78" s="3594"/>
      <c r="H78" s="3594"/>
      <c r="I78" s="4156"/>
      <c r="J78" s="3574"/>
      <c r="K78" s="3574"/>
      <c r="L78" s="3574"/>
      <c r="M78" s="278" t="e">
        <f t="shared" si="16"/>
        <v>#DIV/0!</v>
      </c>
      <c r="N78" s="278" t="e">
        <f t="shared" si="17"/>
        <v>#DIV/0!</v>
      </c>
      <c r="O78" s="3548">
        <f t="shared" si="10"/>
        <v>0</v>
      </c>
      <c r="P78" s="3548">
        <f t="shared" si="11"/>
        <v>0</v>
      </c>
      <c r="Q78" s="3548">
        <f>IF(K78=0, 0, (HLOOKUP(K78,'[3]G-CESTDWO'!$A$5:$G$35,J78+1,FALSE)*R28))</f>
        <v>0</v>
      </c>
      <c r="R78" s="3548">
        <f>IF(K78=0, 0, (HLOOKUP(K78,'[3]G-CESTD'!$A$5:$G$35,J78+1,FALSE)*R28))</f>
        <v>0</v>
      </c>
      <c r="S78" s="3592">
        <v>1.0780000000000001</v>
      </c>
      <c r="T78" s="4150">
        <f t="shared" si="12"/>
        <v>0</v>
      </c>
      <c r="U78" s="4150">
        <f t="shared" si="12"/>
        <v>0</v>
      </c>
      <c r="V78" s="280">
        <f t="shared" si="19"/>
        <v>0</v>
      </c>
      <c r="W78" s="322" t="e">
        <f t="shared" si="13"/>
        <v>#DIV/0!</v>
      </c>
      <c r="X78" s="322" t="e">
        <f t="shared" si="14"/>
        <v>#DIV/0!</v>
      </c>
      <c r="Y78" s="322" t="e">
        <f t="shared" si="15"/>
        <v>#DIV/0!</v>
      </c>
    </row>
    <row r="79" spans="2:25">
      <c r="B79" s="282"/>
      <c r="C79" s="3593" t="s">
        <v>201</v>
      </c>
      <c r="D79" s="3574">
        <v>0</v>
      </c>
      <c r="E79" s="3593" t="s">
        <v>559</v>
      </c>
      <c r="F79" s="3593" t="s">
        <v>186</v>
      </c>
      <c r="G79" s="3594"/>
      <c r="H79" s="3594"/>
      <c r="I79" s="4156"/>
      <c r="J79" s="3574"/>
      <c r="K79" s="3574"/>
      <c r="L79" s="3574"/>
      <c r="M79" s="278" t="e">
        <f t="shared" si="16"/>
        <v>#DIV/0!</v>
      </c>
      <c r="N79" s="278" t="e">
        <f t="shared" si="17"/>
        <v>#DIV/0!</v>
      </c>
      <c r="O79" s="3548">
        <f t="shared" si="10"/>
        <v>0</v>
      </c>
      <c r="P79" s="3548">
        <f t="shared" si="11"/>
        <v>0</v>
      </c>
      <c r="Q79" s="3548">
        <f>IF(K79=0, 0, (HLOOKUP(K79,'[3]G-CESTDWO'!$A$5:$G$35,J79+1,FALSE)*R29))</f>
        <v>0</v>
      </c>
      <c r="R79" s="3548">
        <f>IF(K79=0, 0, (HLOOKUP(K79,'[3]G-CESTD'!$A$5:$G$35,J79+1,FALSE)*R29))</f>
        <v>0</v>
      </c>
      <c r="S79" s="3592">
        <v>1.0780000000000001</v>
      </c>
      <c r="T79" s="4150">
        <f t="shared" si="12"/>
        <v>0</v>
      </c>
      <c r="U79" s="4150">
        <f t="shared" si="12"/>
        <v>0</v>
      </c>
      <c r="V79" s="280">
        <f t="shared" si="19"/>
        <v>0</v>
      </c>
      <c r="W79" s="322" t="e">
        <f t="shared" si="13"/>
        <v>#DIV/0!</v>
      </c>
      <c r="X79" s="322" t="e">
        <f t="shared" si="14"/>
        <v>#DIV/0!</v>
      </c>
      <c r="Y79" s="322" t="e">
        <f t="shared" si="15"/>
        <v>#DIV/0!</v>
      </c>
    </row>
    <row r="80" spans="2:25">
      <c r="B80" s="282"/>
      <c r="C80" s="3593" t="s">
        <v>202</v>
      </c>
      <c r="D80" s="3593">
        <v>0</v>
      </c>
      <c r="E80" s="3593" t="s">
        <v>559</v>
      </c>
      <c r="F80" s="3593" t="s">
        <v>186</v>
      </c>
      <c r="G80" s="3594"/>
      <c r="H80" s="3594"/>
      <c r="I80" s="4156"/>
      <c r="J80" s="3574"/>
      <c r="K80" s="3574"/>
      <c r="L80" s="3574"/>
      <c r="M80" s="278" t="e">
        <f t="shared" si="16"/>
        <v>#DIV/0!</v>
      </c>
      <c r="N80" s="278" t="e">
        <f t="shared" si="17"/>
        <v>#DIV/0!</v>
      </c>
      <c r="O80" s="3548">
        <f t="shared" si="10"/>
        <v>0</v>
      </c>
      <c r="P80" s="3548">
        <f t="shared" si="11"/>
        <v>0</v>
      </c>
      <c r="Q80" s="3548">
        <f>IF(K80=0, 0, (HLOOKUP(K80,'[3]G-CESTDWO'!$A$5:$G$35,J80+1,FALSE)*R30))</f>
        <v>0</v>
      </c>
      <c r="R80" s="3548">
        <f>IF(K80=0, 0, (HLOOKUP(K80,'[3]G-CESTD'!$A$5:$G$35,J80+1,FALSE)*R30))</f>
        <v>0</v>
      </c>
      <c r="S80" s="3592">
        <v>1.0780000000000001</v>
      </c>
      <c r="T80" s="4150">
        <f t="shared" si="12"/>
        <v>0</v>
      </c>
      <c r="U80" s="4150">
        <f t="shared" si="12"/>
        <v>0</v>
      </c>
      <c r="V80" s="280">
        <f t="shared" si="19"/>
        <v>0</v>
      </c>
      <c r="W80" s="322" t="e">
        <f t="shared" si="13"/>
        <v>#DIV/0!</v>
      </c>
      <c r="X80" s="322" t="e">
        <f t="shared" si="14"/>
        <v>#DIV/0!</v>
      </c>
      <c r="Y80" s="322" t="e">
        <f t="shared" si="15"/>
        <v>#DIV/0!</v>
      </c>
    </row>
    <row r="81" spans="2:25">
      <c r="B81" s="282"/>
      <c r="C81" s="3593" t="s">
        <v>203</v>
      </c>
      <c r="D81" s="3593">
        <v>0</v>
      </c>
      <c r="E81" s="3593" t="s">
        <v>559</v>
      </c>
      <c r="F81" s="3593" t="s">
        <v>186</v>
      </c>
      <c r="G81" s="3594"/>
      <c r="H81" s="3594"/>
      <c r="I81" s="4156"/>
      <c r="J81" s="3574"/>
      <c r="K81" s="3574"/>
      <c r="L81" s="3574"/>
      <c r="M81" s="278" t="e">
        <f t="shared" si="16"/>
        <v>#DIV/0!</v>
      </c>
      <c r="N81" s="278" t="e">
        <f t="shared" si="17"/>
        <v>#DIV/0!</v>
      </c>
      <c r="O81" s="3548">
        <f t="shared" si="10"/>
        <v>0</v>
      </c>
      <c r="P81" s="3548">
        <f t="shared" si="11"/>
        <v>0</v>
      </c>
      <c r="Q81" s="3548">
        <f>IF(K81=0, 0, (HLOOKUP(K81,'[3]G-CESTDWO'!$A$5:$G$35,J81+1,FALSE)*R31))</f>
        <v>0</v>
      </c>
      <c r="R81" s="3548">
        <f>IF(K81=0, 0, (HLOOKUP(K81,'[3]G-CESTD'!$A$5:$G$35,J81+1,FALSE)*R31))</f>
        <v>0</v>
      </c>
      <c r="S81" s="3592">
        <v>1.0780000000000001</v>
      </c>
      <c r="T81" s="4150">
        <f t="shared" si="12"/>
        <v>0</v>
      </c>
      <c r="U81" s="4150">
        <f t="shared" si="12"/>
        <v>0</v>
      </c>
      <c r="V81" s="280">
        <f t="shared" si="19"/>
        <v>0</v>
      </c>
      <c r="W81" s="322" t="e">
        <f t="shared" si="13"/>
        <v>#DIV/0!</v>
      </c>
      <c r="X81" s="322" t="e">
        <f t="shared" si="14"/>
        <v>#DIV/0!</v>
      </c>
      <c r="Y81" s="322" t="e">
        <f t="shared" si="15"/>
        <v>#DIV/0!</v>
      </c>
    </row>
    <row r="82" spans="2:25">
      <c r="B82" s="282"/>
      <c r="C82" s="3593" t="s">
        <v>204</v>
      </c>
      <c r="D82" s="3593">
        <v>0</v>
      </c>
      <c r="E82" s="3593" t="s">
        <v>559</v>
      </c>
      <c r="F82" s="3593" t="s">
        <v>186</v>
      </c>
      <c r="G82" s="3594"/>
      <c r="H82" s="3594"/>
      <c r="I82" s="4156"/>
      <c r="J82" s="3574"/>
      <c r="K82" s="3574"/>
      <c r="L82" s="3574"/>
      <c r="M82" s="278" t="e">
        <f t="shared" si="16"/>
        <v>#DIV/0!</v>
      </c>
      <c r="N82" s="278" t="e">
        <f t="shared" si="17"/>
        <v>#DIV/0!</v>
      </c>
      <c r="O82" s="3548">
        <f t="shared" si="10"/>
        <v>0</v>
      </c>
      <c r="P82" s="3548">
        <f t="shared" si="11"/>
        <v>0</v>
      </c>
      <c r="Q82" s="3548">
        <f>IF(K82=0, 0, (HLOOKUP(K82,'[3]G-CESTDWO'!$A$5:$G$35,J82+1,FALSE)*R32))</f>
        <v>0</v>
      </c>
      <c r="R82" s="3548">
        <f>IF(K82=0, 0, (HLOOKUP(K82,'[3]G-CESTD'!$A$5:$G$35,J82+1,FALSE)*R32))</f>
        <v>0</v>
      </c>
      <c r="S82" s="3592">
        <v>1.0780000000000001</v>
      </c>
      <c r="T82" s="4150">
        <f t="shared" si="12"/>
        <v>0</v>
      </c>
      <c r="U82" s="4150">
        <f t="shared" si="12"/>
        <v>0</v>
      </c>
      <c r="V82" s="280">
        <f t="shared" si="19"/>
        <v>0</v>
      </c>
    </row>
    <row r="83" spans="2:25">
      <c r="B83" s="282"/>
      <c r="C83" s="3593" t="s">
        <v>205</v>
      </c>
      <c r="D83" s="3595">
        <v>0</v>
      </c>
      <c r="E83" s="3593" t="s">
        <v>559</v>
      </c>
      <c r="F83" s="3593" t="s">
        <v>186</v>
      </c>
      <c r="G83" s="3594"/>
      <c r="H83" s="3594"/>
      <c r="I83" s="4156"/>
      <c r="J83" s="3574"/>
      <c r="K83" s="3574"/>
      <c r="L83" s="3574"/>
      <c r="M83" s="278" t="e">
        <f t="shared" si="16"/>
        <v>#DIV/0!</v>
      </c>
      <c r="N83" s="278" t="e">
        <f t="shared" si="17"/>
        <v>#DIV/0!</v>
      </c>
      <c r="O83" s="3548">
        <f t="shared" si="10"/>
        <v>0</v>
      </c>
      <c r="P83" s="3548">
        <f t="shared" si="11"/>
        <v>0</v>
      </c>
      <c r="Q83" s="3548">
        <f>IF(K83=0, 0, (HLOOKUP(K83,'[3]G-CESTDWO'!$A$5:$G$35,J83+1,FALSE)*R33))</f>
        <v>0</v>
      </c>
      <c r="R83" s="3548">
        <f>IF(K83=0, 0, (HLOOKUP(K83,'[3]G-CESTD'!$A$5:$G$35,J83+1,FALSE)*R33))</f>
        <v>0</v>
      </c>
      <c r="S83" s="3592">
        <v>1.0780000000000001</v>
      </c>
      <c r="T83" s="4150">
        <f t="shared" si="12"/>
        <v>0</v>
      </c>
      <c r="U83" s="4150">
        <f t="shared" si="12"/>
        <v>0</v>
      </c>
      <c r="V83" s="280">
        <f t="shared" si="19"/>
        <v>0</v>
      </c>
    </row>
    <row r="84" spans="2:25">
      <c r="B84" s="282"/>
      <c r="C84" s="3593" t="s">
        <v>206</v>
      </c>
      <c r="D84" s="3595">
        <v>0</v>
      </c>
      <c r="E84" s="3593" t="s">
        <v>559</v>
      </c>
      <c r="F84" s="3593" t="s">
        <v>186</v>
      </c>
      <c r="G84" s="3594"/>
      <c r="H84" s="3594"/>
      <c r="I84" s="4156"/>
      <c r="J84" s="3574"/>
      <c r="K84" s="3574"/>
      <c r="L84" s="3574"/>
      <c r="M84" s="278" t="e">
        <f t="shared" si="16"/>
        <v>#DIV/0!</v>
      </c>
      <c r="N84" s="278" t="e">
        <f t="shared" si="17"/>
        <v>#DIV/0!</v>
      </c>
      <c r="O84" s="3548">
        <f t="shared" si="10"/>
        <v>0</v>
      </c>
      <c r="P84" s="3548">
        <f t="shared" si="11"/>
        <v>0</v>
      </c>
      <c r="Q84" s="3548">
        <f>IF(K84=0, 0, (HLOOKUP(K84,'[3]G-CESTDWO'!$A$5:$G$35,J84+1,FALSE)*R34))</f>
        <v>0</v>
      </c>
      <c r="R84" s="3548">
        <f>IF(K84=0, 0, (HLOOKUP(K84,'[3]G-CESTD'!$A$5:$G$35,J84+1,FALSE)*R34))</f>
        <v>0</v>
      </c>
      <c r="S84" s="3592">
        <v>1.0780000000000001</v>
      </c>
      <c r="T84" s="4150">
        <f t="shared" si="12"/>
        <v>0</v>
      </c>
      <c r="U84" s="4150">
        <f t="shared" si="12"/>
        <v>0</v>
      </c>
      <c r="V84" s="280">
        <f t="shared" si="19"/>
        <v>0</v>
      </c>
    </row>
    <row r="85" spans="2:25">
      <c r="B85" s="282"/>
      <c r="C85" s="3593" t="s">
        <v>207</v>
      </c>
      <c r="D85" s="3595">
        <v>0</v>
      </c>
      <c r="E85" s="3593" t="s">
        <v>559</v>
      </c>
      <c r="F85" s="3593" t="s">
        <v>186</v>
      </c>
      <c r="G85" s="3594"/>
      <c r="H85" s="3594"/>
      <c r="I85" s="4156"/>
      <c r="J85" s="3574"/>
      <c r="K85" s="3574"/>
      <c r="L85" s="3574"/>
      <c r="M85" s="278" t="e">
        <f t="shared" si="16"/>
        <v>#DIV/0!</v>
      </c>
      <c r="N85" s="278" t="e">
        <f t="shared" si="17"/>
        <v>#DIV/0!</v>
      </c>
      <c r="O85" s="3548">
        <f t="shared" si="10"/>
        <v>0</v>
      </c>
      <c r="P85" s="3548">
        <f t="shared" si="11"/>
        <v>0</v>
      </c>
      <c r="Q85" s="3548">
        <f>IF(K85=0, 0, (HLOOKUP(K85,'[3]G-CESTDWO'!$A$5:$G$35,J85+1,FALSE)*R35))</f>
        <v>0</v>
      </c>
      <c r="R85" s="3548">
        <f>IF(K85=0, 0, (HLOOKUP(K85,'[3]G-CESTD'!$A$5:$G$35,J85+1,FALSE)*R35))</f>
        <v>0</v>
      </c>
      <c r="S85" s="3592">
        <v>1.0780000000000001</v>
      </c>
      <c r="T85" s="4150">
        <f t="shared" si="12"/>
        <v>0</v>
      </c>
      <c r="U85" s="4150">
        <f t="shared" si="12"/>
        <v>0</v>
      </c>
      <c r="V85" s="280">
        <f t="shared" si="19"/>
        <v>0</v>
      </c>
    </row>
    <row r="86" spans="2:25">
      <c r="B86" s="282"/>
      <c r="C86" s="3593" t="s">
        <v>208</v>
      </c>
      <c r="D86" s="3595">
        <v>0</v>
      </c>
      <c r="E86" s="3593" t="s">
        <v>559</v>
      </c>
      <c r="F86" s="3593" t="s">
        <v>186</v>
      </c>
      <c r="G86" s="3594"/>
      <c r="H86" s="3594"/>
      <c r="I86" s="4156"/>
      <c r="J86" s="3574"/>
      <c r="K86" s="3574"/>
      <c r="L86" s="3574"/>
      <c r="M86" s="278" t="e">
        <f t="shared" si="16"/>
        <v>#DIV/0!</v>
      </c>
      <c r="N86" s="278" t="e">
        <f t="shared" si="17"/>
        <v>#DIV/0!</v>
      </c>
      <c r="O86" s="3548">
        <f t="shared" si="10"/>
        <v>0</v>
      </c>
      <c r="P86" s="3548">
        <f t="shared" si="11"/>
        <v>0</v>
      </c>
      <c r="Q86" s="3548">
        <f>IF(K86=0, 0, (HLOOKUP(K86,'[3]G-CESTDWO'!$A$5:$G$35,J86+1,FALSE)*R36))</f>
        <v>0</v>
      </c>
      <c r="R86" s="3548">
        <f>IF(K86=0, 0, (HLOOKUP(K86,'[3]G-CESTD'!$A$5:$G$35,J86+1,FALSE)*R36))</f>
        <v>0</v>
      </c>
      <c r="S86" s="3592">
        <v>1.0780000000000001</v>
      </c>
      <c r="T86" s="4150">
        <f t="shared" si="12"/>
        <v>0</v>
      </c>
      <c r="U86" s="4150">
        <f t="shared" si="12"/>
        <v>0</v>
      </c>
      <c r="V86" s="280">
        <f t="shared" si="19"/>
        <v>0</v>
      </c>
    </row>
    <row r="87" spans="2:25">
      <c r="B87" s="282"/>
      <c r="C87" s="3593" t="s">
        <v>209</v>
      </c>
      <c r="D87" s="3595">
        <v>0</v>
      </c>
      <c r="E87" s="3593" t="s">
        <v>559</v>
      </c>
      <c r="F87" s="3593" t="s">
        <v>186</v>
      </c>
      <c r="G87" s="3594"/>
      <c r="H87" s="3594"/>
      <c r="I87" s="4156"/>
      <c r="J87" s="3574"/>
      <c r="K87" s="3574"/>
      <c r="L87" s="3574"/>
      <c r="M87" s="278" t="e">
        <f t="shared" si="16"/>
        <v>#DIV/0!</v>
      </c>
      <c r="N87" s="278" t="e">
        <f t="shared" si="17"/>
        <v>#DIV/0!</v>
      </c>
      <c r="O87" s="3548">
        <f t="shared" si="10"/>
        <v>0</v>
      </c>
      <c r="P87" s="3548">
        <f t="shared" si="11"/>
        <v>0</v>
      </c>
      <c r="Q87" s="3548">
        <f>IF(K87=0, 0, (HLOOKUP(K87,'[3]G-CESTDWO'!$A$5:$G$35,J87+1,FALSE)*R37))</f>
        <v>0</v>
      </c>
      <c r="R87" s="3548">
        <f>IF(K87=0, 0, (HLOOKUP(K87,'[3]G-CESTD'!$A$5:$G$35,J87+1,FALSE)*R37))</f>
        <v>0</v>
      </c>
      <c r="S87" s="3592">
        <v>1.0780000000000001</v>
      </c>
      <c r="T87" s="4150">
        <f t="shared" si="12"/>
        <v>0</v>
      </c>
      <c r="U87" s="4150">
        <f t="shared" si="12"/>
        <v>0</v>
      </c>
      <c r="V87" s="280">
        <f t="shared" si="19"/>
        <v>0</v>
      </c>
    </row>
    <row r="88" spans="2:25">
      <c r="B88" s="282"/>
      <c r="C88" s="3593" t="s">
        <v>210</v>
      </c>
      <c r="D88" s="3595">
        <v>0</v>
      </c>
      <c r="E88" s="3593" t="s">
        <v>559</v>
      </c>
      <c r="F88" s="3593" t="s">
        <v>186</v>
      </c>
      <c r="G88" s="3594"/>
      <c r="H88" s="3594"/>
      <c r="I88" s="4156"/>
      <c r="J88" s="3574"/>
      <c r="K88" s="3574"/>
      <c r="L88" s="3574"/>
      <c r="M88" s="278" t="e">
        <f t="shared" si="16"/>
        <v>#DIV/0!</v>
      </c>
      <c r="N88" s="278" t="e">
        <f t="shared" si="17"/>
        <v>#DIV/0!</v>
      </c>
      <c r="O88" s="3548">
        <f t="shared" si="10"/>
        <v>0</v>
      </c>
      <c r="P88" s="3548">
        <f t="shared" si="11"/>
        <v>0</v>
      </c>
      <c r="Q88" s="3548">
        <f>IF(K88=0, 0, (HLOOKUP(K88,'[3]G-CESTDWO'!$A$5:$G$35,J88+1,FALSE)*R38))</f>
        <v>0</v>
      </c>
      <c r="R88" s="3548">
        <f>IF(K88=0, 0, (HLOOKUP(K88,'[3]G-CESTD'!$A$5:$G$35,J88+1,FALSE)*R38))</f>
        <v>0</v>
      </c>
      <c r="S88" s="3592">
        <v>1.0780000000000001</v>
      </c>
      <c r="T88" s="4150">
        <f t="shared" si="12"/>
        <v>0</v>
      </c>
      <c r="U88" s="4150">
        <f t="shared" si="12"/>
        <v>0</v>
      </c>
      <c r="V88" s="280">
        <f t="shared" si="19"/>
        <v>0</v>
      </c>
    </row>
    <row r="89" spans="2:25">
      <c r="B89" s="282"/>
      <c r="C89" s="3593" t="s">
        <v>211</v>
      </c>
      <c r="D89" s="3595">
        <v>0</v>
      </c>
      <c r="E89" s="3593" t="s">
        <v>559</v>
      </c>
      <c r="F89" s="3593" t="s">
        <v>186</v>
      </c>
      <c r="G89" s="3594"/>
      <c r="H89" s="3594"/>
      <c r="I89" s="4156"/>
      <c r="J89" s="3574"/>
      <c r="K89" s="3574"/>
      <c r="L89" s="3574"/>
      <c r="M89" s="278" t="e">
        <f t="shared" si="16"/>
        <v>#DIV/0!</v>
      </c>
      <c r="N89" s="278" t="e">
        <f t="shared" si="17"/>
        <v>#DIV/0!</v>
      </c>
      <c r="O89" s="3548">
        <f t="shared" si="10"/>
        <v>0</v>
      </c>
      <c r="P89" s="3548">
        <f t="shared" si="11"/>
        <v>0</v>
      </c>
      <c r="Q89" s="3548">
        <f>IF(K89=0, 0, (HLOOKUP(K89,'[3]G-CESTDWO'!$A$5:$G$35,J89+1,FALSE)*R39))</f>
        <v>0</v>
      </c>
      <c r="R89" s="3548">
        <f>IF(K89=0, 0, (HLOOKUP(K89,'[3]G-CESTD'!$A$5:$G$35,J89+1,FALSE)*R39))</f>
        <v>0</v>
      </c>
      <c r="S89" s="3592">
        <v>1.0780000000000001</v>
      </c>
      <c r="T89" s="4150">
        <f t="shared" si="12"/>
        <v>0</v>
      </c>
      <c r="U89" s="4150">
        <f t="shared" si="12"/>
        <v>0</v>
      </c>
      <c r="V89" s="280">
        <f t="shared" si="19"/>
        <v>0</v>
      </c>
    </row>
    <row r="90" spans="2:25">
      <c r="B90" s="282"/>
      <c r="C90" s="3593" t="s">
        <v>212</v>
      </c>
      <c r="D90" s="3595">
        <v>0</v>
      </c>
      <c r="E90" s="3593" t="s">
        <v>559</v>
      </c>
      <c r="F90" s="3593" t="s">
        <v>186</v>
      </c>
      <c r="G90" s="3594"/>
      <c r="H90" s="3594"/>
      <c r="I90" s="4156"/>
      <c r="J90" s="3574"/>
      <c r="K90" s="3574"/>
      <c r="L90" s="3574"/>
      <c r="M90" s="278" t="e">
        <f t="shared" si="16"/>
        <v>#DIV/0!</v>
      </c>
      <c r="N90" s="278" t="e">
        <f t="shared" si="17"/>
        <v>#DIV/0!</v>
      </c>
      <c r="O90" s="3548">
        <f t="shared" si="10"/>
        <v>0</v>
      </c>
      <c r="P90" s="3548">
        <f t="shared" si="11"/>
        <v>0</v>
      </c>
      <c r="Q90" s="3548">
        <f>IF(K90=0, 0, (HLOOKUP(K90,'[3]G-CESTDWO'!$A$5:$G$35,J90+1,FALSE)*R40))</f>
        <v>0</v>
      </c>
      <c r="R90" s="3548">
        <f>IF(K90=0, 0, (HLOOKUP(K90,'[3]G-CESTD'!$A$5:$G$35,J90+1,FALSE)*R40))</f>
        <v>0</v>
      </c>
      <c r="S90" s="3592">
        <v>1.0780000000000001</v>
      </c>
      <c r="T90" s="4150">
        <f t="shared" si="12"/>
        <v>0</v>
      </c>
      <c r="U90" s="4150">
        <f t="shared" si="12"/>
        <v>0</v>
      </c>
      <c r="V90" s="280">
        <f t="shared" si="19"/>
        <v>0</v>
      </c>
    </row>
    <row r="91" spans="2:25">
      <c r="B91" s="282"/>
      <c r="C91" s="3593" t="s">
        <v>213</v>
      </c>
      <c r="D91" s="3595">
        <v>0</v>
      </c>
      <c r="E91" s="3593" t="s">
        <v>559</v>
      </c>
      <c r="F91" s="3593" t="s">
        <v>186</v>
      </c>
      <c r="G91" s="3594"/>
      <c r="H91" s="3594"/>
      <c r="I91" s="4156"/>
      <c r="J91" s="3574"/>
      <c r="K91" s="3574"/>
      <c r="L91" s="3574"/>
      <c r="M91" s="278" t="e">
        <f t="shared" si="16"/>
        <v>#DIV/0!</v>
      </c>
      <c r="N91" s="278" t="e">
        <f t="shared" si="17"/>
        <v>#DIV/0!</v>
      </c>
      <c r="O91" s="3548">
        <f t="shared" si="10"/>
        <v>0</v>
      </c>
      <c r="P91" s="3548">
        <f t="shared" si="11"/>
        <v>0</v>
      </c>
      <c r="Q91" s="3548">
        <f>IF(K91=0, 0, (HLOOKUP(K91,'[3]G-CESTDWO'!$A$5:$G$35,J91+1,FALSE)*R41))</f>
        <v>0</v>
      </c>
      <c r="R91" s="3548">
        <f>IF(K91=0, 0, (HLOOKUP(K91,'[3]G-CESTD'!$A$5:$G$35,J91+1,FALSE)*R41))</f>
        <v>0</v>
      </c>
      <c r="S91" s="3592">
        <v>1.0780000000000001</v>
      </c>
      <c r="T91" s="4150">
        <f t="shared" si="12"/>
        <v>0</v>
      </c>
      <c r="U91" s="4150">
        <f t="shared" si="12"/>
        <v>0</v>
      </c>
      <c r="V91" s="280">
        <f t="shared" si="19"/>
        <v>0</v>
      </c>
    </row>
    <row r="92" spans="2:25">
      <c r="B92" s="282"/>
      <c r="C92" s="3593" t="s">
        <v>214</v>
      </c>
      <c r="D92" s="3595">
        <v>0</v>
      </c>
      <c r="E92" s="3593" t="s">
        <v>559</v>
      </c>
      <c r="F92" s="3593" t="s">
        <v>186</v>
      </c>
      <c r="G92" s="3594"/>
      <c r="H92" s="3594"/>
      <c r="I92" s="4156"/>
      <c r="J92" s="3574"/>
      <c r="K92" s="3574"/>
      <c r="L92" s="3574"/>
      <c r="M92" s="278" t="e">
        <f t="shared" si="16"/>
        <v>#DIV/0!</v>
      </c>
      <c r="N92" s="278" t="e">
        <f t="shared" si="17"/>
        <v>#DIV/0!</v>
      </c>
      <c r="O92" s="3548">
        <f t="shared" si="10"/>
        <v>0</v>
      </c>
      <c r="P92" s="3548">
        <f t="shared" si="11"/>
        <v>0</v>
      </c>
      <c r="Q92" s="3548">
        <f>IF(K92=0, 0, (HLOOKUP(K92,'[3]G-CESTDWO'!$A$5:$G$35,J92+1,FALSE)*R42))</f>
        <v>0</v>
      </c>
      <c r="R92" s="3548">
        <f>IF(K92=0, 0, (HLOOKUP(K92,'[3]G-CESTD'!$A$5:$G$35,J92+1,FALSE)*R42))</f>
        <v>0</v>
      </c>
      <c r="S92" s="3592">
        <v>1.0780000000000001</v>
      </c>
      <c r="T92" s="4150">
        <f t="shared" si="12"/>
        <v>0</v>
      </c>
      <c r="U92" s="4150">
        <f t="shared" si="12"/>
        <v>0</v>
      </c>
      <c r="V92" s="280">
        <f t="shared" si="19"/>
        <v>0</v>
      </c>
    </row>
    <row r="93" spans="2:25">
      <c r="B93" s="282"/>
      <c r="C93" s="3593" t="s">
        <v>215</v>
      </c>
      <c r="D93" s="3595">
        <v>0</v>
      </c>
      <c r="E93" s="3593" t="s">
        <v>559</v>
      </c>
      <c r="F93" s="3593" t="s">
        <v>186</v>
      </c>
      <c r="G93" s="3594"/>
      <c r="H93" s="3594"/>
      <c r="I93" s="4156"/>
      <c r="J93" s="3574"/>
      <c r="K93" s="3574"/>
      <c r="L93" s="3574"/>
      <c r="M93" s="278" t="e">
        <f t="shared" si="16"/>
        <v>#DIV/0!</v>
      </c>
      <c r="N93" s="278" t="e">
        <f t="shared" si="17"/>
        <v>#DIV/0!</v>
      </c>
      <c r="O93" s="3548">
        <f t="shared" si="10"/>
        <v>0</v>
      </c>
      <c r="P93" s="3548">
        <f t="shared" si="11"/>
        <v>0</v>
      </c>
      <c r="Q93" s="3548">
        <f>IF(K93=0, 0, (HLOOKUP(K93,'[3]G-CESTDWO'!$A$5:$G$35,J93+1,FALSE)*R43))</f>
        <v>0</v>
      </c>
      <c r="R93" s="3548">
        <f>IF(K93=0, 0, (HLOOKUP(K93,'[3]G-CESTD'!$A$5:$G$35,J93+1,FALSE)*R43))</f>
        <v>0</v>
      </c>
      <c r="S93" s="3592">
        <v>1.0780000000000001</v>
      </c>
      <c r="T93" s="4150">
        <f t="shared" si="12"/>
        <v>0</v>
      </c>
      <c r="U93" s="4150">
        <f t="shared" si="12"/>
        <v>0</v>
      </c>
      <c r="V93" s="280">
        <f t="shared" si="19"/>
        <v>0</v>
      </c>
    </row>
    <row r="94" spans="2:25">
      <c r="B94" s="282"/>
      <c r="C94" s="3593" t="s">
        <v>216</v>
      </c>
      <c r="D94" s="3595">
        <v>0</v>
      </c>
      <c r="E94" s="3593" t="s">
        <v>559</v>
      </c>
      <c r="F94" s="3593" t="s">
        <v>186</v>
      </c>
      <c r="G94" s="3594"/>
      <c r="H94" s="3594"/>
      <c r="I94" s="4156"/>
      <c r="J94" s="3574"/>
      <c r="K94" s="3574"/>
      <c r="L94" s="3574"/>
      <c r="M94" s="278" t="e">
        <f t="shared" si="16"/>
        <v>#DIV/0!</v>
      </c>
      <c r="N94" s="278" t="e">
        <f t="shared" si="17"/>
        <v>#DIV/0!</v>
      </c>
      <c r="O94" s="3548">
        <f t="shared" si="10"/>
        <v>0</v>
      </c>
      <c r="P94" s="3548">
        <f t="shared" si="11"/>
        <v>0</v>
      </c>
      <c r="Q94" s="3548">
        <f>IF(K94=0, 0, (HLOOKUP(K94,'[3]G-CESTDWO'!$A$5:$G$35,J94+1,FALSE)*R44))</f>
        <v>0</v>
      </c>
      <c r="R94" s="3548">
        <f>IF(K94=0, 0, (HLOOKUP(K94,'[3]G-CESTD'!$A$5:$G$35,J94+1,FALSE)*R44))</f>
        <v>0</v>
      </c>
      <c r="S94" s="3592">
        <v>1.0780000000000001</v>
      </c>
      <c r="T94" s="4150">
        <f t="shared" si="12"/>
        <v>0</v>
      </c>
      <c r="U94" s="4150">
        <f t="shared" si="12"/>
        <v>0</v>
      </c>
      <c r="V94" s="280">
        <f t="shared" si="19"/>
        <v>0</v>
      </c>
    </row>
    <row r="95" spans="2:25">
      <c r="B95" s="282"/>
      <c r="C95" s="3593" t="s">
        <v>217</v>
      </c>
      <c r="D95" s="3595">
        <v>0</v>
      </c>
      <c r="E95" s="3593" t="s">
        <v>559</v>
      </c>
      <c r="F95" s="3593" t="s">
        <v>186</v>
      </c>
      <c r="G95" s="3594"/>
      <c r="H95" s="3594"/>
      <c r="I95" s="4156"/>
      <c r="J95" s="3574"/>
      <c r="K95" s="3574"/>
      <c r="L95" s="3574"/>
      <c r="M95" s="278" t="e">
        <f t="shared" si="16"/>
        <v>#DIV/0!</v>
      </c>
      <c r="N95" s="278" t="e">
        <f t="shared" si="17"/>
        <v>#DIV/0!</v>
      </c>
      <c r="O95" s="3548">
        <f t="shared" si="10"/>
        <v>0</v>
      </c>
      <c r="P95" s="3548">
        <f t="shared" si="11"/>
        <v>0</v>
      </c>
      <c r="Q95" s="3548">
        <f>IF(K95=0, 0, (HLOOKUP(K95,'[3]G-CESTDWO'!$A$5:$G$35,J95+1,FALSE)*R45))</f>
        <v>0</v>
      </c>
      <c r="R95" s="3548">
        <f>IF(K95=0, 0, (HLOOKUP(K95,'[3]G-CESTD'!$A$5:$G$35,J95+1,FALSE)*R45))</f>
        <v>0</v>
      </c>
      <c r="S95" s="3592">
        <v>1.0780000000000001</v>
      </c>
      <c r="T95" s="4150">
        <f t="shared" si="12"/>
        <v>0</v>
      </c>
      <c r="U95" s="4150">
        <f t="shared" si="12"/>
        <v>0</v>
      </c>
      <c r="V95" s="280">
        <f t="shared" si="19"/>
        <v>0</v>
      </c>
    </row>
    <row r="96" spans="2:25">
      <c r="B96" s="282"/>
      <c r="C96" s="3593" t="s">
        <v>218</v>
      </c>
      <c r="D96" s="3595">
        <v>0</v>
      </c>
      <c r="E96" s="3593" t="s">
        <v>559</v>
      </c>
      <c r="F96" s="3593" t="s">
        <v>186</v>
      </c>
      <c r="G96" s="3594"/>
      <c r="H96" s="3594"/>
      <c r="I96" s="4156"/>
      <c r="J96" s="3574"/>
      <c r="K96" s="3574"/>
      <c r="L96" s="3574"/>
      <c r="M96" s="278" t="e">
        <f t="shared" si="16"/>
        <v>#DIV/0!</v>
      </c>
      <c r="N96" s="278" t="e">
        <f t="shared" si="17"/>
        <v>#DIV/0!</v>
      </c>
      <c r="O96" s="3548">
        <f t="shared" si="10"/>
        <v>0</v>
      </c>
      <c r="P96" s="3548">
        <f t="shared" si="11"/>
        <v>0</v>
      </c>
      <c r="Q96" s="3548">
        <f>IF(K96=0, 0, (HLOOKUP(K96,'[3]G-CESTDWO'!$A$5:$G$35,J96+1,FALSE)*R46))</f>
        <v>0</v>
      </c>
      <c r="R96" s="3548">
        <f>IF(K96=0, 0, (HLOOKUP(K96,'[3]G-CESTD'!$A$5:$G$35,J96+1,FALSE)*R46))</f>
        <v>0</v>
      </c>
      <c r="S96" s="3592">
        <v>1.0780000000000001</v>
      </c>
      <c r="T96" s="4150">
        <f t="shared" si="12"/>
        <v>0</v>
      </c>
      <c r="U96" s="4150">
        <f t="shared" si="12"/>
        <v>0</v>
      </c>
      <c r="V96" s="280">
        <f t="shared" si="19"/>
        <v>0</v>
      </c>
    </row>
    <row r="97" spans="2:22">
      <c r="B97" s="282"/>
      <c r="C97" s="3593" t="s">
        <v>219</v>
      </c>
      <c r="D97" s="3595">
        <v>0</v>
      </c>
      <c r="E97" s="3593" t="s">
        <v>559</v>
      </c>
      <c r="F97" s="3593" t="s">
        <v>186</v>
      </c>
      <c r="G97" s="3594"/>
      <c r="H97" s="3594"/>
      <c r="I97" s="4156"/>
      <c r="J97" s="3574"/>
      <c r="K97" s="3574"/>
      <c r="L97" s="3574"/>
      <c r="M97" s="278" t="e">
        <f t="shared" si="16"/>
        <v>#DIV/0!</v>
      </c>
      <c r="N97" s="278" t="e">
        <f t="shared" si="17"/>
        <v>#DIV/0!</v>
      </c>
      <c r="O97" s="3548">
        <f t="shared" si="10"/>
        <v>0</v>
      </c>
      <c r="P97" s="3548">
        <f t="shared" si="11"/>
        <v>0</v>
      </c>
      <c r="Q97" s="3548">
        <f>IF(K97=0, 0, (HLOOKUP(K97,'[3]G-CESTDWO'!$A$5:$G$35,J97+1,FALSE)*R47))</f>
        <v>0</v>
      </c>
      <c r="R97" s="3548">
        <f>IF(K97=0, 0, (HLOOKUP(K97,'[3]G-CESTD'!$A$5:$G$35,J97+1,FALSE)*R47))</f>
        <v>0</v>
      </c>
      <c r="S97" s="3592">
        <v>1.0780000000000001</v>
      </c>
      <c r="T97" s="4150">
        <f t="shared" si="12"/>
        <v>0</v>
      </c>
      <c r="U97" s="4150">
        <f t="shared" si="12"/>
        <v>0</v>
      </c>
      <c r="V97" s="280">
        <f t="shared" si="19"/>
        <v>0</v>
      </c>
    </row>
    <row r="98" spans="2:22">
      <c r="B98" s="282"/>
      <c r="C98" s="3593" t="s">
        <v>220</v>
      </c>
      <c r="D98" s="3595">
        <v>0</v>
      </c>
      <c r="E98" s="3593" t="s">
        <v>559</v>
      </c>
      <c r="F98" s="3593" t="s">
        <v>186</v>
      </c>
      <c r="G98" s="3594"/>
      <c r="H98" s="3594"/>
      <c r="I98" s="4156"/>
      <c r="J98" s="3574"/>
      <c r="K98" s="3574"/>
      <c r="L98" s="3574"/>
      <c r="M98" s="278" t="e">
        <f t="shared" si="16"/>
        <v>#DIV/0!</v>
      </c>
      <c r="N98" s="278" t="e">
        <f t="shared" si="17"/>
        <v>#DIV/0!</v>
      </c>
      <c r="O98" s="3548">
        <f t="shared" si="10"/>
        <v>0</v>
      </c>
      <c r="P98" s="3548">
        <f t="shared" si="11"/>
        <v>0</v>
      </c>
      <c r="Q98" s="3548">
        <f>IF(K98=0, 0, (HLOOKUP(K98,'[3]G-CESTDWO'!$A$5:$G$35,J98+1,FALSE)*R48))</f>
        <v>0</v>
      </c>
      <c r="R98" s="3548">
        <f>IF(K98=0, 0, (HLOOKUP(K98,'[3]G-CESTD'!$A$5:$G$35,J98+1,FALSE)*R48))</f>
        <v>0</v>
      </c>
      <c r="S98" s="3592">
        <v>1.0780000000000001</v>
      </c>
      <c r="T98" s="4150">
        <f t="shared" si="12"/>
        <v>0</v>
      </c>
      <c r="U98" s="4150">
        <f t="shared" si="12"/>
        <v>0</v>
      </c>
      <c r="V98" s="280">
        <f t="shared" si="19"/>
        <v>0</v>
      </c>
    </row>
    <row r="99" spans="2:22">
      <c r="B99" s="282"/>
      <c r="C99" s="3593" t="s">
        <v>221</v>
      </c>
      <c r="D99" s="3595">
        <v>0</v>
      </c>
      <c r="E99" s="3593" t="s">
        <v>559</v>
      </c>
      <c r="F99" s="3593" t="s">
        <v>186</v>
      </c>
      <c r="G99" s="3594"/>
      <c r="H99" s="3594"/>
      <c r="I99" s="4156"/>
      <c r="J99" s="3574"/>
      <c r="K99" s="3574"/>
      <c r="L99" s="3574"/>
      <c r="M99" s="278" t="e">
        <f t="shared" si="16"/>
        <v>#DIV/0!</v>
      </c>
      <c r="N99" s="278" t="e">
        <f t="shared" si="17"/>
        <v>#DIV/0!</v>
      </c>
      <c r="O99" s="3548">
        <f t="shared" si="10"/>
        <v>0</v>
      </c>
      <c r="P99" s="3548">
        <f t="shared" si="11"/>
        <v>0</v>
      </c>
      <c r="Q99" s="3548">
        <f>IF(K99=0, 0, (HLOOKUP(K99,'[3]G-CESTDWO'!$A$5:$G$35,J99+1,FALSE)*R49))</f>
        <v>0</v>
      </c>
      <c r="R99" s="3548">
        <f>IF(K99=0, 0, (HLOOKUP(K99,'[3]G-CESTD'!$A$5:$G$35,J99+1,FALSE)*R49))</f>
        <v>0</v>
      </c>
      <c r="S99" s="3592">
        <v>1.0780000000000001</v>
      </c>
      <c r="T99" s="4150">
        <f t="shared" si="12"/>
        <v>0</v>
      </c>
      <c r="U99" s="4150">
        <f t="shared" si="12"/>
        <v>0</v>
      </c>
      <c r="V99" s="280">
        <f t="shared" si="19"/>
        <v>0</v>
      </c>
    </row>
    <row r="100" spans="2:22">
      <c r="B100" s="282"/>
      <c r="C100" s="3593" t="s">
        <v>222</v>
      </c>
      <c r="D100" s="3595">
        <v>0</v>
      </c>
      <c r="E100" s="3593" t="s">
        <v>559</v>
      </c>
      <c r="F100" s="3593" t="s">
        <v>186</v>
      </c>
      <c r="G100" s="3594"/>
      <c r="H100" s="3594"/>
      <c r="I100" s="4156"/>
      <c r="J100" s="3574"/>
      <c r="K100" s="3574"/>
      <c r="L100" s="3574"/>
      <c r="M100" s="278" t="e">
        <f t="shared" si="16"/>
        <v>#DIV/0!</v>
      </c>
      <c r="N100" s="278" t="e">
        <f t="shared" si="17"/>
        <v>#DIV/0!</v>
      </c>
      <c r="O100" s="3548">
        <f t="shared" si="10"/>
        <v>0</v>
      </c>
      <c r="P100" s="3548">
        <f t="shared" si="11"/>
        <v>0</v>
      </c>
      <c r="Q100" s="3548">
        <f>IF(K100=0, 0, (HLOOKUP(K100,'[3]G-CESTDWO'!$A$5:$G$35,J100+1,FALSE)*R50))</f>
        <v>0</v>
      </c>
      <c r="R100" s="3548">
        <f>IF(K100=0, 0, (HLOOKUP(K100,'[3]G-CESTD'!$A$5:$G$35,J100+1,FALSE)*R50))</f>
        <v>0</v>
      </c>
      <c r="S100" s="3592">
        <v>1.0780000000000001</v>
      </c>
      <c r="T100" s="4150">
        <f t="shared" si="12"/>
        <v>0</v>
      </c>
      <c r="U100" s="4150">
        <f t="shared" si="12"/>
        <v>0</v>
      </c>
      <c r="V100" s="280">
        <f t="shared" si="19"/>
        <v>0</v>
      </c>
    </row>
    <row r="101" spans="2:22">
      <c r="B101" s="282"/>
      <c r="C101" s="3593" t="s">
        <v>223</v>
      </c>
      <c r="D101" s="3595">
        <v>0</v>
      </c>
      <c r="E101" s="3593" t="s">
        <v>559</v>
      </c>
      <c r="F101" s="3593" t="s">
        <v>186</v>
      </c>
      <c r="G101" s="3594"/>
      <c r="H101" s="3594"/>
      <c r="I101" s="4156"/>
      <c r="J101" s="3574"/>
      <c r="K101" s="3574"/>
      <c r="L101" s="3574"/>
      <c r="M101" s="278" t="e">
        <f t="shared" si="16"/>
        <v>#DIV/0!</v>
      </c>
      <c r="N101" s="278" t="e">
        <f t="shared" si="17"/>
        <v>#DIV/0!</v>
      </c>
      <c r="O101" s="3548">
        <f t="shared" si="10"/>
        <v>0</v>
      </c>
      <c r="P101" s="3548">
        <f t="shared" si="11"/>
        <v>0</v>
      </c>
      <c r="Q101" s="3548">
        <f>IF(K101=0, 0, (HLOOKUP(K101,'[3]G-CESTDWO'!$A$5:$G$35,J101+1,FALSE)*R51))</f>
        <v>0</v>
      </c>
      <c r="R101" s="3548">
        <f>IF(K101=0, 0, (HLOOKUP(K101,'[3]G-CESTD'!$A$5:$G$35,J101+1,FALSE)*R51))</f>
        <v>0</v>
      </c>
      <c r="S101" s="3592">
        <v>1.0780000000000001</v>
      </c>
      <c r="T101" s="4150">
        <f t="shared" si="12"/>
        <v>0</v>
      </c>
      <c r="U101" s="4150">
        <f t="shared" si="12"/>
        <v>0</v>
      </c>
      <c r="V101" s="280">
        <f t="shared" si="19"/>
        <v>0</v>
      </c>
    </row>
    <row r="102" spans="2:22">
      <c r="B102" s="282"/>
      <c r="C102" s="3593" t="s">
        <v>224</v>
      </c>
      <c r="D102" s="3595">
        <v>0</v>
      </c>
      <c r="E102" s="3593" t="s">
        <v>559</v>
      </c>
      <c r="F102" s="3593" t="s">
        <v>186</v>
      </c>
      <c r="G102" s="3594"/>
      <c r="H102" s="3594"/>
      <c r="I102" s="4156"/>
      <c r="J102" s="3574"/>
      <c r="K102" s="3574"/>
      <c r="L102" s="3574"/>
      <c r="M102" s="278" t="e">
        <f t="shared" si="16"/>
        <v>#DIV/0!</v>
      </c>
      <c r="N102" s="278" t="e">
        <f t="shared" si="17"/>
        <v>#DIV/0!</v>
      </c>
      <c r="O102" s="3548">
        <f t="shared" si="10"/>
        <v>0</v>
      </c>
      <c r="P102" s="3548">
        <f t="shared" si="11"/>
        <v>0</v>
      </c>
      <c r="Q102" s="3548">
        <f>IF(K102=0, 0, (HLOOKUP(K102,'[3]G-CESTDWO'!$A$5:$G$35,J102+1,FALSE)*R52))</f>
        <v>0</v>
      </c>
      <c r="R102" s="3548">
        <f>IF(K102=0, 0, (HLOOKUP(K102,'[3]G-CESTD'!$A$5:$G$35,J102+1,FALSE)*R52))</f>
        <v>0</v>
      </c>
      <c r="S102" s="3592">
        <v>1.0780000000000001</v>
      </c>
      <c r="T102" s="4150">
        <f t="shared" si="12"/>
        <v>0</v>
      </c>
      <c r="U102" s="4150">
        <f t="shared" si="12"/>
        <v>0</v>
      </c>
      <c r="V102" s="280">
        <f t="shared" si="19"/>
        <v>0</v>
      </c>
    </row>
    <row r="103" spans="2:22">
      <c r="B103" s="282"/>
      <c r="C103" s="3593" t="s">
        <v>225</v>
      </c>
      <c r="D103" s="3595">
        <v>0</v>
      </c>
      <c r="E103" s="3593" t="s">
        <v>559</v>
      </c>
      <c r="F103" s="3593" t="s">
        <v>186</v>
      </c>
      <c r="G103" s="3594"/>
      <c r="H103" s="3594"/>
      <c r="I103" s="4156"/>
      <c r="J103" s="3574"/>
      <c r="K103" s="3574"/>
      <c r="L103" s="3574"/>
      <c r="M103" s="278" t="e">
        <f t="shared" si="16"/>
        <v>#DIV/0!</v>
      </c>
      <c r="N103" s="278" t="e">
        <f t="shared" si="17"/>
        <v>#DIV/0!</v>
      </c>
      <c r="O103" s="3548">
        <f t="shared" si="10"/>
        <v>0</v>
      </c>
      <c r="P103" s="3548">
        <f t="shared" si="11"/>
        <v>0</v>
      </c>
      <c r="Q103" s="3548">
        <f>IF(K103=0, 0, (HLOOKUP(K103,'[3]G-CESTDWO'!$A$5:$G$35,J103+1,FALSE)*R53))</f>
        <v>0</v>
      </c>
      <c r="R103" s="3548">
        <f>IF(K103=0, 0, (HLOOKUP(K103,'[3]G-CESTD'!$A$5:$G$35,J103+1,FALSE)*R53))</f>
        <v>0</v>
      </c>
      <c r="S103" s="3592">
        <v>1.0780000000000001</v>
      </c>
      <c r="T103" s="4150">
        <f t="shared" si="12"/>
        <v>0</v>
      </c>
      <c r="U103" s="4150">
        <f t="shared" si="12"/>
        <v>0</v>
      </c>
      <c r="V103" s="280">
        <f t="shared" si="19"/>
        <v>0</v>
      </c>
    </row>
    <row r="104" spans="2:22" ht="13.5" thickBot="1">
      <c r="B104" s="282"/>
      <c r="C104" s="3593" t="s">
        <v>226</v>
      </c>
      <c r="D104" s="3595">
        <v>0</v>
      </c>
      <c r="E104" s="3593" t="s">
        <v>559</v>
      </c>
      <c r="F104" s="3593" t="s">
        <v>186</v>
      </c>
      <c r="G104" s="3594"/>
      <c r="H104" s="3594"/>
      <c r="I104" s="4156"/>
      <c r="J104" s="3574"/>
      <c r="K104" s="3574"/>
      <c r="L104" s="3574"/>
      <c r="M104" s="278" t="e">
        <f t="shared" si="16"/>
        <v>#DIV/0!</v>
      </c>
      <c r="N104" s="278" t="e">
        <f t="shared" si="17"/>
        <v>#DIV/0!</v>
      </c>
      <c r="O104" s="3548">
        <f t="shared" si="10"/>
        <v>0</v>
      </c>
      <c r="P104" s="3548">
        <f t="shared" si="11"/>
        <v>0</v>
      </c>
      <c r="Q104" s="3548">
        <f>IF(K104=0, 0, (HLOOKUP(K104,'[3]G-CESTDWO'!$A$5:$G$35,J104+1,FALSE)*R54))</f>
        <v>0</v>
      </c>
      <c r="R104" s="3548">
        <f>IF(K104=0, 0, (HLOOKUP(K104,'[3]G-CESTD'!$A$5:$G$35,J104+1,FALSE)*R54))</f>
        <v>0</v>
      </c>
      <c r="S104" s="3592">
        <v>1.0780000000000001</v>
      </c>
      <c r="T104" s="4150">
        <f t="shared" si="12"/>
        <v>0</v>
      </c>
      <c r="U104" s="4150">
        <f t="shared" si="12"/>
        <v>0</v>
      </c>
      <c r="V104" s="280">
        <f t="shared" si="19"/>
        <v>0</v>
      </c>
    </row>
    <row r="105" spans="2:22" ht="13.5" thickBot="1">
      <c r="G105" s="286">
        <f>SUMPRODUCT(G63:G104,O13:O54)</f>
        <v>0</v>
      </c>
      <c r="H105" s="287">
        <f>V105</f>
        <v>0</v>
      </c>
      <c r="I105" s="288">
        <f>SUM(I63:I104)</f>
        <v>1</v>
      </c>
      <c r="J105" s="289" t="e">
        <f>ROUND(SUMPRODUCT(J63:J104,R13:R54)/R55,0)</f>
        <v>#DIV/0!</v>
      </c>
      <c r="K105" s="264" t="s">
        <v>613</v>
      </c>
      <c r="L105" s="3580"/>
      <c r="M105" s="3448" t="e">
        <f>Q105/O105</f>
        <v>#DIV/0!</v>
      </c>
      <c r="N105" s="3449" t="e">
        <f>R105/P105</f>
        <v>#DIV/0!</v>
      </c>
      <c r="O105" s="297">
        <f>SUM(O63:O104)</f>
        <v>0</v>
      </c>
      <c r="P105" s="297">
        <f>SUM(P63:P104)</f>
        <v>0</v>
      </c>
      <c r="Q105" s="297">
        <f>SUM(Q63:Q104)</f>
        <v>0</v>
      </c>
      <c r="R105" s="297">
        <f>SUM(R63:R104)</f>
        <v>0</v>
      </c>
      <c r="S105" s="293">
        <v>1.081</v>
      </c>
      <c r="T105" s="294">
        <f>SUM(T63:T104)</f>
        <v>0</v>
      </c>
      <c r="U105" s="294">
        <f>SUM(U63:U104)</f>
        <v>0</v>
      </c>
      <c r="V105" s="294">
        <f>SUM(V63:V104)</f>
        <v>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 right="0.2" top="0.34" bottom="0.36"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 right="0.2" top="0.34" bottom="0.36" header="0.3" footer="0.3"/>
  <pageSetup paperSize="17" scale="52" orientation="landscape" r:id="rId2"/>
  <drawing r:id="rId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sheetPr enableFormatConditionsCalculation="0">
    <tabColor theme="9" tint="0.59999389629810485"/>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H23" sqref="H23"/>
    </sheetView>
  </sheetViews>
  <sheetFormatPr defaultColWidth="8.85546875" defaultRowHeight="12.75"/>
  <cols>
    <col min="1" max="1" width="15.28515625" style="3064" customWidth="1"/>
    <col min="2" max="2" width="17.28515625" customWidth="1"/>
    <col min="3" max="3" width="37.42578125" customWidth="1"/>
    <col min="4" max="4" width="15.28515625" style="19" customWidth="1"/>
    <col min="5" max="5" width="15.28515625" customWidth="1"/>
    <col min="6" max="6" width="14.855468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5.28515625" bestFit="1" customWidth="1"/>
    <col min="262" max="262" width="14.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5.28515625" bestFit="1" customWidth="1"/>
    <col min="518" max="518" width="14.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5.28515625" bestFit="1" customWidth="1"/>
    <col min="774" max="774" width="14.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5.28515625" bestFit="1" customWidth="1"/>
    <col min="1030" max="1030" width="14.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5.28515625" bestFit="1" customWidth="1"/>
    <col min="1286" max="1286" width="14.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5.28515625" bestFit="1" customWidth="1"/>
    <col min="1542" max="1542" width="14.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5.28515625" bestFit="1" customWidth="1"/>
    <col min="1798" max="1798" width="14.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5.28515625" bestFit="1" customWidth="1"/>
    <col min="2054" max="2054" width="14.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5.28515625" bestFit="1" customWidth="1"/>
    <col min="2310" max="2310" width="14.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5.28515625" bestFit="1" customWidth="1"/>
    <col min="2566" max="2566" width="14.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5.28515625" bestFit="1" customWidth="1"/>
    <col min="2822" max="2822" width="14.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5.28515625" bestFit="1" customWidth="1"/>
    <col min="3078" max="3078" width="14.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5.28515625" bestFit="1" customWidth="1"/>
    <col min="3334" max="3334" width="14.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5.28515625" bestFit="1" customWidth="1"/>
    <col min="3590" max="3590" width="14.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5.28515625" bestFit="1" customWidth="1"/>
    <col min="3846" max="3846" width="14.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5.28515625" bestFit="1" customWidth="1"/>
    <col min="4102" max="4102" width="14.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5.28515625" bestFit="1" customWidth="1"/>
    <col min="4358" max="4358" width="14.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5.28515625" bestFit="1" customWidth="1"/>
    <col min="4614" max="4614" width="14.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5.28515625" bestFit="1" customWidth="1"/>
    <col min="4870" max="4870" width="14.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5.28515625" bestFit="1" customWidth="1"/>
    <col min="5126" max="5126" width="14.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5.28515625" bestFit="1" customWidth="1"/>
    <col min="5382" max="5382" width="14.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5.28515625" bestFit="1" customWidth="1"/>
    <col min="5638" max="5638" width="14.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5.28515625" bestFit="1" customWidth="1"/>
    <col min="5894" max="5894" width="14.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5.28515625" bestFit="1" customWidth="1"/>
    <col min="6150" max="6150" width="14.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5.28515625" bestFit="1" customWidth="1"/>
    <col min="6406" max="6406" width="14.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5.28515625" bestFit="1" customWidth="1"/>
    <col min="6662" max="6662" width="14.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5.28515625" bestFit="1" customWidth="1"/>
    <col min="6918" max="6918" width="14.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5.28515625" bestFit="1" customWidth="1"/>
    <col min="7174" max="7174" width="14.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5.28515625" bestFit="1" customWidth="1"/>
    <col min="7430" max="7430" width="14.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5.28515625" bestFit="1" customWidth="1"/>
    <col min="7686" max="7686" width="14.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5.28515625" bestFit="1" customWidth="1"/>
    <col min="7942" max="7942" width="14.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5.28515625" bestFit="1" customWidth="1"/>
    <col min="8198" max="8198" width="14.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5.28515625" bestFit="1" customWidth="1"/>
    <col min="8454" max="8454" width="14.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5.28515625" bestFit="1" customWidth="1"/>
    <col min="8710" max="8710" width="14.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5.28515625" bestFit="1" customWidth="1"/>
    <col min="8966" max="8966" width="14.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5.28515625" bestFit="1" customWidth="1"/>
    <col min="9222" max="9222" width="14.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5.28515625" bestFit="1" customWidth="1"/>
    <col min="9478" max="9478" width="14.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5.28515625" bestFit="1" customWidth="1"/>
    <col min="9734" max="9734" width="14.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5.28515625" bestFit="1" customWidth="1"/>
    <col min="9990" max="9990" width="14.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5.28515625" bestFit="1" customWidth="1"/>
    <col min="10246" max="10246" width="14.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5.28515625" bestFit="1" customWidth="1"/>
    <col min="10502" max="10502" width="14.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5.28515625" bestFit="1" customWidth="1"/>
    <col min="10758" max="10758" width="14.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5.28515625" bestFit="1" customWidth="1"/>
    <col min="11014" max="11014" width="14.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5.28515625" bestFit="1" customWidth="1"/>
    <col min="11270" max="11270" width="14.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5.28515625" bestFit="1" customWidth="1"/>
    <col min="11526" max="11526" width="14.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5.28515625" bestFit="1" customWidth="1"/>
    <col min="11782" max="11782" width="14.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5.28515625" bestFit="1" customWidth="1"/>
    <col min="12038" max="12038" width="14.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5.28515625" bestFit="1" customWidth="1"/>
    <col min="12294" max="12294" width="14.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5.28515625" bestFit="1" customWidth="1"/>
    <col min="12550" max="12550" width="14.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5.28515625" bestFit="1" customWidth="1"/>
    <col min="12806" max="12806" width="14.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5.28515625" bestFit="1" customWidth="1"/>
    <col min="13062" max="13062" width="14.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5.28515625" bestFit="1" customWidth="1"/>
    <col min="13318" max="13318" width="14.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5.28515625" bestFit="1" customWidth="1"/>
    <col min="13574" max="13574" width="14.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5.28515625" bestFit="1" customWidth="1"/>
    <col min="13830" max="13830" width="14.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5.28515625" bestFit="1" customWidth="1"/>
    <col min="14086" max="14086" width="14.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5.28515625" bestFit="1" customWidth="1"/>
    <col min="14342" max="14342" width="14.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5.28515625" bestFit="1" customWidth="1"/>
    <col min="14598" max="14598" width="14.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5.28515625" bestFit="1" customWidth="1"/>
    <col min="14854" max="14854" width="14.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5.28515625" bestFit="1" customWidth="1"/>
    <col min="15110" max="15110" width="14.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5.28515625" bestFit="1" customWidth="1"/>
    <col min="15366" max="15366" width="14.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5.28515625" bestFit="1" customWidth="1"/>
    <col min="15622" max="15622" width="14.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5.28515625" bestFit="1" customWidth="1"/>
    <col min="15878" max="15878" width="14.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5.28515625" bestFit="1" customWidth="1"/>
    <col min="16134" max="16134" width="14.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2" customHeight="1" thickBot="1">
      <c r="B1" s="3461"/>
      <c r="F1" s="198"/>
      <c r="G1" s="198">
        <f>C3</f>
        <v>18230442</v>
      </c>
      <c r="H1" s="198" t="str">
        <f>C4</f>
        <v>Energy Star Manufactured Home Gas</v>
      </c>
      <c r="I1" s="198"/>
    </row>
    <row r="2" spans="2:22" ht="16.5" thickBot="1">
      <c r="B2" s="198" t="s">
        <v>109</v>
      </c>
      <c r="C2" s="199" t="s">
        <v>599</v>
      </c>
      <c r="G2" s="200" t="s">
        <v>8</v>
      </c>
      <c r="Q2" s="5133" t="s">
        <v>556</v>
      </c>
      <c r="R2" s="5133"/>
      <c r="S2" s="5124" t="s">
        <v>110</v>
      </c>
      <c r="T2" s="5125"/>
      <c r="U2" s="5126"/>
      <c r="V2" s="5118" t="s">
        <v>111</v>
      </c>
    </row>
    <row r="3" spans="2:22" ht="16.5" thickBot="1">
      <c r="B3" s="199" t="s">
        <v>6</v>
      </c>
      <c r="C3" s="199">
        <v>18230442</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600</v>
      </c>
      <c r="F4" s="198">
        <v>2011</v>
      </c>
      <c r="G4" s="206">
        <f>B13</f>
        <v>3000</v>
      </c>
      <c r="H4" s="207">
        <f>B18</f>
        <v>2000</v>
      </c>
      <c r="I4" s="207">
        <f>B23</f>
        <v>3150</v>
      </c>
      <c r="J4" s="207">
        <f>B28</f>
        <v>1946</v>
      </c>
      <c r="K4" s="207">
        <f>B33</f>
        <v>250</v>
      </c>
      <c r="L4" s="207">
        <f>B38</f>
        <v>0</v>
      </c>
      <c r="M4" s="207">
        <f>B43</f>
        <v>0</v>
      </c>
      <c r="N4" s="207">
        <f>B48</f>
        <v>0</v>
      </c>
      <c r="O4" s="207">
        <f>B53</f>
        <v>2250</v>
      </c>
      <c r="P4" s="207">
        <f>B54</f>
        <v>0</v>
      </c>
      <c r="Q4" s="209">
        <f>B55</f>
        <v>12596</v>
      </c>
      <c r="R4" s="355">
        <f>T55</f>
        <v>0</v>
      </c>
      <c r="S4" s="316">
        <f>O4/Q4</f>
        <v>0.17862813591616386</v>
      </c>
      <c r="T4" s="316">
        <f>(J4+(H4*1.63))/Q4</f>
        <v>0.41330581136868849</v>
      </c>
      <c r="U4" s="316">
        <f>L4/Q4</f>
        <v>0</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P55</f>
        <v>0</v>
      </c>
      <c r="S5" s="317" t="e">
        <f>O5/Q5</f>
        <v>#DIV/0!</v>
      </c>
      <c r="T5" s="317" t="e">
        <f>(J5+(H5*1.63))/Q5</f>
        <v>#DIV/0!</v>
      </c>
      <c r="U5" s="317" t="e">
        <f>L5/Q5</f>
        <v>#DIV/0!</v>
      </c>
      <c r="V5" s="218" t="e">
        <f>Q5/R5</f>
        <v>#DIV/0!</v>
      </c>
    </row>
    <row r="6" spans="2:22" s="3532" customFormat="1" ht="16.5" thickBot="1">
      <c r="B6" s="3536"/>
      <c r="D6" s="3533"/>
      <c r="F6" s="4249" t="s">
        <v>1168</v>
      </c>
      <c r="G6" s="3547">
        <v>2998</v>
      </c>
      <c r="H6" s="3548">
        <v>2000</v>
      </c>
      <c r="I6" s="3548">
        <v>3148.74</v>
      </c>
      <c r="J6" s="3548">
        <v>2337</v>
      </c>
      <c r="K6" s="3548">
        <v>250</v>
      </c>
      <c r="L6" s="3548">
        <v>0</v>
      </c>
      <c r="M6" s="3548">
        <v>0</v>
      </c>
      <c r="N6" s="3548">
        <v>0</v>
      </c>
      <c r="O6" s="3548">
        <v>2250</v>
      </c>
      <c r="P6" s="3548">
        <v>0</v>
      </c>
      <c r="Q6" s="3549">
        <v>12983.74</v>
      </c>
      <c r="R6" s="3610">
        <v>3000</v>
      </c>
      <c r="S6" s="3637">
        <v>0.17329367347158831</v>
      </c>
      <c r="T6" s="3637">
        <v>0.43107764018687988</v>
      </c>
      <c r="U6" s="3637">
        <v>0</v>
      </c>
      <c r="V6" s="3498">
        <v>4.3279133333333331</v>
      </c>
    </row>
    <row r="7" spans="2:22" ht="16.5" thickBot="1">
      <c r="C7" s="198" t="s">
        <v>444</v>
      </c>
      <c r="F7" s="4281" t="s">
        <v>1169</v>
      </c>
      <c r="G7" s="4195">
        <f>E13</f>
        <v>0</v>
      </c>
      <c r="H7" s="4196">
        <f>E18</f>
        <v>0</v>
      </c>
      <c r="I7" s="4196">
        <f>E23</f>
        <v>0</v>
      </c>
      <c r="J7" s="4196">
        <f>E28</f>
        <v>0</v>
      </c>
      <c r="K7" s="4196">
        <f>E33</f>
        <v>0</v>
      </c>
      <c r="L7" s="4196">
        <f>E38</f>
        <v>0</v>
      </c>
      <c r="M7" s="4196">
        <f>E43</f>
        <v>0</v>
      </c>
      <c r="N7" s="4196">
        <f>E48</f>
        <v>0</v>
      </c>
      <c r="O7" s="4196">
        <f>E53</f>
        <v>0</v>
      </c>
      <c r="P7" s="4196">
        <f>E54</f>
        <v>0</v>
      </c>
      <c r="Q7" s="4197">
        <f>SUM(G7:P7)</f>
        <v>0</v>
      </c>
      <c r="R7" s="4198">
        <f>Q55</f>
        <v>0</v>
      </c>
      <c r="S7" s="317" t="e">
        <f>O7/Q7</f>
        <v>#DIV/0!</v>
      </c>
      <c r="T7" s="317" t="e">
        <f>(J7+(H7*1.63))/Q7</f>
        <v>#DIV/0!</v>
      </c>
      <c r="U7" s="317" t="e">
        <f>L7/Q7</f>
        <v>#DIV/0!</v>
      </c>
      <c r="V7" s="218" t="e">
        <f>Q7/R7</f>
        <v>#DIV/0!</v>
      </c>
    </row>
    <row r="8" spans="2:22" ht="16.5" thickBot="1">
      <c r="C8" s="220" t="s">
        <v>445</v>
      </c>
      <c r="F8" s="3611" t="s">
        <v>1175</v>
      </c>
      <c r="G8" s="357">
        <f>SUM(G5+G7)</f>
        <v>0</v>
      </c>
      <c r="H8" s="3612">
        <f t="shared" ref="H8:R8" si="0">SUM(H5+H7)</f>
        <v>0</v>
      </c>
      <c r="I8" s="3612">
        <f t="shared" si="0"/>
        <v>0</v>
      </c>
      <c r="J8" s="3612">
        <f t="shared" si="0"/>
        <v>0</v>
      </c>
      <c r="K8" s="3612">
        <f t="shared" si="0"/>
        <v>0</v>
      </c>
      <c r="L8" s="3612">
        <f t="shared" si="0"/>
        <v>0</v>
      </c>
      <c r="M8" s="3612">
        <f t="shared" si="0"/>
        <v>0</v>
      </c>
      <c r="N8" s="3612">
        <f t="shared" si="0"/>
        <v>0</v>
      </c>
      <c r="O8" s="3612">
        <f t="shared" si="0"/>
        <v>0</v>
      </c>
      <c r="P8" s="3612">
        <f t="shared" si="0"/>
        <v>0</v>
      </c>
      <c r="Q8" s="3612">
        <f t="shared" si="0"/>
        <v>0</v>
      </c>
      <c r="R8" s="3610">
        <f t="shared" si="0"/>
        <v>0</v>
      </c>
      <c r="S8" s="317" t="e">
        <f>O8/Q8</f>
        <v>#DIV/0!</v>
      </c>
      <c r="T8" s="317" t="e">
        <f>(J8+(H8*1.63))/Q8</f>
        <v>#DIV/0!</v>
      </c>
      <c r="U8" s="317" t="e">
        <f>L8/Q8</f>
        <v>#DIV/0!</v>
      </c>
      <c r="V8" s="218" t="e">
        <f>Q8/R8</f>
        <v>#DIV/0!</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3000</v>
      </c>
      <c r="C13" s="236" t="s">
        <v>138</v>
      </c>
      <c r="D13" s="237">
        <f>SUM(D14:D17)</f>
        <v>0</v>
      </c>
      <c r="E13" s="237">
        <f>SUM(E14:E17)</f>
        <v>0</v>
      </c>
      <c r="F13" s="238">
        <f>D13+E13</f>
        <v>0</v>
      </c>
      <c r="H13" s="132"/>
      <c r="I13" s="239" t="str">
        <f t="shared" ref="I13:I54" si="1">C63</f>
        <v>Manufactured Home Gas</v>
      </c>
      <c r="J13" s="240"/>
      <c r="K13" s="241"/>
      <c r="L13" s="360">
        <f t="shared" ref="L13:L54" si="2">D63</f>
        <v>200</v>
      </c>
      <c r="M13" s="257">
        <v>0</v>
      </c>
      <c r="N13" s="4444">
        <v>0</v>
      </c>
      <c r="O13" s="244">
        <f>M13+N13</f>
        <v>0</v>
      </c>
      <c r="P13" s="361">
        <f t="shared" ref="P13:R28" si="3">M13*$D63</f>
        <v>0</v>
      </c>
      <c r="Q13" s="361">
        <f>N13*$D63</f>
        <v>0</v>
      </c>
      <c r="R13" s="362">
        <f t="shared" si="3"/>
        <v>0</v>
      </c>
      <c r="T13" s="3535"/>
    </row>
    <row r="14" spans="2:22">
      <c r="B14" s="247"/>
      <c r="C14" s="248" t="s">
        <v>33</v>
      </c>
      <c r="D14" s="249">
        <v>0</v>
      </c>
      <c r="E14" s="4447">
        <v>0</v>
      </c>
      <c r="F14" s="249">
        <f>SUM(D14:E14)</f>
        <v>0</v>
      </c>
      <c r="H14" s="132"/>
      <c r="I14" s="250" t="str">
        <f t="shared" si="1"/>
        <v>Measure 2</v>
      </c>
      <c r="J14" s="251"/>
      <c r="K14" s="252"/>
      <c r="L14" s="360">
        <f t="shared" si="2"/>
        <v>0</v>
      </c>
      <c r="M14" s="257">
        <v>0</v>
      </c>
      <c r="N14" s="257">
        <v>0</v>
      </c>
      <c r="O14" s="244">
        <f t="shared" ref="O14:O54" si="4">M14+N14</f>
        <v>0</v>
      </c>
      <c r="P14" s="361">
        <f t="shared" si="3"/>
        <v>0</v>
      </c>
      <c r="Q14" s="361">
        <f t="shared" si="3"/>
        <v>0</v>
      </c>
      <c r="R14" s="362">
        <f t="shared" si="3"/>
        <v>0</v>
      </c>
      <c r="T14" s="3535"/>
    </row>
    <row r="15" spans="2:22">
      <c r="B15" s="254"/>
      <c r="C15" s="255" t="s">
        <v>240</v>
      </c>
      <c r="D15" s="256">
        <v>0</v>
      </c>
      <c r="E15" s="4449">
        <v>0</v>
      </c>
      <c r="F15" s="249">
        <f t="shared" ref="F15:F25" si="5">SUM(D15:E15)</f>
        <v>0</v>
      </c>
      <c r="H15" s="132"/>
      <c r="I15" s="250" t="str">
        <f t="shared" si="1"/>
        <v>Measure 3</v>
      </c>
      <c r="J15" s="251"/>
      <c r="K15" s="252"/>
      <c r="L15" s="360">
        <f t="shared" si="2"/>
        <v>0</v>
      </c>
      <c r="M15" s="257">
        <v>0</v>
      </c>
      <c r="N15" s="257">
        <v>0</v>
      </c>
      <c r="O15" s="244">
        <f t="shared" si="4"/>
        <v>0</v>
      </c>
      <c r="P15" s="361">
        <f t="shared" si="3"/>
        <v>0</v>
      </c>
      <c r="Q15" s="361">
        <f t="shared" si="3"/>
        <v>0</v>
      </c>
      <c r="R15" s="362">
        <f t="shared" si="3"/>
        <v>0</v>
      </c>
      <c r="T15" s="3535"/>
    </row>
    <row r="16" spans="2:22">
      <c r="B16" s="254"/>
      <c r="C16" s="255" t="s">
        <v>597</v>
      </c>
      <c r="D16" s="258">
        <v>0</v>
      </c>
      <c r="E16" s="4965">
        <v>0</v>
      </c>
      <c r="F16" s="249">
        <f t="shared" si="5"/>
        <v>0</v>
      </c>
      <c r="H16" s="132"/>
      <c r="I16" s="250" t="str">
        <f t="shared" si="1"/>
        <v>Measure 4</v>
      </c>
      <c r="J16" s="251"/>
      <c r="K16" s="252"/>
      <c r="L16" s="360">
        <f t="shared" si="2"/>
        <v>0</v>
      </c>
      <c r="M16" s="257">
        <v>0</v>
      </c>
      <c r="N16" s="257">
        <v>0</v>
      </c>
      <c r="O16" s="244">
        <f t="shared" si="4"/>
        <v>0</v>
      </c>
      <c r="P16" s="361">
        <f t="shared" si="3"/>
        <v>0</v>
      </c>
      <c r="Q16" s="361">
        <f t="shared" si="3"/>
        <v>0</v>
      </c>
      <c r="R16" s="362">
        <f t="shared" si="3"/>
        <v>0</v>
      </c>
      <c r="T16" s="3535"/>
    </row>
    <row r="17" spans="2:20" ht="13.5" thickBot="1">
      <c r="B17" s="254"/>
      <c r="C17" s="255" t="s">
        <v>142</v>
      </c>
      <c r="D17" s="258">
        <v>0</v>
      </c>
      <c r="E17" s="258"/>
      <c r="F17" s="249">
        <f t="shared" si="5"/>
        <v>0</v>
      </c>
      <c r="H17" s="132"/>
      <c r="I17" s="250" t="str">
        <f t="shared" si="1"/>
        <v>Measure 5</v>
      </c>
      <c r="J17" s="251"/>
      <c r="K17" s="252"/>
      <c r="L17" s="360">
        <f t="shared" si="2"/>
        <v>0</v>
      </c>
      <c r="M17" s="257">
        <v>0</v>
      </c>
      <c r="N17" s="257">
        <v>0</v>
      </c>
      <c r="O17" s="244">
        <f t="shared" si="4"/>
        <v>0</v>
      </c>
      <c r="P17" s="361">
        <f t="shared" si="3"/>
        <v>0</v>
      </c>
      <c r="Q17" s="361">
        <f t="shared" si="3"/>
        <v>0</v>
      </c>
      <c r="R17" s="362">
        <f t="shared" si="3"/>
        <v>0</v>
      </c>
      <c r="T17" s="3535"/>
    </row>
    <row r="18" spans="2:20" ht="13.5" thickBot="1">
      <c r="B18" s="262">
        <v>2000</v>
      </c>
      <c r="C18" s="236" t="s">
        <v>143</v>
      </c>
      <c r="D18" s="237">
        <f>SUM(D19:D22)</f>
        <v>0</v>
      </c>
      <c r="E18" s="237">
        <f>SUM(E19:E22)</f>
        <v>0</v>
      </c>
      <c r="F18" s="238">
        <f>D18+E18</f>
        <v>0</v>
      </c>
      <c r="H18" s="132"/>
      <c r="I18" s="250" t="str">
        <f t="shared" si="1"/>
        <v>Measure 6</v>
      </c>
      <c r="J18" s="251"/>
      <c r="K18" s="252"/>
      <c r="L18" s="360">
        <f t="shared" si="2"/>
        <v>0</v>
      </c>
      <c r="M18" s="257">
        <v>0</v>
      </c>
      <c r="N18" s="257">
        <v>0</v>
      </c>
      <c r="O18" s="244">
        <f t="shared" si="4"/>
        <v>0</v>
      </c>
      <c r="P18" s="361">
        <f t="shared" si="3"/>
        <v>0</v>
      </c>
      <c r="Q18" s="361">
        <f t="shared" si="3"/>
        <v>0</v>
      </c>
      <c r="R18" s="362">
        <f t="shared" si="3"/>
        <v>0</v>
      </c>
      <c r="T18" s="3535"/>
    </row>
    <row r="19" spans="2:20">
      <c r="B19" s="247"/>
      <c r="C19" s="248" t="s">
        <v>448</v>
      </c>
      <c r="D19" s="249">
        <v>0</v>
      </c>
      <c r="E19" s="4447">
        <v>0</v>
      </c>
      <c r="F19" s="249">
        <f t="shared" si="5"/>
        <v>0</v>
      </c>
      <c r="H19" s="132"/>
      <c r="I19" s="250" t="str">
        <f t="shared" si="1"/>
        <v>Measure 7</v>
      </c>
      <c r="J19" s="251"/>
      <c r="K19" s="252"/>
      <c r="L19" s="360">
        <f t="shared" si="2"/>
        <v>0</v>
      </c>
      <c r="M19" s="257">
        <v>0</v>
      </c>
      <c r="N19" s="257">
        <v>0</v>
      </c>
      <c r="O19" s="244">
        <f t="shared" si="4"/>
        <v>0</v>
      </c>
      <c r="P19" s="361">
        <f t="shared" si="3"/>
        <v>0</v>
      </c>
      <c r="Q19" s="361">
        <f t="shared" si="3"/>
        <v>0</v>
      </c>
      <c r="R19" s="362">
        <f t="shared" si="3"/>
        <v>0</v>
      </c>
      <c r="T19" s="3535"/>
    </row>
    <row r="20" spans="2:20">
      <c r="B20" s="254"/>
      <c r="C20" s="255" t="s">
        <v>140</v>
      </c>
      <c r="D20" s="256">
        <v>0</v>
      </c>
      <c r="E20" s="256"/>
      <c r="F20" s="249">
        <f t="shared" si="5"/>
        <v>0</v>
      </c>
      <c r="H20" s="132"/>
      <c r="I20" s="250" t="str">
        <f t="shared" si="1"/>
        <v>Measure 8</v>
      </c>
      <c r="J20" s="251"/>
      <c r="K20" s="252"/>
      <c r="L20" s="360">
        <f t="shared" si="2"/>
        <v>0</v>
      </c>
      <c r="M20" s="257">
        <v>0</v>
      </c>
      <c r="N20" s="257">
        <v>0</v>
      </c>
      <c r="O20" s="244">
        <f t="shared" si="4"/>
        <v>0</v>
      </c>
      <c r="P20" s="361">
        <f t="shared" si="3"/>
        <v>0</v>
      </c>
      <c r="Q20" s="361">
        <f t="shared" si="3"/>
        <v>0</v>
      </c>
      <c r="R20" s="362">
        <f t="shared" si="3"/>
        <v>0</v>
      </c>
      <c r="T20" s="3535"/>
    </row>
    <row r="21" spans="2:20">
      <c r="B21" s="254"/>
      <c r="C21" s="255" t="s">
        <v>141</v>
      </c>
      <c r="D21" s="258">
        <v>0</v>
      </c>
      <c r="E21" s="258"/>
      <c r="F21" s="249">
        <f t="shared" si="5"/>
        <v>0</v>
      </c>
      <c r="H21" s="132"/>
      <c r="I21" s="250" t="str">
        <f t="shared" si="1"/>
        <v>Measure 9</v>
      </c>
      <c r="J21" s="251"/>
      <c r="K21" s="252"/>
      <c r="L21" s="360">
        <f t="shared" si="2"/>
        <v>0</v>
      </c>
      <c r="M21" s="257">
        <v>0</v>
      </c>
      <c r="N21" s="257">
        <v>0</v>
      </c>
      <c r="O21" s="244">
        <f t="shared" si="4"/>
        <v>0</v>
      </c>
      <c r="P21" s="361">
        <f t="shared" si="3"/>
        <v>0</v>
      </c>
      <c r="Q21" s="361">
        <f t="shared" si="3"/>
        <v>0</v>
      </c>
      <c r="R21" s="362">
        <f t="shared" si="3"/>
        <v>0</v>
      </c>
      <c r="T21" s="3535"/>
    </row>
    <row r="22" spans="2:20" ht="13.5" thickBot="1">
      <c r="B22" s="254"/>
      <c r="C22" s="255" t="s">
        <v>142</v>
      </c>
      <c r="D22" s="258">
        <v>0</v>
      </c>
      <c r="E22" s="258"/>
      <c r="F22" s="249">
        <f t="shared" si="5"/>
        <v>0</v>
      </c>
      <c r="H22" s="132"/>
      <c r="I22" s="250" t="str">
        <f t="shared" si="1"/>
        <v>Measure 10</v>
      </c>
      <c r="J22" s="251"/>
      <c r="K22" s="252"/>
      <c r="L22" s="360">
        <f t="shared" si="2"/>
        <v>0</v>
      </c>
      <c r="M22" s="257">
        <v>0</v>
      </c>
      <c r="N22" s="257">
        <v>0</v>
      </c>
      <c r="O22" s="244">
        <f t="shared" si="4"/>
        <v>0</v>
      </c>
      <c r="P22" s="361">
        <f t="shared" si="3"/>
        <v>0</v>
      </c>
      <c r="Q22" s="361">
        <f t="shared" si="3"/>
        <v>0</v>
      </c>
      <c r="R22" s="362">
        <f t="shared" si="3"/>
        <v>0</v>
      </c>
      <c r="T22" s="3535"/>
    </row>
    <row r="23" spans="2:20" ht="13.5" thickBot="1">
      <c r="B23" s="262">
        <v>3150</v>
      </c>
      <c r="C23" s="236" t="s">
        <v>144</v>
      </c>
      <c r="D23" s="237">
        <f>SUM(D24:D27)</f>
        <v>0</v>
      </c>
      <c r="E23" s="237">
        <f>SUM(E24:E27)</f>
        <v>0</v>
      </c>
      <c r="F23" s="238">
        <f>D23+E23</f>
        <v>0</v>
      </c>
      <c r="G23" s="53"/>
      <c r="H23" s="132"/>
      <c r="I23" s="250" t="str">
        <f t="shared" si="1"/>
        <v>Measure 11</v>
      </c>
      <c r="J23" s="251"/>
      <c r="K23" s="252"/>
      <c r="L23" s="360">
        <f t="shared" si="2"/>
        <v>0</v>
      </c>
      <c r="M23" s="257">
        <v>0</v>
      </c>
      <c r="N23" s="257">
        <v>0</v>
      </c>
      <c r="O23" s="244">
        <f t="shared" si="4"/>
        <v>0</v>
      </c>
      <c r="P23" s="361">
        <f t="shared" si="3"/>
        <v>0</v>
      </c>
      <c r="Q23" s="361">
        <f t="shared" si="3"/>
        <v>0</v>
      </c>
      <c r="R23" s="362">
        <f t="shared" si="3"/>
        <v>0</v>
      </c>
      <c r="T23" s="3535"/>
    </row>
    <row r="24" spans="2:20">
      <c r="B24" s="247"/>
      <c r="C24" s="3566" t="s">
        <v>1434</v>
      </c>
      <c r="D24" s="249">
        <f>0.63*D13</f>
        <v>0</v>
      </c>
      <c r="E24" s="249">
        <f>0.707*E13</f>
        <v>0</v>
      </c>
      <c r="F24" s="249">
        <f t="shared" si="5"/>
        <v>0</v>
      </c>
      <c r="H24" s="132"/>
      <c r="I24" s="250" t="str">
        <f t="shared" si="1"/>
        <v>Measure 12</v>
      </c>
      <c r="J24" s="251"/>
      <c r="K24" s="252"/>
      <c r="L24" s="360">
        <f t="shared" si="2"/>
        <v>0</v>
      </c>
      <c r="M24" s="257">
        <v>0</v>
      </c>
      <c r="N24" s="257">
        <v>0</v>
      </c>
      <c r="O24" s="244">
        <f t="shared" si="4"/>
        <v>0</v>
      </c>
      <c r="P24" s="361">
        <f t="shared" si="3"/>
        <v>0</v>
      </c>
      <c r="Q24" s="361">
        <f t="shared" si="3"/>
        <v>0</v>
      </c>
      <c r="R24" s="362">
        <f t="shared" si="3"/>
        <v>0</v>
      </c>
      <c r="T24" s="3535"/>
    </row>
    <row r="25" spans="2:20">
      <c r="B25" s="247"/>
      <c r="C25" s="3566" t="s">
        <v>1435</v>
      </c>
      <c r="D25" s="256">
        <v>0</v>
      </c>
      <c r="E25" s="256">
        <f>0.707*E18</f>
        <v>0</v>
      </c>
      <c r="F25" s="249">
        <f t="shared" si="5"/>
        <v>0</v>
      </c>
      <c r="H25" s="132"/>
      <c r="I25" s="250" t="str">
        <f t="shared" si="1"/>
        <v>Measure 13</v>
      </c>
      <c r="J25" s="251"/>
      <c r="K25" s="252"/>
      <c r="L25" s="360">
        <f t="shared" si="2"/>
        <v>0</v>
      </c>
      <c r="M25" s="257">
        <v>0</v>
      </c>
      <c r="N25" s="257">
        <v>0</v>
      </c>
      <c r="O25" s="244">
        <f t="shared" si="4"/>
        <v>0</v>
      </c>
      <c r="P25" s="361">
        <f t="shared" si="3"/>
        <v>0</v>
      </c>
      <c r="Q25" s="361">
        <f t="shared" si="3"/>
        <v>0</v>
      </c>
      <c r="R25" s="362">
        <f t="shared" si="3"/>
        <v>0</v>
      </c>
      <c r="T25" s="3535"/>
    </row>
    <row r="26" spans="2:20">
      <c r="B26" s="254"/>
      <c r="C26" s="255"/>
      <c r="D26" s="258"/>
      <c r="E26" s="258"/>
      <c r="F26" s="258"/>
      <c r="H26" s="132"/>
      <c r="I26" s="250" t="str">
        <f t="shared" si="1"/>
        <v>Measure 14</v>
      </c>
      <c r="J26" s="251"/>
      <c r="K26" s="252"/>
      <c r="L26" s="360">
        <f t="shared" si="2"/>
        <v>0</v>
      </c>
      <c r="M26" s="257">
        <v>0</v>
      </c>
      <c r="N26" s="257">
        <v>0</v>
      </c>
      <c r="O26" s="244">
        <f t="shared" si="4"/>
        <v>0</v>
      </c>
      <c r="P26" s="361">
        <f t="shared" si="3"/>
        <v>0</v>
      </c>
      <c r="Q26" s="361">
        <f t="shared" si="3"/>
        <v>0</v>
      </c>
      <c r="R26" s="362">
        <f t="shared" si="3"/>
        <v>0</v>
      </c>
      <c r="T26" s="3535"/>
    </row>
    <row r="27" spans="2:20" ht="13.5" thickBot="1">
      <c r="B27" s="254"/>
      <c r="C27" s="255"/>
      <c r="D27" s="258"/>
      <c r="E27" s="258"/>
      <c r="F27" s="258"/>
      <c r="H27" s="132"/>
      <c r="I27" s="250" t="str">
        <f t="shared" si="1"/>
        <v>Measure 15</v>
      </c>
      <c r="J27" s="251"/>
      <c r="K27" s="252"/>
      <c r="L27" s="360">
        <f t="shared" si="2"/>
        <v>0</v>
      </c>
      <c r="M27" s="257">
        <v>0</v>
      </c>
      <c r="N27" s="257">
        <v>0</v>
      </c>
      <c r="O27" s="244">
        <f t="shared" si="4"/>
        <v>0</v>
      </c>
      <c r="P27" s="361">
        <f t="shared" si="3"/>
        <v>0</v>
      </c>
      <c r="Q27" s="361">
        <f t="shared" si="3"/>
        <v>0</v>
      </c>
      <c r="R27" s="362">
        <f t="shared" si="3"/>
        <v>0</v>
      </c>
      <c r="T27" s="3535"/>
    </row>
    <row r="28" spans="2:20" ht="13.5" thickBot="1">
      <c r="B28" s="262">
        <v>1946</v>
      </c>
      <c r="C28" s="236" t="s">
        <v>145</v>
      </c>
      <c r="D28" s="237">
        <f>SUM(D29:D32)</f>
        <v>0</v>
      </c>
      <c r="E28" s="237">
        <f>SUM(E29:E32)</f>
        <v>0</v>
      </c>
      <c r="F28" s="238">
        <f>D28+E28</f>
        <v>0</v>
      </c>
      <c r="H28" s="132"/>
      <c r="I28" s="250" t="str">
        <f t="shared" si="1"/>
        <v>Measure 16</v>
      </c>
      <c r="J28" s="251"/>
      <c r="K28" s="252"/>
      <c r="L28" s="360">
        <f t="shared" si="2"/>
        <v>0</v>
      </c>
      <c r="M28" s="257">
        <v>0</v>
      </c>
      <c r="N28" s="257">
        <v>0</v>
      </c>
      <c r="O28" s="244">
        <f t="shared" si="4"/>
        <v>0</v>
      </c>
      <c r="P28" s="361">
        <f t="shared" si="3"/>
        <v>0</v>
      </c>
      <c r="Q28" s="361">
        <f t="shared" si="3"/>
        <v>0</v>
      </c>
      <c r="R28" s="362">
        <f t="shared" si="3"/>
        <v>0</v>
      </c>
      <c r="T28" s="3535"/>
    </row>
    <row r="29" spans="2:20">
      <c r="B29" s="247"/>
      <c r="C29" s="248" t="s">
        <v>449</v>
      </c>
      <c r="D29" s="249">
        <v>0</v>
      </c>
      <c r="E29" s="4447">
        <v>0</v>
      </c>
      <c r="F29" s="249">
        <f t="shared" ref="F29:F37" si="6">SUM(D29:E29)</f>
        <v>0</v>
      </c>
      <c r="H29" s="132"/>
      <c r="I29" s="250" t="str">
        <f t="shared" si="1"/>
        <v>Measure 17</v>
      </c>
      <c r="J29" s="251"/>
      <c r="K29" s="252"/>
      <c r="L29" s="360">
        <f t="shared" si="2"/>
        <v>0</v>
      </c>
      <c r="M29" s="257">
        <v>0</v>
      </c>
      <c r="N29" s="257">
        <v>0</v>
      </c>
      <c r="O29" s="244">
        <f t="shared" si="4"/>
        <v>0</v>
      </c>
      <c r="P29" s="361">
        <f t="shared" ref="P29:R44" si="7">M29*$D79</f>
        <v>0</v>
      </c>
      <c r="Q29" s="361">
        <f t="shared" si="7"/>
        <v>0</v>
      </c>
      <c r="R29" s="362">
        <f t="shared" si="7"/>
        <v>0</v>
      </c>
      <c r="T29" s="3535"/>
    </row>
    <row r="30" spans="2:20">
      <c r="B30" s="254"/>
      <c r="C30" s="255" t="s">
        <v>140</v>
      </c>
      <c r="D30" s="256">
        <v>0</v>
      </c>
      <c r="E30" s="256"/>
      <c r="F30" s="249">
        <f t="shared" si="6"/>
        <v>0</v>
      </c>
      <c r="H30" s="132"/>
      <c r="I30" s="250" t="str">
        <f t="shared" si="1"/>
        <v>Measure 18</v>
      </c>
      <c r="J30" s="251"/>
      <c r="K30" s="252"/>
      <c r="L30" s="360">
        <f t="shared" si="2"/>
        <v>0</v>
      </c>
      <c r="M30" s="257">
        <v>0</v>
      </c>
      <c r="N30" s="257">
        <v>0</v>
      </c>
      <c r="O30" s="244">
        <f t="shared" si="4"/>
        <v>0</v>
      </c>
      <c r="P30" s="361">
        <f t="shared" si="7"/>
        <v>0</v>
      </c>
      <c r="Q30" s="361">
        <f t="shared" si="7"/>
        <v>0</v>
      </c>
      <c r="R30" s="362">
        <f t="shared" si="7"/>
        <v>0</v>
      </c>
      <c r="T30" s="3535"/>
    </row>
    <row r="31" spans="2:20">
      <c r="B31" s="254"/>
      <c r="C31" s="255" t="s">
        <v>141</v>
      </c>
      <c r="D31" s="256">
        <v>0</v>
      </c>
      <c r="E31" s="256"/>
      <c r="F31" s="249">
        <f t="shared" si="6"/>
        <v>0</v>
      </c>
      <c r="H31" s="132"/>
      <c r="I31" s="250" t="str">
        <f t="shared" si="1"/>
        <v>Measure 19</v>
      </c>
      <c r="J31" s="251"/>
      <c r="K31" s="252"/>
      <c r="L31" s="360">
        <f t="shared" si="2"/>
        <v>0</v>
      </c>
      <c r="M31" s="257">
        <v>0</v>
      </c>
      <c r="N31" s="257">
        <v>0</v>
      </c>
      <c r="O31" s="244">
        <f t="shared" si="4"/>
        <v>0</v>
      </c>
      <c r="P31" s="361">
        <f t="shared" si="7"/>
        <v>0</v>
      </c>
      <c r="Q31" s="361">
        <f t="shared" si="7"/>
        <v>0</v>
      </c>
      <c r="R31" s="362">
        <f t="shared" si="7"/>
        <v>0</v>
      </c>
      <c r="T31" s="3535"/>
    </row>
    <row r="32" spans="2:20" ht="13.5" thickBot="1">
      <c r="B32" s="254"/>
      <c r="C32" s="255" t="s">
        <v>142</v>
      </c>
      <c r="D32" s="256">
        <v>0</v>
      </c>
      <c r="E32" s="256"/>
      <c r="F32" s="249">
        <f t="shared" si="6"/>
        <v>0</v>
      </c>
      <c r="H32" s="132"/>
      <c r="I32" s="250" t="str">
        <f t="shared" si="1"/>
        <v>Measure 20</v>
      </c>
      <c r="J32" s="251"/>
      <c r="K32" s="252"/>
      <c r="L32" s="360">
        <f t="shared" si="2"/>
        <v>0</v>
      </c>
      <c r="M32" s="257">
        <v>0</v>
      </c>
      <c r="N32" s="257">
        <v>0</v>
      </c>
      <c r="O32" s="244">
        <f t="shared" si="4"/>
        <v>0</v>
      </c>
      <c r="P32" s="361">
        <f t="shared" si="7"/>
        <v>0</v>
      </c>
      <c r="Q32" s="361">
        <f t="shared" si="7"/>
        <v>0</v>
      </c>
      <c r="R32" s="362">
        <f t="shared" si="7"/>
        <v>0</v>
      </c>
      <c r="T32" s="3535"/>
    </row>
    <row r="33" spans="2:20" ht="13.5" thickBot="1">
      <c r="B33" s="262">
        <v>250</v>
      </c>
      <c r="C33" s="236" t="s">
        <v>146</v>
      </c>
      <c r="D33" s="237">
        <f>SUM(D34:D37)</f>
        <v>0</v>
      </c>
      <c r="E33" s="237">
        <f>SUM(E34:E37)</f>
        <v>0</v>
      </c>
      <c r="F33" s="238">
        <f>D33+E33</f>
        <v>0</v>
      </c>
      <c r="H33" s="132"/>
      <c r="I33" s="250" t="str">
        <f t="shared" si="1"/>
        <v>Measure 21</v>
      </c>
      <c r="J33" s="251"/>
      <c r="K33" s="252"/>
      <c r="L33" s="360">
        <f t="shared" si="2"/>
        <v>0</v>
      </c>
      <c r="M33" s="257">
        <v>0</v>
      </c>
      <c r="N33" s="257">
        <v>0</v>
      </c>
      <c r="O33" s="244">
        <f t="shared" si="4"/>
        <v>0</v>
      </c>
      <c r="P33" s="361">
        <f t="shared" si="7"/>
        <v>0</v>
      </c>
      <c r="Q33" s="361">
        <f t="shared" si="7"/>
        <v>0</v>
      </c>
      <c r="R33" s="362">
        <f t="shared" si="7"/>
        <v>0</v>
      </c>
      <c r="T33" s="3535"/>
    </row>
    <row r="34" spans="2:20">
      <c r="B34" s="254"/>
      <c r="C34" s="255" t="s">
        <v>139</v>
      </c>
      <c r="D34" s="256">
        <v>0</v>
      </c>
      <c r="E34" s="4449">
        <v>0</v>
      </c>
      <c r="F34" s="249">
        <f t="shared" si="6"/>
        <v>0</v>
      </c>
      <c r="H34" s="132"/>
      <c r="I34" s="250" t="str">
        <f t="shared" si="1"/>
        <v>Measure 22</v>
      </c>
      <c r="J34" s="251"/>
      <c r="K34" s="252"/>
      <c r="L34" s="360">
        <f t="shared" si="2"/>
        <v>0</v>
      </c>
      <c r="M34" s="257">
        <v>0</v>
      </c>
      <c r="N34" s="257">
        <v>0</v>
      </c>
      <c r="O34" s="244">
        <f t="shared" si="4"/>
        <v>0</v>
      </c>
      <c r="P34" s="361">
        <f t="shared" si="7"/>
        <v>0</v>
      </c>
      <c r="Q34" s="361">
        <f t="shared" si="7"/>
        <v>0</v>
      </c>
      <c r="R34" s="362">
        <f t="shared" si="7"/>
        <v>0</v>
      </c>
      <c r="T34" s="3535"/>
    </row>
    <row r="35" spans="2:20">
      <c r="B35" s="254"/>
      <c r="C35" s="255" t="s">
        <v>140</v>
      </c>
      <c r="D35" s="256">
        <v>0</v>
      </c>
      <c r="E35" s="256"/>
      <c r="F35" s="249">
        <f t="shared" si="6"/>
        <v>0</v>
      </c>
      <c r="H35" s="132"/>
      <c r="I35" s="250" t="str">
        <f t="shared" si="1"/>
        <v>Measure 23</v>
      </c>
      <c r="J35" s="251"/>
      <c r="K35" s="252"/>
      <c r="L35" s="360">
        <f t="shared" si="2"/>
        <v>0</v>
      </c>
      <c r="M35" s="257">
        <v>0</v>
      </c>
      <c r="N35" s="257">
        <v>0</v>
      </c>
      <c r="O35" s="244">
        <f t="shared" si="4"/>
        <v>0</v>
      </c>
      <c r="P35" s="361">
        <f t="shared" si="7"/>
        <v>0</v>
      </c>
      <c r="Q35" s="361">
        <f t="shared" si="7"/>
        <v>0</v>
      </c>
      <c r="R35" s="362">
        <f t="shared" si="7"/>
        <v>0</v>
      </c>
      <c r="T35" s="3535"/>
    </row>
    <row r="36" spans="2:20">
      <c r="B36" s="254"/>
      <c r="C36" s="255" t="s">
        <v>141</v>
      </c>
      <c r="D36" s="256">
        <v>0</v>
      </c>
      <c r="E36" s="256"/>
      <c r="F36" s="249">
        <f t="shared" si="6"/>
        <v>0</v>
      </c>
      <c r="H36" s="132"/>
      <c r="I36" s="250" t="str">
        <f t="shared" si="1"/>
        <v>Measure 24</v>
      </c>
      <c r="J36" s="251"/>
      <c r="K36" s="252"/>
      <c r="L36" s="360">
        <f t="shared" si="2"/>
        <v>0</v>
      </c>
      <c r="M36" s="257">
        <v>0</v>
      </c>
      <c r="N36" s="257">
        <v>0</v>
      </c>
      <c r="O36" s="244">
        <f t="shared" si="4"/>
        <v>0</v>
      </c>
      <c r="P36" s="361">
        <f t="shared" si="7"/>
        <v>0</v>
      </c>
      <c r="Q36" s="361">
        <f t="shared" si="7"/>
        <v>0</v>
      </c>
      <c r="R36" s="362">
        <f t="shared" si="7"/>
        <v>0</v>
      </c>
      <c r="T36" s="3535"/>
    </row>
    <row r="37" spans="2:20" ht="13.5" thickBot="1">
      <c r="B37" s="254"/>
      <c r="C37" s="255" t="s">
        <v>142</v>
      </c>
      <c r="D37" s="256">
        <v>0</v>
      </c>
      <c r="E37" s="256"/>
      <c r="F37" s="249">
        <f t="shared" si="6"/>
        <v>0</v>
      </c>
      <c r="H37" s="132"/>
      <c r="I37" s="250" t="str">
        <f t="shared" si="1"/>
        <v>Measure 25</v>
      </c>
      <c r="J37" s="251"/>
      <c r="K37" s="252"/>
      <c r="L37" s="360">
        <f t="shared" si="2"/>
        <v>0</v>
      </c>
      <c r="M37" s="257">
        <v>0</v>
      </c>
      <c r="N37" s="257">
        <v>0</v>
      </c>
      <c r="O37" s="244">
        <f t="shared" si="4"/>
        <v>0</v>
      </c>
      <c r="P37" s="361">
        <f t="shared" si="7"/>
        <v>0</v>
      </c>
      <c r="Q37" s="361">
        <f t="shared" si="7"/>
        <v>0</v>
      </c>
      <c r="R37" s="362">
        <f t="shared" si="7"/>
        <v>0</v>
      </c>
      <c r="T37" s="3535"/>
    </row>
    <row r="38" spans="2:20" ht="13.5" thickBot="1">
      <c r="B38" s="262">
        <v>0</v>
      </c>
      <c r="C38" s="236" t="s">
        <v>147</v>
      </c>
      <c r="D38" s="237">
        <f>SUM(D39:D42)</f>
        <v>0</v>
      </c>
      <c r="E38" s="237">
        <f>SUM(E39:E42)</f>
        <v>0</v>
      </c>
      <c r="F38" s="238">
        <f>D38+E38</f>
        <v>0</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3535"/>
    </row>
    <row r="39" spans="2:20">
      <c r="B39" s="254"/>
      <c r="C39" s="255" t="s">
        <v>139</v>
      </c>
      <c r="D39" s="256">
        <v>0</v>
      </c>
      <c r="E39" s="256"/>
      <c r="F39" s="249">
        <f t="shared" ref="F39:F52" si="8">SUM(D39:E39)</f>
        <v>0</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3535"/>
    </row>
    <row r="40" spans="2:20">
      <c r="B40" s="254"/>
      <c r="C40" s="255" t="s">
        <v>140</v>
      </c>
      <c r="D40" s="256">
        <v>0</v>
      </c>
      <c r="E40" s="256"/>
      <c r="F40" s="249">
        <f t="shared" si="8"/>
        <v>0</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3535"/>
    </row>
    <row r="41" spans="2:20">
      <c r="B41" s="254"/>
      <c r="C41" s="255" t="s">
        <v>141</v>
      </c>
      <c r="D41" s="256">
        <v>0</v>
      </c>
      <c r="E41" s="256"/>
      <c r="F41" s="249">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3535"/>
    </row>
    <row r="42" spans="2:20" ht="13.5" thickBot="1">
      <c r="B42" s="254"/>
      <c r="C42" s="255" t="s">
        <v>142</v>
      </c>
      <c r="D42" s="256">
        <v>0</v>
      </c>
      <c r="E42" s="256"/>
      <c r="F42" s="249">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3535"/>
    </row>
    <row r="43" spans="2:20" ht="13.5" thickBot="1">
      <c r="B43" s="262">
        <v>0</v>
      </c>
      <c r="C43" s="236" t="s">
        <v>148</v>
      </c>
      <c r="D43" s="237">
        <f>SUM(D44:D47)</f>
        <v>0</v>
      </c>
      <c r="E43" s="237">
        <f>SUM(E44:E47)</f>
        <v>0</v>
      </c>
      <c r="F43" s="238">
        <f>D43+E43</f>
        <v>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3535"/>
    </row>
    <row r="44" spans="2:20">
      <c r="B44" s="254"/>
      <c r="C44" s="255" t="s">
        <v>139</v>
      </c>
      <c r="D44" s="256">
        <v>0</v>
      </c>
      <c r="E44" s="256"/>
      <c r="F44" s="249">
        <f t="shared" si="8"/>
        <v>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3535"/>
    </row>
    <row r="45" spans="2:20">
      <c r="B45" s="254"/>
      <c r="C45" s="255" t="s">
        <v>140</v>
      </c>
      <c r="D45" s="256">
        <v>0</v>
      </c>
      <c r="E45" s="256"/>
      <c r="F45" s="249">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3535"/>
    </row>
    <row r="46" spans="2:20">
      <c r="B46" s="254"/>
      <c r="C46" s="255" t="s">
        <v>141</v>
      </c>
      <c r="D46" s="256">
        <v>0</v>
      </c>
      <c r="E46" s="256"/>
      <c r="F46" s="249">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3535"/>
    </row>
    <row r="47" spans="2:20" ht="13.5" thickBot="1">
      <c r="B47" s="254"/>
      <c r="C47" s="255" t="s">
        <v>142</v>
      </c>
      <c r="D47" s="256">
        <v>0</v>
      </c>
      <c r="E47" s="256"/>
      <c r="F47" s="249">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3535"/>
    </row>
    <row r="48" spans="2:20" ht="13.5" thickBot="1">
      <c r="B48" s="262">
        <v>0</v>
      </c>
      <c r="C48" s="236" t="s">
        <v>149</v>
      </c>
      <c r="D48" s="237">
        <f>SUM(D49:D52)</f>
        <v>0</v>
      </c>
      <c r="E48" s="237">
        <f>SUM(E49:E52)</f>
        <v>0</v>
      </c>
      <c r="F48" s="238">
        <f>D48+E48</f>
        <v>0</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3535"/>
    </row>
    <row r="49" spans="2:25">
      <c r="B49" s="254"/>
      <c r="C49" s="255" t="s">
        <v>139</v>
      </c>
      <c r="D49" s="256">
        <v>0</v>
      </c>
      <c r="E49" s="256"/>
      <c r="F49" s="249">
        <f t="shared" si="8"/>
        <v>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3535"/>
    </row>
    <row r="50" spans="2:25">
      <c r="B50" s="254"/>
      <c r="C50" s="255" t="s">
        <v>140</v>
      </c>
      <c r="D50" s="256">
        <v>0</v>
      </c>
      <c r="E50" s="256"/>
      <c r="F50" s="249">
        <f t="shared" si="8"/>
        <v>0</v>
      </c>
      <c r="I50" s="250" t="str">
        <f t="shared" si="1"/>
        <v>Measure 38</v>
      </c>
      <c r="J50" s="251"/>
      <c r="K50" s="252"/>
      <c r="L50" s="360">
        <f t="shared" si="2"/>
        <v>0</v>
      </c>
      <c r="M50" s="257">
        <v>0</v>
      </c>
      <c r="N50" s="257">
        <v>0</v>
      </c>
      <c r="O50" s="244">
        <f t="shared" si="4"/>
        <v>0</v>
      </c>
      <c r="P50" s="361">
        <f t="shared" si="9"/>
        <v>0</v>
      </c>
      <c r="Q50" s="361">
        <f t="shared" si="9"/>
        <v>0</v>
      </c>
      <c r="R50" s="362">
        <f t="shared" si="9"/>
        <v>0</v>
      </c>
      <c r="T50" s="3535"/>
    </row>
    <row r="51" spans="2:25">
      <c r="B51" s="254"/>
      <c r="C51" s="255" t="s">
        <v>141</v>
      </c>
      <c r="D51" s="256">
        <v>0</v>
      </c>
      <c r="E51" s="256"/>
      <c r="F51" s="249">
        <f t="shared" si="8"/>
        <v>0</v>
      </c>
      <c r="I51" s="250" t="str">
        <f t="shared" si="1"/>
        <v>Measure 39</v>
      </c>
      <c r="J51" s="251"/>
      <c r="K51" s="252"/>
      <c r="L51" s="360">
        <f t="shared" si="2"/>
        <v>0</v>
      </c>
      <c r="M51" s="257">
        <v>0</v>
      </c>
      <c r="N51" s="257">
        <v>0</v>
      </c>
      <c r="O51" s="244">
        <f t="shared" si="4"/>
        <v>0</v>
      </c>
      <c r="P51" s="361">
        <f t="shared" si="9"/>
        <v>0</v>
      </c>
      <c r="Q51" s="361">
        <f t="shared" si="9"/>
        <v>0</v>
      </c>
      <c r="R51" s="362">
        <f t="shared" si="9"/>
        <v>0</v>
      </c>
      <c r="T51" s="3535"/>
    </row>
    <row r="52" spans="2:25" ht="13.5" thickBot="1">
      <c r="B52" s="254"/>
      <c r="C52" s="255" t="s">
        <v>142</v>
      </c>
      <c r="D52" s="256">
        <v>0</v>
      </c>
      <c r="E52" s="256"/>
      <c r="F52" s="249">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3535"/>
    </row>
    <row r="53" spans="2:25" ht="13.5" thickBot="1">
      <c r="B53" s="262">
        <v>2250</v>
      </c>
      <c r="C53" s="236" t="s">
        <v>150</v>
      </c>
      <c r="D53" s="237">
        <f>T105</f>
        <v>0</v>
      </c>
      <c r="E53" s="4468">
        <v>0</v>
      </c>
      <c r="F53" s="238">
        <f>V105</f>
        <v>0</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3535"/>
    </row>
    <row r="54" spans="2:25" ht="13.5" thickBot="1">
      <c r="B54" s="262">
        <v>0</v>
      </c>
      <c r="C54" s="236" t="s">
        <v>152</v>
      </c>
      <c r="D54" s="237">
        <v>0</v>
      </c>
      <c r="E54" s="237">
        <v>0</v>
      </c>
      <c r="F54" s="238">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3535"/>
    </row>
    <row r="55" spans="2:25">
      <c r="B55" s="263">
        <f>B13+B18+B23+B28+B33+B38+B43+B48+B53+B54</f>
        <v>12596</v>
      </c>
      <c r="C55" s="264" t="s">
        <v>153</v>
      </c>
      <c r="D55" s="263">
        <f>D13+D18+D23+D28+D33+D38+D43+D48+D53+D54</f>
        <v>0</v>
      </c>
      <c r="E55" s="263">
        <f>E13+E18+E23+E28+E33+E38+E43+E48+E53+E54</f>
        <v>0</v>
      </c>
      <c r="F55" s="263">
        <f>F13+F18+F23+F28+F33+F38+F43+F48+F53+F54</f>
        <v>0</v>
      </c>
      <c r="P55" s="365">
        <f>SUM(P13:P54)</f>
        <v>0</v>
      </c>
      <c r="Q55" s="365">
        <f>SUM(Q13:Q54)</f>
        <v>0</v>
      </c>
      <c r="R55" s="365">
        <f>SUM(R13:R54)</f>
        <v>0</v>
      </c>
      <c r="T55" s="4894"/>
    </row>
    <row r="56" spans="2:25">
      <c r="C56" s="264"/>
      <c r="D56" s="263"/>
      <c r="E56" s="263"/>
      <c r="F56" s="263"/>
    </row>
    <row r="57" spans="2:25">
      <c r="C57" s="264" t="s">
        <v>154</v>
      </c>
      <c r="D57" s="263">
        <f>D55-D53</f>
        <v>0</v>
      </c>
      <c r="E57" s="263">
        <f>E55-E53</f>
        <v>0</v>
      </c>
      <c r="F57" s="263">
        <f>F55-F53</f>
        <v>0</v>
      </c>
    </row>
    <row r="58" spans="2:25">
      <c r="C58" s="264" t="s">
        <v>155</v>
      </c>
      <c r="D58" s="266">
        <f>D53</f>
        <v>0</v>
      </c>
      <c r="E58" s="266">
        <f>E53</f>
        <v>0</v>
      </c>
      <c r="F58" s="266">
        <f>F53</f>
        <v>0</v>
      </c>
      <c r="G58" s="319" t="e">
        <f>F58/(F57+F58)</f>
        <v>#DIV/0!</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372" t="s">
        <v>598</v>
      </c>
      <c r="D63" s="257">
        <v>200</v>
      </c>
      <c r="E63" s="257" t="s">
        <v>559</v>
      </c>
      <c r="F63" s="257" t="s">
        <v>186</v>
      </c>
      <c r="G63" s="283">
        <v>1377</v>
      </c>
      <c r="H63" s="283">
        <v>150</v>
      </c>
      <c r="I63" s="311">
        <v>1</v>
      </c>
      <c r="J63" s="257">
        <v>18</v>
      </c>
      <c r="K63" s="257" t="s">
        <v>560</v>
      </c>
      <c r="L63" s="3574"/>
      <c r="M63" s="3447" t="e">
        <f>Q63/O63</f>
        <v>#DIV/0!</v>
      </c>
      <c r="N63" s="3447" t="e">
        <f>R63/P63</f>
        <v>#DIV/0!</v>
      </c>
      <c r="O63" s="214">
        <f t="shared" ref="O63:O104" si="10">(($I63*$F$57)+$V63)/$S63</f>
        <v>0</v>
      </c>
      <c r="P63" s="214">
        <f t="shared" ref="P63:P104" si="11">(($I63*$F$57)+($G63*$O13))/$S63</f>
        <v>0</v>
      </c>
      <c r="Q63" s="214">
        <f>IF(K63=0, 0, (HLOOKUP(K63,'[1]G-CESTDWO'!$A$5:$G$35,J63+1,FALSE)*R13))</f>
        <v>0</v>
      </c>
      <c r="R63" s="214">
        <f>IF(K63=0, 0, (HLOOKUP(K63,'[1]G-CESTD'!$A$5:$G$35,J63+1,FALSE)*R13))</f>
        <v>0</v>
      </c>
      <c r="S63" s="279">
        <v>1.081</v>
      </c>
      <c r="T63" s="280">
        <v>0</v>
      </c>
      <c r="U63" s="280">
        <f t="shared" ref="U63:U104" si="12">N13*$H63</f>
        <v>0</v>
      </c>
      <c r="V63" s="280">
        <f t="shared" ref="V63:V104" si="13">O13*$H63</f>
        <v>0</v>
      </c>
      <c r="W63" s="322" t="e">
        <f t="shared" ref="W63:W81" si="14">V63/(V63+(I63*F$57))</f>
        <v>#DIV/0!</v>
      </c>
      <c r="X63" s="322" t="e">
        <f t="shared" ref="X63:X81" si="15">(I63*((F$18*1.63)+F$28))/(V63+(I63*F$57))</f>
        <v>#DIV/0!</v>
      </c>
      <c r="Y63" s="322" t="e">
        <f t="shared" ref="Y63:Y81" si="16">(I63*F$38)/(V63+(I63*F$57))</f>
        <v>#DIV/0!</v>
      </c>
    </row>
    <row r="64" spans="2:25">
      <c r="B64" s="282"/>
      <c r="C64" s="282" t="s">
        <v>369</v>
      </c>
      <c r="D64" s="282">
        <v>0</v>
      </c>
      <c r="E64" s="282" t="s">
        <v>559</v>
      </c>
      <c r="F64" s="282" t="s">
        <v>186</v>
      </c>
      <c r="G64" s="283"/>
      <c r="H64" s="283"/>
      <c r="I64" s="311">
        <v>0</v>
      </c>
      <c r="J64" s="257"/>
      <c r="K64" s="257"/>
      <c r="L64" s="3574"/>
      <c r="M64" s="3447" t="e">
        <f t="shared" ref="M64:N104" si="17">Q64/O64</f>
        <v>#DIV/0!</v>
      </c>
      <c r="N64" s="3447" t="e">
        <f t="shared" si="17"/>
        <v>#DIV/0!</v>
      </c>
      <c r="O64" s="214">
        <f t="shared" si="10"/>
        <v>0</v>
      </c>
      <c r="P64" s="214">
        <f t="shared" si="11"/>
        <v>0</v>
      </c>
      <c r="Q64" s="214">
        <f>IF(K64=0, 0, (HLOOKUP(K64,'[1]G-CESTDWO'!$A$5:$G$35,J64+1,FALSE)*R14))</f>
        <v>0</v>
      </c>
      <c r="R64" s="214">
        <f>IF(K64=0, 0, (HLOOKUP(K64,'[1]G-CESTD'!$A$5:$G$35,J64+1,FALSE)*R14))</f>
        <v>0</v>
      </c>
      <c r="S64" s="279">
        <v>1.081</v>
      </c>
      <c r="T64" s="280">
        <f t="shared" ref="T64:T104" si="18">M14*$H64</f>
        <v>0</v>
      </c>
      <c r="U64" s="280">
        <f t="shared" si="12"/>
        <v>0</v>
      </c>
      <c r="V64" s="280">
        <f t="shared" si="13"/>
        <v>0</v>
      </c>
      <c r="W64" s="322" t="e">
        <f t="shared" si="14"/>
        <v>#DIV/0!</v>
      </c>
      <c r="X64" s="322" t="e">
        <f t="shared" si="15"/>
        <v>#DIV/0!</v>
      </c>
      <c r="Y64" s="322" t="e">
        <f t="shared" si="16"/>
        <v>#DIV/0!</v>
      </c>
    </row>
    <row r="65" spans="2:25">
      <c r="B65" s="282"/>
      <c r="C65" s="282" t="s">
        <v>370</v>
      </c>
      <c r="D65" s="257">
        <v>0</v>
      </c>
      <c r="E65" s="282" t="s">
        <v>559</v>
      </c>
      <c r="F65" s="282" t="s">
        <v>186</v>
      </c>
      <c r="G65" s="283"/>
      <c r="H65" s="283"/>
      <c r="I65" s="311">
        <v>0</v>
      </c>
      <c r="J65" s="257"/>
      <c r="K65" s="257"/>
      <c r="L65" s="3574"/>
      <c r="M65" s="3447" t="e">
        <f t="shared" si="17"/>
        <v>#DIV/0!</v>
      </c>
      <c r="N65" s="3447" t="e">
        <f t="shared" si="17"/>
        <v>#DIV/0!</v>
      </c>
      <c r="O65" s="214">
        <f t="shared" si="10"/>
        <v>0</v>
      </c>
      <c r="P65" s="214">
        <f t="shared" si="11"/>
        <v>0</v>
      </c>
      <c r="Q65" s="214">
        <f>IF(K65=0, 0, (HLOOKUP(K65,'[1]G-CESTDWO'!$A$5:$G$35,J65+1,FALSE)*R15))</f>
        <v>0</v>
      </c>
      <c r="R65" s="214">
        <f>IF(K65=0, 0, (HLOOKUP(K65,'[1]G-CESTD'!$A$5:$G$35,J65+1,FALSE)*R15))</f>
        <v>0</v>
      </c>
      <c r="S65" s="279">
        <v>1.081</v>
      </c>
      <c r="T65" s="280">
        <f t="shared" si="18"/>
        <v>0</v>
      </c>
      <c r="U65" s="280">
        <f t="shared" si="12"/>
        <v>0</v>
      </c>
      <c r="V65" s="280">
        <f t="shared" si="13"/>
        <v>0</v>
      </c>
      <c r="W65" s="322" t="e">
        <f t="shared" si="14"/>
        <v>#DIV/0!</v>
      </c>
      <c r="X65" s="322" t="e">
        <f t="shared" si="15"/>
        <v>#DIV/0!</v>
      </c>
      <c r="Y65" s="322" t="e">
        <f t="shared" si="16"/>
        <v>#DIV/0!</v>
      </c>
    </row>
    <row r="66" spans="2:25">
      <c r="B66" s="282"/>
      <c r="C66" s="282" t="s">
        <v>188</v>
      </c>
      <c r="D66" s="282">
        <v>0</v>
      </c>
      <c r="E66" s="282" t="s">
        <v>559</v>
      </c>
      <c r="F66" s="282" t="s">
        <v>186</v>
      </c>
      <c r="G66" s="283"/>
      <c r="H66" s="283"/>
      <c r="I66" s="311">
        <v>0</v>
      </c>
      <c r="J66" s="257"/>
      <c r="K66" s="257"/>
      <c r="L66" s="3574"/>
      <c r="M66" s="3447" t="e">
        <f t="shared" si="17"/>
        <v>#DIV/0!</v>
      </c>
      <c r="N66" s="3447" t="e">
        <f t="shared" si="17"/>
        <v>#DIV/0!</v>
      </c>
      <c r="O66" s="214">
        <f t="shared" si="10"/>
        <v>0</v>
      </c>
      <c r="P66" s="214">
        <f t="shared" si="11"/>
        <v>0</v>
      </c>
      <c r="Q66" s="214">
        <f>IF(K66=0, 0, (HLOOKUP(K66,'[1]G-CESTDWO'!$A$5:$G$35,J66+1,FALSE)*R16))</f>
        <v>0</v>
      </c>
      <c r="R66" s="214">
        <f>IF(K66=0, 0, (HLOOKUP(K66,'[1]G-CESTD'!$A$5:$G$35,J66+1,FALSE)*R16))</f>
        <v>0</v>
      </c>
      <c r="S66" s="279">
        <v>1.081</v>
      </c>
      <c r="T66" s="280">
        <f t="shared" si="18"/>
        <v>0</v>
      </c>
      <c r="U66" s="280">
        <f t="shared" si="12"/>
        <v>0</v>
      </c>
      <c r="V66" s="280">
        <f t="shared" si="13"/>
        <v>0</v>
      </c>
      <c r="W66" s="322" t="e">
        <f t="shared" si="14"/>
        <v>#DIV/0!</v>
      </c>
      <c r="X66" s="322" t="e">
        <f t="shared" si="15"/>
        <v>#DIV/0!</v>
      </c>
      <c r="Y66" s="322" t="e">
        <f t="shared" si="16"/>
        <v>#DIV/0!</v>
      </c>
    </row>
    <row r="67" spans="2:25">
      <c r="B67" s="282"/>
      <c r="C67" s="282" t="s">
        <v>189</v>
      </c>
      <c r="D67" s="257">
        <v>0</v>
      </c>
      <c r="E67" s="282" t="s">
        <v>559</v>
      </c>
      <c r="F67" s="282" t="s">
        <v>186</v>
      </c>
      <c r="G67" s="283"/>
      <c r="H67" s="283"/>
      <c r="I67" s="311">
        <v>0</v>
      </c>
      <c r="J67" s="257"/>
      <c r="K67" s="257"/>
      <c r="L67" s="3574"/>
      <c r="M67" s="3447" t="e">
        <f t="shared" si="17"/>
        <v>#DIV/0!</v>
      </c>
      <c r="N67" s="3447" t="e">
        <f t="shared" si="17"/>
        <v>#DIV/0!</v>
      </c>
      <c r="O67" s="214">
        <f t="shared" si="10"/>
        <v>0</v>
      </c>
      <c r="P67" s="214">
        <f t="shared" si="11"/>
        <v>0</v>
      </c>
      <c r="Q67" s="214">
        <f>IF(K67=0, 0, (HLOOKUP(K67,'[1]G-CESTDWO'!$A$5:$G$35,J67+1,FALSE)*R17))</f>
        <v>0</v>
      </c>
      <c r="R67" s="214">
        <f>IF(K67=0, 0, (HLOOKUP(K67,'[1]G-CESTD'!$A$5:$G$35,J67+1,FALSE)*R17))</f>
        <v>0</v>
      </c>
      <c r="S67" s="279">
        <v>1.081</v>
      </c>
      <c r="T67" s="280">
        <f t="shared" si="18"/>
        <v>0</v>
      </c>
      <c r="U67" s="280">
        <f t="shared" si="12"/>
        <v>0</v>
      </c>
      <c r="V67" s="280">
        <f t="shared" si="13"/>
        <v>0</v>
      </c>
      <c r="W67" s="322" t="e">
        <f t="shared" si="14"/>
        <v>#DIV/0!</v>
      </c>
      <c r="X67" s="322" t="e">
        <f t="shared" si="15"/>
        <v>#DIV/0!</v>
      </c>
      <c r="Y67" s="322" t="e">
        <f t="shared" si="16"/>
        <v>#DIV/0!</v>
      </c>
    </row>
    <row r="68" spans="2:25">
      <c r="B68" s="282"/>
      <c r="C68" s="282" t="s">
        <v>190</v>
      </c>
      <c r="D68" s="282">
        <v>0</v>
      </c>
      <c r="E68" s="282" t="s">
        <v>559</v>
      </c>
      <c r="F68" s="282" t="s">
        <v>186</v>
      </c>
      <c r="G68" s="283"/>
      <c r="H68" s="283"/>
      <c r="I68" s="311">
        <v>0</v>
      </c>
      <c r="J68" s="257"/>
      <c r="K68" s="257"/>
      <c r="L68" s="3574"/>
      <c r="M68" s="3447" t="e">
        <f t="shared" si="17"/>
        <v>#DIV/0!</v>
      </c>
      <c r="N68" s="3447" t="e">
        <f t="shared" si="17"/>
        <v>#DIV/0!</v>
      </c>
      <c r="O68" s="214">
        <f t="shared" si="10"/>
        <v>0</v>
      </c>
      <c r="P68" s="214">
        <f t="shared" si="11"/>
        <v>0</v>
      </c>
      <c r="Q68" s="214">
        <f>IF(K68=0, 0, (HLOOKUP(K68,'[1]G-CESTDWO'!$A$5:$G$35,J68+1,FALSE)*R18))</f>
        <v>0</v>
      </c>
      <c r="R68" s="214">
        <f>IF(K68=0, 0, (HLOOKUP(K68,'[1]G-CESTD'!$A$5:$G$35,J68+1,FALSE)*R18))</f>
        <v>0</v>
      </c>
      <c r="S68" s="279">
        <v>1.081</v>
      </c>
      <c r="T68" s="280">
        <f t="shared" si="18"/>
        <v>0</v>
      </c>
      <c r="U68" s="280">
        <f t="shared" si="12"/>
        <v>0</v>
      </c>
      <c r="V68" s="280">
        <f t="shared" si="13"/>
        <v>0</v>
      </c>
      <c r="W68" s="322" t="e">
        <f t="shared" si="14"/>
        <v>#DIV/0!</v>
      </c>
      <c r="X68" s="322" t="e">
        <f t="shared" si="15"/>
        <v>#DIV/0!</v>
      </c>
      <c r="Y68" s="322" t="e">
        <f t="shared" si="16"/>
        <v>#DIV/0!</v>
      </c>
    </row>
    <row r="69" spans="2:25">
      <c r="B69" s="282"/>
      <c r="C69" s="282" t="s">
        <v>191</v>
      </c>
      <c r="D69" s="257">
        <v>0</v>
      </c>
      <c r="E69" s="282" t="s">
        <v>559</v>
      </c>
      <c r="F69" s="282" t="s">
        <v>186</v>
      </c>
      <c r="G69" s="283"/>
      <c r="H69" s="283"/>
      <c r="I69" s="311">
        <v>0</v>
      </c>
      <c r="J69" s="257"/>
      <c r="K69" s="257"/>
      <c r="L69" s="3574"/>
      <c r="M69" s="3447" t="e">
        <f t="shared" si="17"/>
        <v>#DIV/0!</v>
      </c>
      <c r="N69" s="3447" t="e">
        <f t="shared" si="17"/>
        <v>#DIV/0!</v>
      </c>
      <c r="O69" s="214">
        <f t="shared" si="10"/>
        <v>0</v>
      </c>
      <c r="P69" s="214">
        <f t="shared" si="11"/>
        <v>0</v>
      </c>
      <c r="Q69" s="214">
        <f>IF(K69=0, 0, (HLOOKUP(K69,'[1]G-CESTDWO'!$A$5:$G$35,J69+1,FALSE)*R19))</f>
        <v>0</v>
      </c>
      <c r="R69" s="214">
        <f>IF(K69=0, 0, (HLOOKUP(K69,'[1]G-CESTD'!$A$5:$G$35,J69+1,FALSE)*R19))</f>
        <v>0</v>
      </c>
      <c r="S69" s="279">
        <v>1.081</v>
      </c>
      <c r="T69" s="280">
        <f t="shared" si="18"/>
        <v>0</v>
      </c>
      <c r="U69" s="280">
        <f t="shared" si="12"/>
        <v>0</v>
      </c>
      <c r="V69" s="280">
        <f t="shared" si="13"/>
        <v>0</v>
      </c>
      <c r="W69" s="322" t="e">
        <f t="shared" si="14"/>
        <v>#DIV/0!</v>
      </c>
      <c r="X69" s="322" t="e">
        <f t="shared" si="15"/>
        <v>#DIV/0!</v>
      </c>
      <c r="Y69" s="322" t="e">
        <f t="shared" si="16"/>
        <v>#DIV/0!</v>
      </c>
    </row>
    <row r="70" spans="2:25">
      <c r="B70" s="282"/>
      <c r="C70" s="282" t="s">
        <v>192</v>
      </c>
      <c r="D70" s="282">
        <v>0</v>
      </c>
      <c r="E70" s="282" t="s">
        <v>559</v>
      </c>
      <c r="F70" s="282" t="s">
        <v>186</v>
      </c>
      <c r="G70" s="283"/>
      <c r="H70" s="283"/>
      <c r="I70" s="311">
        <v>0</v>
      </c>
      <c r="J70" s="257"/>
      <c r="K70" s="257"/>
      <c r="L70" s="3574"/>
      <c r="M70" s="3447" t="e">
        <f t="shared" si="17"/>
        <v>#DIV/0!</v>
      </c>
      <c r="N70" s="3447" t="e">
        <f t="shared" si="17"/>
        <v>#DIV/0!</v>
      </c>
      <c r="O70" s="214">
        <f t="shared" si="10"/>
        <v>0</v>
      </c>
      <c r="P70" s="214">
        <f t="shared" si="11"/>
        <v>0</v>
      </c>
      <c r="Q70" s="214">
        <f>IF(K70=0, 0, (HLOOKUP(K70,'[1]G-CESTDWO'!$A$5:$G$35,J70+1,FALSE)*R20))</f>
        <v>0</v>
      </c>
      <c r="R70" s="214">
        <f>IF(K70=0, 0, (HLOOKUP(K70,'[1]G-CESTD'!$A$5:$G$35,J70+1,FALSE)*R20))</f>
        <v>0</v>
      </c>
      <c r="S70" s="279">
        <v>1.081</v>
      </c>
      <c r="T70" s="280">
        <f t="shared" si="18"/>
        <v>0</v>
      </c>
      <c r="U70" s="280">
        <f t="shared" si="12"/>
        <v>0</v>
      </c>
      <c r="V70" s="280">
        <f t="shared" si="13"/>
        <v>0</v>
      </c>
      <c r="W70" s="322" t="e">
        <f t="shared" si="14"/>
        <v>#DIV/0!</v>
      </c>
      <c r="X70" s="322" t="e">
        <f t="shared" si="15"/>
        <v>#DIV/0!</v>
      </c>
      <c r="Y70" s="322" t="e">
        <f t="shared" si="16"/>
        <v>#DIV/0!</v>
      </c>
    </row>
    <row r="71" spans="2:25">
      <c r="B71" s="282"/>
      <c r="C71" s="282" t="s">
        <v>193</v>
      </c>
      <c r="D71" s="257">
        <v>0</v>
      </c>
      <c r="E71" s="282" t="s">
        <v>559</v>
      </c>
      <c r="F71" s="282" t="s">
        <v>186</v>
      </c>
      <c r="G71" s="283"/>
      <c r="H71" s="283"/>
      <c r="I71" s="311">
        <v>0</v>
      </c>
      <c r="J71" s="257"/>
      <c r="K71" s="257"/>
      <c r="L71" s="3574"/>
      <c r="M71" s="3447" t="e">
        <f t="shared" si="17"/>
        <v>#DIV/0!</v>
      </c>
      <c r="N71" s="3447" t="e">
        <f t="shared" si="17"/>
        <v>#DIV/0!</v>
      </c>
      <c r="O71" s="214">
        <f t="shared" si="10"/>
        <v>0</v>
      </c>
      <c r="P71" s="214">
        <f t="shared" si="11"/>
        <v>0</v>
      </c>
      <c r="Q71" s="214">
        <f>IF(K71=0, 0, (HLOOKUP(K71,'[1]G-CESTDWO'!$A$5:$G$35,J71+1,FALSE)*R21))</f>
        <v>0</v>
      </c>
      <c r="R71" s="214">
        <f>IF(K71=0, 0, (HLOOKUP(K71,'[1]G-CESTD'!$A$5:$G$35,J71+1,FALSE)*R21))</f>
        <v>0</v>
      </c>
      <c r="S71" s="279">
        <v>1.081</v>
      </c>
      <c r="T71" s="280">
        <f t="shared" si="18"/>
        <v>0</v>
      </c>
      <c r="U71" s="280">
        <f t="shared" si="12"/>
        <v>0</v>
      </c>
      <c r="V71" s="280">
        <f t="shared" si="13"/>
        <v>0</v>
      </c>
      <c r="W71" s="322" t="e">
        <f t="shared" si="14"/>
        <v>#DIV/0!</v>
      </c>
      <c r="X71" s="322" t="e">
        <f t="shared" si="15"/>
        <v>#DIV/0!</v>
      </c>
      <c r="Y71" s="322" t="e">
        <f t="shared" si="16"/>
        <v>#DIV/0!</v>
      </c>
    </row>
    <row r="72" spans="2:25">
      <c r="B72" s="282"/>
      <c r="C72" s="282" t="s">
        <v>194</v>
      </c>
      <c r="D72" s="282">
        <v>0</v>
      </c>
      <c r="E72" s="282" t="s">
        <v>559</v>
      </c>
      <c r="F72" s="282" t="s">
        <v>186</v>
      </c>
      <c r="G72" s="283"/>
      <c r="H72" s="283"/>
      <c r="I72" s="311">
        <v>0</v>
      </c>
      <c r="J72" s="257"/>
      <c r="K72" s="257"/>
      <c r="L72" s="3574"/>
      <c r="M72" s="3447" t="e">
        <f t="shared" si="17"/>
        <v>#DIV/0!</v>
      </c>
      <c r="N72" s="3447" t="e">
        <f t="shared" si="17"/>
        <v>#DIV/0!</v>
      </c>
      <c r="O72" s="214">
        <f t="shared" si="10"/>
        <v>0</v>
      </c>
      <c r="P72" s="214">
        <f t="shared" si="11"/>
        <v>0</v>
      </c>
      <c r="Q72" s="214">
        <f>IF(K72=0, 0, (HLOOKUP(K72,'[1]G-CESTDWO'!$A$5:$G$35,J72+1,FALSE)*R22))</f>
        <v>0</v>
      </c>
      <c r="R72" s="214">
        <f>IF(K72=0, 0, (HLOOKUP(K72,'[1]G-CESTD'!$A$5:$G$35,J72+1,FALSE)*R22))</f>
        <v>0</v>
      </c>
      <c r="S72" s="279">
        <v>1.081</v>
      </c>
      <c r="T72" s="280">
        <f t="shared" si="18"/>
        <v>0</v>
      </c>
      <c r="U72" s="280">
        <f t="shared" si="12"/>
        <v>0</v>
      </c>
      <c r="V72" s="280">
        <f t="shared" si="13"/>
        <v>0</v>
      </c>
      <c r="W72" s="322" t="e">
        <f t="shared" si="14"/>
        <v>#DIV/0!</v>
      </c>
      <c r="X72" s="322" t="e">
        <f t="shared" si="15"/>
        <v>#DIV/0!</v>
      </c>
      <c r="Y72" s="322" t="e">
        <f t="shared" si="16"/>
        <v>#DIV/0!</v>
      </c>
    </row>
    <row r="73" spans="2:25">
      <c r="B73" s="282"/>
      <c r="C73" s="282" t="s">
        <v>195</v>
      </c>
      <c r="D73" s="257">
        <v>0</v>
      </c>
      <c r="E73" s="282" t="s">
        <v>559</v>
      </c>
      <c r="F73" s="282" t="s">
        <v>186</v>
      </c>
      <c r="G73" s="283"/>
      <c r="H73" s="283"/>
      <c r="I73" s="311">
        <v>0</v>
      </c>
      <c r="J73" s="257"/>
      <c r="K73" s="257"/>
      <c r="L73" s="3574"/>
      <c r="M73" s="3447" t="e">
        <f t="shared" si="17"/>
        <v>#DIV/0!</v>
      </c>
      <c r="N73" s="3447" t="e">
        <f t="shared" si="17"/>
        <v>#DIV/0!</v>
      </c>
      <c r="O73" s="214">
        <f t="shared" si="10"/>
        <v>0</v>
      </c>
      <c r="P73" s="214">
        <f t="shared" si="11"/>
        <v>0</v>
      </c>
      <c r="Q73" s="214">
        <f>IF(K73=0, 0, (HLOOKUP(K73,'[1]G-CESTDWO'!$A$5:$G$35,J73+1,FALSE)*R23))</f>
        <v>0</v>
      </c>
      <c r="R73" s="214">
        <f>IF(K73=0, 0, (HLOOKUP(K73,'[1]G-CESTD'!$A$5:$G$35,J73+1,FALSE)*R23))</f>
        <v>0</v>
      </c>
      <c r="S73" s="279">
        <v>1.081</v>
      </c>
      <c r="T73" s="280">
        <f t="shared" si="18"/>
        <v>0</v>
      </c>
      <c r="U73" s="280">
        <f t="shared" si="12"/>
        <v>0</v>
      </c>
      <c r="V73" s="280">
        <f t="shared" si="13"/>
        <v>0</v>
      </c>
      <c r="W73" s="322" t="e">
        <f t="shared" si="14"/>
        <v>#DIV/0!</v>
      </c>
      <c r="X73" s="322" t="e">
        <f t="shared" si="15"/>
        <v>#DIV/0!</v>
      </c>
      <c r="Y73" s="322" t="e">
        <f t="shared" si="16"/>
        <v>#DIV/0!</v>
      </c>
    </row>
    <row r="74" spans="2:25">
      <c r="B74" s="282"/>
      <c r="C74" s="282" t="s">
        <v>196</v>
      </c>
      <c r="D74" s="282">
        <v>0</v>
      </c>
      <c r="E74" s="282" t="s">
        <v>559</v>
      </c>
      <c r="F74" s="282" t="s">
        <v>186</v>
      </c>
      <c r="G74" s="283"/>
      <c r="H74" s="283"/>
      <c r="I74" s="311">
        <v>0</v>
      </c>
      <c r="J74" s="257"/>
      <c r="K74" s="257"/>
      <c r="L74" s="3574"/>
      <c r="M74" s="3447" t="e">
        <f t="shared" si="17"/>
        <v>#DIV/0!</v>
      </c>
      <c r="N74" s="3447" t="e">
        <f t="shared" si="17"/>
        <v>#DIV/0!</v>
      </c>
      <c r="O74" s="214">
        <f t="shared" si="10"/>
        <v>0</v>
      </c>
      <c r="P74" s="214">
        <f t="shared" si="11"/>
        <v>0</v>
      </c>
      <c r="Q74" s="214">
        <f>IF(K74=0, 0, (HLOOKUP(K74,'[1]G-CESTDWO'!$A$5:$G$35,J74+1,FALSE)*R24))</f>
        <v>0</v>
      </c>
      <c r="R74" s="214">
        <f>IF(K74=0, 0, (HLOOKUP(K74,'[1]G-CESTD'!$A$5:$G$35,J74+1,FALSE)*R24))</f>
        <v>0</v>
      </c>
      <c r="S74" s="279">
        <v>1.081</v>
      </c>
      <c r="T74" s="280">
        <f t="shared" si="18"/>
        <v>0</v>
      </c>
      <c r="U74" s="280">
        <f t="shared" si="12"/>
        <v>0</v>
      </c>
      <c r="V74" s="280">
        <f t="shared" si="13"/>
        <v>0</v>
      </c>
      <c r="W74" s="322" t="e">
        <f t="shared" si="14"/>
        <v>#DIV/0!</v>
      </c>
      <c r="X74" s="322" t="e">
        <f t="shared" si="15"/>
        <v>#DIV/0!</v>
      </c>
      <c r="Y74" s="322" t="e">
        <f t="shared" si="16"/>
        <v>#DIV/0!</v>
      </c>
    </row>
    <row r="75" spans="2:25">
      <c r="B75" s="282"/>
      <c r="C75" s="282" t="s">
        <v>197</v>
      </c>
      <c r="D75" s="257">
        <v>0</v>
      </c>
      <c r="E75" s="282" t="s">
        <v>559</v>
      </c>
      <c r="F75" s="282" t="s">
        <v>186</v>
      </c>
      <c r="G75" s="283"/>
      <c r="H75" s="283"/>
      <c r="I75" s="311">
        <v>0</v>
      </c>
      <c r="J75" s="257"/>
      <c r="K75" s="257"/>
      <c r="L75" s="3574"/>
      <c r="M75" s="3447" t="e">
        <f t="shared" si="17"/>
        <v>#DIV/0!</v>
      </c>
      <c r="N75" s="3447" t="e">
        <f t="shared" si="17"/>
        <v>#DIV/0!</v>
      </c>
      <c r="O75" s="214">
        <f t="shared" si="10"/>
        <v>0</v>
      </c>
      <c r="P75" s="214">
        <f t="shared" si="11"/>
        <v>0</v>
      </c>
      <c r="Q75" s="214">
        <f>IF(K75=0, 0, (HLOOKUP(K75,'[1]G-CESTDWO'!$A$5:$G$35,J75+1,FALSE)*R25))</f>
        <v>0</v>
      </c>
      <c r="R75" s="214">
        <f>IF(K75=0, 0, (HLOOKUP(K75,'[1]G-CESTD'!$A$5:$G$35,J75+1,FALSE)*R25))</f>
        <v>0</v>
      </c>
      <c r="S75" s="279">
        <v>1.081</v>
      </c>
      <c r="T75" s="280">
        <f t="shared" si="18"/>
        <v>0</v>
      </c>
      <c r="U75" s="280">
        <f t="shared" si="12"/>
        <v>0</v>
      </c>
      <c r="V75" s="280">
        <f t="shared" si="13"/>
        <v>0</v>
      </c>
      <c r="W75" s="322" t="e">
        <f t="shared" si="14"/>
        <v>#DIV/0!</v>
      </c>
      <c r="X75" s="322" t="e">
        <f t="shared" si="15"/>
        <v>#DIV/0!</v>
      </c>
      <c r="Y75" s="322" t="e">
        <f t="shared" si="16"/>
        <v>#DIV/0!</v>
      </c>
    </row>
    <row r="76" spans="2:25">
      <c r="B76" s="282"/>
      <c r="C76" s="282" t="s">
        <v>198</v>
      </c>
      <c r="D76" s="282">
        <v>0</v>
      </c>
      <c r="E76" s="282" t="s">
        <v>559</v>
      </c>
      <c r="F76" s="282" t="s">
        <v>186</v>
      </c>
      <c r="G76" s="283"/>
      <c r="H76" s="283"/>
      <c r="I76" s="311">
        <v>0</v>
      </c>
      <c r="J76" s="257"/>
      <c r="K76" s="257"/>
      <c r="L76" s="3574"/>
      <c r="M76" s="3447" t="e">
        <f t="shared" si="17"/>
        <v>#DIV/0!</v>
      </c>
      <c r="N76" s="3447" t="e">
        <f t="shared" si="17"/>
        <v>#DIV/0!</v>
      </c>
      <c r="O76" s="214">
        <f t="shared" si="10"/>
        <v>0</v>
      </c>
      <c r="P76" s="214">
        <f t="shared" si="11"/>
        <v>0</v>
      </c>
      <c r="Q76" s="214">
        <f>IF(K76=0, 0, (HLOOKUP(K76,'[1]G-CESTDWO'!$A$5:$G$35,J76+1,FALSE)*R26))</f>
        <v>0</v>
      </c>
      <c r="R76" s="214">
        <f>IF(K76=0, 0, (HLOOKUP(K76,'[1]G-CESTD'!$A$5:$G$35,J76+1,FALSE)*R26))</f>
        <v>0</v>
      </c>
      <c r="S76" s="279">
        <v>1.081</v>
      </c>
      <c r="T76" s="280">
        <f t="shared" si="18"/>
        <v>0</v>
      </c>
      <c r="U76" s="280">
        <f t="shared" si="12"/>
        <v>0</v>
      </c>
      <c r="V76" s="280">
        <f t="shared" si="13"/>
        <v>0</v>
      </c>
      <c r="W76" s="322" t="e">
        <f t="shared" si="14"/>
        <v>#DIV/0!</v>
      </c>
      <c r="X76" s="322" t="e">
        <f t="shared" si="15"/>
        <v>#DIV/0!</v>
      </c>
      <c r="Y76" s="322" t="e">
        <f t="shared" si="16"/>
        <v>#DIV/0!</v>
      </c>
    </row>
    <row r="77" spans="2:25">
      <c r="B77" s="282"/>
      <c r="C77" s="282" t="s">
        <v>199</v>
      </c>
      <c r="D77" s="257">
        <v>0</v>
      </c>
      <c r="E77" s="282" t="s">
        <v>559</v>
      </c>
      <c r="F77" s="282" t="s">
        <v>186</v>
      </c>
      <c r="G77" s="283"/>
      <c r="H77" s="283"/>
      <c r="I77" s="311">
        <v>0</v>
      </c>
      <c r="J77" s="257"/>
      <c r="K77" s="257"/>
      <c r="L77" s="3574"/>
      <c r="M77" s="3447" t="e">
        <f t="shared" si="17"/>
        <v>#DIV/0!</v>
      </c>
      <c r="N77" s="3447" t="e">
        <f t="shared" si="17"/>
        <v>#DIV/0!</v>
      </c>
      <c r="O77" s="214">
        <f t="shared" si="10"/>
        <v>0</v>
      </c>
      <c r="P77" s="214">
        <f t="shared" si="11"/>
        <v>0</v>
      </c>
      <c r="Q77" s="214">
        <f>IF(K77=0, 0, (HLOOKUP(K77,'[1]G-CESTDWO'!$A$5:$G$35,J77+1,FALSE)*R27))</f>
        <v>0</v>
      </c>
      <c r="R77" s="214">
        <f>IF(K77=0, 0, (HLOOKUP(K77,'[1]G-CESTD'!$A$5:$G$35,J77+1,FALSE)*R27))</f>
        <v>0</v>
      </c>
      <c r="S77" s="279">
        <v>1.081</v>
      </c>
      <c r="T77" s="280">
        <f t="shared" si="18"/>
        <v>0</v>
      </c>
      <c r="U77" s="280">
        <f t="shared" si="12"/>
        <v>0</v>
      </c>
      <c r="V77" s="280">
        <f t="shared" si="13"/>
        <v>0</v>
      </c>
      <c r="W77" s="322" t="e">
        <f t="shared" si="14"/>
        <v>#DIV/0!</v>
      </c>
      <c r="X77" s="322" t="e">
        <f t="shared" si="15"/>
        <v>#DIV/0!</v>
      </c>
      <c r="Y77" s="322" t="e">
        <f t="shared" si="16"/>
        <v>#DIV/0!</v>
      </c>
    </row>
    <row r="78" spans="2:25">
      <c r="B78" s="282"/>
      <c r="C78" s="282" t="s">
        <v>200</v>
      </c>
      <c r="D78" s="282">
        <v>0</v>
      </c>
      <c r="E78" s="282" t="s">
        <v>559</v>
      </c>
      <c r="F78" s="282" t="s">
        <v>186</v>
      </c>
      <c r="G78" s="283"/>
      <c r="H78" s="283"/>
      <c r="I78" s="311">
        <v>0</v>
      </c>
      <c r="J78" s="257"/>
      <c r="K78" s="257"/>
      <c r="L78" s="3574"/>
      <c r="M78" s="3447" t="e">
        <f t="shared" si="17"/>
        <v>#DIV/0!</v>
      </c>
      <c r="N78" s="3447" t="e">
        <f t="shared" si="17"/>
        <v>#DIV/0!</v>
      </c>
      <c r="O78" s="214">
        <f t="shared" si="10"/>
        <v>0</v>
      </c>
      <c r="P78" s="214">
        <f t="shared" si="11"/>
        <v>0</v>
      </c>
      <c r="Q78" s="214">
        <f>IF(K78=0, 0, (HLOOKUP(K78,'[1]G-CESTDWO'!$A$5:$G$35,J78+1,FALSE)*R28))</f>
        <v>0</v>
      </c>
      <c r="R78" s="214">
        <f>IF(K78=0, 0, (HLOOKUP(K78,'[1]G-CESTD'!$A$5:$G$35,J78+1,FALSE)*R28))</f>
        <v>0</v>
      </c>
      <c r="S78" s="279">
        <v>1.081</v>
      </c>
      <c r="T78" s="280">
        <f t="shared" si="18"/>
        <v>0</v>
      </c>
      <c r="U78" s="280">
        <f t="shared" si="12"/>
        <v>0</v>
      </c>
      <c r="V78" s="280">
        <f t="shared" si="13"/>
        <v>0</v>
      </c>
      <c r="W78" s="322" t="e">
        <f t="shared" si="14"/>
        <v>#DIV/0!</v>
      </c>
      <c r="X78" s="322" t="e">
        <f t="shared" si="15"/>
        <v>#DIV/0!</v>
      </c>
      <c r="Y78" s="322" t="e">
        <f t="shared" si="16"/>
        <v>#DIV/0!</v>
      </c>
    </row>
    <row r="79" spans="2:25">
      <c r="B79" s="282"/>
      <c r="C79" s="282" t="s">
        <v>201</v>
      </c>
      <c r="D79" s="257">
        <v>0</v>
      </c>
      <c r="E79" s="282" t="s">
        <v>559</v>
      </c>
      <c r="F79" s="282" t="s">
        <v>186</v>
      </c>
      <c r="G79" s="283"/>
      <c r="H79" s="283"/>
      <c r="I79" s="311">
        <v>0</v>
      </c>
      <c r="J79" s="257"/>
      <c r="K79" s="257"/>
      <c r="L79" s="3574"/>
      <c r="M79" s="3447" t="e">
        <f t="shared" si="17"/>
        <v>#DIV/0!</v>
      </c>
      <c r="N79" s="3447" t="e">
        <f t="shared" si="17"/>
        <v>#DIV/0!</v>
      </c>
      <c r="O79" s="214">
        <f t="shared" si="10"/>
        <v>0</v>
      </c>
      <c r="P79" s="214">
        <f t="shared" si="11"/>
        <v>0</v>
      </c>
      <c r="Q79" s="214">
        <f>IF(K79=0, 0, (HLOOKUP(K79,'[1]G-CESTDWO'!$A$5:$G$35,J79+1,FALSE)*R29))</f>
        <v>0</v>
      </c>
      <c r="R79" s="214">
        <f>IF(K79=0, 0, (HLOOKUP(K79,'[1]G-CESTD'!$A$5:$G$35,J79+1,FALSE)*R29))</f>
        <v>0</v>
      </c>
      <c r="S79" s="279">
        <v>1.081</v>
      </c>
      <c r="T79" s="280">
        <f t="shared" si="18"/>
        <v>0</v>
      </c>
      <c r="U79" s="280">
        <f t="shared" si="12"/>
        <v>0</v>
      </c>
      <c r="V79" s="280">
        <f t="shared" si="13"/>
        <v>0</v>
      </c>
      <c r="W79" s="322" t="e">
        <f t="shared" si="14"/>
        <v>#DIV/0!</v>
      </c>
      <c r="X79" s="322" t="e">
        <f t="shared" si="15"/>
        <v>#DIV/0!</v>
      </c>
      <c r="Y79" s="322" t="e">
        <f t="shared" si="16"/>
        <v>#DIV/0!</v>
      </c>
    </row>
    <row r="80" spans="2:25">
      <c r="B80" s="282"/>
      <c r="C80" s="282" t="s">
        <v>202</v>
      </c>
      <c r="D80" s="282">
        <v>0</v>
      </c>
      <c r="E80" s="282" t="s">
        <v>559</v>
      </c>
      <c r="F80" s="282" t="s">
        <v>186</v>
      </c>
      <c r="G80" s="283"/>
      <c r="H80" s="283"/>
      <c r="I80" s="311">
        <v>0</v>
      </c>
      <c r="J80" s="257"/>
      <c r="K80" s="257"/>
      <c r="L80" s="3574"/>
      <c r="M80" s="3447" t="e">
        <f t="shared" si="17"/>
        <v>#DIV/0!</v>
      </c>
      <c r="N80" s="3447" t="e">
        <f t="shared" si="17"/>
        <v>#DIV/0!</v>
      </c>
      <c r="O80" s="214">
        <f t="shared" si="10"/>
        <v>0</v>
      </c>
      <c r="P80" s="214">
        <f t="shared" si="11"/>
        <v>0</v>
      </c>
      <c r="Q80" s="214">
        <f>IF(K80=0, 0, (HLOOKUP(K80,'[1]G-CESTDWO'!$A$5:$G$35,J80+1,FALSE)*R30))</f>
        <v>0</v>
      </c>
      <c r="R80" s="214">
        <f>IF(K80=0, 0, (HLOOKUP(K80,'[1]G-CESTD'!$A$5:$G$35,J80+1,FALSE)*R30))</f>
        <v>0</v>
      </c>
      <c r="S80" s="279">
        <v>1.081</v>
      </c>
      <c r="T80" s="280">
        <f t="shared" si="18"/>
        <v>0</v>
      </c>
      <c r="U80" s="280">
        <f t="shared" si="12"/>
        <v>0</v>
      </c>
      <c r="V80" s="280">
        <f t="shared" si="13"/>
        <v>0</v>
      </c>
      <c r="W80" s="322" t="e">
        <f t="shared" si="14"/>
        <v>#DIV/0!</v>
      </c>
      <c r="X80" s="322" t="e">
        <f t="shared" si="15"/>
        <v>#DIV/0!</v>
      </c>
      <c r="Y80" s="322" t="e">
        <f t="shared" si="16"/>
        <v>#DIV/0!</v>
      </c>
    </row>
    <row r="81" spans="2:25">
      <c r="B81" s="282"/>
      <c r="C81" s="282" t="s">
        <v>203</v>
      </c>
      <c r="D81" s="282">
        <v>0</v>
      </c>
      <c r="E81" s="282" t="s">
        <v>559</v>
      </c>
      <c r="F81" s="282" t="s">
        <v>186</v>
      </c>
      <c r="G81" s="283"/>
      <c r="H81" s="283"/>
      <c r="I81" s="311">
        <v>0</v>
      </c>
      <c r="J81" s="257"/>
      <c r="K81" s="257"/>
      <c r="L81" s="3574"/>
      <c r="M81" s="3447" t="e">
        <f t="shared" si="17"/>
        <v>#DIV/0!</v>
      </c>
      <c r="N81" s="3447" t="e">
        <f t="shared" si="17"/>
        <v>#DIV/0!</v>
      </c>
      <c r="O81" s="214">
        <f t="shared" si="10"/>
        <v>0</v>
      </c>
      <c r="P81" s="214">
        <f t="shared" si="11"/>
        <v>0</v>
      </c>
      <c r="Q81" s="214">
        <f>IF(K81=0, 0, (HLOOKUP(K81,'[1]G-CESTDWO'!$A$5:$G$35,J81+1,FALSE)*R31))</f>
        <v>0</v>
      </c>
      <c r="R81" s="214">
        <f>IF(K81=0, 0, (HLOOKUP(K81,'[1]G-CESTD'!$A$5:$G$35,J81+1,FALSE)*R31))</f>
        <v>0</v>
      </c>
      <c r="S81" s="279">
        <v>1.081</v>
      </c>
      <c r="T81" s="280">
        <f t="shared" si="18"/>
        <v>0</v>
      </c>
      <c r="U81" s="280">
        <f t="shared" si="12"/>
        <v>0</v>
      </c>
      <c r="V81" s="280">
        <f t="shared" si="13"/>
        <v>0</v>
      </c>
      <c r="W81" s="322" t="e">
        <f t="shared" si="14"/>
        <v>#DIV/0!</v>
      </c>
      <c r="X81" s="322" t="e">
        <f t="shared" si="15"/>
        <v>#DIV/0!</v>
      </c>
      <c r="Y81" s="322" t="e">
        <f t="shared" si="16"/>
        <v>#DIV/0!</v>
      </c>
    </row>
    <row r="82" spans="2:25">
      <c r="B82" s="282"/>
      <c r="C82" s="282" t="s">
        <v>204</v>
      </c>
      <c r="D82" s="282">
        <v>0</v>
      </c>
      <c r="E82" s="282" t="s">
        <v>559</v>
      </c>
      <c r="F82" s="282" t="s">
        <v>186</v>
      </c>
      <c r="G82" s="283"/>
      <c r="H82" s="283"/>
      <c r="I82" s="311">
        <v>0</v>
      </c>
      <c r="J82" s="257"/>
      <c r="K82" s="257"/>
      <c r="L82" s="3574"/>
      <c r="M82" s="3447" t="e">
        <f t="shared" si="17"/>
        <v>#DIV/0!</v>
      </c>
      <c r="N82" s="3447" t="e">
        <f t="shared" si="17"/>
        <v>#DIV/0!</v>
      </c>
      <c r="O82" s="214">
        <f t="shared" si="10"/>
        <v>0</v>
      </c>
      <c r="P82" s="214">
        <f t="shared" si="11"/>
        <v>0</v>
      </c>
      <c r="Q82" s="214">
        <f>IF(K82=0, 0, (HLOOKUP(K82,'[1]G-CESTDWO'!$A$5:$G$35,J82+1,FALSE)*R32))</f>
        <v>0</v>
      </c>
      <c r="R82" s="214">
        <f>IF(K82=0, 0, (HLOOKUP(K82,'[1]G-CESTD'!$A$5:$G$35,J82+1,FALSE)*R32))</f>
        <v>0</v>
      </c>
      <c r="S82" s="279">
        <v>1.081</v>
      </c>
      <c r="T82" s="280">
        <f t="shared" si="18"/>
        <v>0</v>
      </c>
      <c r="U82" s="280">
        <f t="shared" si="12"/>
        <v>0</v>
      </c>
      <c r="V82" s="280">
        <f t="shared" si="13"/>
        <v>0</v>
      </c>
    </row>
    <row r="83" spans="2:25">
      <c r="B83" s="282"/>
      <c r="C83" s="282" t="s">
        <v>205</v>
      </c>
      <c r="D83" s="285">
        <v>0</v>
      </c>
      <c r="E83" s="282" t="s">
        <v>559</v>
      </c>
      <c r="F83" s="282" t="s">
        <v>186</v>
      </c>
      <c r="G83" s="283"/>
      <c r="H83" s="283"/>
      <c r="I83" s="311">
        <v>0</v>
      </c>
      <c r="J83" s="257"/>
      <c r="K83" s="257"/>
      <c r="L83" s="3574"/>
      <c r="M83" s="3447" t="e">
        <f t="shared" si="17"/>
        <v>#DIV/0!</v>
      </c>
      <c r="N83" s="3447" t="e">
        <f t="shared" si="17"/>
        <v>#DIV/0!</v>
      </c>
      <c r="O83" s="214">
        <f t="shared" si="10"/>
        <v>0</v>
      </c>
      <c r="P83" s="214">
        <f t="shared" si="11"/>
        <v>0</v>
      </c>
      <c r="Q83" s="214">
        <f>IF(K83=0, 0, (HLOOKUP(K83,'[1]G-CESTDWO'!$A$5:$G$35,J83+1,FALSE)*R33))</f>
        <v>0</v>
      </c>
      <c r="R83" s="214">
        <f>IF(K83=0, 0, (HLOOKUP(K83,'[1]G-CESTD'!$A$5:$G$35,J83+1,FALSE)*R33))</f>
        <v>0</v>
      </c>
      <c r="S83" s="279">
        <v>1.081</v>
      </c>
      <c r="T83" s="280">
        <f t="shared" si="18"/>
        <v>0</v>
      </c>
      <c r="U83" s="280">
        <f t="shared" si="12"/>
        <v>0</v>
      </c>
      <c r="V83" s="280">
        <f t="shared" si="13"/>
        <v>0</v>
      </c>
    </row>
    <row r="84" spans="2:25">
      <c r="B84" s="282"/>
      <c r="C84" s="282" t="s">
        <v>206</v>
      </c>
      <c r="D84" s="285">
        <v>0</v>
      </c>
      <c r="E84" s="282" t="s">
        <v>559</v>
      </c>
      <c r="F84" s="282" t="s">
        <v>186</v>
      </c>
      <c r="G84" s="283"/>
      <c r="H84" s="283"/>
      <c r="I84" s="311">
        <v>0</v>
      </c>
      <c r="J84" s="257"/>
      <c r="K84" s="257"/>
      <c r="L84" s="3574"/>
      <c r="M84" s="3447" t="e">
        <f t="shared" si="17"/>
        <v>#DIV/0!</v>
      </c>
      <c r="N84" s="3447" t="e">
        <f t="shared" si="17"/>
        <v>#DIV/0!</v>
      </c>
      <c r="O84" s="214">
        <f t="shared" si="10"/>
        <v>0</v>
      </c>
      <c r="P84" s="214">
        <f t="shared" si="11"/>
        <v>0</v>
      </c>
      <c r="Q84" s="214">
        <f>IF(K84=0, 0, (HLOOKUP(K84,'[1]G-CESTDWO'!$A$5:$G$35,J84+1,FALSE)*R34))</f>
        <v>0</v>
      </c>
      <c r="R84" s="214">
        <f>IF(K84=0, 0, (HLOOKUP(K84,'[1]G-CESTD'!$A$5:$G$35,J84+1,FALSE)*R34))</f>
        <v>0</v>
      </c>
      <c r="S84" s="279">
        <v>1.081</v>
      </c>
      <c r="T84" s="280">
        <f t="shared" si="18"/>
        <v>0</v>
      </c>
      <c r="U84" s="280">
        <f t="shared" si="12"/>
        <v>0</v>
      </c>
      <c r="V84" s="280">
        <f t="shared" si="13"/>
        <v>0</v>
      </c>
    </row>
    <row r="85" spans="2:25">
      <c r="B85" s="282"/>
      <c r="C85" s="282" t="s">
        <v>207</v>
      </c>
      <c r="D85" s="285">
        <v>0</v>
      </c>
      <c r="E85" s="282" t="s">
        <v>559</v>
      </c>
      <c r="F85" s="282" t="s">
        <v>186</v>
      </c>
      <c r="G85" s="283"/>
      <c r="H85" s="283"/>
      <c r="I85" s="311">
        <v>0</v>
      </c>
      <c r="J85" s="257"/>
      <c r="K85" s="257"/>
      <c r="L85" s="3574"/>
      <c r="M85" s="3447" t="e">
        <f t="shared" si="17"/>
        <v>#DIV/0!</v>
      </c>
      <c r="N85" s="3447" t="e">
        <f t="shared" si="17"/>
        <v>#DIV/0!</v>
      </c>
      <c r="O85" s="214">
        <f t="shared" si="10"/>
        <v>0</v>
      </c>
      <c r="P85" s="214">
        <f t="shared" si="11"/>
        <v>0</v>
      </c>
      <c r="Q85" s="214">
        <f>IF(K85=0, 0, (HLOOKUP(K85,'[1]G-CESTDWO'!$A$5:$G$35,J85+1,FALSE)*R35))</f>
        <v>0</v>
      </c>
      <c r="R85" s="214">
        <f>IF(K85=0, 0, (HLOOKUP(K85,'[1]G-CESTD'!$A$5:$G$35,J85+1,FALSE)*R35))</f>
        <v>0</v>
      </c>
      <c r="S85" s="279">
        <v>1.081</v>
      </c>
      <c r="T85" s="280">
        <f t="shared" si="18"/>
        <v>0</v>
      </c>
      <c r="U85" s="280">
        <f t="shared" si="12"/>
        <v>0</v>
      </c>
      <c r="V85" s="280">
        <f t="shared" si="13"/>
        <v>0</v>
      </c>
    </row>
    <row r="86" spans="2:25">
      <c r="B86" s="282"/>
      <c r="C86" s="282" t="s">
        <v>208</v>
      </c>
      <c r="D86" s="285">
        <v>0</v>
      </c>
      <c r="E86" s="282" t="s">
        <v>559</v>
      </c>
      <c r="F86" s="282" t="s">
        <v>186</v>
      </c>
      <c r="G86" s="283"/>
      <c r="H86" s="283"/>
      <c r="I86" s="311">
        <v>0</v>
      </c>
      <c r="J86" s="257"/>
      <c r="K86" s="257"/>
      <c r="L86" s="3574"/>
      <c r="M86" s="3447" t="e">
        <f t="shared" si="17"/>
        <v>#DIV/0!</v>
      </c>
      <c r="N86" s="3447" t="e">
        <f t="shared" si="17"/>
        <v>#DIV/0!</v>
      </c>
      <c r="O86" s="214">
        <f t="shared" si="10"/>
        <v>0</v>
      </c>
      <c r="P86" s="214">
        <f t="shared" si="11"/>
        <v>0</v>
      </c>
      <c r="Q86" s="214">
        <f>IF(K86=0, 0, (HLOOKUP(K86,'[1]G-CESTDWO'!$A$5:$G$35,J86+1,FALSE)*R36))</f>
        <v>0</v>
      </c>
      <c r="R86" s="214">
        <f>IF(K86=0, 0, (HLOOKUP(K86,'[1]G-CESTD'!$A$5:$G$35,J86+1,FALSE)*R36))</f>
        <v>0</v>
      </c>
      <c r="S86" s="279">
        <v>1.081</v>
      </c>
      <c r="T86" s="280">
        <f t="shared" si="18"/>
        <v>0</v>
      </c>
      <c r="U86" s="280">
        <f t="shared" si="12"/>
        <v>0</v>
      </c>
      <c r="V86" s="280">
        <f t="shared" si="13"/>
        <v>0</v>
      </c>
    </row>
    <row r="87" spans="2:25">
      <c r="B87" s="282"/>
      <c r="C87" s="282" t="s">
        <v>209</v>
      </c>
      <c r="D87" s="285">
        <v>0</v>
      </c>
      <c r="E87" s="282" t="s">
        <v>559</v>
      </c>
      <c r="F87" s="282" t="s">
        <v>186</v>
      </c>
      <c r="G87" s="283"/>
      <c r="H87" s="283"/>
      <c r="I87" s="311">
        <v>0</v>
      </c>
      <c r="J87" s="257"/>
      <c r="K87" s="257"/>
      <c r="L87" s="3574"/>
      <c r="M87" s="3447" t="e">
        <f t="shared" si="17"/>
        <v>#DIV/0!</v>
      </c>
      <c r="N87" s="3447" t="e">
        <f t="shared" si="17"/>
        <v>#DIV/0!</v>
      </c>
      <c r="O87" s="214">
        <f t="shared" si="10"/>
        <v>0</v>
      </c>
      <c r="P87" s="214">
        <f t="shared" si="11"/>
        <v>0</v>
      </c>
      <c r="Q87" s="214">
        <f>IF(K87=0, 0, (HLOOKUP(K87,'[1]G-CESTDWO'!$A$5:$G$35,J87+1,FALSE)*R37))</f>
        <v>0</v>
      </c>
      <c r="R87" s="214">
        <f>IF(K87=0, 0, (HLOOKUP(K87,'[1]G-CESTD'!$A$5:$G$35,J87+1,FALSE)*R37))</f>
        <v>0</v>
      </c>
      <c r="S87" s="279">
        <v>1.081</v>
      </c>
      <c r="T87" s="280">
        <f t="shared" si="18"/>
        <v>0</v>
      </c>
      <c r="U87" s="280">
        <f t="shared" si="12"/>
        <v>0</v>
      </c>
      <c r="V87" s="280">
        <f t="shared" si="13"/>
        <v>0</v>
      </c>
    </row>
    <row r="88" spans="2:25">
      <c r="B88" s="282"/>
      <c r="C88" s="282" t="s">
        <v>210</v>
      </c>
      <c r="D88" s="285">
        <v>0</v>
      </c>
      <c r="E88" s="282" t="s">
        <v>559</v>
      </c>
      <c r="F88" s="282" t="s">
        <v>186</v>
      </c>
      <c r="G88" s="283"/>
      <c r="H88" s="283"/>
      <c r="I88" s="311">
        <v>0</v>
      </c>
      <c r="J88" s="257"/>
      <c r="K88" s="257"/>
      <c r="L88" s="3574"/>
      <c r="M88" s="3447" t="e">
        <f t="shared" si="17"/>
        <v>#DIV/0!</v>
      </c>
      <c r="N88" s="3447" t="e">
        <f t="shared" si="17"/>
        <v>#DIV/0!</v>
      </c>
      <c r="O88" s="214">
        <f t="shared" si="10"/>
        <v>0</v>
      </c>
      <c r="P88" s="214">
        <f t="shared" si="11"/>
        <v>0</v>
      </c>
      <c r="Q88" s="214">
        <f>IF(K88=0, 0, (HLOOKUP(K88,'[1]G-CESTDWO'!$A$5:$G$35,J88+1,FALSE)*R38))</f>
        <v>0</v>
      </c>
      <c r="R88" s="214">
        <f>IF(K88=0, 0, (HLOOKUP(K88,'[1]G-CESTD'!$A$5:$G$35,J88+1,FALSE)*R38))</f>
        <v>0</v>
      </c>
      <c r="S88" s="279">
        <v>1.081</v>
      </c>
      <c r="T88" s="280">
        <f t="shared" si="18"/>
        <v>0</v>
      </c>
      <c r="U88" s="280">
        <f t="shared" si="12"/>
        <v>0</v>
      </c>
      <c r="V88" s="280">
        <f t="shared" si="13"/>
        <v>0</v>
      </c>
    </row>
    <row r="89" spans="2:25">
      <c r="B89" s="282"/>
      <c r="C89" s="282" t="s">
        <v>211</v>
      </c>
      <c r="D89" s="285">
        <v>0</v>
      </c>
      <c r="E89" s="282" t="s">
        <v>559</v>
      </c>
      <c r="F89" s="282" t="s">
        <v>186</v>
      </c>
      <c r="G89" s="283"/>
      <c r="H89" s="283"/>
      <c r="I89" s="311">
        <v>0</v>
      </c>
      <c r="J89" s="257"/>
      <c r="K89" s="257"/>
      <c r="L89" s="3574"/>
      <c r="M89" s="3447" t="e">
        <f t="shared" si="17"/>
        <v>#DIV/0!</v>
      </c>
      <c r="N89" s="3447" t="e">
        <f t="shared" si="17"/>
        <v>#DIV/0!</v>
      </c>
      <c r="O89" s="214">
        <f t="shared" si="10"/>
        <v>0</v>
      </c>
      <c r="P89" s="214">
        <f t="shared" si="11"/>
        <v>0</v>
      </c>
      <c r="Q89" s="214">
        <f>IF(K89=0, 0, (HLOOKUP(K89,'[1]G-CESTDWO'!$A$5:$G$35,J89+1,FALSE)*R39))</f>
        <v>0</v>
      </c>
      <c r="R89" s="214">
        <f>IF(K89=0, 0, (HLOOKUP(K89,'[1]G-CESTD'!$A$5:$G$35,J89+1,FALSE)*R39))</f>
        <v>0</v>
      </c>
      <c r="S89" s="279">
        <v>1.081</v>
      </c>
      <c r="T89" s="280">
        <f t="shared" si="18"/>
        <v>0</v>
      </c>
      <c r="U89" s="280">
        <f t="shared" si="12"/>
        <v>0</v>
      </c>
      <c r="V89" s="280">
        <f t="shared" si="13"/>
        <v>0</v>
      </c>
    </row>
    <row r="90" spans="2:25">
      <c r="B90" s="282"/>
      <c r="C90" s="282" t="s">
        <v>212</v>
      </c>
      <c r="D90" s="285">
        <v>0</v>
      </c>
      <c r="E90" s="282" t="s">
        <v>559</v>
      </c>
      <c r="F90" s="282" t="s">
        <v>186</v>
      </c>
      <c r="G90" s="283"/>
      <c r="H90" s="283"/>
      <c r="I90" s="311">
        <v>0</v>
      </c>
      <c r="J90" s="257"/>
      <c r="K90" s="257"/>
      <c r="L90" s="3574"/>
      <c r="M90" s="3447" t="e">
        <f t="shared" si="17"/>
        <v>#DIV/0!</v>
      </c>
      <c r="N90" s="3447" t="e">
        <f t="shared" si="17"/>
        <v>#DIV/0!</v>
      </c>
      <c r="O90" s="214">
        <f t="shared" si="10"/>
        <v>0</v>
      </c>
      <c r="P90" s="214">
        <f t="shared" si="11"/>
        <v>0</v>
      </c>
      <c r="Q90" s="214">
        <f>IF(K90=0, 0, (HLOOKUP(K90,'[1]G-CESTDWO'!$A$5:$G$35,J90+1,FALSE)*R40))</f>
        <v>0</v>
      </c>
      <c r="R90" s="214">
        <f>IF(K90=0, 0, (HLOOKUP(K90,'[1]G-CESTD'!$A$5:$G$35,J90+1,FALSE)*R40))</f>
        <v>0</v>
      </c>
      <c r="S90" s="279">
        <v>1.081</v>
      </c>
      <c r="T90" s="280">
        <f t="shared" si="18"/>
        <v>0</v>
      </c>
      <c r="U90" s="280">
        <f t="shared" si="12"/>
        <v>0</v>
      </c>
      <c r="V90" s="280">
        <f t="shared" si="13"/>
        <v>0</v>
      </c>
    </row>
    <row r="91" spans="2:25">
      <c r="B91" s="282"/>
      <c r="C91" s="282" t="s">
        <v>213</v>
      </c>
      <c r="D91" s="285">
        <v>0</v>
      </c>
      <c r="E91" s="282" t="s">
        <v>559</v>
      </c>
      <c r="F91" s="282" t="s">
        <v>186</v>
      </c>
      <c r="G91" s="283"/>
      <c r="H91" s="283"/>
      <c r="I91" s="311">
        <v>0</v>
      </c>
      <c r="J91" s="257"/>
      <c r="K91" s="257"/>
      <c r="L91" s="3574"/>
      <c r="M91" s="3447" t="e">
        <f t="shared" si="17"/>
        <v>#DIV/0!</v>
      </c>
      <c r="N91" s="3447" t="e">
        <f t="shared" si="17"/>
        <v>#DIV/0!</v>
      </c>
      <c r="O91" s="214">
        <f t="shared" si="10"/>
        <v>0</v>
      </c>
      <c r="P91" s="214">
        <f t="shared" si="11"/>
        <v>0</v>
      </c>
      <c r="Q91" s="214">
        <f>IF(K91=0, 0, (HLOOKUP(K91,'[1]G-CESTDWO'!$A$5:$G$35,J91+1,FALSE)*R41))</f>
        <v>0</v>
      </c>
      <c r="R91" s="214">
        <f>IF(K91=0, 0, (HLOOKUP(K91,'[1]G-CESTD'!$A$5:$G$35,J91+1,FALSE)*R41))</f>
        <v>0</v>
      </c>
      <c r="S91" s="279">
        <v>1.081</v>
      </c>
      <c r="T91" s="280">
        <f t="shared" si="18"/>
        <v>0</v>
      </c>
      <c r="U91" s="280">
        <f t="shared" si="12"/>
        <v>0</v>
      </c>
      <c r="V91" s="280">
        <f t="shared" si="13"/>
        <v>0</v>
      </c>
    </row>
    <row r="92" spans="2:25">
      <c r="B92" s="282"/>
      <c r="C92" s="282" t="s">
        <v>214</v>
      </c>
      <c r="D92" s="285">
        <v>0</v>
      </c>
      <c r="E92" s="282" t="s">
        <v>559</v>
      </c>
      <c r="F92" s="282" t="s">
        <v>186</v>
      </c>
      <c r="G92" s="283"/>
      <c r="H92" s="283"/>
      <c r="I92" s="311">
        <v>0</v>
      </c>
      <c r="J92" s="257"/>
      <c r="K92" s="257"/>
      <c r="L92" s="3574"/>
      <c r="M92" s="3447" t="e">
        <f t="shared" si="17"/>
        <v>#DIV/0!</v>
      </c>
      <c r="N92" s="3447" t="e">
        <f t="shared" si="17"/>
        <v>#DIV/0!</v>
      </c>
      <c r="O92" s="214">
        <f t="shared" si="10"/>
        <v>0</v>
      </c>
      <c r="P92" s="214">
        <f t="shared" si="11"/>
        <v>0</v>
      </c>
      <c r="Q92" s="214">
        <f>IF(K92=0, 0, (HLOOKUP(K92,'[1]G-CESTDWO'!$A$5:$G$35,J92+1,FALSE)*R42))</f>
        <v>0</v>
      </c>
      <c r="R92" s="214">
        <f>IF(K92=0, 0, (HLOOKUP(K92,'[1]G-CESTD'!$A$5:$G$35,J92+1,FALSE)*R42))</f>
        <v>0</v>
      </c>
      <c r="S92" s="279">
        <v>1.081</v>
      </c>
      <c r="T92" s="280">
        <f t="shared" si="18"/>
        <v>0</v>
      </c>
      <c r="U92" s="280">
        <f t="shared" si="12"/>
        <v>0</v>
      </c>
      <c r="V92" s="280">
        <f t="shared" si="13"/>
        <v>0</v>
      </c>
    </row>
    <row r="93" spans="2:25">
      <c r="B93" s="282"/>
      <c r="C93" s="282" t="s">
        <v>215</v>
      </c>
      <c r="D93" s="285">
        <v>0</v>
      </c>
      <c r="E93" s="282" t="s">
        <v>559</v>
      </c>
      <c r="F93" s="282" t="s">
        <v>186</v>
      </c>
      <c r="G93" s="283"/>
      <c r="H93" s="283"/>
      <c r="I93" s="311">
        <v>0</v>
      </c>
      <c r="J93" s="257"/>
      <c r="K93" s="257"/>
      <c r="L93" s="3574"/>
      <c r="M93" s="3447" t="e">
        <f t="shared" si="17"/>
        <v>#DIV/0!</v>
      </c>
      <c r="N93" s="3447" t="e">
        <f t="shared" si="17"/>
        <v>#DIV/0!</v>
      </c>
      <c r="O93" s="214">
        <f t="shared" si="10"/>
        <v>0</v>
      </c>
      <c r="P93" s="214">
        <f t="shared" si="11"/>
        <v>0</v>
      </c>
      <c r="Q93" s="214">
        <f>IF(K93=0, 0, (HLOOKUP(K93,'[1]G-CESTDWO'!$A$5:$G$35,J93+1,FALSE)*R43))</f>
        <v>0</v>
      </c>
      <c r="R93" s="214">
        <f>IF(K93=0, 0, (HLOOKUP(K93,'[1]G-CESTD'!$A$5:$G$35,J93+1,FALSE)*R43))</f>
        <v>0</v>
      </c>
      <c r="S93" s="279">
        <v>1.081</v>
      </c>
      <c r="T93" s="280">
        <f t="shared" si="18"/>
        <v>0</v>
      </c>
      <c r="U93" s="280">
        <f t="shared" si="12"/>
        <v>0</v>
      </c>
      <c r="V93" s="280">
        <f t="shared" si="13"/>
        <v>0</v>
      </c>
    </row>
    <row r="94" spans="2:25">
      <c r="B94" s="282"/>
      <c r="C94" s="282" t="s">
        <v>216</v>
      </c>
      <c r="D94" s="285">
        <v>0</v>
      </c>
      <c r="E94" s="282" t="s">
        <v>559</v>
      </c>
      <c r="F94" s="282" t="s">
        <v>186</v>
      </c>
      <c r="G94" s="283"/>
      <c r="H94" s="283"/>
      <c r="I94" s="311">
        <v>0</v>
      </c>
      <c r="J94" s="257"/>
      <c r="K94" s="257"/>
      <c r="L94" s="3574"/>
      <c r="M94" s="3447" t="e">
        <f t="shared" si="17"/>
        <v>#DIV/0!</v>
      </c>
      <c r="N94" s="3447" t="e">
        <f t="shared" si="17"/>
        <v>#DIV/0!</v>
      </c>
      <c r="O94" s="214">
        <f t="shared" si="10"/>
        <v>0</v>
      </c>
      <c r="P94" s="214">
        <f t="shared" si="11"/>
        <v>0</v>
      </c>
      <c r="Q94" s="214">
        <f>IF(K94=0, 0, (HLOOKUP(K94,'[1]G-CESTDWO'!$A$5:$G$35,J94+1,FALSE)*R44))</f>
        <v>0</v>
      </c>
      <c r="R94" s="214">
        <f>IF(K94=0, 0, (HLOOKUP(K94,'[1]G-CESTD'!$A$5:$G$35,J94+1,FALSE)*R44))</f>
        <v>0</v>
      </c>
      <c r="S94" s="279">
        <v>1.081</v>
      </c>
      <c r="T94" s="280">
        <f t="shared" si="18"/>
        <v>0</v>
      </c>
      <c r="U94" s="280">
        <f t="shared" si="12"/>
        <v>0</v>
      </c>
      <c r="V94" s="280">
        <f t="shared" si="13"/>
        <v>0</v>
      </c>
    </row>
    <row r="95" spans="2:25">
      <c r="B95" s="282"/>
      <c r="C95" s="282" t="s">
        <v>217</v>
      </c>
      <c r="D95" s="285">
        <v>0</v>
      </c>
      <c r="E95" s="282" t="s">
        <v>559</v>
      </c>
      <c r="F95" s="282" t="s">
        <v>186</v>
      </c>
      <c r="G95" s="283"/>
      <c r="H95" s="283"/>
      <c r="I95" s="311">
        <v>0</v>
      </c>
      <c r="J95" s="257"/>
      <c r="K95" s="257"/>
      <c r="L95" s="3574"/>
      <c r="M95" s="3447" t="e">
        <f t="shared" si="17"/>
        <v>#DIV/0!</v>
      </c>
      <c r="N95" s="3447" t="e">
        <f t="shared" si="17"/>
        <v>#DIV/0!</v>
      </c>
      <c r="O95" s="214">
        <f t="shared" si="10"/>
        <v>0</v>
      </c>
      <c r="P95" s="214">
        <f t="shared" si="11"/>
        <v>0</v>
      </c>
      <c r="Q95" s="214">
        <f>IF(K95=0, 0, (HLOOKUP(K95,'[1]G-CESTDWO'!$A$5:$G$35,J95+1,FALSE)*R45))</f>
        <v>0</v>
      </c>
      <c r="R95" s="214">
        <f>IF(K95=0, 0, (HLOOKUP(K95,'[1]G-CESTD'!$A$5:$G$35,J95+1,FALSE)*R45))</f>
        <v>0</v>
      </c>
      <c r="S95" s="279">
        <v>1.081</v>
      </c>
      <c r="T95" s="280">
        <f t="shared" si="18"/>
        <v>0</v>
      </c>
      <c r="U95" s="280">
        <f t="shared" si="12"/>
        <v>0</v>
      </c>
      <c r="V95" s="280">
        <f t="shared" si="13"/>
        <v>0</v>
      </c>
    </row>
    <row r="96" spans="2:25">
      <c r="B96" s="282"/>
      <c r="C96" s="282" t="s">
        <v>218</v>
      </c>
      <c r="D96" s="285">
        <v>0</v>
      </c>
      <c r="E96" s="282" t="s">
        <v>559</v>
      </c>
      <c r="F96" s="282" t="s">
        <v>186</v>
      </c>
      <c r="G96" s="283"/>
      <c r="H96" s="283"/>
      <c r="I96" s="311">
        <v>0</v>
      </c>
      <c r="J96" s="257"/>
      <c r="K96" s="257"/>
      <c r="L96" s="3574"/>
      <c r="M96" s="3447" t="e">
        <f t="shared" si="17"/>
        <v>#DIV/0!</v>
      </c>
      <c r="N96" s="3447" t="e">
        <f t="shared" si="17"/>
        <v>#DIV/0!</v>
      </c>
      <c r="O96" s="214">
        <f t="shared" si="10"/>
        <v>0</v>
      </c>
      <c r="P96" s="214">
        <f t="shared" si="11"/>
        <v>0</v>
      </c>
      <c r="Q96" s="214">
        <f>IF(K96=0, 0, (HLOOKUP(K96,'[1]G-CESTDWO'!$A$5:$G$35,J96+1,FALSE)*R46))</f>
        <v>0</v>
      </c>
      <c r="R96" s="214">
        <f>IF(K96=0, 0, (HLOOKUP(K96,'[1]G-CESTD'!$A$5:$G$35,J96+1,FALSE)*R46))</f>
        <v>0</v>
      </c>
      <c r="S96" s="279">
        <v>1.081</v>
      </c>
      <c r="T96" s="280">
        <f t="shared" si="18"/>
        <v>0</v>
      </c>
      <c r="U96" s="280">
        <f t="shared" si="12"/>
        <v>0</v>
      </c>
      <c r="V96" s="280">
        <f t="shared" si="13"/>
        <v>0</v>
      </c>
    </row>
    <row r="97" spans="2:22">
      <c r="B97" s="282"/>
      <c r="C97" s="282" t="s">
        <v>219</v>
      </c>
      <c r="D97" s="285">
        <v>0</v>
      </c>
      <c r="E97" s="282" t="s">
        <v>559</v>
      </c>
      <c r="F97" s="282" t="s">
        <v>186</v>
      </c>
      <c r="G97" s="283"/>
      <c r="H97" s="283"/>
      <c r="I97" s="311">
        <v>0</v>
      </c>
      <c r="J97" s="257"/>
      <c r="K97" s="257"/>
      <c r="L97" s="3574"/>
      <c r="M97" s="3447" t="e">
        <f t="shared" si="17"/>
        <v>#DIV/0!</v>
      </c>
      <c r="N97" s="3447" t="e">
        <f t="shared" si="17"/>
        <v>#DIV/0!</v>
      </c>
      <c r="O97" s="214">
        <f t="shared" si="10"/>
        <v>0</v>
      </c>
      <c r="P97" s="214">
        <f t="shared" si="11"/>
        <v>0</v>
      </c>
      <c r="Q97" s="214">
        <f>IF(K97=0, 0, (HLOOKUP(K97,'[1]G-CESTDWO'!$A$5:$G$35,J97+1,FALSE)*R47))</f>
        <v>0</v>
      </c>
      <c r="R97" s="214">
        <f>IF(K97=0, 0, (HLOOKUP(K97,'[1]G-CESTD'!$A$5:$G$35,J97+1,FALSE)*R47))</f>
        <v>0</v>
      </c>
      <c r="S97" s="279">
        <v>1.081</v>
      </c>
      <c r="T97" s="280">
        <f t="shared" si="18"/>
        <v>0</v>
      </c>
      <c r="U97" s="280">
        <f t="shared" si="12"/>
        <v>0</v>
      </c>
      <c r="V97" s="280">
        <f t="shared" si="13"/>
        <v>0</v>
      </c>
    </row>
    <row r="98" spans="2:22">
      <c r="B98" s="282"/>
      <c r="C98" s="282" t="s">
        <v>220</v>
      </c>
      <c r="D98" s="285">
        <v>0</v>
      </c>
      <c r="E98" s="282" t="s">
        <v>559</v>
      </c>
      <c r="F98" s="282" t="s">
        <v>186</v>
      </c>
      <c r="G98" s="283"/>
      <c r="H98" s="283"/>
      <c r="I98" s="311">
        <v>0</v>
      </c>
      <c r="J98" s="257"/>
      <c r="K98" s="257"/>
      <c r="L98" s="3574"/>
      <c r="M98" s="3447" t="e">
        <f t="shared" si="17"/>
        <v>#DIV/0!</v>
      </c>
      <c r="N98" s="3447" t="e">
        <f t="shared" si="17"/>
        <v>#DIV/0!</v>
      </c>
      <c r="O98" s="214">
        <f t="shared" si="10"/>
        <v>0</v>
      </c>
      <c r="P98" s="214">
        <f t="shared" si="11"/>
        <v>0</v>
      </c>
      <c r="Q98" s="214">
        <f>IF(K98=0, 0, (HLOOKUP(K98,'[1]G-CESTDWO'!$A$5:$G$35,J98+1,FALSE)*R48))</f>
        <v>0</v>
      </c>
      <c r="R98" s="214">
        <f>IF(K98=0, 0, (HLOOKUP(K98,'[1]G-CESTD'!$A$5:$G$35,J98+1,FALSE)*R48))</f>
        <v>0</v>
      </c>
      <c r="S98" s="279">
        <v>1.081</v>
      </c>
      <c r="T98" s="280">
        <f t="shared" si="18"/>
        <v>0</v>
      </c>
      <c r="U98" s="280">
        <f t="shared" si="12"/>
        <v>0</v>
      </c>
      <c r="V98" s="280">
        <f t="shared" si="13"/>
        <v>0</v>
      </c>
    </row>
    <row r="99" spans="2:22">
      <c r="B99" s="282"/>
      <c r="C99" s="282" t="s">
        <v>221</v>
      </c>
      <c r="D99" s="285">
        <v>0</v>
      </c>
      <c r="E99" s="282" t="s">
        <v>559</v>
      </c>
      <c r="F99" s="282" t="s">
        <v>186</v>
      </c>
      <c r="G99" s="283"/>
      <c r="H99" s="283"/>
      <c r="I99" s="311">
        <v>0</v>
      </c>
      <c r="J99" s="257"/>
      <c r="K99" s="257"/>
      <c r="L99" s="3574"/>
      <c r="M99" s="3447" t="e">
        <f t="shared" si="17"/>
        <v>#DIV/0!</v>
      </c>
      <c r="N99" s="3447" t="e">
        <f t="shared" si="17"/>
        <v>#DIV/0!</v>
      </c>
      <c r="O99" s="214">
        <f t="shared" si="10"/>
        <v>0</v>
      </c>
      <c r="P99" s="214">
        <f t="shared" si="11"/>
        <v>0</v>
      </c>
      <c r="Q99" s="214">
        <f>IF(K99=0, 0, (HLOOKUP(K99,'[1]G-CESTDWO'!$A$5:$G$35,J99+1,FALSE)*R49))</f>
        <v>0</v>
      </c>
      <c r="R99" s="214">
        <f>IF(K99=0, 0, (HLOOKUP(K99,'[1]G-CESTD'!$A$5:$G$35,J99+1,FALSE)*R49))</f>
        <v>0</v>
      </c>
      <c r="S99" s="279">
        <v>1.081</v>
      </c>
      <c r="T99" s="280">
        <f t="shared" si="18"/>
        <v>0</v>
      </c>
      <c r="U99" s="280">
        <f t="shared" si="12"/>
        <v>0</v>
      </c>
      <c r="V99" s="280">
        <f t="shared" si="13"/>
        <v>0</v>
      </c>
    </row>
    <row r="100" spans="2:22">
      <c r="B100" s="282"/>
      <c r="C100" s="282" t="s">
        <v>222</v>
      </c>
      <c r="D100" s="285">
        <v>0</v>
      </c>
      <c r="E100" s="282" t="s">
        <v>559</v>
      </c>
      <c r="F100" s="282" t="s">
        <v>186</v>
      </c>
      <c r="G100" s="283"/>
      <c r="H100" s="283"/>
      <c r="I100" s="311">
        <v>0</v>
      </c>
      <c r="J100" s="257"/>
      <c r="K100" s="257"/>
      <c r="L100" s="3574"/>
      <c r="M100" s="3447" t="e">
        <f t="shared" si="17"/>
        <v>#DIV/0!</v>
      </c>
      <c r="N100" s="3447" t="e">
        <f t="shared" si="17"/>
        <v>#DIV/0!</v>
      </c>
      <c r="O100" s="214">
        <f t="shared" si="10"/>
        <v>0</v>
      </c>
      <c r="P100" s="214">
        <f t="shared" si="11"/>
        <v>0</v>
      </c>
      <c r="Q100" s="214">
        <f>IF(K100=0, 0, (HLOOKUP(K100,'[1]G-CESTDWO'!$A$5:$G$35,J100+1,FALSE)*R50))</f>
        <v>0</v>
      </c>
      <c r="R100" s="214">
        <f>IF(K100=0, 0, (HLOOKUP(K100,'[1]G-CESTD'!$A$5:$G$35,J100+1,FALSE)*R50))</f>
        <v>0</v>
      </c>
      <c r="S100" s="279">
        <v>1.081</v>
      </c>
      <c r="T100" s="280">
        <f t="shared" si="18"/>
        <v>0</v>
      </c>
      <c r="U100" s="280">
        <f t="shared" si="12"/>
        <v>0</v>
      </c>
      <c r="V100" s="280">
        <f t="shared" si="13"/>
        <v>0</v>
      </c>
    </row>
    <row r="101" spans="2:22">
      <c r="B101" s="282"/>
      <c r="C101" s="282" t="s">
        <v>223</v>
      </c>
      <c r="D101" s="285">
        <v>0</v>
      </c>
      <c r="E101" s="282" t="s">
        <v>559</v>
      </c>
      <c r="F101" s="282" t="s">
        <v>186</v>
      </c>
      <c r="G101" s="283"/>
      <c r="H101" s="283"/>
      <c r="I101" s="311">
        <v>0</v>
      </c>
      <c r="J101" s="257"/>
      <c r="K101" s="257"/>
      <c r="L101" s="3574"/>
      <c r="M101" s="3447" t="e">
        <f t="shared" si="17"/>
        <v>#DIV/0!</v>
      </c>
      <c r="N101" s="3447" t="e">
        <f t="shared" si="17"/>
        <v>#DIV/0!</v>
      </c>
      <c r="O101" s="214">
        <f t="shared" si="10"/>
        <v>0</v>
      </c>
      <c r="P101" s="214">
        <f t="shared" si="11"/>
        <v>0</v>
      </c>
      <c r="Q101" s="214">
        <f>IF(K101=0, 0, (HLOOKUP(K101,'[1]G-CESTDWO'!$A$5:$G$35,J101+1,FALSE)*R51))</f>
        <v>0</v>
      </c>
      <c r="R101" s="214">
        <f>IF(K101=0, 0, (HLOOKUP(K101,'[1]G-CESTD'!$A$5:$G$35,J101+1,FALSE)*R51))</f>
        <v>0</v>
      </c>
      <c r="S101" s="279">
        <v>1.081</v>
      </c>
      <c r="T101" s="280">
        <f t="shared" si="18"/>
        <v>0</v>
      </c>
      <c r="U101" s="280">
        <f t="shared" si="12"/>
        <v>0</v>
      </c>
      <c r="V101" s="280">
        <f t="shared" si="13"/>
        <v>0</v>
      </c>
    </row>
    <row r="102" spans="2:22">
      <c r="B102" s="282"/>
      <c r="C102" s="282" t="s">
        <v>224</v>
      </c>
      <c r="D102" s="285">
        <v>0</v>
      </c>
      <c r="E102" s="282" t="s">
        <v>559</v>
      </c>
      <c r="F102" s="282" t="s">
        <v>186</v>
      </c>
      <c r="G102" s="283"/>
      <c r="H102" s="283"/>
      <c r="I102" s="311">
        <v>0</v>
      </c>
      <c r="J102" s="257"/>
      <c r="K102" s="257"/>
      <c r="L102" s="3574"/>
      <c r="M102" s="3447" t="e">
        <f t="shared" si="17"/>
        <v>#DIV/0!</v>
      </c>
      <c r="N102" s="3447" t="e">
        <f t="shared" si="17"/>
        <v>#DIV/0!</v>
      </c>
      <c r="O102" s="214">
        <f t="shared" si="10"/>
        <v>0</v>
      </c>
      <c r="P102" s="214">
        <f t="shared" si="11"/>
        <v>0</v>
      </c>
      <c r="Q102" s="214">
        <f>IF(K102=0, 0, (HLOOKUP(K102,'[1]G-CESTDWO'!$A$5:$G$35,J102+1,FALSE)*R52))</f>
        <v>0</v>
      </c>
      <c r="R102" s="214">
        <f>IF(K102=0, 0, (HLOOKUP(K102,'[1]G-CESTD'!$A$5:$G$35,J102+1,FALSE)*R52))</f>
        <v>0</v>
      </c>
      <c r="S102" s="279">
        <v>1.081</v>
      </c>
      <c r="T102" s="280">
        <f t="shared" si="18"/>
        <v>0</v>
      </c>
      <c r="U102" s="280">
        <f t="shared" si="12"/>
        <v>0</v>
      </c>
      <c r="V102" s="280">
        <f t="shared" si="13"/>
        <v>0</v>
      </c>
    </row>
    <row r="103" spans="2:22">
      <c r="B103" s="282"/>
      <c r="C103" s="282" t="s">
        <v>225</v>
      </c>
      <c r="D103" s="285">
        <v>0</v>
      </c>
      <c r="E103" s="282" t="s">
        <v>559</v>
      </c>
      <c r="F103" s="282" t="s">
        <v>186</v>
      </c>
      <c r="G103" s="283"/>
      <c r="H103" s="283"/>
      <c r="I103" s="311">
        <v>0</v>
      </c>
      <c r="J103" s="257"/>
      <c r="K103" s="257"/>
      <c r="L103" s="3574"/>
      <c r="M103" s="3447" t="e">
        <f t="shared" si="17"/>
        <v>#DIV/0!</v>
      </c>
      <c r="N103" s="3447" t="e">
        <f t="shared" si="17"/>
        <v>#DIV/0!</v>
      </c>
      <c r="O103" s="214">
        <f t="shared" si="10"/>
        <v>0</v>
      </c>
      <c r="P103" s="214">
        <f t="shared" si="11"/>
        <v>0</v>
      </c>
      <c r="Q103" s="214">
        <f>IF(K103=0, 0, (HLOOKUP(K103,'[1]G-CESTDWO'!$A$5:$G$35,J103+1,FALSE)*R53))</f>
        <v>0</v>
      </c>
      <c r="R103" s="214">
        <f>IF(K103=0, 0, (HLOOKUP(K103,'[1]G-CESTD'!$A$5:$G$35,J103+1,FALSE)*R53))</f>
        <v>0</v>
      </c>
      <c r="S103" s="279">
        <v>1.081</v>
      </c>
      <c r="T103" s="280">
        <f t="shared" si="18"/>
        <v>0</v>
      </c>
      <c r="U103" s="280">
        <f t="shared" si="12"/>
        <v>0</v>
      </c>
      <c r="V103" s="280">
        <f t="shared" si="13"/>
        <v>0</v>
      </c>
    </row>
    <row r="104" spans="2:22" ht="13.5" thickBot="1">
      <c r="B104" s="282"/>
      <c r="C104" s="282" t="s">
        <v>226</v>
      </c>
      <c r="D104" s="285">
        <v>0</v>
      </c>
      <c r="E104" s="282" t="s">
        <v>559</v>
      </c>
      <c r="F104" s="282" t="s">
        <v>186</v>
      </c>
      <c r="G104" s="283"/>
      <c r="H104" s="283"/>
      <c r="I104" s="311">
        <v>0</v>
      </c>
      <c r="J104" s="257"/>
      <c r="K104" s="257"/>
      <c r="L104" s="3574"/>
      <c r="M104" s="3447" t="e">
        <f t="shared" si="17"/>
        <v>#DIV/0!</v>
      </c>
      <c r="N104" s="3447" t="e">
        <f t="shared" si="17"/>
        <v>#DIV/0!</v>
      </c>
      <c r="O104" s="214">
        <f t="shared" si="10"/>
        <v>0</v>
      </c>
      <c r="P104" s="214">
        <f t="shared" si="11"/>
        <v>0</v>
      </c>
      <c r="Q104" s="214">
        <f>IF(K104=0, 0, (HLOOKUP(K104,'[1]G-CESTDWO'!$A$5:$G$35,J104+1,FALSE)*R54))</f>
        <v>0</v>
      </c>
      <c r="R104" s="214">
        <f>IF(K104=0, 0, (HLOOKUP(K104,'[1]G-CESTD'!$A$5:$G$35,J104+1,FALSE)*R54))</f>
        <v>0</v>
      </c>
      <c r="S104" s="279">
        <v>1.081</v>
      </c>
      <c r="T104" s="280">
        <f t="shared" si="18"/>
        <v>0</v>
      </c>
      <c r="U104" s="280">
        <f t="shared" si="12"/>
        <v>0</v>
      </c>
      <c r="V104" s="280">
        <f t="shared" si="13"/>
        <v>0</v>
      </c>
    </row>
    <row r="105" spans="2:22" ht="13.5" thickBot="1">
      <c r="G105" s="286">
        <f>SUMPRODUCT(G63:G104,O13:O54)</f>
        <v>0</v>
      </c>
      <c r="H105" s="287">
        <f>V105</f>
        <v>0</v>
      </c>
      <c r="I105" s="288">
        <f>SUM(I63:I104)</f>
        <v>1</v>
      </c>
      <c r="J105" s="289" t="e">
        <f>ROUND(SUMPRODUCT(J63:J104,R13:R54)/R55,0)</f>
        <v>#DIV/0!</v>
      </c>
      <c r="K105" s="264"/>
      <c r="L105" s="3580"/>
      <c r="M105" s="3448" t="e">
        <f>Q105/O105</f>
        <v>#DIV/0!</v>
      </c>
      <c r="N105" s="3449" t="e">
        <f>R105/P105</f>
        <v>#DIV/0!</v>
      </c>
      <c r="O105" s="297">
        <f>SUM(O63:O104)</f>
        <v>0</v>
      </c>
      <c r="P105" s="297">
        <f>SUM(P63:P104)</f>
        <v>0</v>
      </c>
      <c r="Q105" s="297">
        <f>SUM(Q63:Q104)</f>
        <v>0</v>
      </c>
      <c r="R105" s="297">
        <f>SUM(R63:R104)</f>
        <v>0</v>
      </c>
      <c r="S105" s="293">
        <v>1.081</v>
      </c>
      <c r="T105" s="294">
        <f>SUM(T63:T104)</f>
        <v>0</v>
      </c>
      <c r="U105" s="294">
        <f>SUM(U63:U104)</f>
        <v>0</v>
      </c>
      <c r="V105" s="294">
        <f>SUM(V63:V104)</f>
        <v>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23" top="0.34" bottom="0.37"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7" right="0.23" top="0.34" bottom="0.37" header="0.3" footer="0.3"/>
  <pageSetup paperSize="17" scale="52" orientation="landscape" r:id="rId2"/>
  <drawing r:id="rId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sheetPr enableFormatConditionsCalculation="0">
    <pageSetUpPr fitToPage="1"/>
  </sheetPr>
  <dimension ref="A1:Y105"/>
  <sheetViews>
    <sheetView zoomScaleNormal="100" zoomScalePageLayoutView="80" workbookViewId="0">
      <pane xSplit="1" ySplit="1" topLeftCell="B2" activePane="bottomRight" state="frozen"/>
      <selection pane="topRight" activeCell="B1" sqref="B1"/>
      <selection pane="bottomLeft" activeCell="A2" sqref="A2"/>
      <selection pane="bottomRight" activeCell="H26" sqref="H26"/>
    </sheetView>
  </sheetViews>
  <sheetFormatPr defaultColWidth="8.85546875" defaultRowHeight="12.75"/>
  <cols>
    <col min="1" max="1" width="15.140625" style="3064" customWidth="1"/>
    <col min="2" max="2" width="16.85546875" customWidth="1"/>
    <col min="3" max="3" width="36.7109375" customWidth="1"/>
    <col min="4" max="4" width="15.7109375" style="19" customWidth="1"/>
    <col min="5" max="5" width="15.7109375" customWidth="1"/>
    <col min="6" max="6" width="17.425781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9.7109375" bestFit="1" customWidth="1"/>
    <col min="17" max="17" width="22.140625" bestFit="1" customWidth="1"/>
    <col min="18" max="18" width="17.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5.28515625" bestFit="1" customWidth="1"/>
    <col min="262" max="262" width="18.71093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9.7109375" bestFit="1" customWidth="1"/>
    <col min="273" max="273" width="22.140625" bestFit="1" customWidth="1"/>
    <col min="274" max="274" width="17.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5.28515625" bestFit="1" customWidth="1"/>
    <col min="518" max="518" width="18.71093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9.7109375" bestFit="1" customWidth="1"/>
    <col min="529" max="529" width="22.140625" bestFit="1" customWidth="1"/>
    <col min="530" max="530" width="17.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5.28515625" bestFit="1" customWidth="1"/>
    <col min="774" max="774" width="18.71093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9.7109375" bestFit="1" customWidth="1"/>
    <col min="785" max="785" width="22.140625" bestFit="1" customWidth="1"/>
    <col min="786" max="786" width="17.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5.28515625" bestFit="1" customWidth="1"/>
    <col min="1030" max="1030" width="18.71093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9.7109375" bestFit="1" customWidth="1"/>
    <col min="1041" max="1041" width="22.140625" bestFit="1" customWidth="1"/>
    <col min="1042" max="1042" width="17.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5.28515625" bestFit="1" customWidth="1"/>
    <col min="1286" max="1286" width="18.71093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9.7109375" bestFit="1" customWidth="1"/>
    <col min="1297" max="1297" width="22.140625" bestFit="1" customWidth="1"/>
    <col min="1298" max="1298" width="17.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5.28515625" bestFit="1" customWidth="1"/>
    <col min="1542" max="1542" width="18.71093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9.7109375" bestFit="1" customWidth="1"/>
    <col min="1553" max="1553" width="22.140625" bestFit="1" customWidth="1"/>
    <col min="1554" max="1554" width="17.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5.28515625" bestFit="1" customWidth="1"/>
    <col min="1798" max="1798" width="18.71093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9.7109375" bestFit="1" customWidth="1"/>
    <col min="1809" max="1809" width="22.140625" bestFit="1" customWidth="1"/>
    <col min="1810" max="1810" width="17.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5.28515625" bestFit="1" customWidth="1"/>
    <col min="2054" max="2054" width="18.71093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9.7109375" bestFit="1" customWidth="1"/>
    <col min="2065" max="2065" width="22.140625" bestFit="1" customWidth="1"/>
    <col min="2066" max="2066" width="17.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5.28515625" bestFit="1" customWidth="1"/>
    <col min="2310" max="2310" width="18.71093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9.7109375" bestFit="1" customWidth="1"/>
    <col min="2321" max="2321" width="22.140625" bestFit="1" customWidth="1"/>
    <col min="2322" max="2322" width="17.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5.28515625" bestFit="1" customWidth="1"/>
    <col min="2566" max="2566" width="18.71093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9.7109375" bestFit="1" customWidth="1"/>
    <col min="2577" max="2577" width="22.140625" bestFit="1" customWidth="1"/>
    <col min="2578" max="2578" width="17.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5.28515625" bestFit="1" customWidth="1"/>
    <col min="2822" max="2822" width="18.71093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9.7109375" bestFit="1" customWidth="1"/>
    <col min="2833" max="2833" width="22.140625" bestFit="1" customWidth="1"/>
    <col min="2834" max="2834" width="17.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5.28515625" bestFit="1" customWidth="1"/>
    <col min="3078" max="3078" width="18.71093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9.7109375" bestFit="1" customWidth="1"/>
    <col min="3089" max="3089" width="22.140625" bestFit="1" customWidth="1"/>
    <col min="3090" max="3090" width="17.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5.28515625" bestFit="1" customWidth="1"/>
    <col min="3334" max="3334" width="18.71093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9.7109375" bestFit="1" customWidth="1"/>
    <col min="3345" max="3345" width="22.140625" bestFit="1" customWidth="1"/>
    <col min="3346" max="3346" width="17.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5.28515625" bestFit="1" customWidth="1"/>
    <col min="3590" max="3590" width="18.71093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9.7109375" bestFit="1" customWidth="1"/>
    <col min="3601" max="3601" width="22.140625" bestFit="1" customWidth="1"/>
    <col min="3602" max="3602" width="17.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5.28515625" bestFit="1" customWidth="1"/>
    <col min="3846" max="3846" width="18.71093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9.7109375" bestFit="1" customWidth="1"/>
    <col min="3857" max="3857" width="22.140625" bestFit="1" customWidth="1"/>
    <col min="3858" max="3858" width="17.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5.28515625" bestFit="1" customWidth="1"/>
    <col min="4102" max="4102" width="18.71093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9.7109375" bestFit="1" customWidth="1"/>
    <col min="4113" max="4113" width="22.140625" bestFit="1" customWidth="1"/>
    <col min="4114" max="4114" width="17.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5.28515625" bestFit="1" customWidth="1"/>
    <col min="4358" max="4358" width="18.71093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9.7109375" bestFit="1" customWidth="1"/>
    <col min="4369" max="4369" width="22.140625" bestFit="1" customWidth="1"/>
    <col min="4370" max="4370" width="17.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5.28515625" bestFit="1" customWidth="1"/>
    <col min="4614" max="4614" width="18.71093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9.7109375" bestFit="1" customWidth="1"/>
    <col min="4625" max="4625" width="22.140625" bestFit="1" customWidth="1"/>
    <col min="4626" max="4626" width="17.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5.28515625" bestFit="1" customWidth="1"/>
    <col min="4870" max="4870" width="18.71093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9.7109375" bestFit="1" customWidth="1"/>
    <col min="4881" max="4881" width="22.140625" bestFit="1" customWidth="1"/>
    <col min="4882" max="4882" width="17.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5.28515625" bestFit="1" customWidth="1"/>
    <col min="5126" max="5126" width="18.71093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9.7109375" bestFit="1" customWidth="1"/>
    <col min="5137" max="5137" width="22.140625" bestFit="1" customWidth="1"/>
    <col min="5138" max="5138" width="17.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5.28515625" bestFit="1" customWidth="1"/>
    <col min="5382" max="5382" width="18.71093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9.7109375" bestFit="1" customWidth="1"/>
    <col min="5393" max="5393" width="22.140625" bestFit="1" customWidth="1"/>
    <col min="5394" max="5394" width="17.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5.28515625" bestFit="1" customWidth="1"/>
    <col min="5638" max="5638" width="18.71093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9.7109375" bestFit="1" customWidth="1"/>
    <col min="5649" max="5649" width="22.140625" bestFit="1" customWidth="1"/>
    <col min="5650" max="5650" width="17.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5.28515625" bestFit="1" customWidth="1"/>
    <col min="5894" max="5894" width="18.71093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9.7109375" bestFit="1" customWidth="1"/>
    <col min="5905" max="5905" width="22.140625" bestFit="1" customWidth="1"/>
    <col min="5906" max="5906" width="17.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5.28515625" bestFit="1" customWidth="1"/>
    <col min="6150" max="6150" width="18.71093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9.7109375" bestFit="1" customWidth="1"/>
    <col min="6161" max="6161" width="22.140625" bestFit="1" customWidth="1"/>
    <col min="6162" max="6162" width="17.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5.28515625" bestFit="1" customWidth="1"/>
    <col min="6406" max="6406" width="18.71093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9.7109375" bestFit="1" customWidth="1"/>
    <col min="6417" max="6417" width="22.140625" bestFit="1" customWidth="1"/>
    <col min="6418" max="6418" width="17.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5.28515625" bestFit="1" customWidth="1"/>
    <col min="6662" max="6662" width="18.71093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9.7109375" bestFit="1" customWidth="1"/>
    <col min="6673" max="6673" width="22.140625" bestFit="1" customWidth="1"/>
    <col min="6674" max="6674" width="17.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5.28515625" bestFit="1" customWidth="1"/>
    <col min="6918" max="6918" width="18.71093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9.7109375" bestFit="1" customWidth="1"/>
    <col min="6929" max="6929" width="22.140625" bestFit="1" customWidth="1"/>
    <col min="6930" max="6930" width="17.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5.28515625" bestFit="1" customWidth="1"/>
    <col min="7174" max="7174" width="18.71093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9.7109375" bestFit="1" customWidth="1"/>
    <col min="7185" max="7185" width="22.140625" bestFit="1" customWidth="1"/>
    <col min="7186" max="7186" width="17.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5.28515625" bestFit="1" customWidth="1"/>
    <col min="7430" max="7430" width="18.71093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9.7109375" bestFit="1" customWidth="1"/>
    <col min="7441" max="7441" width="22.140625" bestFit="1" customWidth="1"/>
    <col min="7442" max="7442" width="17.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5.28515625" bestFit="1" customWidth="1"/>
    <col min="7686" max="7686" width="18.71093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9.7109375" bestFit="1" customWidth="1"/>
    <col min="7697" max="7697" width="22.140625" bestFit="1" customWidth="1"/>
    <col min="7698" max="7698" width="17.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5.28515625" bestFit="1" customWidth="1"/>
    <col min="7942" max="7942" width="18.71093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9.7109375" bestFit="1" customWidth="1"/>
    <col min="7953" max="7953" width="22.140625" bestFit="1" customWidth="1"/>
    <col min="7954" max="7954" width="17.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5.28515625" bestFit="1" customWidth="1"/>
    <col min="8198" max="8198" width="18.71093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9.7109375" bestFit="1" customWidth="1"/>
    <col min="8209" max="8209" width="22.140625" bestFit="1" customWidth="1"/>
    <col min="8210" max="8210" width="17.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5.28515625" bestFit="1" customWidth="1"/>
    <col min="8454" max="8454" width="18.71093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9.7109375" bestFit="1" customWidth="1"/>
    <col min="8465" max="8465" width="22.140625" bestFit="1" customWidth="1"/>
    <col min="8466" max="8466" width="17.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5.28515625" bestFit="1" customWidth="1"/>
    <col min="8710" max="8710" width="18.71093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9.7109375" bestFit="1" customWidth="1"/>
    <col min="8721" max="8721" width="22.140625" bestFit="1" customWidth="1"/>
    <col min="8722" max="8722" width="17.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5.28515625" bestFit="1" customWidth="1"/>
    <col min="8966" max="8966" width="18.71093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9.7109375" bestFit="1" customWidth="1"/>
    <col min="8977" max="8977" width="22.140625" bestFit="1" customWidth="1"/>
    <col min="8978" max="8978" width="17.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5.28515625" bestFit="1" customWidth="1"/>
    <col min="9222" max="9222" width="18.71093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9.7109375" bestFit="1" customWidth="1"/>
    <col min="9233" max="9233" width="22.140625" bestFit="1" customWidth="1"/>
    <col min="9234" max="9234" width="17.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5.28515625" bestFit="1" customWidth="1"/>
    <col min="9478" max="9478" width="18.71093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9.7109375" bestFit="1" customWidth="1"/>
    <col min="9489" max="9489" width="22.140625" bestFit="1" customWidth="1"/>
    <col min="9490" max="9490" width="17.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5.28515625" bestFit="1" customWidth="1"/>
    <col min="9734" max="9734" width="18.71093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9.7109375" bestFit="1" customWidth="1"/>
    <col min="9745" max="9745" width="22.140625" bestFit="1" customWidth="1"/>
    <col min="9746" max="9746" width="17.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5.28515625" bestFit="1" customWidth="1"/>
    <col min="9990" max="9990" width="18.71093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9.7109375" bestFit="1" customWidth="1"/>
    <col min="10001" max="10001" width="22.140625" bestFit="1" customWidth="1"/>
    <col min="10002" max="10002" width="17.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5.28515625" bestFit="1" customWidth="1"/>
    <col min="10246" max="10246" width="18.71093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9.7109375" bestFit="1" customWidth="1"/>
    <col min="10257" max="10257" width="22.140625" bestFit="1" customWidth="1"/>
    <col min="10258" max="10258" width="17.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5.28515625" bestFit="1" customWidth="1"/>
    <col min="10502" max="10502" width="18.71093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9.7109375" bestFit="1" customWidth="1"/>
    <col min="10513" max="10513" width="22.140625" bestFit="1" customWidth="1"/>
    <col min="10514" max="10514" width="17.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5.28515625" bestFit="1" customWidth="1"/>
    <col min="10758" max="10758" width="18.71093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9.7109375" bestFit="1" customWidth="1"/>
    <col min="10769" max="10769" width="22.140625" bestFit="1" customWidth="1"/>
    <col min="10770" max="10770" width="17.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5.28515625" bestFit="1" customWidth="1"/>
    <col min="11014" max="11014" width="18.71093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9.7109375" bestFit="1" customWidth="1"/>
    <col min="11025" max="11025" width="22.140625" bestFit="1" customWidth="1"/>
    <col min="11026" max="11026" width="17.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5.28515625" bestFit="1" customWidth="1"/>
    <col min="11270" max="11270" width="18.71093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9.7109375" bestFit="1" customWidth="1"/>
    <col min="11281" max="11281" width="22.140625" bestFit="1" customWidth="1"/>
    <col min="11282" max="11282" width="17.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5.28515625" bestFit="1" customWidth="1"/>
    <col min="11526" max="11526" width="18.71093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9.7109375" bestFit="1" customWidth="1"/>
    <col min="11537" max="11537" width="22.140625" bestFit="1" customWidth="1"/>
    <col min="11538" max="11538" width="17.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5.28515625" bestFit="1" customWidth="1"/>
    <col min="11782" max="11782" width="18.71093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9.7109375" bestFit="1" customWidth="1"/>
    <col min="11793" max="11793" width="22.140625" bestFit="1" customWidth="1"/>
    <col min="11794" max="11794" width="17.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5.28515625" bestFit="1" customWidth="1"/>
    <col min="12038" max="12038" width="18.71093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9.7109375" bestFit="1" customWidth="1"/>
    <col min="12049" max="12049" width="22.140625" bestFit="1" customWidth="1"/>
    <col min="12050" max="12050" width="17.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5.28515625" bestFit="1" customWidth="1"/>
    <col min="12294" max="12294" width="18.71093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9.7109375" bestFit="1" customWidth="1"/>
    <col min="12305" max="12305" width="22.140625" bestFit="1" customWidth="1"/>
    <col min="12306" max="12306" width="17.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5.28515625" bestFit="1" customWidth="1"/>
    <col min="12550" max="12550" width="18.71093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9.7109375" bestFit="1" customWidth="1"/>
    <col min="12561" max="12561" width="22.140625" bestFit="1" customWidth="1"/>
    <col min="12562" max="12562" width="17.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5.28515625" bestFit="1" customWidth="1"/>
    <col min="12806" max="12806" width="18.71093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9.7109375" bestFit="1" customWidth="1"/>
    <col min="12817" max="12817" width="22.140625" bestFit="1" customWidth="1"/>
    <col min="12818" max="12818" width="17.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5.28515625" bestFit="1" customWidth="1"/>
    <col min="13062" max="13062" width="18.71093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9.7109375" bestFit="1" customWidth="1"/>
    <col min="13073" max="13073" width="22.140625" bestFit="1" customWidth="1"/>
    <col min="13074" max="13074" width="17.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5.28515625" bestFit="1" customWidth="1"/>
    <col min="13318" max="13318" width="18.71093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9.7109375" bestFit="1" customWidth="1"/>
    <col min="13329" max="13329" width="22.140625" bestFit="1" customWidth="1"/>
    <col min="13330" max="13330" width="17.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5.28515625" bestFit="1" customWidth="1"/>
    <col min="13574" max="13574" width="18.71093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9.7109375" bestFit="1" customWidth="1"/>
    <col min="13585" max="13585" width="22.140625" bestFit="1" customWidth="1"/>
    <col min="13586" max="13586" width="17.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5.28515625" bestFit="1" customWidth="1"/>
    <col min="13830" max="13830" width="18.71093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9.7109375" bestFit="1" customWidth="1"/>
    <col min="13841" max="13841" width="22.140625" bestFit="1" customWidth="1"/>
    <col min="13842" max="13842" width="17.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5.28515625" bestFit="1" customWidth="1"/>
    <col min="14086" max="14086" width="18.71093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9.7109375" bestFit="1" customWidth="1"/>
    <col min="14097" max="14097" width="22.140625" bestFit="1" customWidth="1"/>
    <col min="14098" max="14098" width="17.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5.28515625" bestFit="1" customWidth="1"/>
    <col min="14342" max="14342" width="18.71093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9.7109375" bestFit="1" customWidth="1"/>
    <col min="14353" max="14353" width="22.140625" bestFit="1" customWidth="1"/>
    <col min="14354" max="14354" width="17.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5.28515625" bestFit="1" customWidth="1"/>
    <col min="14598" max="14598" width="18.71093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9.7109375" bestFit="1" customWidth="1"/>
    <col min="14609" max="14609" width="22.140625" bestFit="1" customWidth="1"/>
    <col min="14610" max="14610" width="17.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5.28515625" bestFit="1" customWidth="1"/>
    <col min="14854" max="14854" width="18.71093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9.7109375" bestFit="1" customWidth="1"/>
    <col min="14865" max="14865" width="22.140625" bestFit="1" customWidth="1"/>
    <col min="14866" max="14866" width="17.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5.28515625" bestFit="1" customWidth="1"/>
    <col min="15110" max="15110" width="18.71093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9.7109375" bestFit="1" customWidth="1"/>
    <col min="15121" max="15121" width="22.140625" bestFit="1" customWidth="1"/>
    <col min="15122" max="15122" width="17.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5.28515625" bestFit="1" customWidth="1"/>
    <col min="15366" max="15366" width="18.71093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9.7109375" bestFit="1" customWidth="1"/>
    <col min="15377" max="15377" width="22.140625" bestFit="1" customWidth="1"/>
    <col min="15378" max="15378" width="17.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5.28515625" bestFit="1" customWidth="1"/>
    <col min="15622" max="15622" width="18.71093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9.7109375" bestFit="1" customWidth="1"/>
    <col min="15633" max="15633" width="22.140625" bestFit="1" customWidth="1"/>
    <col min="15634" max="15634" width="17.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5.28515625" bestFit="1" customWidth="1"/>
    <col min="15878" max="15878" width="18.71093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9.7109375" bestFit="1" customWidth="1"/>
    <col min="15889" max="15889" width="22.140625" bestFit="1" customWidth="1"/>
    <col min="15890" max="15890" width="17.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5.28515625" bestFit="1" customWidth="1"/>
    <col min="16134" max="16134" width="18.71093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9.7109375" bestFit="1" customWidth="1"/>
    <col min="16145" max="16145" width="22.140625" bestFit="1" customWidth="1"/>
    <col min="16146" max="16146" width="17.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461"/>
      <c r="F1" s="198"/>
      <c r="G1" s="198">
        <f>C3</f>
        <v>18230736</v>
      </c>
      <c r="H1" s="198" t="str">
        <f>C4</f>
        <v>Multi-Family Retrofit Gas</v>
      </c>
      <c r="I1" s="198"/>
    </row>
    <row r="2" spans="2:22" ht="16.5" thickBot="1">
      <c r="B2" s="198" t="s">
        <v>109</v>
      </c>
      <c r="C2" s="199" t="s">
        <v>624</v>
      </c>
      <c r="G2" s="200" t="s">
        <v>8</v>
      </c>
      <c r="Q2" s="5133" t="s">
        <v>556</v>
      </c>
      <c r="R2" s="5133"/>
      <c r="S2" s="5124" t="s">
        <v>110</v>
      </c>
      <c r="T2" s="5125"/>
      <c r="U2" s="5126"/>
      <c r="V2" s="5118" t="s">
        <v>111</v>
      </c>
    </row>
    <row r="3" spans="2:22" ht="16.5" thickBot="1">
      <c r="B3" s="199" t="s">
        <v>6</v>
      </c>
      <c r="C3" s="199">
        <v>18230736</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625</v>
      </c>
      <c r="F4" s="198">
        <v>2011</v>
      </c>
      <c r="G4" s="206">
        <f>B13</f>
        <v>40378</v>
      </c>
      <c r="H4" s="207">
        <f>B18</f>
        <v>6918</v>
      </c>
      <c r="I4" s="207">
        <f>B23</f>
        <v>30742</v>
      </c>
      <c r="J4" s="207">
        <f>B28</f>
        <v>6133</v>
      </c>
      <c r="K4" s="207">
        <f>B33</f>
        <v>242</v>
      </c>
      <c r="L4" s="207">
        <f>B38</f>
        <v>46680</v>
      </c>
      <c r="M4" s="207">
        <f>B43</f>
        <v>0</v>
      </c>
      <c r="N4" s="207">
        <f>B48</f>
        <v>1261</v>
      </c>
      <c r="O4" s="207">
        <f>B53</f>
        <v>474421</v>
      </c>
      <c r="P4" s="207">
        <f>B54</f>
        <v>0</v>
      </c>
      <c r="Q4" s="209">
        <f>B55</f>
        <v>606775</v>
      </c>
      <c r="R4" s="355">
        <f>T55</f>
        <v>83713</v>
      </c>
      <c r="S4" s="316">
        <f>O4/Q4</f>
        <v>0.78187301718099789</v>
      </c>
      <c r="T4" s="316">
        <f>(J4+(H4*1.63))/Q4</f>
        <v>2.8691590787359399E-2</v>
      </c>
      <c r="U4" s="316">
        <f>L4/Q4</f>
        <v>7.6931317209838909E-2</v>
      </c>
      <c r="V4" s="212">
        <f>Q4/R4</f>
        <v>7.248276850668355</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P55</f>
        <v>0</v>
      </c>
      <c r="S5" s="317" t="e">
        <f>O5/Q5</f>
        <v>#DIV/0!</v>
      </c>
      <c r="T5" s="317" t="e">
        <f>(J5+(H5*1.63))/Q5</f>
        <v>#DIV/0!</v>
      </c>
      <c r="U5" s="317" t="e">
        <f>L5/Q5</f>
        <v>#DIV/0!</v>
      </c>
      <c r="V5" s="218" t="e">
        <f>Q5/R5</f>
        <v>#DIV/0!</v>
      </c>
    </row>
    <row r="6" spans="2:22" s="3532" customFormat="1" ht="16.5" thickBot="1">
      <c r="B6" s="3536"/>
      <c r="D6" s="3533"/>
      <c r="F6" s="4249" t="s">
        <v>1168</v>
      </c>
      <c r="G6" s="3547">
        <v>41335.5</v>
      </c>
      <c r="H6" s="3548">
        <v>7380</v>
      </c>
      <c r="I6" s="3548">
        <v>30690.764999999999</v>
      </c>
      <c r="J6" s="3548">
        <v>7500</v>
      </c>
      <c r="K6" s="3548">
        <v>2980</v>
      </c>
      <c r="L6" s="3548">
        <v>0</v>
      </c>
      <c r="M6" s="3548">
        <v>0</v>
      </c>
      <c r="N6" s="3548">
        <v>2405</v>
      </c>
      <c r="O6" s="3548">
        <v>135989</v>
      </c>
      <c r="P6" s="3548">
        <v>0</v>
      </c>
      <c r="Q6" s="3549">
        <v>228280.26500000001</v>
      </c>
      <c r="R6" s="3610">
        <v>24968</v>
      </c>
      <c r="S6" s="3637">
        <v>0.59571071551016463</v>
      </c>
      <c r="T6" s="3637">
        <v>8.5550102195649722E-2</v>
      </c>
      <c r="U6" s="3637">
        <v>0</v>
      </c>
      <c r="V6" s="3498">
        <v>9.1429135293175268</v>
      </c>
    </row>
    <row r="7" spans="2:22" ht="16.5" thickBot="1">
      <c r="C7" s="198" t="s">
        <v>512</v>
      </c>
      <c r="F7" s="4281" t="s">
        <v>1169</v>
      </c>
      <c r="G7" s="4195">
        <f>E13</f>
        <v>28625.75</v>
      </c>
      <c r="H7" s="4196">
        <f>E18</f>
        <v>3690</v>
      </c>
      <c r="I7" s="4196">
        <f>E23</f>
        <v>22847.235249999998</v>
      </c>
      <c r="J7" s="4196">
        <f>E28</f>
        <v>3750</v>
      </c>
      <c r="K7" s="4196">
        <f>E33</f>
        <v>1490</v>
      </c>
      <c r="L7" s="4196">
        <f>E38</f>
        <v>6922.5</v>
      </c>
      <c r="M7" s="4196">
        <f>E43</f>
        <v>250</v>
      </c>
      <c r="N7" s="4196">
        <f>E48</f>
        <v>2405</v>
      </c>
      <c r="O7" s="4196">
        <f>E53</f>
        <v>48102.5</v>
      </c>
      <c r="P7" s="4196">
        <f>E54</f>
        <v>0</v>
      </c>
      <c r="Q7" s="4197">
        <f>SUM(G7:P7)</f>
        <v>118082.98525</v>
      </c>
      <c r="R7" s="4198">
        <f>Q55</f>
        <v>17736</v>
      </c>
      <c r="S7" s="317">
        <f>O7/Q7</f>
        <v>0.40736182184215231</v>
      </c>
      <c r="T7" s="317">
        <f>(J7+(H7*1.63))/Q7</f>
        <v>8.2693539457243698E-2</v>
      </c>
      <c r="U7" s="317">
        <f>L7/Q7</f>
        <v>5.8624026021564357E-2</v>
      </c>
      <c r="V7" s="218">
        <f>Q7/R7</f>
        <v>6.6578137827018491</v>
      </c>
    </row>
    <row r="8" spans="2:22" ht="16.5" thickBot="1">
      <c r="C8" s="220" t="s">
        <v>513</v>
      </c>
      <c r="F8" s="3611" t="s">
        <v>1175</v>
      </c>
      <c r="G8" s="357">
        <f>SUM(G5+G7)</f>
        <v>28625.75</v>
      </c>
      <c r="H8" s="3612">
        <f t="shared" ref="H8:R8" si="0">SUM(H5+H7)</f>
        <v>3690</v>
      </c>
      <c r="I8" s="3612">
        <f t="shared" si="0"/>
        <v>22847.235249999998</v>
      </c>
      <c r="J8" s="3612">
        <f t="shared" si="0"/>
        <v>3750</v>
      </c>
      <c r="K8" s="3612">
        <f t="shared" si="0"/>
        <v>1490</v>
      </c>
      <c r="L8" s="3612">
        <f t="shared" si="0"/>
        <v>6922.5</v>
      </c>
      <c r="M8" s="3612">
        <f t="shared" si="0"/>
        <v>250</v>
      </c>
      <c r="N8" s="3612">
        <f t="shared" si="0"/>
        <v>2405</v>
      </c>
      <c r="O8" s="3612">
        <f t="shared" si="0"/>
        <v>48102.5</v>
      </c>
      <c r="P8" s="3612">
        <f t="shared" si="0"/>
        <v>0</v>
      </c>
      <c r="Q8" s="3612">
        <f t="shared" si="0"/>
        <v>118082.98525</v>
      </c>
      <c r="R8" s="3610">
        <f t="shared" si="0"/>
        <v>17736</v>
      </c>
      <c r="S8" s="317">
        <f>O8/Q8</f>
        <v>0.40736182184215231</v>
      </c>
      <c r="T8" s="317">
        <f>(J8+(H8*1.63))/Q8</f>
        <v>8.2693539457243698E-2</v>
      </c>
      <c r="U8" s="317">
        <f>L8/Q8</f>
        <v>5.8624026021564357E-2</v>
      </c>
      <c r="V8" s="218">
        <f>Q8/R8</f>
        <v>6.6578137827018491</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226" t="s">
        <v>126</v>
      </c>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225" t="s">
        <v>137</v>
      </c>
    </row>
    <row r="13" spans="2:22" ht="13.5" thickBot="1">
      <c r="B13" s="262">
        <v>40378</v>
      </c>
      <c r="C13" s="236" t="s">
        <v>138</v>
      </c>
      <c r="D13" s="237">
        <f>SUM(D14:D17)</f>
        <v>0</v>
      </c>
      <c r="E13" s="4468">
        <f>SUM(E14:E17)</f>
        <v>28625.75</v>
      </c>
      <c r="F13" s="238">
        <f>D13+E13</f>
        <v>28625.75</v>
      </c>
      <c r="H13" s="132"/>
      <c r="I13" s="239" t="str">
        <f t="shared" ref="I13:I54" si="1">C63</f>
        <v>Showerhead - Max 1.50 gpm GWH</v>
      </c>
      <c r="J13" s="240"/>
      <c r="K13" s="241"/>
      <c r="L13" s="360">
        <f t="shared" ref="L13:L54" si="2">D63</f>
        <v>13</v>
      </c>
      <c r="M13" s="3061">
        <v>0</v>
      </c>
      <c r="N13" s="4534">
        <v>750</v>
      </c>
      <c r="O13" s="244">
        <f>M13+N13</f>
        <v>750</v>
      </c>
      <c r="P13" s="361">
        <f t="shared" ref="P13:R28" si="3">M13*$D63</f>
        <v>0</v>
      </c>
      <c r="Q13" s="361">
        <f t="shared" si="3"/>
        <v>9750</v>
      </c>
      <c r="R13" s="362">
        <f t="shared" si="3"/>
        <v>9750</v>
      </c>
      <c r="T13" s="257"/>
    </row>
    <row r="14" spans="2:22">
      <c r="B14" s="247"/>
      <c r="C14" s="248" t="s">
        <v>514</v>
      </c>
      <c r="D14" s="249">
        <v>0</v>
      </c>
      <c r="E14" s="4447">
        <v>28625.75</v>
      </c>
      <c r="F14" s="249">
        <f>SUM(D14:E14)</f>
        <v>28625.75</v>
      </c>
      <c r="H14" s="132"/>
      <c r="I14" s="250" t="str">
        <f t="shared" si="1"/>
        <v>Boiler (Domestic Water) Replacement (Calculated)</v>
      </c>
      <c r="J14" s="251"/>
      <c r="K14" s="252"/>
      <c r="L14" s="360">
        <f t="shared" si="2"/>
        <v>1100</v>
      </c>
      <c r="M14" s="3061">
        <v>0</v>
      </c>
      <c r="N14" s="3061">
        <v>0</v>
      </c>
      <c r="O14" s="244">
        <f t="shared" ref="O14:O54" si="4">M14+N14</f>
        <v>0</v>
      </c>
      <c r="P14" s="361">
        <f t="shared" si="3"/>
        <v>0</v>
      </c>
      <c r="Q14" s="361">
        <f t="shared" si="3"/>
        <v>0</v>
      </c>
      <c r="R14" s="362">
        <f t="shared" si="3"/>
        <v>0</v>
      </c>
      <c r="T14" s="282"/>
    </row>
    <row r="15" spans="2:22">
      <c r="B15" s="254"/>
      <c r="C15" s="255" t="s">
        <v>140</v>
      </c>
      <c r="D15" s="256">
        <v>0</v>
      </c>
      <c r="E15" s="256"/>
      <c r="F15" s="249">
        <f t="shared" ref="F15:F25" si="5">SUM(D15:E15)</f>
        <v>0</v>
      </c>
      <c r="H15" s="132"/>
      <c r="I15" s="250" t="str">
        <f t="shared" si="1"/>
        <v>Boiler (Pool Heating ) (Calculated)</v>
      </c>
      <c r="J15" s="251"/>
      <c r="K15" s="252"/>
      <c r="L15" s="360">
        <f t="shared" si="2"/>
        <v>1190</v>
      </c>
      <c r="M15" s="3061">
        <v>0</v>
      </c>
      <c r="N15" s="3061">
        <v>0</v>
      </c>
      <c r="O15" s="244">
        <f t="shared" si="4"/>
        <v>0</v>
      </c>
      <c r="P15" s="361">
        <f t="shared" si="3"/>
        <v>0</v>
      </c>
      <c r="Q15" s="361">
        <f t="shared" si="3"/>
        <v>0</v>
      </c>
      <c r="R15" s="362">
        <f t="shared" si="3"/>
        <v>0</v>
      </c>
      <c r="T15" s="282"/>
    </row>
    <row r="16" spans="2:22">
      <c r="B16" s="254"/>
      <c r="C16" s="255" t="s">
        <v>141</v>
      </c>
      <c r="D16" s="258">
        <v>0</v>
      </c>
      <c r="E16" s="258"/>
      <c r="F16" s="249">
        <f t="shared" si="5"/>
        <v>0</v>
      </c>
      <c r="H16" s="132"/>
      <c r="I16" s="250" t="str">
        <f t="shared" si="1"/>
        <v>Solar Pool Heater (Calculated)</v>
      </c>
      <c r="J16" s="251"/>
      <c r="K16" s="252"/>
      <c r="L16" s="360">
        <f t="shared" si="2"/>
        <v>800</v>
      </c>
      <c r="M16" s="3061">
        <v>0</v>
      </c>
      <c r="N16" s="3061">
        <v>0</v>
      </c>
      <c r="O16" s="244">
        <f t="shared" si="4"/>
        <v>0</v>
      </c>
      <c r="P16" s="361">
        <f t="shared" si="3"/>
        <v>0</v>
      </c>
      <c r="Q16" s="361">
        <f t="shared" si="3"/>
        <v>0</v>
      </c>
      <c r="R16" s="362">
        <f t="shared" si="3"/>
        <v>0</v>
      </c>
      <c r="T16" s="282"/>
    </row>
    <row r="17" spans="2:20" ht="13.5" thickBot="1">
      <c r="B17" s="254"/>
      <c r="C17" s="255" t="s">
        <v>142</v>
      </c>
      <c r="D17" s="258">
        <v>0</v>
      </c>
      <c r="E17" s="258"/>
      <c r="F17" s="249">
        <f t="shared" si="5"/>
        <v>0</v>
      </c>
      <c r="H17" s="132"/>
      <c r="I17" s="250" t="str">
        <f t="shared" si="1"/>
        <v>Tankless Water Heater Gas In-unit (.82 EF)</v>
      </c>
      <c r="J17" s="251"/>
      <c r="K17" s="252"/>
      <c r="L17" s="360">
        <f t="shared" si="2"/>
        <v>74</v>
      </c>
      <c r="M17" s="3061">
        <v>0</v>
      </c>
      <c r="N17" s="3061">
        <v>0</v>
      </c>
      <c r="O17" s="244">
        <f t="shared" si="4"/>
        <v>0</v>
      </c>
      <c r="P17" s="361">
        <f t="shared" si="3"/>
        <v>0</v>
      </c>
      <c r="Q17" s="361">
        <f t="shared" si="3"/>
        <v>0</v>
      </c>
      <c r="R17" s="362">
        <f t="shared" si="3"/>
        <v>0</v>
      </c>
      <c r="T17" s="282"/>
    </row>
    <row r="18" spans="2:20" ht="13.5" thickBot="1">
      <c r="B18" s="262">
        <v>6918</v>
      </c>
      <c r="C18" s="236" t="s">
        <v>143</v>
      </c>
      <c r="D18" s="237">
        <f>SUM(D19:D22)</f>
        <v>0</v>
      </c>
      <c r="E18" s="4468">
        <f>SUM(E19:E22)</f>
        <v>3690</v>
      </c>
      <c r="F18" s="238">
        <f>D18+E18</f>
        <v>3690</v>
      </c>
      <c r="H18" s="132"/>
      <c r="I18" s="250" t="str">
        <f t="shared" si="1"/>
        <v>Gas Water Heater (.67 EF)</v>
      </c>
      <c r="J18" s="251"/>
      <c r="K18" s="252"/>
      <c r="L18" s="360">
        <f t="shared" si="2"/>
        <v>24</v>
      </c>
      <c r="M18" s="3061">
        <v>0</v>
      </c>
      <c r="N18" s="3061">
        <v>0</v>
      </c>
      <c r="O18" s="244">
        <f t="shared" si="4"/>
        <v>0</v>
      </c>
      <c r="P18" s="361">
        <f t="shared" si="3"/>
        <v>0</v>
      </c>
      <c r="Q18" s="361">
        <f t="shared" si="3"/>
        <v>0</v>
      </c>
      <c r="R18" s="362">
        <f t="shared" si="3"/>
        <v>0</v>
      </c>
      <c r="T18" s="282"/>
    </row>
    <row r="19" spans="2:20">
      <c r="B19" s="247"/>
      <c r="C19" s="248" t="s">
        <v>478</v>
      </c>
      <c r="D19" s="249">
        <v>0</v>
      </c>
      <c r="E19" s="4447">
        <v>3690</v>
      </c>
      <c r="F19" s="249">
        <f t="shared" si="5"/>
        <v>3690</v>
      </c>
      <c r="H19" s="132"/>
      <c r="I19" s="250" t="str">
        <f t="shared" si="1"/>
        <v>Attic Insulation R-0 to R-38 MF</v>
      </c>
      <c r="J19" s="251"/>
      <c r="K19" s="252"/>
      <c r="L19" s="360">
        <f t="shared" si="2"/>
        <v>0.09</v>
      </c>
      <c r="M19" s="3061">
        <v>0</v>
      </c>
      <c r="N19" s="4534">
        <v>20000</v>
      </c>
      <c r="O19" s="244">
        <f t="shared" si="4"/>
        <v>20000</v>
      </c>
      <c r="P19" s="361">
        <f t="shared" si="3"/>
        <v>0</v>
      </c>
      <c r="Q19" s="361">
        <f t="shared" si="3"/>
        <v>1800</v>
      </c>
      <c r="R19" s="362">
        <f t="shared" si="3"/>
        <v>1800</v>
      </c>
      <c r="T19" s="282"/>
    </row>
    <row r="20" spans="2:20">
      <c r="B20" s="254"/>
      <c r="C20" s="255" t="s">
        <v>479</v>
      </c>
      <c r="D20" s="256">
        <v>0</v>
      </c>
      <c r="E20" s="4449">
        <v>0</v>
      </c>
      <c r="F20" s="249">
        <f t="shared" si="5"/>
        <v>0</v>
      </c>
      <c r="H20" s="132"/>
      <c r="I20" s="250" t="str">
        <f t="shared" si="1"/>
        <v>Attic Insulation R-11 to R-38 MF</v>
      </c>
      <c r="J20" s="251"/>
      <c r="K20" s="252"/>
      <c r="L20" s="360">
        <f t="shared" si="2"/>
        <v>0.05</v>
      </c>
      <c r="M20" s="3061">
        <v>0</v>
      </c>
      <c r="N20" s="3061">
        <v>0</v>
      </c>
      <c r="O20" s="244">
        <f t="shared" si="4"/>
        <v>0</v>
      </c>
      <c r="P20" s="361">
        <f t="shared" si="3"/>
        <v>0</v>
      </c>
      <c r="Q20" s="361">
        <f t="shared" si="3"/>
        <v>0</v>
      </c>
      <c r="R20" s="362">
        <f t="shared" si="3"/>
        <v>0</v>
      </c>
      <c r="T20" s="282"/>
    </row>
    <row r="21" spans="2:20">
      <c r="B21" s="254"/>
      <c r="C21" s="255" t="s">
        <v>141</v>
      </c>
      <c r="D21" s="258">
        <v>0</v>
      </c>
      <c r="E21" s="258"/>
      <c r="F21" s="249">
        <f t="shared" si="5"/>
        <v>0</v>
      </c>
      <c r="H21" s="132"/>
      <c r="I21" s="250" t="str">
        <f t="shared" si="1"/>
        <v>Attic Insulation R-19 to R-38 MF</v>
      </c>
      <c r="J21" s="251"/>
      <c r="K21" s="252"/>
      <c r="L21" s="360">
        <f t="shared" si="2"/>
        <v>0.02</v>
      </c>
      <c r="M21" s="3061">
        <v>0</v>
      </c>
      <c r="N21" s="3061">
        <v>0</v>
      </c>
      <c r="O21" s="244">
        <f t="shared" si="4"/>
        <v>0</v>
      </c>
      <c r="P21" s="361">
        <f t="shared" si="3"/>
        <v>0</v>
      </c>
      <c r="Q21" s="361">
        <f t="shared" si="3"/>
        <v>0</v>
      </c>
      <c r="R21" s="362">
        <f t="shared" si="3"/>
        <v>0</v>
      </c>
      <c r="T21" s="282"/>
    </row>
    <row r="22" spans="2:20" ht="13.5" thickBot="1">
      <c r="B22" s="254"/>
      <c r="C22" s="255" t="s">
        <v>142</v>
      </c>
      <c r="D22" s="258">
        <v>0</v>
      </c>
      <c r="E22" s="258"/>
      <c r="F22" s="249">
        <f t="shared" si="5"/>
        <v>0</v>
      </c>
      <c r="H22" s="132"/>
      <c r="I22" s="250" t="str">
        <f t="shared" si="1"/>
        <v>Floor Insulation R-0 to R-30 MF</v>
      </c>
      <c r="J22" s="251"/>
      <c r="K22" s="252"/>
      <c r="L22" s="360">
        <f t="shared" si="2"/>
        <v>0.05</v>
      </c>
      <c r="M22" s="3061">
        <v>0</v>
      </c>
      <c r="N22" s="3061">
        <v>0</v>
      </c>
      <c r="O22" s="244">
        <f t="shared" si="4"/>
        <v>0</v>
      </c>
      <c r="P22" s="361">
        <f t="shared" si="3"/>
        <v>0</v>
      </c>
      <c r="Q22" s="361">
        <f t="shared" si="3"/>
        <v>0</v>
      </c>
      <c r="R22" s="362">
        <f t="shared" si="3"/>
        <v>0</v>
      </c>
      <c r="T22" s="282"/>
    </row>
    <row r="23" spans="2:20" ht="13.5" thickBot="1">
      <c r="B23" s="262">
        <v>30742</v>
      </c>
      <c r="C23" s="236" t="s">
        <v>144</v>
      </c>
      <c r="D23" s="237">
        <f>SUM(D24:D27)</f>
        <v>0</v>
      </c>
      <c r="E23" s="237">
        <f>SUM(E24:E27)</f>
        <v>22847.235249999998</v>
      </c>
      <c r="F23" s="238">
        <f>D23+E23</f>
        <v>22847.235249999998</v>
      </c>
      <c r="G23" s="53"/>
      <c r="H23" s="132"/>
      <c r="I23" s="250" t="str">
        <f t="shared" si="1"/>
        <v>Floor Insulation R-0 to R-19 MF</v>
      </c>
      <c r="J23" s="251"/>
      <c r="K23" s="252"/>
      <c r="L23" s="360">
        <f t="shared" si="2"/>
        <v>0.04</v>
      </c>
      <c r="M23" s="3061">
        <v>0</v>
      </c>
      <c r="N23" s="3061">
        <v>0</v>
      </c>
      <c r="O23" s="244">
        <f t="shared" si="4"/>
        <v>0</v>
      </c>
      <c r="P23" s="361">
        <f t="shared" si="3"/>
        <v>0</v>
      </c>
      <c r="Q23" s="361">
        <f t="shared" si="3"/>
        <v>0</v>
      </c>
      <c r="R23" s="362">
        <f t="shared" si="3"/>
        <v>0</v>
      </c>
      <c r="T23" s="282"/>
    </row>
    <row r="24" spans="2:20">
      <c r="B24" s="247"/>
      <c r="C24" s="3566" t="s">
        <v>1434</v>
      </c>
      <c r="D24" s="249">
        <v>0</v>
      </c>
      <c r="E24" s="249">
        <f>0.707*E13</f>
        <v>20238.40525</v>
      </c>
      <c r="F24" s="249">
        <f t="shared" si="5"/>
        <v>20238.40525</v>
      </c>
      <c r="H24" s="132"/>
      <c r="I24" s="250" t="str">
        <f t="shared" si="1"/>
        <v>Floor Insulation R-11 to R-30 MF</v>
      </c>
      <c r="J24" s="251"/>
      <c r="K24" s="252"/>
      <c r="L24" s="360">
        <f t="shared" si="2"/>
        <v>0.03</v>
      </c>
      <c r="M24" s="3061">
        <v>0</v>
      </c>
      <c r="N24" s="3061">
        <v>0</v>
      </c>
      <c r="O24" s="244">
        <f t="shared" si="4"/>
        <v>0</v>
      </c>
      <c r="P24" s="361">
        <f t="shared" si="3"/>
        <v>0</v>
      </c>
      <c r="Q24" s="361">
        <f t="shared" si="3"/>
        <v>0</v>
      </c>
      <c r="R24" s="362">
        <f t="shared" si="3"/>
        <v>0</v>
      </c>
      <c r="T24" s="282"/>
    </row>
    <row r="25" spans="2:20">
      <c r="B25" s="247"/>
      <c r="C25" s="3566" t="s">
        <v>1435</v>
      </c>
      <c r="D25" s="256">
        <f>0.63*D18</f>
        <v>0</v>
      </c>
      <c r="E25" s="256">
        <f>0.707*E18</f>
        <v>2608.83</v>
      </c>
      <c r="F25" s="249">
        <f t="shared" si="5"/>
        <v>2608.83</v>
      </c>
      <c r="H25" s="132"/>
      <c r="I25" s="250" t="str">
        <f t="shared" si="1"/>
        <v>Wall Insulation R-0 to R-11 MF</v>
      </c>
      <c r="J25" s="251"/>
      <c r="K25" s="252"/>
      <c r="L25" s="360">
        <f t="shared" si="2"/>
        <v>0.05</v>
      </c>
      <c r="M25" s="3061">
        <v>0</v>
      </c>
      <c r="N25" s="3061">
        <v>0</v>
      </c>
      <c r="O25" s="244">
        <f t="shared" si="4"/>
        <v>0</v>
      </c>
      <c r="P25" s="361">
        <f t="shared" si="3"/>
        <v>0</v>
      </c>
      <c r="Q25" s="361">
        <f t="shared" si="3"/>
        <v>0</v>
      </c>
      <c r="R25" s="362">
        <f t="shared" si="3"/>
        <v>0</v>
      </c>
      <c r="T25" s="282"/>
    </row>
    <row r="26" spans="2:20">
      <c r="B26" s="254"/>
      <c r="C26" s="255"/>
      <c r="D26" s="258"/>
      <c r="E26" s="258"/>
      <c r="F26" s="258"/>
      <c r="H26" s="132"/>
      <c r="I26" s="250" t="str">
        <f t="shared" si="1"/>
        <v>Windows (single to double paned) U= 1.2 to 0.30</v>
      </c>
      <c r="J26" s="251"/>
      <c r="K26" s="252"/>
      <c r="L26" s="360">
        <f t="shared" si="2"/>
        <v>0.88</v>
      </c>
      <c r="M26" s="3061">
        <v>0</v>
      </c>
      <c r="N26" s="3061">
        <v>0</v>
      </c>
      <c r="O26" s="244">
        <f t="shared" si="4"/>
        <v>0</v>
      </c>
      <c r="P26" s="361">
        <f t="shared" si="3"/>
        <v>0</v>
      </c>
      <c r="Q26" s="361">
        <f t="shared" si="3"/>
        <v>0</v>
      </c>
      <c r="R26" s="362">
        <f t="shared" si="3"/>
        <v>0</v>
      </c>
      <c r="T26" s="282"/>
    </row>
    <row r="27" spans="2:20" ht="13.5" thickBot="1">
      <c r="B27" s="254"/>
      <c r="C27" s="255"/>
      <c r="D27" s="258"/>
      <c r="E27" s="258"/>
      <c r="F27" s="258"/>
      <c r="H27" s="132"/>
      <c r="I27" s="250" t="str">
        <f t="shared" si="1"/>
        <v>Windows (single to triple paned) U= 1.2 to 0.22</v>
      </c>
      <c r="J27" s="251"/>
      <c r="K27" s="252"/>
      <c r="L27" s="360">
        <f t="shared" si="2"/>
        <v>0.96</v>
      </c>
      <c r="M27" s="3061">
        <v>0</v>
      </c>
      <c r="N27" s="3061">
        <v>0</v>
      </c>
      <c r="O27" s="244">
        <f t="shared" si="4"/>
        <v>0</v>
      </c>
      <c r="P27" s="361">
        <f t="shared" si="3"/>
        <v>0</v>
      </c>
      <c r="Q27" s="361">
        <f t="shared" si="3"/>
        <v>0</v>
      </c>
      <c r="R27" s="362">
        <f t="shared" si="3"/>
        <v>0</v>
      </c>
      <c r="T27" s="282"/>
    </row>
    <row r="28" spans="2:20" ht="13.5" thickBot="1">
      <c r="B28" s="262">
        <v>6133</v>
      </c>
      <c r="C28" s="236" t="s">
        <v>145</v>
      </c>
      <c r="D28" s="237">
        <f>SUM(D29:D32)</f>
        <v>0</v>
      </c>
      <c r="E28" s="4468">
        <f>SUM(E29:E32)</f>
        <v>3750</v>
      </c>
      <c r="F28" s="238">
        <f>D28+E28</f>
        <v>3750</v>
      </c>
      <c r="H28" s="132"/>
      <c r="I28" s="250" t="str">
        <f t="shared" si="1"/>
        <v xml:space="preserve">Furnaces .90 + In Unit </v>
      </c>
      <c r="J28" s="251"/>
      <c r="K28" s="252"/>
      <c r="L28" s="360">
        <f t="shared" si="2"/>
        <v>66</v>
      </c>
      <c r="M28" s="3061">
        <v>0</v>
      </c>
      <c r="N28" s="3061">
        <v>0</v>
      </c>
      <c r="O28" s="244">
        <f t="shared" si="4"/>
        <v>0</v>
      </c>
      <c r="P28" s="361">
        <f t="shared" si="3"/>
        <v>0</v>
      </c>
      <c r="Q28" s="361">
        <f t="shared" si="3"/>
        <v>0</v>
      </c>
      <c r="R28" s="362">
        <f t="shared" si="3"/>
        <v>0</v>
      </c>
      <c r="T28" s="282"/>
    </row>
    <row r="29" spans="2:20">
      <c r="B29" s="247"/>
      <c r="C29" s="248" t="s">
        <v>12</v>
      </c>
      <c r="D29" s="249">
        <v>0</v>
      </c>
      <c r="E29" s="4447">
        <v>3750</v>
      </c>
      <c r="F29" s="249">
        <f t="shared" ref="F29:F37" si="6">SUM(D29:E29)</f>
        <v>3750</v>
      </c>
      <c r="H29" s="132"/>
      <c r="I29" s="250" t="str">
        <f t="shared" si="1"/>
        <v>Boiler (Space Heating ) Replacement (Calculated)</v>
      </c>
      <c r="J29" s="251"/>
      <c r="K29" s="252"/>
      <c r="L29" s="360">
        <f t="shared" si="2"/>
        <v>734</v>
      </c>
      <c r="M29" s="3061">
        <v>0</v>
      </c>
      <c r="N29" s="3061">
        <v>4</v>
      </c>
      <c r="O29" s="244">
        <f t="shared" si="4"/>
        <v>4</v>
      </c>
      <c r="P29" s="361">
        <f t="shared" ref="P29:R44" si="7">M29*$D79</f>
        <v>0</v>
      </c>
      <c r="Q29" s="361">
        <f t="shared" si="7"/>
        <v>2936</v>
      </c>
      <c r="R29" s="362">
        <f t="shared" si="7"/>
        <v>2936</v>
      </c>
      <c r="T29" s="282"/>
    </row>
    <row r="30" spans="2:20">
      <c r="B30" s="254"/>
      <c r="C30" s="255" t="s">
        <v>140</v>
      </c>
      <c r="D30" s="256">
        <v>0</v>
      </c>
      <c r="E30" s="256"/>
      <c r="F30" s="249">
        <f t="shared" si="6"/>
        <v>0</v>
      </c>
      <c r="H30" s="132"/>
      <c r="I30" s="250" t="str">
        <f t="shared" si="1"/>
        <v>Boiler (Space Heating - Steam ) Replacement (Calculated)</v>
      </c>
      <c r="J30" s="251"/>
      <c r="K30" s="252"/>
      <c r="L30" s="360">
        <f t="shared" si="2"/>
        <v>845</v>
      </c>
      <c r="M30" s="3061">
        <v>0</v>
      </c>
      <c r="N30" s="3061">
        <v>0</v>
      </c>
      <c r="O30" s="244">
        <f t="shared" si="4"/>
        <v>0</v>
      </c>
      <c r="P30" s="361">
        <f t="shared" si="7"/>
        <v>0</v>
      </c>
      <c r="Q30" s="361">
        <f t="shared" si="7"/>
        <v>0</v>
      </c>
      <c r="R30" s="362">
        <f t="shared" si="7"/>
        <v>0</v>
      </c>
      <c r="T30" s="282"/>
    </row>
    <row r="31" spans="2:20">
      <c r="B31" s="254"/>
      <c r="C31" s="255" t="s">
        <v>141</v>
      </c>
      <c r="D31" s="256">
        <v>0</v>
      </c>
      <c r="E31" s="256"/>
      <c r="F31" s="249">
        <f t="shared" si="6"/>
        <v>0</v>
      </c>
      <c r="H31" s="132"/>
      <c r="I31" s="250" t="str">
        <f t="shared" si="1"/>
        <v>Boiler (Domestic Water + Space Heating) Replacement (Calculated)</v>
      </c>
      <c r="J31" s="251"/>
      <c r="K31" s="252"/>
      <c r="L31" s="360">
        <f t="shared" si="2"/>
        <v>1559</v>
      </c>
      <c r="M31" s="3061">
        <v>0</v>
      </c>
      <c r="N31" s="3061">
        <v>0</v>
      </c>
      <c r="O31" s="244">
        <f t="shared" si="4"/>
        <v>0</v>
      </c>
      <c r="P31" s="361">
        <f t="shared" si="7"/>
        <v>0</v>
      </c>
      <c r="Q31" s="361">
        <f t="shared" si="7"/>
        <v>0</v>
      </c>
      <c r="R31" s="362">
        <f t="shared" si="7"/>
        <v>0</v>
      </c>
      <c r="T31" s="282"/>
    </row>
    <row r="32" spans="2:20" ht="13.5" thickBot="1">
      <c r="B32" s="254"/>
      <c r="C32" s="255" t="s">
        <v>142</v>
      </c>
      <c r="D32" s="256">
        <v>0</v>
      </c>
      <c r="E32" s="256"/>
      <c r="F32" s="249">
        <f t="shared" si="6"/>
        <v>0</v>
      </c>
      <c r="H32" s="132"/>
      <c r="I32" s="3452" t="str">
        <f t="shared" si="1"/>
        <v>Showerhead CWA - Max 1.50 gpm GWH</v>
      </c>
      <c r="J32" s="251"/>
      <c r="K32" s="252"/>
      <c r="L32" s="360">
        <f t="shared" si="2"/>
        <v>13</v>
      </c>
      <c r="M32" s="257">
        <v>0</v>
      </c>
      <c r="N32" s="257">
        <v>250</v>
      </c>
      <c r="O32" s="244">
        <f t="shared" si="4"/>
        <v>250</v>
      </c>
      <c r="P32" s="361">
        <f t="shared" si="7"/>
        <v>0</v>
      </c>
      <c r="Q32" s="361">
        <f t="shared" si="7"/>
        <v>3250</v>
      </c>
      <c r="R32" s="362">
        <f t="shared" si="7"/>
        <v>3250</v>
      </c>
      <c r="T32" s="282"/>
    </row>
    <row r="33" spans="2:20" ht="13.5" thickBot="1">
      <c r="B33" s="262">
        <v>242</v>
      </c>
      <c r="C33" s="236" t="s">
        <v>146</v>
      </c>
      <c r="D33" s="237">
        <f>SUM(D34:D37)</f>
        <v>0</v>
      </c>
      <c r="E33" s="4468">
        <f>SUM(E34:E37)</f>
        <v>1490</v>
      </c>
      <c r="F33" s="238">
        <f>D33+E33</f>
        <v>1490</v>
      </c>
      <c r="H33" s="132"/>
      <c r="I33" s="3452" t="str">
        <f t="shared" si="1"/>
        <v>Measure 21</v>
      </c>
      <c r="J33" s="251"/>
      <c r="K33" s="252"/>
      <c r="L33" s="360">
        <f t="shared" si="2"/>
        <v>0</v>
      </c>
      <c r="M33" s="257">
        <v>0</v>
      </c>
      <c r="N33" s="257">
        <v>0</v>
      </c>
      <c r="O33" s="244">
        <f t="shared" si="4"/>
        <v>0</v>
      </c>
      <c r="P33" s="361">
        <f t="shared" si="7"/>
        <v>0</v>
      </c>
      <c r="Q33" s="361">
        <f t="shared" si="7"/>
        <v>0</v>
      </c>
      <c r="R33" s="362">
        <f t="shared" si="7"/>
        <v>0</v>
      </c>
      <c r="T33" s="282"/>
    </row>
    <row r="34" spans="2:20">
      <c r="B34" s="254"/>
      <c r="C34" s="255" t="s">
        <v>481</v>
      </c>
      <c r="D34" s="256">
        <v>0</v>
      </c>
      <c r="E34" s="4449">
        <v>1490</v>
      </c>
      <c r="F34" s="249">
        <f t="shared" si="6"/>
        <v>1490</v>
      </c>
      <c r="H34" s="132"/>
      <c r="I34" s="3452" t="str">
        <f t="shared" si="1"/>
        <v>Measure 22</v>
      </c>
      <c r="J34" s="251"/>
      <c r="K34" s="252"/>
      <c r="L34" s="360">
        <f t="shared" si="2"/>
        <v>0</v>
      </c>
      <c r="M34" s="257">
        <v>0</v>
      </c>
      <c r="N34" s="257">
        <v>0</v>
      </c>
      <c r="O34" s="244">
        <f t="shared" si="4"/>
        <v>0</v>
      </c>
      <c r="P34" s="361">
        <f t="shared" si="7"/>
        <v>0</v>
      </c>
      <c r="Q34" s="361">
        <f t="shared" si="7"/>
        <v>0</v>
      </c>
      <c r="R34" s="362">
        <f t="shared" si="7"/>
        <v>0</v>
      </c>
      <c r="T34" s="282"/>
    </row>
    <row r="35" spans="2:20">
      <c r="B35" s="254"/>
      <c r="C35" s="255" t="s">
        <v>140</v>
      </c>
      <c r="D35" s="256">
        <v>0</v>
      </c>
      <c r="E35" s="256"/>
      <c r="F35" s="249">
        <f t="shared" si="6"/>
        <v>0</v>
      </c>
      <c r="H35" s="132"/>
      <c r="I35" s="3452" t="str">
        <f t="shared" si="1"/>
        <v>Measure 23</v>
      </c>
      <c r="J35" s="251"/>
      <c r="K35" s="252"/>
      <c r="L35" s="360">
        <f t="shared" si="2"/>
        <v>0</v>
      </c>
      <c r="M35" s="257">
        <v>0</v>
      </c>
      <c r="N35" s="257">
        <v>0</v>
      </c>
      <c r="O35" s="244">
        <f t="shared" si="4"/>
        <v>0</v>
      </c>
      <c r="P35" s="361">
        <f t="shared" si="7"/>
        <v>0</v>
      </c>
      <c r="Q35" s="361">
        <f t="shared" si="7"/>
        <v>0</v>
      </c>
      <c r="R35" s="362">
        <f t="shared" si="7"/>
        <v>0</v>
      </c>
      <c r="T35" s="282"/>
    </row>
    <row r="36" spans="2:20">
      <c r="B36" s="254"/>
      <c r="C36" s="255" t="s">
        <v>141</v>
      </c>
      <c r="D36" s="256">
        <v>0</v>
      </c>
      <c r="E36" s="256"/>
      <c r="F36" s="249">
        <f t="shared" si="6"/>
        <v>0</v>
      </c>
      <c r="H36" s="132"/>
      <c r="I36" s="3452" t="str">
        <f t="shared" si="1"/>
        <v>Measure 24</v>
      </c>
      <c r="J36" s="251"/>
      <c r="K36" s="252"/>
      <c r="L36" s="360">
        <f t="shared" si="2"/>
        <v>0</v>
      </c>
      <c r="M36" s="257">
        <v>0</v>
      </c>
      <c r="N36" s="257">
        <v>0</v>
      </c>
      <c r="O36" s="244">
        <f t="shared" si="4"/>
        <v>0</v>
      </c>
      <c r="P36" s="361">
        <f t="shared" si="7"/>
        <v>0</v>
      </c>
      <c r="Q36" s="361">
        <f t="shared" si="7"/>
        <v>0</v>
      </c>
      <c r="R36" s="362">
        <f t="shared" si="7"/>
        <v>0</v>
      </c>
      <c r="T36" s="282"/>
    </row>
    <row r="37" spans="2:20" ht="13.5" thickBot="1">
      <c r="B37" s="254"/>
      <c r="C37" s="255" t="s">
        <v>142</v>
      </c>
      <c r="D37" s="256">
        <v>0</v>
      </c>
      <c r="E37" s="256"/>
      <c r="F37" s="249">
        <f t="shared" si="6"/>
        <v>0</v>
      </c>
      <c r="H37" s="132"/>
      <c r="I37" s="3452" t="str">
        <f t="shared" si="1"/>
        <v>Measure 25</v>
      </c>
      <c r="J37" s="251"/>
      <c r="K37" s="252"/>
      <c r="L37" s="360">
        <f t="shared" si="2"/>
        <v>0</v>
      </c>
      <c r="M37" s="257">
        <v>0</v>
      </c>
      <c r="N37" s="257">
        <v>0</v>
      </c>
      <c r="O37" s="244">
        <f t="shared" si="4"/>
        <v>0</v>
      </c>
      <c r="P37" s="361">
        <f t="shared" si="7"/>
        <v>0</v>
      </c>
      <c r="Q37" s="361">
        <f t="shared" si="7"/>
        <v>0</v>
      </c>
      <c r="R37" s="362">
        <f t="shared" si="7"/>
        <v>0</v>
      </c>
      <c r="T37" s="282"/>
    </row>
    <row r="38" spans="2:20" ht="13.5" thickBot="1">
      <c r="B38" s="262">
        <v>46680</v>
      </c>
      <c r="C38" s="236" t="s">
        <v>147</v>
      </c>
      <c r="D38" s="237">
        <f>SUM(D39:D42)</f>
        <v>0</v>
      </c>
      <c r="E38" s="4468">
        <f>SUM(E39:E42)</f>
        <v>6922.5</v>
      </c>
      <c r="F38" s="238">
        <f>D38+E38</f>
        <v>6922.5</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282"/>
    </row>
    <row r="39" spans="2:20">
      <c r="B39" s="254"/>
      <c r="C39" s="3572" t="s">
        <v>1309</v>
      </c>
      <c r="D39" s="256">
        <v>0</v>
      </c>
      <c r="E39" s="4449">
        <v>6000</v>
      </c>
      <c r="F39" s="249">
        <f t="shared" ref="F39:F52" si="8">SUM(D39:E39)</f>
        <v>6000</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282"/>
    </row>
    <row r="40" spans="2:20">
      <c r="B40" s="254"/>
      <c r="C40" s="3572" t="s">
        <v>479</v>
      </c>
      <c r="D40" s="256">
        <v>0</v>
      </c>
      <c r="E40" s="4449">
        <v>922.5</v>
      </c>
      <c r="F40" s="249">
        <f t="shared" si="8"/>
        <v>922.5</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282">
        <v>83713</v>
      </c>
    </row>
    <row r="41" spans="2:20">
      <c r="B41" s="254"/>
      <c r="C41" s="255" t="s">
        <v>141</v>
      </c>
      <c r="D41" s="256">
        <v>0</v>
      </c>
      <c r="E41" s="256"/>
      <c r="F41" s="249">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282"/>
    </row>
    <row r="42" spans="2:20" ht="13.5" thickBot="1">
      <c r="B42" s="254"/>
      <c r="C42" s="255" t="s">
        <v>142</v>
      </c>
      <c r="D42" s="256">
        <v>0</v>
      </c>
      <c r="E42" s="256"/>
      <c r="F42" s="249">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282"/>
    </row>
    <row r="43" spans="2:20" ht="13.5" thickBot="1">
      <c r="B43" s="262">
        <v>0</v>
      </c>
      <c r="C43" s="236" t="s">
        <v>148</v>
      </c>
      <c r="D43" s="237">
        <f>SUM(D44:D47)</f>
        <v>0</v>
      </c>
      <c r="E43" s="4468">
        <f>SUM(E44:E47)</f>
        <v>250</v>
      </c>
      <c r="F43" s="238">
        <f>D43+E43</f>
        <v>250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282"/>
    </row>
    <row r="44" spans="2:20">
      <c r="B44" s="254"/>
      <c r="C44" s="255" t="s">
        <v>139</v>
      </c>
      <c r="D44" s="256">
        <v>0</v>
      </c>
      <c r="E44" s="4449">
        <v>250</v>
      </c>
      <c r="F44" s="249">
        <f t="shared" si="8"/>
        <v>250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282"/>
    </row>
    <row r="45" spans="2:20">
      <c r="B45" s="254"/>
      <c r="C45" s="255" t="s">
        <v>140</v>
      </c>
      <c r="D45" s="256">
        <v>0</v>
      </c>
      <c r="E45" s="256"/>
      <c r="F45" s="249">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282"/>
    </row>
    <row r="46" spans="2:20">
      <c r="B46" s="254"/>
      <c r="C46" s="255" t="s">
        <v>141</v>
      </c>
      <c r="D46" s="256">
        <v>0</v>
      </c>
      <c r="E46" s="256"/>
      <c r="F46" s="249">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282"/>
    </row>
    <row r="47" spans="2:20" ht="13.5" thickBot="1">
      <c r="B47" s="254"/>
      <c r="C47" s="255" t="s">
        <v>142</v>
      </c>
      <c r="D47" s="256">
        <v>0</v>
      </c>
      <c r="E47" s="256"/>
      <c r="F47" s="249">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282"/>
    </row>
    <row r="48" spans="2:20" ht="13.5" thickBot="1">
      <c r="B48" s="262">
        <v>1261</v>
      </c>
      <c r="C48" s="236" t="s">
        <v>149</v>
      </c>
      <c r="D48" s="237">
        <f>SUM(D49:D52)</f>
        <v>0</v>
      </c>
      <c r="E48" s="237">
        <f>SUM(E49:E52)</f>
        <v>2405</v>
      </c>
      <c r="F48" s="238">
        <f>D48+E48</f>
        <v>2405</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282"/>
    </row>
    <row r="49" spans="2:25">
      <c r="B49" s="254"/>
      <c r="C49" s="255" t="s">
        <v>483</v>
      </c>
      <c r="D49" s="256">
        <v>0</v>
      </c>
      <c r="E49" s="256">
        <v>120</v>
      </c>
      <c r="F49" s="249">
        <f t="shared" si="8"/>
        <v>120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282"/>
    </row>
    <row r="50" spans="2:25">
      <c r="B50" s="254"/>
      <c r="C50" s="255" t="s">
        <v>484</v>
      </c>
      <c r="D50" s="256">
        <v>0</v>
      </c>
      <c r="E50" s="256">
        <v>1285</v>
      </c>
      <c r="F50" s="249">
        <f t="shared" si="8"/>
        <v>1285</v>
      </c>
      <c r="I50" s="250" t="str">
        <f t="shared" si="1"/>
        <v>Measure 38</v>
      </c>
      <c r="J50" s="251"/>
      <c r="K50" s="252"/>
      <c r="L50" s="360">
        <f t="shared" si="2"/>
        <v>0</v>
      </c>
      <c r="M50" s="257">
        <v>0</v>
      </c>
      <c r="N50" s="257">
        <v>0</v>
      </c>
      <c r="O50" s="244">
        <f t="shared" si="4"/>
        <v>0</v>
      </c>
      <c r="P50" s="361">
        <f t="shared" si="9"/>
        <v>0</v>
      </c>
      <c r="Q50" s="361">
        <f t="shared" si="9"/>
        <v>0</v>
      </c>
      <c r="R50" s="362">
        <f t="shared" si="9"/>
        <v>0</v>
      </c>
      <c r="T50" s="282"/>
    </row>
    <row r="51" spans="2:25">
      <c r="B51" s="254"/>
      <c r="C51" s="255" t="s">
        <v>485</v>
      </c>
      <c r="D51" s="256">
        <v>0</v>
      </c>
      <c r="E51" s="256">
        <v>1000</v>
      </c>
      <c r="F51" s="249">
        <f t="shared" si="8"/>
        <v>1000</v>
      </c>
      <c r="I51" s="250" t="str">
        <f t="shared" si="1"/>
        <v>Measure 39</v>
      </c>
      <c r="J51" s="251"/>
      <c r="K51" s="252"/>
      <c r="L51" s="360">
        <f t="shared" si="2"/>
        <v>0</v>
      </c>
      <c r="M51" s="257">
        <v>0</v>
      </c>
      <c r="N51" s="257">
        <v>0</v>
      </c>
      <c r="O51" s="244">
        <f t="shared" si="4"/>
        <v>0</v>
      </c>
      <c r="P51" s="361">
        <f t="shared" si="9"/>
        <v>0</v>
      </c>
      <c r="Q51" s="361">
        <f t="shared" si="9"/>
        <v>0</v>
      </c>
      <c r="R51" s="362">
        <f t="shared" si="9"/>
        <v>0</v>
      </c>
      <c r="T51" s="282"/>
    </row>
    <row r="52" spans="2:25" ht="13.5" thickBot="1">
      <c r="B52" s="254"/>
      <c r="C52" s="255" t="s">
        <v>142</v>
      </c>
      <c r="D52" s="256">
        <v>0</v>
      </c>
      <c r="E52" s="256"/>
      <c r="F52" s="249">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282"/>
    </row>
    <row r="53" spans="2:25" ht="13.5" thickBot="1">
      <c r="B53" s="262">
        <v>474421</v>
      </c>
      <c r="C53" s="236" t="s">
        <v>150</v>
      </c>
      <c r="D53" s="237">
        <f>T105</f>
        <v>0</v>
      </c>
      <c r="E53" s="237">
        <f>U105</f>
        <v>48102.5</v>
      </c>
      <c r="F53" s="238">
        <f>V105</f>
        <v>48102.5</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282"/>
    </row>
    <row r="54" spans="2:25" ht="13.5" thickBot="1">
      <c r="B54" s="262">
        <v>0</v>
      </c>
      <c r="C54" s="236" t="s">
        <v>152</v>
      </c>
      <c r="D54" s="237">
        <v>0</v>
      </c>
      <c r="E54" s="237">
        <v>0</v>
      </c>
      <c r="F54" s="238">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282"/>
    </row>
    <row r="55" spans="2:25">
      <c r="B55" s="263">
        <f>B13+B18+B23+B28+B33+B38+B43+B48+B53+B54</f>
        <v>606775</v>
      </c>
      <c r="C55" s="264" t="s">
        <v>153</v>
      </c>
      <c r="D55" s="263">
        <f>D13+D18+D23+D28+D33+D38+D43+D48+D53+D54</f>
        <v>0</v>
      </c>
      <c r="E55" s="263">
        <f>E13+E18+E23+E28+E33+E38+E43+E48+E53+E54</f>
        <v>118082.98525</v>
      </c>
      <c r="F55" s="263">
        <f>F13+F18+F23+F28+F33+F38+F43+F48+F53+F54</f>
        <v>118082.98525</v>
      </c>
      <c r="P55" s="365">
        <f>SUM(P13:P54)</f>
        <v>0</v>
      </c>
      <c r="Q55" s="365">
        <f>SUM(Q13:Q54)</f>
        <v>17736</v>
      </c>
      <c r="R55" s="365">
        <f>SUM(R13:R54)</f>
        <v>17736</v>
      </c>
      <c r="T55" s="365">
        <f>SUM(T13:T54)</f>
        <v>83713</v>
      </c>
    </row>
    <row r="56" spans="2:25">
      <c r="C56" s="264"/>
      <c r="D56" s="263"/>
      <c r="E56" s="263"/>
      <c r="F56" s="263"/>
    </row>
    <row r="57" spans="2:25">
      <c r="C57" s="264" t="s">
        <v>154</v>
      </c>
      <c r="D57" s="263">
        <f>D55-D53</f>
        <v>0</v>
      </c>
      <c r="E57" s="263">
        <f>E55-E53</f>
        <v>69980.485249999998</v>
      </c>
      <c r="F57" s="263">
        <f>F55-F53</f>
        <v>69980.485249999998</v>
      </c>
    </row>
    <row r="58" spans="2:25">
      <c r="C58" s="264" t="s">
        <v>155</v>
      </c>
      <c r="D58" s="266">
        <f>D53</f>
        <v>0</v>
      </c>
      <c r="E58" s="266">
        <f>E53</f>
        <v>48102.5</v>
      </c>
      <c r="F58" s="266">
        <f>F53</f>
        <v>48102.5</v>
      </c>
      <c r="G58" s="319">
        <f>F58/(F57+F58)</f>
        <v>0.40736182184215231</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3574" t="s">
        <v>615</v>
      </c>
      <c r="D63" s="3574">
        <v>13</v>
      </c>
      <c r="E63" s="3574" t="s">
        <v>559</v>
      </c>
      <c r="F63" s="3574" t="s">
        <v>186</v>
      </c>
      <c r="G63" s="3594">
        <v>17.3</v>
      </c>
      <c r="H63" s="3594">
        <v>17.3</v>
      </c>
      <c r="I63" s="4141">
        <f>Q13/$Q$55</f>
        <v>0.54972936400541272</v>
      </c>
      <c r="J63" s="3574">
        <v>10</v>
      </c>
      <c r="K63" s="3574" t="s">
        <v>233</v>
      </c>
      <c r="L63" s="4537">
        <v>195.79496470379999</v>
      </c>
      <c r="M63" s="278">
        <f>Q63/O63</f>
        <v>0.70036796192786177</v>
      </c>
      <c r="N63" s="278">
        <f>((L63/S63)+R63)/P63</f>
        <v>0.70417384622582224</v>
      </c>
      <c r="O63" s="3548">
        <f t="shared" ref="O63:O104" si="10">(($I63*$F$57)+$V63)/$S63</f>
        <v>47722.938450160167</v>
      </c>
      <c r="P63" s="3548">
        <f t="shared" ref="P63:P104" si="11">(($I63*$F$57)+($G63*$O13))/$S63</f>
        <v>47722.938450160167</v>
      </c>
      <c r="Q63" s="3548">
        <f>IF(K63=0, 0, (HLOOKUP(K63,'[3]G-CESTD'!$A$5:$G$35,J63+1,FALSE)*R13))</f>
        <v>33423.617139547467</v>
      </c>
      <c r="R63" s="3548">
        <f>IF(K63=0, 0, (HLOOKUP(K63,'[3]G-CESTD'!$A$5:$G$35,J63+1,FALSE)*R13))</f>
        <v>33423.617139547467</v>
      </c>
      <c r="S63" s="3592">
        <v>1.0780000000000001</v>
      </c>
      <c r="T63" s="4150">
        <f t="shared" ref="T63:U104" si="12">M13*$H63</f>
        <v>0</v>
      </c>
      <c r="U63" s="4150">
        <f t="shared" si="12"/>
        <v>12975</v>
      </c>
      <c r="V63" s="3060">
        <f>T63+U63</f>
        <v>12975</v>
      </c>
      <c r="W63" s="322">
        <f t="shared" ref="W63:W81" si="13">V63/(V63+(I63*F$57))</f>
        <v>0.25220949292920752</v>
      </c>
      <c r="X63" s="322">
        <f t="shared" ref="X63:X81" si="14">(I63*((F$18*1.63)+F$28))/(V63+(I63*F$57))</f>
        <v>0.10434265979020442</v>
      </c>
      <c r="Y63" s="322">
        <f t="shared" ref="Y63:Y81" si="15">(I63*F$38)/(V63+(I63*F$57))</f>
        <v>7.3971761794800653E-2</v>
      </c>
    </row>
    <row r="64" spans="2:25">
      <c r="B64" s="282"/>
      <c r="C64" s="3593" t="s">
        <v>616</v>
      </c>
      <c r="D64" s="3593">
        <v>1100</v>
      </c>
      <c r="E64" s="3593" t="s">
        <v>559</v>
      </c>
      <c r="F64" s="3593" t="s">
        <v>303</v>
      </c>
      <c r="G64" s="3594">
        <v>11560</v>
      </c>
      <c r="H64" s="3594">
        <v>6150</v>
      </c>
      <c r="I64" s="4141">
        <f t="shared" ref="I64:I104" si="16">Q14/$Q$55</f>
        <v>0</v>
      </c>
      <c r="J64" s="3574">
        <v>15</v>
      </c>
      <c r="K64" s="3574" t="s">
        <v>233</v>
      </c>
      <c r="L64" s="3574"/>
      <c r="M64" s="278" t="e">
        <f t="shared" ref="M64:M104" si="17">Q64/O64</f>
        <v>#DIV/0!</v>
      </c>
      <c r="N64" s="278" t="e">
        <f t="shared" ref="N64:N104" si="18">((L64/S64)+R64)/P64</f>
        <v>#DIV/0!</v>
      </c>
      <c r="O64" s="3548">
        <f t="shared" si="10"/>
        <v>0</v>
      </c>
      <c r="P64" s="3548">
        <f t="shared" si="11"/>
        <v>0</v>
      </c>
      <c r="Q64" s="3548">
        <f>IF(K64=0, 0, (HLOOKUP(K64,'[3]G-CESTD'!$A$5:$G$35,J64+1,FALSE)*R14))</f>
        <v>0</v>
      </c>
      <c r="R64" s="3548">
        <f>IF(K64=0, 0, (HLOOKUP(K64,'[3]G-CESTD'!$A$5:$G$35,J64+1,FALSE)*R14))</f>
        <v>0</v>
      </c>
      <c r="S64" s="3592">
        <v>1.0780000000000001</v>
      </c>
      <c r="T64" s="4150">
        <f t="shared" si="12"/>
        <v>0</v>
      </c>
      <c r="U64" s="4150">
        <f t="shared" si="12"/>
        <v>0</v>
      </c>
      <c r="V64" s="4150">
        <f t="shared" ref="V64:V104" si="19">T64+U64</f>
        <v>0</v>
      </c>
      <c r="W64" s="322" t="e">
        <f t="shared" si="13"/>
        <v>#DIV/0!</v>
      </c>
      <c r="X64" s="322" t="e">
        <f t="shared" si="14"/>
        <v>#DIV/0!</v>
      </c>
      <c r="Y64" s="322" t="e">
        <f t="shared" si="15"/>
        <v>#DIV/0!</v>
      </c>
    </row>
    <row r="65" spans="2:25">
      <c r="B65" s="282"/>
      <c r="C65" s="3593" t="s">
        <v>617</v>
      </c>
      <c r="D65" s="3593">
        <v>1190</v>
      </c>
      <c r="E65" s="3593" t="s">
        <v>559</v>
      </c>
      <c r="F65" s="3593" t="s">
        <v>488</v>
      </c>
      <c r="G65" s="3594">
        <v>10948</v>
      </c>
      <c r="H65" s="3594">
        <v>2846</v>
      </c>
      <c r="I65" s="4141">
        <f t="shared" si="16"/>
        <v>0</v>
      </c>
      <c r="J65" s="3574">
        <v>15</v>
      </c>
      <c r="K65" s="3574" t="s">
        <v>233</v>
      </c>
      <c r="L65" s="3574"/>
      <c r="M65" s="278" t="e">
        <f t="shared" si="17"/>
        <v>#DIV/0!</v>
      </c>
      <c r="N65" s="278" t="e">
        <f t="shared" si="18"/>
        <v>#DIV/0!</v>
      </c>
      <c r="O65" s="3548">
        <f t="shared" si="10"/>
        <v>0</v>
      </c>
      <c r="P65" s="3548">
        <f t="shared" si="11"/>
        <v>0</v>
      </c>
      <c r="Q65" s="3548">
        <f>IF(K65=0, 0, (HLOOKUP(K65,'[3]G-CESTD'!$A$5:$G$35,J65+1,FALSE)*R15))</f>
        <v>0</v>
      </c>
      <c r="R65" s="3548">
        <f>IF(K65=0, 0, (HLOOKUP(K65,'[3]G-CESTD'!$A$5:$G$35,J65+1,FALSE)*R15))</f>
        <v>0</v>
      </c>
      <c r="S65" s="3592">
        <v>1.0780000000000001</v>
      </c>
      <c r="T65" s="4150">
        <f t="shared" si="12"/>
        <v>0</v>
      </c>
      <c r="U65" s="4150">
        <f t="shared" si="12"/>
        <v>0</v>
      </c>
      <c r="V65" s="4150">
        <f t="shared" si="19"/>
        <v>0</v>
      </c>
      <c r="W65" s="322" t="e">
        <f t="shared" si="13"/>
        <v>#DIV/0!</v>
      </c>
      <c r="X65" s="322" t="e">
        <f t="shared" si="14"/>
        <v>#DIV/0!</v>
      </c>
      <c r="Y65" s="322" t="e">
        <f t="shared" si="15"/>
        <v>#DIV/0!</v>
      </c>
    </row>
    <row r="66" spans="2:25">
      <c r="B66" s="282"/>
      <c r="C66" s="3593" t="s">
        <v>487</v>
      </c>
      <c r="D66" s="3593">
        <v>800</v>
      </c>
      <c r="E66" s="3593" t="s">
        <v>559</v>
      </c>
      <c r="F66" s="3593" t="s">
        <v>488</v>
      </c>
      <c r="G66" s="3594">
        <v>8000</v>
      </c>
      <c r="H66" s="3594">
        <v>4000</v>
      </c>
      <c r="I66" s="4141">
        <f t="shared" si="16"/>
        <v>0</v>
      </c>
      <c r="J66" s="3574">
        <v>12</v>
      </c>
      <c r="K66" s="3574" t="s">
        <v>233</v>
      </c>
      <c r="L66" s="3574"/>
      <c r="M66" s="278" t="e">
        <f t="shared" si="17"/>
        <v>#DIV/0!</v>
      </c>
      <c r="N66" s="278" t="e">
        <f t="shared" si="18"/>
        <v>#DIV/0!</v>
      </c>
      <c r="O66" s="3548">
        <f t="shared" si="10"/>
        <v>0</v>
      </c>
      <c r="P66" s="3548">
        <f t="shared" si="11"/>
        <v>0</v>
      </c>
      <c r="Q66" s="3548">
        <f>IF(K66=0, 0, (HLOOKUP(K66,'[3]G-CESTD'!$A$5:$G$35,J66+1,FALSE)*R16))</f>
        <v>0</v>
      </c>
      <c r="R66" s="3548">
        <f>IF(K66=0, 0, (HLOOKUP(K66,'[3]G-CESTD'!$A$5:$G$35,J66+1,FALSE)*R16))</f>
        <v>0</v>
      </c>
      <c r="S66" s="3592">
        <v>1.0780000000000001</v>
      </c>
      <c r="T66" s="4150">
        <f t="shared" si="12"/>
        <v>0</v>
      </c>
      <c r="U66" s="4150">
        <f t="shared" si="12"/>
        <v>0</v>
      </c>
      <c r="V66" s="4150">
        <f t="shared" si="19"/>
        <v>0</v>
      </c>
      <c r="W66" s="322" t="e">
        <f t="shared" si="13"/>
        <v>#DIV/0!</v>
      </c>
      <c r="X66" s="322" t="e">
        <f t="shared" si="14"/>
        <v>#DIV/0!</v>
      </c>
      <c r="Y66" s="322" t="e">
        <f t="shared" si="15"/>
        <v>#DIV/0!</v>
      </c>
    </row>
    <row r="67" spans="2:25">
      <c r="B67" s="282"/>
      <c r="C67" s="3593" t="s">
        <v>618</v>
      </c>
      <c r="D67" s="3593">
        <v>74</v>
      </c>
      <c r="E67" s="3593" t="s">
        <v>559</v>
      </c>
      <c r="F67" s="3593" t="s">
        <v>186</v>
      </c>
      <c r="G67" s="3594">
        <v>855</v>
      </c>
      <c r="H67" s="3594">
        <v>150</v>
      </c>
      <c r="I67" s="4141">
        <f t="shared" si="16"/>
        <v>0</v>
      </c>
      <c r="J67" s="3574">
        <v>20</v>
      </c>
      <c r="K67" s="3574" t="s">
        <v>233</v>
      </c>
      <c r="L67" s="3574"/>
      <c r="M67" s="278" t="e">
        <f t="shared" si="17"/>
        <v>#DIV/0!</v>
      </c>
      <c r="N67" s="278" t="e">
        <f t="shared" si="18"/>
        <v>#DIV/0!</v>
      </c>
      <c r="O67" s="3548">
        <f t="shared" si="10"/>
        <v>0</v>
      </c>
      <c r="P67" s="3548">
        <f t="shared" si="11"/>
        <v>0</v>
      </c>
      <c r="Q67" s="3548">
        <f>IF(K67=0, 0, (HLOOKUP(K67,'[3]G-CESTD'!$A$5:$G$35,J67+1,FALSE)*R17))</f>
        <v>0</v>
      </c>
      <c r="R67" s="3548">
        <f>IF(K67=0, 0, (HLOOKUP(K67,'[3]G-CESTD'!$A$5:$G$35,J67+1,FALSE)*R17))</f>
        <v>0</v>
      </c>
      <c r="S67" s="3592">
        <v>1.0780000000000001</v>
      </c>
      <c r="T67" s="4150">
        <f t="shared" si="12"/>
        <v>0</v>
      </c>
      <c r="U67" s="4150">
        <f t="shared" si="12"/>
        <v>0</v>
      </c>
      <c r="V67" s="4150">
        <f t="shared" si="19"/>
        <v>0</v>
      </c>
      <c r="W67" s="322" t="e">
        <f t="shared" si="13"/>
        <v>#DIV/0!</v>
      </c>
      <c r="X67" s="322" t="e">
        <f t="shared" si="14"/>
        <v>#DIV/0!</v>
      </c>
      <c r="Y67" s="322" t="e">
        <f t="shared" si="15"/>
        <v>#DIV/0!</v>
      </c>
    </row>
    <row r="68" spans="2:25">
      <c r="B68" s="282"/>
      <c r="C68" s="3593" t="s">
        <v>619</v>
      </c>
      <c r="D68" s="3593">
        <v>24</v>
      </c>
      <c r="E68" s="3593" t="s">
        <v>559</v>
      </c>
      <c r="F68" s="3593" t="s">
        <v>186</v>
      </c>
      <c r="G68" s="3594">
        <v>158</v>
      </c>
      <c r="H68" s="4516">
        <v>50</v>
      </c>
      <c r="I68" s="4141">
        <f t="shared" si="16"/>
        <v>0</v>
      </c>
      <c r="J68" s="3574">
        <v>13</v>
      </c>
      <c r="K68" s="3574" t="s">
        <v>233</v>
      </c>
      <c r="L68" s="3574"/>
      <c r="M68" s="278" t="e">
        <f t="shared" si="17"/>
        <v>#DIV/0!</v>
      </c>
      <c r="N68" s="278" t="e">
        <f t="shared" si="18"/>
        <v>#DIV/0!</v>
      </c>
      <c r="O68" s="3548">
        <f t="shared" si="10"/>
        <v>0</v>
      </c>
      <c r="P68" s="3548">
        <f t="shared" si="11"/>
        <v>0</v>
      </c>
      <c r="Q68" s="3548">
        <f>IF(K68=0, 0, (HLOOKUP(K68,'[3]G-CESTD'!$A$5:$G$35,J68+1,FALSE)*R18))</f>
        <v>0</v>
      </c>
      <c r="R68" s="3548">
        <f>IF(K68=0, 0, (HLOOKUP(K68,'[3]G-CESTD'!$A$5:$G$35,J68+1,FALSE)*R18))</f>
        <v>0</v>
      </c>
      <c r="S68" s="3592">
        <v>1.0780000000000001</v>
      </c>
      <c r="T68" s="4150">
        <f t="shared" si="12"/>
        <v>0</v>
      </c>
      <c r="U68" s="4150">
        <f t="shared" si="12"/>
        <v>0</v>
      </c>
      <c r="V68" s="4150">
        <f t="shared" si="19"/>
        <v>0</v>
      </c>
      <c r="W68" s="322" t="e">
        <f t="shared" si="13"/>
        <v>#DIV/0!</v>
      </c>
      <c r="X68" s="322" t="e">
        <f t="shared" si="14"/>
        <v>#DIV/0!</v>
      </c>
      <c r="Y68" s="322" t="e">
        <f t="shared" si="15"/>
        <v>#DIV/0!</v>
      </c>
    </row>
    <row r="69" spans="2:25">
      <c r="B69" s="282"/>
      <c r="C69" s="3593" t="s">
        <v>490</v>
      </c>
      <c r="D69" s="3593">
        <v>0.09</v>
      </c>
      <c r="E69" s="3593" t="s">
        <v>559</v>
      </c>
      <c r="F69" s="3593" t="s">
        <v>257</v>
      </c>
      <c r="G69" s="3594">
        <v>1.06</v>
      </c>
      <c r="H69" s="3594">
        <v>0.75</v>
      </c>
      <c r="I69" s="4141">
        <f t="shared" si="16"/>
        <v>0.10148849797023005</v>
      </c>
      <c r="J69" s="3574">
        <v>30</v>
      </c>
      <c r="K69" s="3574" t="s">
        <v>560</v>
      </c>
      <c r="L69" s="3574"/>
      <c r="M69" s="278">
        <f t="shared" si="17"/>
        <v>0.98699349078046494</v>
      </c>
      <c r="N69" s="278">
        <f t="shared" si="18"/>
        <v>0.77077861902687095</v>
      </c>
      <c r="O69" s="3548">
        <f t="shared" si="10"/>
        <v>20502.981758117196</v>
      </c>
      <c r="P69" s="3548">
        <f t="shared" si="11"/>
        <v>26254.373223794373</v>
      </c>
      <c r="Q69" s="3548">
        <f>IF(K69=0, 0, (HLOOKUP(K69,'[3]G-CESTD'!$A$5:$G$35,J69+1,FALSE)*R19))</f>
        <v>20236.309536852285</v>
      </c>
      <c r="R69" s="3548">
        <f>IF(K69=0, 0, (HLOOKUP(K69,'[3]G-CESTD'!$A$5:$G$35,J69+1,FALSE)*R19))</f>
        <v>20236.309536852285</v>
      </c>
      <c r="S69" s="3592">
        <v>1.0780000000000001</v>
      </c>
      <c r="T69" s="4150">
        <f t="shared" si="12"/>
        <v>0</v>
      </c>
      <c r="U69" s="4150">
        <f t="shared" si="12"/>
        <v>15000</v>
      </c>
      <c r="V69" s="4150">
        <f t="shared" si="19"/>
        <v>15000</v>
      </c>
      <c r="W69" s="322">
        <f t="shared" si="13"/>
        <v>0.67866503204056028</v>
      </c>
      <c r="X69" s="322">
        <f t="shared" si="14"/>
        <v>4.4837350733196613E-2</v>
      </c>
      <c r="Y69" s="322">
        <f t="shared" si="15"/>
        <v>3.1786594616378748E-2</v>
      </c>
    </row>
    <row r="70" spans="2:25">
      <c r="B70" s="282"/>
      <c r="C70" s="3593" t="s">
        <v>491</v>
      </c>
      <c r="D70" s="3593">
        <v>0.05</v>
      </c>
      <c r="E70" s="3593" t="s">
        <v>559</v>
      </c>
      <c r="F70" s="3593" t="s">
        <v>257</v>
      </c>
      <c r="G70" s="3594">
        <v>0.95</v>
      </c>
      <c r="H70" s="3594">
        <v>0.5</v>
      </c>
      <c r="I70" s="4141">
        <f t="shared" si="16"/>
        <v>0</v>
      </c>
      <c r="J70" s="3574">
        <v>30</v>
      </c>
      <c r="K70" s="3574" t="s">
        <v>560</v>
      </c>
      <c r="L70" s="3574"/>
      <c r="M70" s="278" t="e">
        <f t="shared" si="17"/>
        <v>#DIV/0!</v>
      </c>
      <c r="N70" s="278" t="e">
        <f t="shared" si="18"/>
        <v>#DIV/0!</v>
      </c>
      <c r="O70" s="3548">
        <f t="shared" si="10"/>
        <v>0</v>
      </c>
      <c r="P70" s="3548">
        <f t="shared" si="11"/>
        <v>0</v>
      </c>
      <c r="Q70" s="3548">
        <f>IF(K70=0, 0, (HLOOKUP(K70,'[3]G-CESTD'!$A$5:$G$35,J70+1,FALSE)*R20))</f>
        <v>0</v>
      </c>
      <c r="R70" s="3548">
        <f>IF(K70=0, 0, (HLOOKUP(K70,'[3]G-CESTD'!$A$5:$G$35,J70+1,FALSE)*R20))</f>
        <v>0</v>
      </c>
      <c r="S70" s="3592">
        <v>1.0780000000000001</v>
      </c>
      <c r="T70" s="4150">
        <f t="shared" si="12"/>
        <v>0</v>
      </c>
      <c r="U70" s="4150">
        <f t="shared" si="12"/>
        <v>0</v>
      </c>
      <c r="V70" s="4150">
        <f t="shared" si="19"/>
        <v>0</v>
      </c>
      <c r="W70" s="322" t="e">
        <f t="shared" si="13"/>
        <v>#DIV/0!</v>
      </c>
      <c r="X70" s="322" t="e">
        <f t="shared" si="14"/>
        <v>#DIV/0!</v>
      </c>
      <c r="Y70" s="322" t="e">
        <f t="shared" si="15"/>
        <v>#DIV/0!</v>
      </c>
    </row>
    <row r="71" spans="2:25">
      <c r="B71" s="282"/>
      <c r="C71" s="3593" t="s">
        <v>492</v>
      </c>
      <c r="D71" s="3593">
        <v>0.02</v>
      </c>
      <c r="E71" s="3593" t="s">
        <v>559</v>
      </c>
      <c r="F71" s="3593" t="s">
        <v>257</v>
      </c>
      <c r="G71" s="3594">
        <v>0.53</v>
      </c>
      <c r="H71" s="3594">
        <v>0.5</v>
      </c>
      <c r="I71" s="4141">
        <f t="shared" si="16"/>
        <v>0</v>
      </c>
      <c r="J71" s="3574">
        <v>30</v>
      </c>
      <c r="K71" s="3574" t="s">
        <v>560</v>
      </c>
      <c r="L71" s="3574"/>
      <c r="M71" s="278" t="e">
        <f t="shared" si="17"/>
        <v>#DIV/0!</v>
      </c>
      <c r="N71" s="278" t="e">
        <f t="shared" si="18"/>
        <v>#DIV/0!</v>
      </c>
      <c r="O71" s="3548">
        <f t="shared" si="10"/>
        <v>0</v>
      </c>
      <c r="P71" s="3548">
        <f t="shared" si="11"/>
        <v>0</v>
      </c>
      <c r="Q71" s="3548">
        <f>IF(K71=0, 0, (HLOOKUP(K71,'[3]G-CESTD'!$A$5:$G$35,J71+1,FALSE)*R21))</f>
        <v>0</v>
      </c>
      <c r="R71" s="3548">
        <f>IF(K71=0, 0, (HLOOKUP(K71,'[3]G-CESTD'!$A$5:$G$35,J71+1,FALSE)*R21))</f>
        <v>0</v>
      </c>
      <c r="S71" s="3592">
        <v>1.0780000000000001</v>
      </c>
      <c r="T71" s="4150">
        <f t="shared" si="12"/>
        <v>0</v>
      </c>
      <c r="U71" s="4150">
        <f t="shared" si="12"/>
        <v>0</v>
      </c>
      <c r="V71" s="4150">
        <f t="shared" si="19"/>
        <v>0</v>
      </c>
      <c r="W71" s="322" t="e">
        <f t="shared" si="13"/>
        <v>#DIV/0!</v>
      </c>
      <c r="X71" s="322" t="e">
        <f t="shared" si="14"/>
        <v>#DIV/0!</v>
      </c>
      <c r="Y71" s="322" t="e">
        <f t="shared" si="15"/>
        <v>#DIV/0!</v>
      </c>
    </row>
    <row r="72" spans="2:25">
      <c r="B72" s="282"/>
      <c r="C72" s="3593" t="s">
        <v>493</v>
      </c>
      <c r="D72" s="3593">
        <v>0.05</v>
      </c>
      <c r="E72" s="3593" t="s">
        <v>559</v>
      </c>
      <c r="F72" s="3593" t="s">
        <v>257</v>
      </c>
      <c r="G72" s="3594">
        <v>1.59</v>
      </c>
      <c r="H72" s="3594">
        <v>0.5</v>
      </c>
      <c r="I72" s="4141">
        <f t="shared" si="16"/>
        <v>0</v>
      </c>
      <c r="J72" s="3574">
        <v>30</v>
      </c>
      <c r="K72" s="3574" t="s">
        <v>560</v>
      </c>
      <c r="L72" s="3574"/>
      <c r="M72" s="278" t="e">
        <f t="shared" si="17"/>
        <v>#DIV/0!</v>
      </c>
      <c r="N72" s="278" t="e">
        <f t="shared" si="18"/>
        <v>#DIV/0!</v>
      </c>
      <c r="O72" s="3548">
        <f t="shared" si="10"/>
        <v>0</v>
      </c>
      <c r="P72" s="3548">
        <f t="shared" si="11"/>
        <v>0</v>
      </c>
      <c r="Q72" s="3548">
        <f>IF(K72=0, 0, (HLOOKUP(K72,'[3]G-CESTD'!$A$5:$G$35,J72+1,FALSE)*R22))</f>
        <v>0</v>
      </c>
      <c r="R72" s="3548">
        <f>IF(K72=0, 0, (HLOOKUP(K72,'[3]G-CESTD'!$A$5:$G$35,J72+1,FALSE)*R22))</f>
        <v>0</v>
      </c>
      <c r="S72" s="3592">
        <v>1.0780000000000001</v>
      </c>
      <c r="T72" s="4150">
        <f t="shared" si="12"/>
        <v>0</v>
      </c>
      <c r="U72" s="4150">
        <f t="shared" si="12"/>
        <v>0</v>
      </c>
      <c r="V72" s="4150">
        <f t="shared" si="19"/>
        <v>0</v>
      </c>
      <c r="W72" s="322" t="e">
        <f t="shared" si="13"/>
        <v>#DIV/0!</v>
      </c>
      <c r="X72" s="322" t="e">
        <f t="shared" si="14"/>
        <v>#DIV/0!</v>
      </c>
      <c r="Y72" s="322" t="e">
        <f t="shared" si="15"/>
        <v>#DIV/0!</v>
      </c>
    </row>
    <row r="73" spans="2:25" s="350" customFormat="1">
      <c r="B73" s="348"/>
      <c r="C73" s="348" t="s">
        <v>494</v>
      </c>
      <c r="D73" s="348">
        <v>0.04</v>
      </c>
      <c r="E73" s="348" t="s">
        <v>559</v>
      </c>
      <c r="F73" s="348" t="s">
        <v>257</v>
      </c>
      <c r="G73" s="4604">
        <v>1.01</v>
      </c>
      <c r="H73" s="4604">
        <v>0.5</v>
      </c>
      <c r="I73" s="4141">
        <f t="shared" si="16"/>
        <v>0</v>
      </c>
      <c r="J73" s="4550">
        <v>30</v>
      </c>
      <c r="K73" s="4550" t="s">
        <v>560</v>
      </c>
      <c r="L73" s="4550"/>
      <c r="M73" s="278" t="e">
        <f t="shared" si="17"/>
        <v>#DIV/0!</v>
      </c>
      <c r="N73" s="278" t="e">
        <f t="shared" si="18"/>
        <v>#DIV/0!</v>
      </c>
      <c r="O73" s="4549">
        <f t="shared" si="10"/>
        <v>0</v>
      </c>
      <c r="P73" s="4549">
        <f t="shared" si="11"/>
        <v>0</v>
      </c>
      <c r="Q73" s="3548">
        <f>IF(K73=0, 0, (HLOOKUP(K73,'[3]G-CESTD'!$A$5:$G$35,J73+1,FALSE)*R23))</f>
        <v>0</v>
      </c>
      <c r="R73" s="4549">
        <f>IF(K73=0, 0, (HLOOKUP(K73,'[3]G-CESTD'!$A$5:$G$35,J73+1,FALSE)*R23))</f>
        <v>0</v>
      </c>
      <c r="S73" s="4605">
        <v>1.0780000000000001</v>
      </c>
      <c r="T73" s="4150">
        <f t="shared" si="12"/>
        <v>0</v>
      </c>
      <c r="U73" s="4150">
        <f t="shared" si="12"/>
        <v>0</v>
      </c>
      <c r="V73" s="4150">
        <f t="shared" si="19"/>
        <v>0</v>
      </c>
      <c r="W73" s="322" t="e">
        <f t="shared" si="13"/>
        <v>#DIV/0!</v>
      </c>
      <c r="X73" s="322" t="e">
        <f t="shared" si="14"/>
        <v>#DIV/0!</v>
      </c>
      <c r="Y73" s="322" t="e">
        <f t="shared" si="15"/>
        <v>#DIV/0!</v>
      </c>
    </row>
    <row r="74" spans="2:25">
      <c r="B74" s="282"/>
      <c r="C74" s="3593" t="s">
        <v>495</v>
      </c>
      <c r="D74" s="3593">
        <v>0.03</v>
      </c>
      <c r="E74" s="3593" t="s">
        <v>559</v>
      </c>
      <c r="F74" s="3593" t="s">
        <v>257</v>
      </c>
      <c r="G74" s="3594">
        <v>1.27</v>
      </c>
      <c r="H74" s="3594">
        <v>0.5</v>
      </c>
      <c r="I74" s="4141">
        <f t="shared" si="16"/>
        <v>0</v>
      </c>
      <c r="J74" s="3574">
        <v>30</v>
      </c>
      <c r="K74" s="3574" t="s">
        <v>560</v>
      </c>
      <c r="L74" s="3574"/>
      <c r="M74" s="278" t="e">
        <f t="shared" si="17"/>
        <v>#DIV/0!</v>
      </c>
      <c r="N74" s="278" t="e">
        <f t="shared" si="18"/>
        <v>#DIV/0!</v>
      </c>
      <c r="O74" s="4549">
        <f t="shared" si="10"/>
        <v>0</v>
      </c>
      <c r="P74" s="4549">
        <f t="shared" si="11"/>
        <v>0</v>
      </c>
      <c r="Q74" s="3548">
        <f>IF(K74=0, 0, (HLOOKUP(K74,'[3]G-CESTD'!$A$5:$G$35,J74+1,FALSE)*R24))</f>
        <v>0</v>
      </c>
      <c r="R74" s="4549">
        <f>IF(K74=0, 0, (HLOOKUP(K74,'[3]G-CESTD'!$A$5:$G$35,J74+1,FALSE)*R24))</f>
        <v>0</v>
      </c>
      <c r="S74" s="4605">
        <v>1.0780000000000001</v>
      </c>
      <c r="T74" s="4150">
        <f t="shared" si="12"/>
        <v>0</v>
      </c>
      <c r="U74" s="4150">
        <f t="shared" si="12"/>
        <v>0</v>
      </c>
      <c r="V74" s="4150">
        <f t="shared" si="19"/>
        <v>0</v>
      </c>
      <c r="W74" s="322" t="e">
        <f t="shared" si="13"/>
        <v>#DIV/0!</v>
      </c>
      <c r="X74" s="322" t="e">
        <f t="shared" si="14"/>
        <v>#DIV/0!</v>
      </c>
      <c r="Y74" s="322" t="e">
        <f t="shared" si="15"/>
        <v>#DIV/0!</v>
      </c>
    </row>
    <row r="75" spans="2:25" s="350" customFormat="1">
      <c r="B75" s="348"/>
      <c r="C75" s="348" t="s">
        <v>496</v>
      </c>
      <c r="D75" s="348">
        <v>0.05</v>
      </c>
      <c r="E75" s="348" t="s">
        <v>559</v>
      </c>
      <c r="F75" s="348" t="s">
        <v>257</v>
      </c>
      <c r="G75" s="4604">
        <v>0.76</v>
      </c>
      <c r="H75" s="4604">
        <v>0.65</v>
      </c>
      <c r="I75" s="4141">
        <f t="shared" si="16"/>
        <v>0</v>
      </c>
      <c r="J75" s="4550">
        <v>30</v>
      </c>
      <c r="K75" s="4550" t="s">
        <v>560</v>
      </c>
      <c r="L75" s="4550"/>
      <c r="M75" s="278" t="e">
        <f t="shared" si="17"/>
        <v>#DIV/0!</v>
      </c>
      <c r="N75" s="278" t="e">
        <f t="shared" si="18"/>
        <v>#DIV/0!</v>
      </c>
      <c r="O75" s="4549">
        <f t="shared" si="10"/>
        <v>0</v>
      </c>
      <c r="P75" s="4549">
        <f t="shared" si="11"/>
        <v>0</v>
      </c>
      <c r="Q75" s="3548">
        <f>IF(K75=0, 0, (HLOOKUP(K75,'[3]G-CESTD'!$A$5:$G$35,J75+1,FALSE)*R25))</f>
        <v>0</v>
      </c>
      <c r="R75" s="4549">
        <f>IF(K75=0, 0, (HLOOKUP(K75,'[3]G-CESTD'!$A$5:$G$35,J75+1,FALSE)*R25))</f>
        <v>0</v>
      </c>
      <c r="S75" s="4605">
        <v>1.0780000000000001</v>
      </c>
      <c r="T75" s="4150">
        <f t="shared" si="12"/>
        <v>0</v>
      </c>
      <c r="U75" s="4150">
        <f t="shared" si="12"/>
        <v>0</v>
      </c>
      <c r="V75" s="4150">
        <f t="shared" si="19"/>
        <v>0</v>
      </c>
      <c r="W75" s="322" t="e">
        <f t="shared" si="13"/>
        <v>#DIV/0!</v>
      </c>
      <c r="X75" s="322" t="e">
        <f t="shared" si="14"/>
        <v>#DIV/0!</v>
      </c>
      <c r="Y75" s="322" t="e">
        <f t="shared" si="15"/>
        <v>#DIV/0!</v>
      </c>
    </row>
    <row r="76" spans="2:25">
      <c r="B76" s="282"/>
      <c r="C76" s="3593" t="s">
        <v>497</v>
      </c>
      <c r="D76" s="3593">
        <v>0.88</v>
      </c>
      <c r="E76" s="3593" t="s">
        <v>559</v>
      </c>
      <c r="F76" s="3593" t="s">
        <v>257</v>
      </c>
      <c r="G76" s="3594">
        <v>20.61</v>
      </c>
      <c r="H76" s="3594">
        <v>4</v>
      </c>
      <c r="I76" s="4141">
        <f t="shared" si="16"/>
        <v>0</v>
      </c>
      <c r="J76" s="3574">
        <v>30</v>
      </c>
      <c r="K76" s="3574" t="s">
        <v>560</v>
      </c>
      <c r="L76" s="3574"/>
      <c r="M76" s="278" t="e">
        <f t="shared" si="17"/>
        <v>#DIV/0!</v>
      </c>
      <c r="N76" s="278" t="e">
        <f t="shared" si="18"/>
        <v>#DIV/0!</v>
      </c>
      <c r="O76" s="3548">
        <f t="shared" si="10"/>
        <v>0</v>
      </c>
      <c r="P76" s="3548">
        <f t="shared" si="11"/>
        <v>0</v>
      </c>
      <c r="Q76" s="3548">
        <f>IF(K76=0, 0, (HLOOKUP(K76,'[3]G-CESTD'!$A$5:$G$35,J76+1,FALSE)*R26))</f>
        <v>0</v>
      </c>
      <c r="R76" s="3548">
        <f>IF(K76=0, 0, (HLOOKUP(K76,'[3]G-CESTD'!$A$5:$G$35,J76+1,FALSE)*R26))</f>
        <v>0</v>
      </c>
      <c r="S76" s="3592">
        <v>1.0780000000000001</v>
      </c>
      <c r="T76" s="4150">
        <f t="shared" si="12"/>
        <v>0</v>
      </c>
      <c r="U76" s="4150">
        <f t="shared" si="12"/>
        <v>0</v>
      </c>
      <c r="V76" s="4150">
        <f t="shared" si="19"/>
        <v>0</v>
      </c>
      <c r="W76" s="322" t="e">
        <f t="shared" si="13"/>
        <v>#DIV/0!</v>
      </c>
      <c r="X76" s="322" t="e">
        <f t="shared" si="14"/>
        <v>#DIV/0!</v>
      </c>
      <c r="Y76" s="322" t="e">
        <f t="shared" si="15"/>
        <v>#DIV/0!</v>
      </c>
    </row>
    <row r="77" spans="2:25">
      <c r="B77" s="282"/>
      <c r="C77" s="3593" t="s">
        <v>498</v>
      </c>
      <c r="D77" s="3593">
        <v>0.96</v>
      </c>
      <c r="E77" s="3593" t="s">
        <v>559</v>
      </c>
      <c r="F77" s="3593" t="s">
        <v>257</v>
      </c>
      <c r="G77" s="3594">
        <v>21.97</v>
      </c>
      <c r="H77" s="3594">
        <v>4</v>
      </c>
      <c r="I77" s="4141">
        <f t="shared" si="16"/>
        <v>0</v>
      </c>
      <c r="J77" s="3574">
        <v>30</v>
      </c>
      <c r="K77" s="3574" t="s">
        <v>560</v>
      </c>
      <c r="L77" s="3574"/>
      <c r="M77" s="278" t="e">
        <f t="shared" si="17"/>
        <v>#DIV/0!</v>
      </c>
      <c r="N77" s="278" t="e">
        <f t="shared" si="18"/>
        <v>#DIV/0!</v>
      </c>
      <c r="O77" s="3548">
        <f t="shared" si="10"/>
        <v>0</v>
      </c>
      <c r="P77" s="3548">
        <f t="shared" si="11"/>
        <v>0</v>
      </c>
      <c r="Q77" s="3548">
        <f>IF(K77=0, 0, (HLOOKUP(K77,'[3]G-CESTD'!$A$5:$G$35,J77+1,FALSE)*R27))</f>
        <v>0</v>
      </c>
      <c r="R77" s="3548">
        <f>IF(K77=0, 0, (HLOOKUP(K77,'[3]G-CESTD'!$A$5:$G$35,J77+1,FALSE)*R27))</f>
        <v>0</v>
      </c>
      <c r="S77" s="3592">
        <v>1.0780000000000001</v>
      </c>
      <c r="T77" s="4150">
        <f t="shared" si="12"/>
        <v>0</v>
      </c>
      <c r="U77" s="4150">
        <f t="shared" si="12"/>
        <v>0</v>
      </c>
      <c r="V77" s="4150">
        <f t="shared" si="19"/>
        <v>0</v>
      </c>
      <c r="W77" s="322" t="e">
        <f t="shared" si="13"/>
        <v>#DIV/0!</v>
      </c>
      <c r="X77" s="322" t="e">
        <f t="shared" si="14"/>
        <v>#DIV/0!</v>
      </c>
      <c r="Y77" s="322" t="e">
        <f t="shared" si="15"/>
        <v>#DIV/0!</v>
      </c>
    </row>
    <row r="78" spans="2:25">
      <c r="B78" s="282"/>
      <c r="C78" s="4538" t="s">
        <v>620</v>
      </c>
      <c r="D78" s="312">
        <v>66</v>
      </c>
      <c r="E78" s="312" t="s">
        <v>559</v>
      </c>
      <c r="F78" s="312" t="s">
        <v>186</v>
      </c>
      <c r="G78" s="4516">
        <v>692</v>
      </c>
      <c r="H78" s="4516">
        <v>250</v>
      </c>
      <c r="I78" s="4141">
        <f t="shared" si="16"/>
        <v>0</v>
      </c>
      <c r="J78" s="4539">
        <v>18</v>
      </c>
      <c r="K78" s="4539" t="s">
        <v>560</v>
      </c>
      <c r="L78" s="3574"/>
      <c r="M78" s="278" t="e">
        <f t="shared" si="17"/>
        <v>#DIV/0!</v>
      </c>
      <c r="N78" s="278" t="e">
        <f t="shared" si="18"/>
        <v>#DIV/0!</v>
      </c>
      <c r="O78" s="3548">
        <f t="shared" si="10"/>
        <v>0</v>
      </c>
      <c r="P78" s="3548">
        <f t="shared" si="11"/>
        <v>0</v>
      </c>
      <c r="Q78" s="3548">
        <f>IF(K78=0, 0, (HLOOKUP(K78,'[3]G-CESTD'!$A$5:$G$35,J78+1,FALSE)*R28))</f>
        <v>0</v>
      </c>
      <c r="R78" s="3548">
        <f>IF(K78=0, 0, (HLOOKUP(K78,'[3]G-CESTD'!$A$5:$G$35,J78+1,FALSE)*R28))</f>
        <v>0</v>
      </c>
      <c r="S78" s="3592">
        <v>1.0780000000000001</v>
      </c>
      <c r="T78" s="4150">
        <f t="shared" si="12"/>
        <v>0</v>
      </c>
      <c r="U78" s="4150">
        <f t="shared" si="12"/>
        <v>0</v>
      </c>
      <c r="V78" s="4150">
        <f t="shared" si="19"/>
        <v>0</v>
      </c>
      <c r="W78" s="322" t="e">
        <f t="shared" si="13"/>
        <v>#DIV/0!</v>
      </c>
      <c r="X78" s="322" t="e">
        <f t="shared" si="14"/>
        <v>#DIV/0!</v>
      </c>
      <c r="Y78" s="322" t="e">
        <f t="shared" si="15"/>
        <v>#DIV/0!</v>
      </c>
    </row>
    <row r="79" spans="2:25">
      <c r="B79" s="282"/>
      <c r="C79" s="3593" t="s">
        <v>621</v>
      </c>
      <c r="D79" s="3593">
        <v>734</v>
      </c>
      <c r="E79" s="3593" t="s">
        <v>559</v>
      </c>
      <c r="F79" s="3593" t="s">
        <v>303</v>
      </c>
      <c r="G79" s="4467">
        <v>6000</v>
      </c>
      <c r="H79" s="4467">
        <v>4000</v>
      </c>
      <c r="I79" s="4141">
        <f t="shared" si="16"/>
        <v>0.16553901668921966</v>
      </c>
      <c r="J79" s="3574">
        <v>24</v>
      </c>
      <c r="K79" s="3574" t="s">
        <v>560</v>
      </c>
      <c r="L79" s="3574"/>
      <c r="M79" s="278">
        <f t="shared" si="17"/>
        <v>1.1462790598081884</v>
      </c>
      <c r="N79" s="278">
        <f t="shared" si="18"/>
        <v>0.88857606288473967</v>
      </c>
      <c r="O79" s="3548">
        <f t="shared" si="10"/>
        <v>25588.590645379812</v>
      </c>
      <c r="P79" s="3548">
        <f t="shared" si="11"/>
        <v>33009.740923672951</v>
      </c>
      <c r="Q79" s="3548">
        <f>IF(K79=0, 0, (HLOOKUP(K79,'[3]G-CESTD'!$A$5:$G$35,J79+1,FALSE)*R29))</f>
        <v>29331.66562680258</v>
      </c>
      <c r="R79" s="3548">
        <f>IF(K79=0, 0, (HLOOKUP(K79,'[3]G-CESTD'!$A$5:$G$35,J79+1,FALSE)*R29))</f>
        <v>29331.66562680258</v>
      </c>
      <c r="S79" s="3592">
        <v>1.0780000000000001</v>
      </c>
      <c r="T79" s="4150">
        <f t="shared" si="12"/>
        <v>0</v>
      </c>
      <c r="U79" s="4150">
        <f t="shared" si="12"/>
        <v>16000</v>
      </c>
      <c r="V79" s="4150">
        <f t="shared" si="19"/>
        <v>16000</v>
      </c>
      <c r="W79" s="322">
        <f t="shared" si="13"/>
        <v>0.58003587467081319</v>
      </c>
      <c r="X79" s="322">
        <f t="shared" si="14"/>
        <v>5.8599532140310648E-2</v>
      </c>
      <c r="Y79" s="322">
        <f t="shared" si="15"/>
        <v>4.1543033707261916E-2</v>
      </c>
    </row>
    <row r="80" spans="2:25">
      <c r="B80" s="282"/>
      <c r="C80" s="3593" t="s">
        <v>622</v>
      </c>
      <c r="D80" s="3593">
        <v>845</v>
      </c>
      <c r="E80" s="3593" t="s">
        <v>559</v>
      </c>
      <c r="F80" s="3593" t="s">
        <v>303</v>
      </c>
      <c r="G80" s="4516">
        <v>11280</v>
      </c>
      <c r="H80" s="4516">
        <v>6387</v>
      </c>
      <c r="I80" s="4141">
        <f t="shared" si="16"/>
        <v>0</v>
      </c>
      <c r="J80" s="3574">
        <v>24</v>
      </c>
      <c r="K80" s="3574" t="s">
        <v>560</v>
      </c>
      <c r="L80" s="3574"/>
      <c r="M80" s="278" t="e">
        <f t="shared" si="17"/>
        <v>#DIV/0!</v>
      </c>
      <c r="N80" s="278" t="e">
        <f t="shared" si="18"/>
        <v>#DIV/0!</v>
      </c>
      <c r="O80" s="3548">
        <f t="shared" si="10"/>
        <v>0</v>
      </c>
      <c r="P80" s="3548">
        <f t="shared" si="11"/>
        <v>0</v>
      </c>
      <c r="Q80" s="3548">
        <f>IF(K80=0, 0, (HLOOKUP(K80,'[3]G-CESTD'!$A$5:$G$35,J80+1,FALSE)*R30))</f>
        <v>0</v>
      </c>
      <c r="R80" s="3548">
        <f>IF(K80=0, 0, (HLOOKUP(K80,'[3]G-CESTD'!$A$5:$G$35,J80+1,FALSE)*R30))</f>
        <v>0</v>
      </c>
      <c r="S80" s="3592">
        <v>1.0780000000000001</v>
      </c>
      <c r="T80" s="4150">
        <f t="shared" si="12"/>
        <v>0</v>
      </c>
      <c r="U80" s="4150">
        <f t="shared" si="12"/>
        <v>0</v>
      </c>
      <c r="V80" s="4150">
        <f t="shared" si="19"/>
        <v>0</v>
      </c>
      <c r="W80" s="322" t="e">
        <f t="shared" si="13"/>
        <v>#DIV/0!</v>
      </c>
      <c r="X80" s="322" t="e">
        <f t="shared" si="14"/>
        <v>#DIV/0!</v>
      </c>
      <c r="Y80" s="322" t="e">
        <f t="shared" si="15"/>
        <v>#DIV/0!</v>
      </c>
    </row>
    <row r="81" spans="2:25">
      <c r="B81" s="282"/>
      <c r="C81" s="3593" t="s">
        <v>623</v>
      </c>
      <c r="D81" s="3593">
        <v>1559</v>
      </c>
      <c r="E81" s="3593" t="s">
        <v>559</v>
      </c>
      <c r="F81" s="3593" t="s">
        <v>303</v>
      </c>
      <c r="G81" s="3594">
        <v>36251</v>
      </c>
      <c r="H81" s="3594">
        <v>11660</v>
      </c>
      <c r="I81" s="4141">
        <f t="shared" si="16"/>
        <v>0</v>
      </c>
      <c r="J81" s="3574">
        <v>24</v>
      </c>
      <c r="K81" s="3574" t="s">
        <v>560</v>
      </c>
      <c r="L81" s="3574"/>
      <c r="M81" s="278" t="e">
        <f t="shared" si="17"/>
        <v>#DIV/0!</v>
      </c>
      <c r="N81" s="278" t="e">
        <f t="shared" si="18"/>
        <v>#DIV/0!</v>
      </c>
      <c r="O81" s="3548">
        <f t="shared" si="10"/>
        <v>0</v>
      </c>
      <c r="P81" s="3548">
        <f t="shared" si="11"/>
        <v>0</v>
      </c>
      <c r="Q81" s="3548">
        <f>IF(K81=0, 0, (HLOOKUP(K81,'[3]G-CESTD'!$A$5:$G$35,J81+1,FALSE)*R31))</f>
        <v>0</v>
      </c>
      <c r="R81" s="3548">
        <f>IF(K81=0, 0, (HLOOKUP(K81,'[3]G-CESTD'!$A$5:$G$35,J81+1,FALSE)*R31))</f>
        <v>0</v>
      </c>
      <c r="S81" s="3592">
        <v>1.0780000000000001</v>
      </c>
      <c r="T81" s="4150">
        <f t="shared" si="12"/>
        <v>0</v>
      </c>
      <c r="U81" s="4150">
        <f t="shared" si="12"/>
        <v>0</v>
      </c>
      <c r="V81" s="4150">
        <f t="shared" si="19"/>
        <v>0</v>
      </c>
      <c r="W81" s="322" t="e">
        <f t="shared" si="13"/>
        <v>#DIV/0!</v>
      </c>
      <c r="X81" s="322" t="e">
        <f t="shared" si="14"/>
        <v>#DIV/0!</v>
      </c>
      <c r="Y81" s="322" t="e">
        <f t="shared" si="15"/>
        <v>#DIV/0!</v>
      </c>
    </row>
    <row r="82" spans="2:25">
      <c r="B82" s="282"/>
      <c r="C82" s="4541" t="s">
        <v>1310</v>
      </c>
      <c r="D82" s="3595">
        <v>13</v>
      </c>
      <c r="E82" s="3593" t="s">
        <v>559</v>
      </c>
      <c r="F82" s="3593" t="s">
        <v>186</v>
      </c>
      <c r="G82" s="4606">
        <v>16.510000000000002</v>
      </c>
      <c r="H82" s="4606">
        <v>16.510000000000002</v>
      </c>
      <c r="I82" s="4141">
        <f t="shared" si="16"/>
        <v>0.18324312133513757</v>
      </c>
      <c r="J82" s="4607">
        <v>10</v>
      </c>
      <c r="K82" s="3574" t="s">
        <v>233</v>
      </c>
      <c r="L82" s="4537">
        <v>195.79496470379999</v>
      </c>
      <c r="M82" s="278">
        <f t="shared" si="17"/>
        <v>0.70852813780449653</v>
      </c>
      <c r="N82" s="278">
        <f t="shared" si="18"/>
        <v>0.72007882084935182</v>
      </c>
      <c r="O82" s="3548">
        <f t="shared" si="10"/>
        <v>15724.436502558026</v>
      </c>
      <c r="P82" s="3548">
        <f t="shared" si="11"/>
        <v>15724.436502558026</v>
      </c>
      <c r="Q82" s="3548">
        <f>IF(K82=0, 0, (HLOOKUP(K82,'[3]G-CESTD'!$A$5:$G$35,J82+1,FALSE)*R32))</f>
        <v>11141.205713182489</v>
      </c>
      <c r="R82" s="3548">
        <f>IF(K82=0, 0, (HLOOKUP(K82,'[3]G-CESTD'!$A$5:$G$35,J82+1,FALSE)*R32))</f>
        <v>11141.205713182489</v>
      </c>
      <c r="S82" s="3592">
        <v>1.0780000000000001</v>
      </c>
      <c r="T82" s="4150">
        <f t="shared" si="12"/>
        <v>0</v>
      </c>
      <c r="U82" s="4150">
        <f t="shared" si="12"/>
        <v>4127.5</v>
      </c>
      <c r="V82" s="4150">
        <f t="shared" si="19"/>
        <v>4127.5</v>
      </c>
    </row>
    <row r="83" spans="2:25">
      <c r="B83" s="282"/>
      <c r="C83" s="3593" t="s">
        <v>205</v>
      </c>
      <c r="D83" s="3595">
        <v>0</v>
      </c>
      <c r="E83" s="3593" t="s">
        <v>559</v>
      </c>
      <c r="F83" s="3593" t="s">
        <v>186</v>
      </c>
      <c r="G83" s="4540"/>
      <c r="H83" s="4540"/>
      <c r="I83" s="4141">
        <f t="shared" si="16"/>
        <v>0</v>
      </c>
      <c r="J83" s="4541"/>
      <c r="K83" s="4541"/>
      <c r="L83" s="4541"/>
      <c r="M83" s="278" t="e">
        <f t="shared" si="17"/>
        <v>#DIV/0!</v>
      </c>
      <c r="N83" s="278" t="e">
        <f t="shared" si="18"/>
        <v>#DIV/0!</v>
      </c>
      <c r="O83" s="3548">
        <f t="shared" si="10"/>
        <v>0</v>
      </c>
      <c r="P83" s="3548">
        <f t="shared" si="11"/>
        <v>0</v>
      </c>
      <c r="Q83" s="3548">
        <f>IF(K83=0, 0, (HLOOKUP(K83,'[3]G-CESTD'!$A$5:$G$35,J83+1,FALSE)*R33))</f>
        <v>0</v>
      </c>
      <c r="R83" s="3548">
        <f>IF(K83=0, 0, (HLOOKUP(K83,'[3]G-CESTD'!$A$5:$G$35,J83+1,FALSE)*R33))</f>
        <v>0</v>
      </c>
      <c r="S83" s="3592">
        <v>1.0780000000000001</v>
      </c>
      <c r="T83" s="4150">
        <f t="shared" si="12"/>
        <v>0</v>
      </c>
      <c r="U83" s="4150">
        <f t="shared" si="12"/>
        <v>0</v>
      </c>
      <c r="V83" s="4150">
        <f t="shared" si="19"/>
        <v>0</v>
      </c>
    </row>
    <row r="84" spans="2:25">
      <c r="B84" s="282"/>
      <c r="C84" s="3593" t="s">
        <v>206</v>
      </c>
      <c r="D84" s="3595">
        <v>0</v>
      </c>
      <c r="E84" s="3593" t="s">
        <v>559</v>
      </c>
      <c r="F84" s="3593" t="s">
        <v>186</v>
      </c>
      <c r="G84" s="4540"/>
      <c r="H84" s="4540"/>
      <c r="I84" s="4141">
        <f t="shared" si="16"/>
        <v>0</v>
      </c>
      <c r="J84" s="4541"/>
      <c r="K84" s="4541"/>
      <c r="L84" s="4541"/>
      <c r="M84" s="278" t="e">
        <f t="shared" si="17"/>
        <v>#DIV/0!</v>
      </c>
      <c r="N84" s="278" t="e">
        <f t="shared" si="18"/>
        <v>#DIV/0!</v>
      </c>
      <c r="O84" s="3548">
        <f t="shared" si="10"/>
        <v>0</v>
      </c>
      <c r="P84" s="3548">
        <f t="shared" si="11"/>
        <v>0</v>
      </c>
      <c r="Q84" s="3548">
        <f>IF(K84=0, 0, (HLOOKUP(K84,'[3]G-CESTD'!$A$5:$G$35,J84+1,FALSE)*R34))</f>
        <v>0</v>
      </c>
      <c r="R84" s="3548">
        <f>IF(K84=0, 0, (HLOOKUP(K84,'[3]G-CESTD'!$A$5:$G$35,J84+1,FALSE)*R34))</f>
        <v>0</v>
      </c>
      <c r="S84" s="3592">
        <v>1.0780000000000001</v>
      </c>
      <c r="T84" s="4150">
        <f t="shared" si="12"/>
        <v>0</v>
      </c>
      <c r="U84" s="4150">
        <f t="shared" si="12"/>
        <v>0</v>
      </c>
      <c r="V84" s="4150">
        <f t="shared" si="19"/>
        <v>0</v>
      </c>
    </row>
    <row r="85" spans="2:25">
      <c r="B85" s="282"/>
      <c r="C85" s="3593" t="s">
        <v>207</v>
      </c>
      <c r="D85" s="3595">
        <v>0</v>
      </c>
      <c r="E85" s="3593" t="s">
        <v>559</v>
      </c>
      <c r="F85" s="3593" t="s">
        <v>186</v>
      </c>
      <c r="G85" s="4540"/>
      <c r="H85" s="4540"/>
      <c r="I85" s="4141">
        <f t="shared" si="16"/>
        <v>0</v>
      </c>
      <c r="J85" s="4541"/>
      <c r="K85" s="4541"/>
      <c r="L85" s="4541"/>
      <c r="M85" s="278" t="e">
        <f t="shared" si="17"/>
        <v>#DIV/0!</v>
      </c>
      <c r="N85" s="278" t="e">
        <f t="shared" si="18"/>
        <v>#DIV/0!</v>
      </c>
      <c r="O85" s="3548">
        <f t="shared" si="10"/>
        <v>0</v>
      </c>
      <c r="P85" s="3548">
        <f t="shared" si="11"/>
        <v>0</v>
      </c>
      <c r="Q85" s="3548">
        <f>IF(K85=0, 0, (HLOOKUP(K85,'[3]G-CESTD'!$A$5:$G$35,J85+1,FALSE)*R35))</f>
        <v>0</v>
      </c>
      <c r="R85" s="3548">
        <f>IF(K85=0, 0, (HLOOKUP(K85,'[3]G-CESTD'!$A$5:$G$35,J85+1,FALSE)*R35))</f>
        <v>0</v>
      </c>
      <c r="S85" s="3592">
        <v>1.0780000000000001</v>
      </c>
      <c r="T85" s="4150">
        <f t="shared" si="12"/>
        <v>0</v>
      </c>
      <c r="U85" s="4150">
        <f t="shared" si="12"/>
        <v>0</v>
      </c>
      <c r="V85" s="4150">
        <f t="shared" si="19"/>
        <v>0</v>
      </c>
    </row>
    <row r="86" spans="2:25">
      <c r="B86" s="282"/>
      <c r="C86" s="3593" t="s">
        <v>208</v>
      </c>
      <c r="D86" s="3595">
        <v>0</v>
      </c>
      <c r="E86" s="3593" t="s">
        <v>559</v>
      </c>
      <c r="F86" s="3593" t="s">
        <v>186</v>
      </c>
      <c r="G86" s="4531"/>
      <c r="H86" s="4531"/>
      <c r="I86" s="4141">
        <f t="shared" si="16"/>
        <v>0</v>
      </c>
      <c r="J86" s="4537"/>
      <c r="K86" s="4537"/>
      <c r="L86" s="4537"/>
      <c r="M86" s="278" t="e">
        <f t="shared" si="17"/>
        <v>#DIV/0!</v>
      </c>
      <c r="N86" s="278" t="e">
        <f t="shared" si="18"/>
        <v>#DIV/0!</v>
      </c>
      <c r="O86" s="3548">
        <f t="shared" si="10"/>
        <v>0</v>
      </c>
      <c r="P86" s="3548">
        <f t="shared" si="11"/>
        <v>0</v>
      </c>
      <c r="Q86" s="3548">
        <f>IF(K86=0, 0, (HLOOKUP(K86,'[3]G-CESTD'!$A$5:$G$35,J86+1,FALSE)*R36))</f>
        <v>0</v>
      </c>
      <c r="R86" s="3548">
        <f>IF(K86=0, 0, (HLOOKUP(K86,'[3]G-CESTD'!$A$5:$G$35,J86+1,FALSE)*R36))</f>
        <v>0</v>
      </c>
      <c r="S86" s="3592">
        <v>1.0780000000000001</v>
      </c>
      <c r="T86" s="4150">
        <f t="shared" si="12"/>
        <v>0</v>
      </c>
      <c r="U86" s="4150">
        <f t="shared" si="12"/>
        <v>0</v>
      </c>
      <c r="V86" s="4150">
        <f t="shared" si="19"/>
        <v>0</v>
      </c>
    </row>
    <row r="87" spans="2:25">
      <c r="B87" s="282"/>
      <c r="C87" s="3593" t="s">
        <v>209</v>
      </c>
      <c r="D87" s="3595">
        <v>0</v>
      </c>
      <c r="E87" s="3593" t="s">
        <v>559</v>
      </c>
      <c r="F87" s="3593" t="s">
        <v>186</v>
      </c>
      <c r="G87" s="4540"/>
      <c r="H87" s="4540"/>
      <c r="I87" s="4141">
        <f t="shared" si="16"/>
        <v>0</v>
      </c>
      <c r="J87" s="4541"/>
      <c r="K87" s="4541"/>
      <c r="L87" s="4541"/>
      <c r="M87" s="278" t="e">
        <f t="shared" si="17"/>
        <v>#DIV/0!</v>
      </c>
      <c r="N87" s="278" t="e">
        <f t="shared" si="18"/>
        <v>#DIV/0!</v>
      </c>
      <c r="O87" s="3548">
        <f t="shared" si="10"/>
        <v>0</v>
      </c>
      <c r="P87" s="3548">
        <f t="shared" si="11"/>
        <v>0</v>
      </c>
      <c r="Q87" s="3548">
        <f>IF(K87=0, 0, (HLOOKUP(K87,'[3]G-CESTD'!$A$5:$G$35,J87+1,FALSE)*R37))</f>
        <v>0</v>
      </c>
      <c r="R87" s="3548">
        <f>IF(K87=0, 0, (HLOOKUP(K87,'[3]G-CESTD'!$A$5:$G$35,J87+1,FALSE)*R37))</f>
        <v>0</v>
      </c>
      <c r="S87" s="3592">
        <v>1.0780000000000001</v>
      </c>
      <c r="T87" s="4150">
        <f t="shared" si="12"/>
        <v>0</v>
      </c>
      <c r="U87" s="4150">
        <f t="shared" si="12"/>
        <v>0</v>
      </c>
      <c r="V87" s="4150">
        <f t="shared" si="19"/>
        <v>0</v>
      </c>
    </row>
    <row r="88" spans="2:25">
      <c r="B88" s="282"/>
      <c r="C88" s="3593" t="s">
        <v>210</v>
      </c>
      <c r="D88" s="3595">
        <v>0</v>
      </c>
      <c r="E88" s="3593" t="s">
        <v>559</v>
      </c>
      <c r="F88" s="3593" t="s">
        <v>186</v>
      </c>
      <c r="G88" s="4467"/>
      <c r="H88" s="4467"/>
      <c r="I88" s="4141">
        <f t="shared" si="16"/>
        <v>0</v>
      </c>
      <c r="J88" s="4537"/>
      <c r="K88" s="4541"/>
      <c r="L88" s="4541"/>
      <c r="M88" s="278" t="e">
        <f t="shared" si="17"/>
        <v>#DIV/0!</v>
      </c>
      <c r="N88" s="278" t="e">
        <f t="shared" si="18"/>
        <v>#DIV/0!</v>
      </c>
      <c r="O88" s="3548">
        <f t="shared" si="10"/>
        <v>0</v>
      </c>
      <c r="P88" s="3548">
        <f t="shared" si="11"/>
        <v>0</v>
      </c>
      <c r="Q88" s="3548">
        <f>IF(K88=0, 0, (HLOOKUP(K88,'[3]G-CESTD'!$A$5:$G$35,J88+1,FALSE)*R38))</f>
        <v>0</v>
      </c>
      <c r="R88" s="3548">
        <f>IF(K88=0, 0, (HLOOKUP(K88,'[3]G-CESTD'!$A$5:$G$35,J88+1,FALSE)*R38))</f>
        <v>0</v>
      </c>
      <c r="S88" s="3592">
        <v>1.0780000000000001</v>
      </c>
      <c r="T88" s="4150">
        <f t="shared" si="12"/>
        <v>0</v>
      </c>
      <c r="U88" s="4150">
        <f t="shared" si="12"/>
        <v>0</v>
      </c>
      <c r="V88" s="4150">
        <f t="shared" si="19"/>
        <v>0</v>
      </c>
    </row>
    <row r="89" spans="2:25">
      <c r="B89" s="282"/>
      <c r="C89" s="3593" t="s">
        <v>211</v>
      </c>
      <c r="D89" s="3595">
        <v>0</v>
      </c>
      <c r="E89" s="3593" t="s">
        <v>559</v>
      </c>
      <c r="F89" s="3593" t="s">
        <v>186</v>
      </c>
      <c r="G89" s="4467"/>
      <c r="H89" s="4467"/>
      <c r="I89" s="4141">
        <f t="shared" si="16"/>
        <v>0</v>
      </c>
      <c r="J89" s="4537"/>
      <c r="K89" s="4541"/>
      <c r="L89" s="4541"/>
      <c r="M89" s="278" t="e">
        <f t="shared" si="17"/>
        <v>#DIV/0!</v>
      </c>
      <c r="N89" s="278" t="e">
        <f t="shared" si="18"/>
        <v>#DIV/0!</v>
      </c>
      <c r="O89" s="3548">
        <f t="shared" si="10"/>
        <v>0</v>
      </c>
      <c r="P89" s="3548">
        <f t="shared" si="11"/>
        <v>0</v>
      </c>
      <c r="Q89" s="3548">
        <f>IF(K89=0, 0, (HLOOKUP(K89,'[3]G-CESTD'!$A$5:$G$35,J89+1,FALSE)*R39))</f>
        <v>0</v>
      </c>
      <c r="R89" s="3548">
        <f>IF(K89=0, 0, (HLOOKUP(K89,'[3]G-CESTD'!$A$5:$G$35,J89+1,FALSE)*R39))</f>
        <v>0</v>
      </c>
      <c r="S89" s="3592">
        <v>1.0780000000000001</v>
      </c>
      <c r="T89" s="4150">
        <f t="shared" si="12"/>
        <v>0</v>
      </c>
      <c r="U89" s="4150">
        <f t="shared" si="12"/>
        <v>0</v>
      </c>
      <c r="V89" s="4150">
        <f t="shared" si="19"/>
        <v>0</v>
      </c>
    </row>
    <row r="90" spans="2:25">
      <c r="B90" s="282"/>
      <c r="C90" s="3593" t="s">
        <v>212</v>
      </c>
      <c r="D90" s="3595">
        <v>0</v>
      </c>
      <c r="E90" s="3593" t="s">
        <v>559</v>
      </c>
      <c r="F90" s="3593" t="s">
        <v>186</v>
      </c>
      <c r="G90" s="3594"/>
      <c r="H90" s="3594"/>
      <c r="I90" s="4141">
        <f t="shared" si="16"/>
        <v>0</v>
      </c>
      <c r="J90" s="3574"/>
      <c r="K90" s="3574"/>
      <c r="L90" s="3574"/>
      <c r="M90" s="278" t="e">
        <f t="shared" si="17"/>
        <v>#DIV/0!</v>
      </c>
      <c r="N90" s="278" t="e">
        <f t="shared" si="18"/>
        <v>#DIV/0!</v>
      </c>
      <c r="O90" s="3548">
        <f t="shared" si="10"/>
        <v>0</v>
      </c>
      <c r="P90" s="3548">
        <f t="shared" si="11"/>
        <v>0</v>
      </c>
      <c r="Q90" s="3548">
        <f>IF(K90=0, 0, (HLOOKUP(K90,'[3]G-CESTD'!$A$5:$G$35,J90+1,FALSE)*R40))</f>
        <v>0</v>
      </c>
      <c r="R90" s="3548">
        <f>IF(K90=0, 0, (HLOOKUP(K90,'[3]G-CESTD'!$A$5:$G$35,J90+1,FALSE)*R40))</f>
        <v>0</v>
      </c>
      <c r="S90" s="3592">
        <v>1.0780000000000001</v>
      </c>
      <c r="T90" s="4150">
        <f t="shared" si="12"/>
        <v>0</v>
      </c>
      <c r="U90" s="4150">
        <f t="shared" si="12"/>
        <v>0</v>
      </c>
      <c r="V90" s="4150">
        <f t="shared" si="19"/>
        <v>0</v>
      </c>
    </row>
    <row r="91" spans="2:25">
      <c r="B91" s="282"/>
      <c r="C91" s="3593" t="s">
        <v>213</v>
      </c>
      <c r="D91" s="3595">
        <v>0</v>
      </c>
      <c r="E91" s="3593" t="s">
        <v>559</v>
      </c>
      <c r="F91" s="3593" t="s">
        <v>186</v>
      </c>
      <c r="G91" s="3594"/>
      <c r="H91" s="3594"/>
      <c r="I91" s="4141">
        <f t="shared" si="16"/>
        <v>0</v>
      </c>
      <c r="J91" s="3574"/>
      <c r="K91" s="3574"/>
      <c r="L91" s="3574"/>
      <c r="M91" s="278" t="e">
        <f t="shared" si="17"/>
        <v>#DIV/0!</v>
      </c>
      <c r="N91" s="278" t="e">
        <f t="shared" si="18"/>
        <v>#DIV/0!</v>
      </c>
      <c r="O91" s="3548">
        <f t="shared" si="10"/>
        <v>0</v>
      </c>
      <c r="P91" s="3548">
        <f t="shared" si="11"/>
        <v>0</v>
      </c>
      <c r="Q91" s="3548">
        <f>IF(K91=0, 0, (HLOOKUP(K91,'[3]G-CESTD'!$A$5:$G$35,J91+1,FALSE)*R41))</f>
        <v>0</v>
      </c>
      <c r="R91" s="3548">
        <f>IF(K91=0, 0, (HLOOKUP(K91,'[3]G-CESTD'!$A$5:$G$35,J91+1,FALSE)*R41))</f>
        <v>0</v>
      </c>
      <c r="S91" s="3592">
        <v>1.0780000000000001</v>
      </c>
      <c r="T91" s="4150">
        <f t="shared" si="12"/>
        <v>0</v>
      </c>
      <c r="U91" s="4150">
        <f t="shared" si="12"/>
        <v>0</v>
      </c>
      <c r="V91" s="4150">
        <f t="shared" si="19"/>
        <v>0</v>
      </c>
    </row>
    <row r="92" spans="2:25">
      <c r="B92" s="282"/>
      <c r="C92" s="3593" t="s">
        <v>214</v>
      </c>
      <c r="D92" s="3595">
        <v>0</v>
      </c>
      <c r="E92" s="3593" t="s">
        <v>559</v>
      </c>
      <c r="F92" s="3593" t="s">
        <v>186</v>
      </c>
      <c r="G92" s="3594"/>
      <c r="H92" s="3594"/>
      <c r="I92" s="4141">
        <f t="shared" si="16"/>
        <v>0</v>
      </c>
      <c r="J92" s="3574"/>
      <c r="K92" s="3574"/>
      <c r="L92" s="3574"/>
      <c r="M92" s="278" t="e">
        <f t="shared" si="17"/>
        <v>#DIV/0!</v>
      </c>
      <c r="N92" s="278" t="e">
        <f t="shared" si="18"/>
        <v>#DIV/0!</v>
      </c>
      <c r="O92" s="3548">
        <f t="shared" si="10"/>
        <v>0</v>
      </c>
      <c r="P92" s="3548">
        <f t="shared" si="11"/>
        <v>0</v>
      </c>
      <c r="Q92" s="3548">
        <f>IF(K92=0, 0, (HLOOKUP(K92,'[3]G-CESTD'!$A$5:$G$35,J92+1,FALSE)*R42))</f>
        <v>0</v>
      </c>
      <c r="R92" s="3548">
        <f>IF(K92=0, 0, (HLOOKUP(K92,'[3]G-CESTD'!$A$5:$G$35,J92+1,FALSE)*R42))</f>
        <v>0</v>
      </c>
      <c r="S92" s="3592">
        <v>1.0780000000000001</v>
      </c>
      <c r="T92" s="4150">
        <f t="shared" si="12"/>
        <v>0</v>
      </c>
      <c r="U92" s="4150">
        <f t="shared" si="12"/>
        <v>0</v>
      </c>
      <c r="V92" s="4150">
        <f t="shared" si="19"/>
        <v>0</v>
      </c>
    </row>
    <row r="93" spans="2:25">
      <c r="B93" s="282"/>
      <c r="C93" s="3593" t="s">
        <v>215</v>
      </c>
      <c r="D93" s="3595">
        <v>0</v>
      </c>
      <c r="E93" s="3593" t="s">
        <v>559</v>
      </c>
      <c r="F93" s="3593" t="s">
        <v>186</v>
      </c>
      <c r="G93" s="3594"/>
      <c r="H93" s="3594"/>
      <c r="I93" s="4141">
        <f t="shared" si="16"/>
        <v>0</v>
      </c>
      <c r="J93" s="3574"/>
      <c r="K93" s="3574"/>
      <c r="L93" s="3574"/>
      <c r="M93" s="278" t="e">
        <f t="shared" si="17"/>
        <v>#DIV/0!</v>
      </c>
      <c r="N93" s="278" t="e">
        <f t="shared" si="18"/>
        <v>#DIV/0!</v>
      </c>
      <c r="O93" s="3548">
        <f t="shared" si="10"/>
        <v>0</v>
      </c>
      <c r="P93" s="3548">
        <f t="shared" si="11"/>
        <v>0</v>
      </c>
      <c r="Q93" s="3548">
        <f>IF(K93=0, 0, (HLOOKUP(K93,'[3]G-CESTD'!$A$5:$G$35,J93+1,FALSE)*R43))</f>
        <v>0</v>
      </c>
      <c r="R93" s="3548">
        <f>IF(K93=0, 0, (HLOOKUP(K93,'[3]G-CESTD'!$A$5:$G$35,J93+1,FALSE)*R43))</f>
        <v>0</v>
      </c>
      <c r="S93" s="3592">
        <v>1.0780000000000001</v>
      </c>
      <c r="T93" s="4150">
        <f t="shared" si="12"/>
        <v>0</v>
      </c>
      <c r="U93" s="4150">
        <f t="shared" si="12"/>
        <v>0</v>
      </c>
      <c r="V93" s="4150">
        <f t="shared" si="19"/>
        <v>0</v>
      </c>
    </row>
    <row r="94" spans="2:25">
      <c r="B94" s="282"/>
      <c r="C94" s="3593" t="s">
        <v>216</v>
      </c>
      <c r="D94" s="3595">
        <v>0</v>
      </c>
      <c r="E94" s="3593" t="s">
        <v>559</v>
      </c>
      <c r="F94" s="3593" t="s">
        <v>186</v>
      </c>
      <c r="G94" s="3594"/>
      <c r="H94" s="3594"/>
      <c r="I94" s="4141">
        <f t="shared" si="16"/>
        <v>0</v>
      </c>
      <c r="J94" s="3574"/>
      <c r="K94" s="3574"/>
      <c r="L94" s="3574"/>
      <c r="M94" s="278" t="e">
        <f t="shared" si="17"/>
        <v>#DIV/0!</v>
      </c>
      <c r="N94" s="278" t="e">
        <f t="shared" si="18"/>
        <v>#DIV/0!</v>
      </c>
      <c r="O94" s="3548">
        <f t="shared" si="10"/>
        <v>0</v>
      </c>
      <c r="P94" s="3548">
        <f t="shared" si="11"/>
        <v>0</v>
      </c>
      <c r="Q94" s="3548">
        <f>IF(K94=0, 0, (HLOOKUP(K94,'[3]G-CESTD'!$A$5:$G$35,J94+1,FALSE)*R44))</f>
        <v>0</v>
      </c>
      <c r="R94" s="3548">
        <f>IF(K94=0, 0, (HLOOKUP(K94,'[3]G-CESTD'!$A$5:$G$35,J94+1,FALSE)*R44))</f>
        <v>0</v>
      </c>
      <c r="S94" s="3592">
        <v>1.0780000000000001</v>
      </c>
      <c r="T94" s="4150">
        <f t="shared" si="12"/>
        <v>0</v>
      </c>
      <c r="U94" s="4150">
        <f t="shared" si="12"/>
        <v>0</v>
      </c>
      <c r="V94" s="4150">
        <f t="shared" si="19"/>
        <v>0</v>
      </c>
    </row>
    <row r="95" spans="2:25">
      <c r="B95" s="282"/>
      <c r="C95" s="3593" t="s">
        <v>217</v>
      </c>
      <c r="D95" s="3595">
        <v>0</v>
      </c>
      <c r="E95" s="3593" t="s">
        <v>559</v>
      </c>
      <c r="F95" s="3593" t="s">
        <v>186</v>
      </c>
      <c r="G95" s="3594"/>
      <c r="H95" s="3594"/>
      <c r="I95" s="4141">
        <f t="shared" si="16"/>
        <v>0</v>
      </c>
      <c r="J95" s="3574"/>
      <c r="K95" s="3574"/>
      <c r="L95" s="3574"/>
      <c r="M95" s="278" t="e">
        <f t="shared" si="17"/>
        <v>#DIV/0!</v>
      </c>
      <c r="N95" s="278" t="e">
        <f t="shared" si="18"/>
        <v>#DIV/0!</v>
      </c>
      <c r="O95" s="3548">
        <f t="shared" si="10"/>
        <v>0</v>
      </c>
      <c r="P95" s="3548">
        <f t="shared" si="11"/>
        <v>0</v>
      </c>
      <c r="Q95" s="3548">
        <f>IF(K95=0, 0, (HLOOKUP(K95,'[3]G-CESTD'!$A$5:$G$35,J95+1,FALSE)*R45))</f>
        <v>0</v>
      </c>
      <c r="R95" s="3548">
        <f>IF(K95=0, 0, (HLOOKUP(K95,'[3]G-CESTD'!$A$5:$G$35,J95+1,FALSE)*R45))</f>
        <v>0</v>
      </c>
      <c r="S95" s="3592">
        <v>1.0780000000000001</v>
      </c>
      <c r="T95" s="4150">
        <f t="shared" si="12"/>
        <v>0</v>
      </c>
      <c r="U95" s="4150">
        <f t="shared" si="12"/>
        <v>0</v>
      </c>
      <c r="V95" s="4150">
        <f t="shared" si="19"/>
        <v>0</v>
      </c>
    </row>
    <row r="96" spans="2:25">
      <c r="B96" s="282"/>
      <c r="C96" s="3593" t="s">
        <v>218</v>
      </c>
      <c r="D96" s="3595">
        <v>0</v>
      </c>
      <c r="E96" s="3593" t="s">
        <v>559</v>
      </c>
      <c r="F96" s="3593" t="s">
        <v>186</v>
      </c>
      <c r="G96" s="3594"/>
      <c r="H96" s="3594"/>
      <c r="I96" s="4141">
        <f t="shared" si="16"/>
        <v>0</v>
      </c>
      <c r="J96" s="3574"/>
      <c r="K96" s="3574"/>
      <c r="L96" s="3574"/>
      <c r="M96" s="278" t="e">
        <f t="shared" si="17"/>
        <v>#DIV/0!</v>
      </c>
      <c r="N96" s="278" t="e">
        <f t="shared" si="18"/>
        <v>#DIV/0!</v>
      </c>
      <c r="O96" s="3548">
        <f t="shared" si="10"/>
        <v>0</v>
      </c>
      <c r="P96" s="3548">
        <f t="shared" si="11"/>
        <v>0</v>
      </c>
      <c r="Q96" s="3548">
        <f>IF(K96=0, 0, (HLOOKUP(K96,'[3]G-CESTD'!$A$5:$G$35,J96+1,FALSE)*R46))</f>
        <v>0</v>
      </c>
      <c r="R96" s="3548">
        <f>IF(K96=0, 0, (HLOOKUP(K96,'[3]G-CESTD'!$A$5:$G$35,J96+1,FALSE)*R46))</f>
        <v>0</v>
      </c>
      <c r="S96" s="3592">
        <v>1.0780000000000001</v>
      </c>
      <c r="T96" s="4150">
        <f t="shared" si="12"/>
        <v>0</v>
      </c>
      <c r="U96" s="4150">
        <f t="shared" si="12"/>
        <v>0</v>
      </c>
      <c r="V96" s="4150">
        <f t="shared" si="19"/>
        <v>0</v>
      </c>
    </row>
    <row r="97" spans="2:22">
      <c r="B97" s="282"/>
      <c r="C97" s="3593" t="s">
        <v>219</v>
      </c>
      <c r="D97" s="3595">
        <v>0</v>
      </c>
      <c r="E97" s="3593" t="s">
        <v>559</v>
      </c>
      <c r="F97" s="3593" t="s">
        <v>186</v>
      </c>
      <c r="G97" s="3594"/>
      <c r="H97" s="3594"/>
      <c r="I97" s="4141">
        <f t="shared" si="16"/>
        <v>0</v>
      </c>
      <c r="J97" s="3574"/>
      <c r="K97" s="3574"/>
      <c r="L97" s="3574"/>
      <c r="M97" s="278" t="e">
        <f t="shared" si="17"/>
        <v>#DIV/0!</v>
      </c>
      <c r="N97" s="278" t="e">
        <f t="shared" si="18"/>
        <v>#DIV/0!</v>
      </c>
      <c r="O97" s="3548">
        <f t="shared" si="10"/>
        <v>0</v>
      </c>
      <c r="P97" s="3548">
        <f t="shared" si="11"/>
        <v>0</v>
      </c>
      <c r="Q97" s="3548">
        <f>IF(K97=0, 0, (HLOOKUP(K97,'[3]G-CESTD'!$A$5:$G$35,J97+1,FALSE)*R47))</f>
        <v>0</v>
      </c>
      <c r="R97" s="3548">
        <f>IF(K97=0, 0, (HLOOKUP(K97,'[3]G-CESTD'!$A$5:$G$35,J97+1,FALSE)*R47))</f>
        <v>0</v>
      </c>
      <c r="S97" s="3592">
        <v>1.0780000000000001</v>
      </c>
      <c r="T97" s="4150">
        <f t="shared" si="12"/>
        <v>0</v>
      </c>
      <c r="U97" s="4150">
        <f t="shared" si="12"/>
        <v>0</v>
      </c>
      <c r="V97" s="4150">
        <f t="shared" si="19"/>
        <v>0</v>
      </c>
    </row>
    <row r="98" spans="2:22">
      <c r="B98" s="282"/>
      <c r="C98" s="3593" t="s">
        <v>220</v>
      </c>
      <c r="D98" s="3595">
        <v>0</v>
      </c>
      <c r="E98" s="3593" t="s">
        <v>559</v>
      </c>
      <c r="F98" s="3593" t="s">
        <v>186</v>
      </c>
      <c r="G98" s="3594"/>
      <c r="H98" s="3594"/>
      <c r="I98" s="4141">
        <f t="shared" si="16"/>
        <v>0</v>
      </c>
      <c r="J98" s="3574"/>
      <c r="K98" s="3574"/>
      <c r="L98" s="3574"/>
      <c r="M98" s="278" t="e">
        <f t="shared" si="17"/>
        <v>#DIV/0!</v>
      </c>
      <c r="N98" s="278" t="e">
        <f t="shared" si="18"/>
        <v>#DIV/0!</v>
      </c>
      <c r="O98" s="3548">
        <f t="shared" si="10"/>
        <v>0</v>
      </c>
      <c r="P98" s="3548">
        <f t="shared" si="11"/>
        <v>0</v>
      </c>
      <c r="Q98" s="3548">
        <f>IF(K98=0, 0, (HLOOKUP(K98,'[3]G-CESTD'!$A$5:$G$35,J98+1,FALSE)*R48))</f>
        <v>0</v>
      </c>
      <c r="R98" s="3548">
        <f>IF(K98=0, 0, (HLOOKUP(K98,'[3]G-CESTD'!$A$5:$G$35,J98+1,FALSE)*R48))</f>
        <v>0</v>
      </c>
      <c r="S98" s="3592">
        <v>1.0780000000000001</v>
      </c>
      <c r="T98" s="4150">
        <f t="shared" si="12"/>
        <v>0</v>
      </c>
      <c r="U98" s="4150">
        <f t="shared" si="12"/>
        <v>0</v>
      </c>
      <c r="V98" s="4150">
        <f t="shared" si="19"/>
        <v>0</v>
      </c>
    </row>
    <row r="99" spans="2:22">
      <c r="B99" s="282"/>
      <c r="C99" s="3593" t="s">
        <v>221</v>
      </c>
      <c r="D99" s="3595">
        <v>0</v>
      </c>
      <c r="E99" s="3593" t="s">
        <v>559</v>
      </c>
      <c r="F99" s="3593" t="s">
        <v>186</v>
      </c>
      <c r="G99" s="3594"/>
      <c r="H99" s="3594"/>
      <c r="I99" s="4141">
        <f t="shared" si="16"/>
        <v>0</v>
      </c>
      <c r="J99" s="3574"/>
      <c r="K99" s="3574"/>
      <c r="L99" s="3574"/>
      <c r="M99" s="278" t="e">
        <f t="shared" si="17"/>
        <v>#DIV/0!</v>
      </c>
      <c r="N99" s="278" t="e">
        <f t="shared" si="18"/>
        <v>#DIV/0!</v>
      </c>
      <c r="O99" s="3548">
        <f t="shared" si="10"/>
        <v>0</v>
      </c>
      <c r="P99" s="3548">
        <f t="shared" si="11"/>
        <v>0</v>
      </c>
      <c r="Q99" s="3548">
        <f>IF(K99=0, 0, (HLOOKUP(K99,'[3]G-CESTD'!$A$5:$G$35,J99+1,FALSE)*R49))</f>
        <v>0</v>
      </c>
      <c r="R99" s="3548">
        <f>IF(K99=0, 0, (HLOOKUP(K99,'[3]G-CESTD'!$A$5:$G$35,J99+1,FALSE)*R49))</f>
        <v>0</v>
      </c>
      <c r="S99" s="3592">
        <v>1.0780000000000001</v>
      </c>
      <c r="T99" s="4150">
        <f t="shared" si="12"/>
        <v>0</v>
      </c>
      <c r="U99" s="4150">
        <f t="shared" si="12"/>
        <v>0</v>
      </c>
      <c r="V99" s="4150">
        <f t="shared" si="19"/>
        <v>0</v>
      </c>
    </row>
    <row r="100" spans="2:22">
      <c r="B100" s="282"/>
      <c r="C100" s="3593" t="s">
        <v>222</v>
      </c>
      <c r="D100" s="3595">
        <v>0</v>
      </c>
      <c r="E100" s="3593" t="s">
        <v>559</v>
      </c>
      <c r="F100" s="3593" t="s">
        <v>186</v>
      </c>
      <c r="G100" s="3594"/>
      <c r="H100" s="3594"/>
      <c r="I100" s="4141">
        <f t="shared" si="16"/>
        <v>0</v>
      </c>
      <c r="J100" s="3574"/>
      <c r="K100" s="3574"/>
      <c r="L100" s="3574"/>
      <c r="M100" s="278" t="e">
        <f t="shared" si="17"/>
        <v>#DIV/0!</v>
      </c>
      <c r="N100" s="278" t="e">
        <f t="shared" si="18"/>
        <v>#DIV/0!</v>
      </c>
      <c r="O100" s="3548">
        <f t="shared" si="10"/>
        <v>0</v>
      </c>
      <c r="P100" s="3548">
        <f t="shared" si="11"/>
        <v>0</v>
      </c>
      <c r="Q100" s="3548">
        <f>IF(K100=0, 0, (HLOOKUP(K100,'[3]G-CESTD'!$A$5:$G$35,J100+1,FALSE)*R50))</f>
        <v>0</v>
      </c>
      <c r="R100" s="3548">
        <f>IF(K100=0, 0, (HLOOKUP(K100,'[3]G-CESTD'!$A$5:$G$35,J100+1,FALSE)*R50))</f>
        <v>0</v>
      </c>
      <c r="S100" s="3592">
        <v>1.0780000000000001</v>
      </c>
      <c r="T100" s="4150">
        <f t="shared" si="12"/>
        <v>0</v>
      </c>
      <c r="U100" s="4150">
        <f t="shared" si="12"/>
        <v>0</v>
      </c>
      <c r="V100" s="4150">
        <f t="shared" si="19"/>
        <v>0</v>
      </c>
    </row>
    <row r="101" spans="2:22">
      <c r="B101" s="282"/>
      <c r="C101" s="3593" t="s">
        <v>223</v>
      </c>
      <c r="D101" s="3595">
        <v>0</v>
      </c>
      <c r="E101" s="3593" t="s">
        <v>559</v>
      </c>
      <c r="F101" s="3593" t="s">
        <v>186</v>
      </c>
      <c r="G101" s="3594"/>
      <c r="H101" s="3594"/>
      <c r="I101" s="4141">
        <f t="shared" si="16"/>
        <v>0</v>
      </c>
      <c r="J101" s="3574"/>
      <c r="K101" s="3574"/>
      <c r="L101" s="3574"/>
      <c r="M101" s="278" t="e">
        <f t="shared" si="17"/>
        <v>#DIV/0!</v>
      </c>
      <c r="N101" s="278" t="e">
        <f t="shared" si="18"/>
        <v>#DIV/0!</v>
      </c>
      <c r="O101" s="3548">
        <f t="shared" si="10"/>
        <v>0</v>
      </c>
      <c r="P101" s="3548">
        <f t="shared" si="11"/>
        <v>0</v>
      </c>
      <c r="Q101" s="3548">
        <f>IF(K101=0, 0, (HLOOKUP(K101,'[3]G-CESTD'!$A$5:$G$35,J101+1,FALSE)*R51))</f>
        <v>0</v>
      </c>
      <c r="R101" s="3548">
        <f>IF(K101=0, 0, (HLOOKUP(K101,'[3]G-CESTD'!$A$5:$G$35,J101+1,FALSE)*R51))</f>
        <v>0</v>
      </c>
      <c r="S101" s="3592">
        <v>1.0780000000000001</v>
      </c>
      <c r="T101" s="4150">
        <f t="shared" si="12"/>
        <v>0</v>
      </c>
      <c r="U101" s="4150">
        <f t="shared" si="12"/>
        <v>0</v>
      </c>
      <c r="V101" s="4150">
        <f t="shared" si="19"/>
        <v>0</v>
      </c>
    </row>
    <row r="102" spans="2:22">
      <c r="B102" s="282"/>
      <c r="C102" s="3593" t="s">
        <v>224</v>
      </c>
      <c r="D102" s="3595">
        <v>0</v>
      </c>
      <c r="E102" s="3593" t="s">
        <v>559</v>
      </c>
      <c r="F102" s="3593" t="s">
        <v>186</v>
      </c>
      <c r="G102" s="3594"/>
      <c r="H102" s="3594"/>
      <c r="I102" s="4141">
        <f t="shared" si="16"/>
        <v>0</v>
      </c>
      <c r="J102" s="3574"/>
      <c r="K102" s="3574"/>
      <c r="L102" s="3574"/>
      <c r="M102" s="278" t="e">
        <f t="shared" si="17"/>
        <v>#DIV/0!</v>
      </c>
      <c r="N102" s="278" t="e">
        <f t="shared" si="18"/>
        <v>#DIV/0!</v>
      </c>
      <c r="O102" s="3548">
        <f t="shared" si="10"/>
        <v>0</v>
      </c>
      <c r="P102" s="3548">
        <f t="shared" si="11"/>
        <v>0</v>
      </c>
      <c r="Q102" s="3548">
        <f>IF(K102=0, 0, (HLOOKUP(K102,'[3]G-CESTD'!$A$5:$G$35,J102+1,FALSE)*R52))</f>
        <v>0</v>
      </c>
      <c r="R102" s="3548">
        <f>IF(K102=0, 0, (HLOOKUP(K102,'[3]G-CESTD'!$A$5:$G$35,J102+1,FALSE)*R52))</f>
        <v>0</v>
      </c>
      <c r="S102" s="3592">
        <v>1.0780000000000001</v>
      </c>
      <c r="T102" s="4150">
        <f t="shared" si="12"/>
        <v>0</v>
      </c>
      <c r="U102" s="4150">
        <f t="shared" si="12"/>
        <v>0</v>
      </c>
      <c r="V102" s="4150">
        <f t="shared" si="19"/>
        <v>0</v>
      </c>
    </row>
    <row r="103" spans="2:22">
      <c r="B103" s="282"/>
      <c r="C103" s="3593" t="s">
        <v>225</v>
      </c>
      <c r="D103" s="3595">
        <v>0</v>
      </c>
      <c r="E103" s="3593" t="s">
        <v>559</v>
      </c>
      <c r="F103" s="3593" t="s">
        <v>186</v>
      </c>
      <c r="G103" s="3594"/>
      <c r="H103" s="3594"/>
      <c r="I103" s="4141">
        <f t="shared" si="16"/>
        <v>0</v>
      </c>
      <c r="J103" s="3574"/>
      <c r="K103" s="3574"/>
      <c r="L103" s="3574"/>
      <c r="M103" s="278" t="e">
        <f t="shared" si="17"/>
        <v>#DIV/0!</v>
      </c>
      <c r="N103" s="278" t="e">
        <f t="shared" si="18"/>
        <v>#DIV/0!</v>
      </c>
      <c r="O103" s="3548">
        <f t="shared" si="10"/>
        <v>0</v>
      </c>
      <c r="P103" s="3548">
        <f t="shared" si="11"/>
        <v>0</v>
      </c>
      <c r="Q103" s="3548">
        <f>IF(K103=0, 0, (HLOOKUP(K103,'[3]G-CESTD'!$A$5:$G$35,J103+1,FALSE)*R53))</f>
        <v>0</v>
      </c>
      <c r="R103" s="3548">
        <f>IF(K103=0, 0, (HLOOKUP(K103,'[3]G-CESTD'!$A$5:$G$35,J103+1,FALSE)*R53))</f>
        <v>0</v>
      </c>
      <c r="S103" s="3592">
        <v>1.0780000000000001</v>
      </c>
      <c r="T103" s="4150">
        <f t="shared" si="12"/>
        <v>0</v>
      </c>
      <c r="U103" s="4150">
        <f t="shared" si="12"/>
        <v>0</v>
      </c>
      <c r="V103" s="4150">
        <f t="shared" si="19"/>
        <v>0</v>
      </c>
    </row>
    <row r="104" spans="2:22" ht="13.5" thickBot="1">
      <c r="B104" s="282"/>
      <c r="C104" s="3593" t="s">
        <v>226</v>
      </c>
      <c r="D104" s="3595">
        <v>0</v>
      </c>
      <c r="E104" s="3593" t="s">
        <v>559</v>
      </c>
      <c r="F104" s="3593" t="s">
        <v>186</v>
      </c>
      <c r="G104" s="3594"/>
      <c r="H104" s="3594"/>
      <c r="I104" s="4141">
        <f t="shared" si="16"/>
        <v>0</v>
      </c>
      <c r="J104" s="3574"/>
      <c r="K104" s="3574"/>
      <c r="L104" s="4109"/>
      <c r="M104" s="315" t="e">
        <f t="shared" si="17"/>
        <v>#DIV/0!</v>
      </c>
      <c r="N104" s="278" t="e">
        <f t="shared" si="18"/>
        <v>#DIV/0!</v>
      </c>
      <c r="O104" s="3548">
        <f t="shared" si="10"/>
        <v>0</v>
      </c>
      <c r="P104" s="3548">
        <f t="shared" si="11"/>
        <v>0</v>
      </c>
      <c r="Q104" s="3548">
        <f>IF(K104=0, 0, (HLOOKUP(K104,'[3]G-CESTD'!$A$5:$G$35,J104+1,FALSE)*R54))</f>
        <v>0</v>
      </c>
      <c r="R104" s="3548">
        <f>IF(K104=0, 0, (HLOOKUP(K104,'[3]G-CESTD'!$A$5:$G$35,J104+1,FALSE)*R54))</f>
        <v>0</v>
      </c>
      <c r="S104" s="3592">
        <v>1.0780000000000001</v>
      </c>
      <c r="T104" s="4150">
        <f t="shared" si="12"/>
        <v>0</v>
      </c>
      <c r="U104" s="4150">
        <f t="shared" si="12"/>
        <v>0</v>
      </c>
      <c r="V104" s="4150">
        <f t="shared" si="19"/>
        <v>0</v>
      </c>
    </row>
    <row r="105" spans="2:22" ht="13.5" thickBot="1">
      <c r="G105" s="286">
        <f>SUMPRODUCT(G63:G104,O13:O54)</f>
        <v>62302.5</v>
      </c>
      <c r="H105" s="287">
        <f>V105</f>
        <v>48102.5</v>
      </c>
      <c r="I105" s="3453">
        <f>SUM(I63:I104)</f>
        <v>1</v>
      </c>
      <c r="J105" s="3454">
        <f>ROUND(SUMPRODUCT(J63:J104,R13:R54)/R55,0)</f>
        <v>14</v>
      </c>
      <c r="K105" s="3455"/>
      <c r="L105" s="3455"/>
      <c r="M105" s="3448">
        <f>Q105/O105</f>
        <v>0.85935459750466336</v>
      </c>
      <c r="N105" s="3449">
        <f>R105/P105</f>
        <v>0.76710663937532242</v>
      </c>
      <c r="O105" s="297">
        <f>SUM(O63:O104)</f>
        <v>109538.94735621518</v>
      </c>
      <c r="P105" s="297">
        <f>SUM(P63:P104)</f>
        <v>122711.48910018551</v>
      </c>
      <c r="Q105" s="297">
        <f>SUM(Q63:Q104)</f>
        <v>94132.798016384811</v>
      </c>
      <c r="R105" s="297">
        <f>SUM(R63:R104)</f>
        <v>94132.798016384811</v>
      </c>
      <c r="S105" s="293">
        <v>1.081</v>
      </c>
      <c r="T105" s="294">
        <f>SUM(T63:T104)</f>
        <v>0</v>
      </c>
      <c r="U105" s="294">
        <f>SUM(U63:U104)</f>
        <v>48102.5</v>
      </c>
      <c r="V105" s="294">
        <f>SUM(V63:V104)</f>
        <v>48102.5</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21" top="0.35" bottom="0.34"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7" right="0.21" top="0.35" bottom="0.34" header="0.3" footer="0.3"/>
  <pageSetup paperSize="17" scale="52" orientation="landscape" r:id="rId2"/>
  <drawing r:id="rId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sheetPr enableFormatConditionsCalculation="0">
    <pageSetUpPr fitToPage="1"/>
  </sheetPr>
  <dimension ref="A1:Y108"/>
  <sheetViews>
    <sheetView zoomScaleNormal="100" zoomScalePageLayoutView="80" workbookViewId="0">
      <pane xSplit="1" ySplit="1" topLeftCell="B2" activePane="bottomRight" state="frozen"/>
      <selection pane="topRight" activeCell="B1" sqref="B1"/>
      <selection pane="bottomLeft" activeCell="A2" sqref="A2"/>
      <selection pane="bottomRight" activeCell="B7" sqref="B7"/>
    </sheetView>
  </sheetViews>
  <sheetFormatPr defaultColWidth="8.85546875" defaultRowHeight="12.75"/>
  <cols>
    <col min="1" max="1" width="15.42578125" style="3064" customWidth="1"/>
    <col min="2" max="2" width="18.85546875" customWidth="1"/>
    <col min="3" max="3" width="38.140625" customWidth="1"/>
    <col min="4" max="4" width="17" style="19" customWidth="1"/>
    <col min="5" max="5" width="17" customWidth="1"/>
    <col min="6" max="6" width="16.85546875" bestFit="1" customWidth="1"/>
    <col min="7" max="7" width="13.42578125" customWidth="1"/>
    <col min="8" max="8" width="15.42578125" bestFit="1" customWidth="1"/>
    <col min="9" max="9" width="14.28515625" bestFit="1" customWidth="1"/>
    <col min="10" max="10" width="15.28515625" customWidth="1"/>
    <col min="11" max="11" width="15.85546875" customWidth="1"/>
    <col min="12" max="12" width="17.28515625" bestFit="1" customWidth="1"/>
    <col min="13" max="13" width="12.7109375" customWidth="1"/>
    <col min="14" max="14" width="13.7109375" customWidth="1"/>
    <col min="15" max="15" width="14.140625" bestFit="1" customWidth="1"/>
    <col min="16" max="16" width="17.28515625" bestFit="1" customWidth="1"/>
    <col min="17" max="17" width="16.140625" customWidth="1"/>
    <col min="18" max="18" width="17.42578125" customWidth="1"/>
    <col min="19" max="19" width="16.28515625" bestFit="1" customWidth="1"/>
    <col min="20" max="20" width="20.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85546875" bestFit="1" customWidth="1"/>
    <col min="261" max="261" width="14.85546875" bestFit="1" customWidth="1"/>
    <col min="262" max="262" width="16.85546875" bestFit="1" customWidth="1"/>
    <col min="263" max="263" width="13.42578125" customWidth="1"/>
    <col min="264" max="264" width="15.42578125" bestFit="1" customWidth="1"/>
    <col min="265" max="265" width="14.28515625" bestFit="1" customWidth="1"/>
    <col min="266" max="266" width="15.28515625" customWidth="1"/>
    <col min="267" max="267" width="15.85546875" customWidth="1"/>
    <col min="268" max="268" width="17.28515625" bestFit="1" customWidth="1"/>
    <col min="269" max="269" width="12.7109375" customWidth="1"/>
    <col min="270" max="270" width="13.7109375" customWidth="1"/>
    <col min="271" max="271" width="14.140625" bestFit="1" customWidth="1"/>
    <col min="272" max="272" width="17.28515625" bestFit="1" customWidth="1"/>
    <col min="273" max="273" width="16.140625" customWidth="1"/>
    <col min="274" max="274" width="17.42578125" bestFit="1" customWidth="1"/>
    <col min="275" max="275" width="16.28515625" bestFit="1" customWidth="1"/>
    <col min="276" max="276" width="20.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85546875" bestFit="1" customWidth="1"/>
    <col min="517" max="517" width="14.85546875" bestFit="1" customWidth="1"/>
    <col min="518" max="518" width="16.85546875" bestFit="1" customWidth="1"/>
    <col min="519" max="519" width="13.42578125" customWidth="1"/>
    <col min="520" max="520" width="15.42578125" bestFit="1" customWidth="1"/>
    <col min="521" max="521" width="14.28515625" bestFit="1" customWidth="1"/>
    <col min="522" max="522" width="15.28515625" customWidth="1"/>
    <col min="523" max="523" width="15.85546875" customWidth="1"/>
    <col min="524" max="524" width="17.28515625" bestFit="1" customWidth="1"/>
    <col min="525" max="525" width="12.7109375" customWidth="1"/>
    <col min="526" max="526" width="13.7109375" customWidth="1"/>
    <col min="527" max="527" width="14.140625" bestFit="1" customWidth="1"/>
    <col min="528" max="528" width="17.28515625" bestFit="1" customWidth="1"/>
    <col min="529" max="529" width="16.140625" customWidth="1"/>
    <col min="530" max="530" width="17.42578125" bestFit="1" customWidth="1"/>
    <col min="531" max="531" width="16.28515625" bestFit="1" customWidth="1"/>
    <col min="532" max="532" width="20.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85546875" bestFit="1" customWidth="1"/>
    <col min="773" max="773" width="14.85546875" bestFit="1" customWidth="1"/>
    <col min="774" max="774" width="16.85546875" bestFit="1" customWidth="1"/>
    <col min="775" max="775" width="13.42578125" customWidth="1"/>
    <col min="776" max="776" width="15.42578125" bestFit="1" customWidth="1"/>
    <col min="777" max="777" width="14.28515625" bestFit="1" customWidth="1"/>
    <col min="778" max="778" width="15.28515625" customWidth="1"/>
    <col min="779" max="779" width="15.85546875" customWidth="1"/>
    <col min="780" max="780" width="17.28515625" bestFit="1" customWidth="1"/>
    <col min="781" max="781" width="12.7109375" customWidth="1"/>
    <col min="782" max="782" width="13.7109375" customWidth="1"/>
    <col min="783" max="783" width="14.140625" bestFit="1" customWidth="1"/>
    <col min="784" max="784" width="17.28515625" bestFit="1" customWidth="1"/>
    <col min="785" max="785" width="16.140625" customWidth="1"/>
    <col min="786" max="786" width="17.42578125" bestFit="1" customWidth="1"/>
    <col min="787" max="787" width="16.28515625" bestFit="1" customWidth="1"/>
    <col min="788" max="788" width="20.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85546875" bestFit="1" customWidth="1"/>
    <col min="1029" max="1029" width="14.85546875" bestFit="1" customWidth="1"/>
    <col min="1030" max="1030" width="16.85546875" bestFit="1" customWidth="1"/>
    <col min="1031" max="1031" width="13.42578125" customWidth="1"/>
    <col min="1032" max="1032" width="15.42578125" bestFit="1" customWidth="1"/>
    <col min="1033" max="1033" width="14.28515625" bestFit="1" customWidth="1"/>
    <col min="1034" max="1034" width="15.28515625" customWidth="1"/>
    <col min="1035" max="1035" width="15.85546875" customWidth="1"/>
    <col min="1036" max="1036" width="17.28515625" bestFit="1" customWidth="1"/>
    <col min="1037" max="1037" width="12.7109375" customWidth="1"/>
    <col min="1038" max="1038" width="13.7109375" customWidth="1"/>
    <col min="1039" max="1039" width="14.140625" bestFit="1" customWidth="1"/>
    <col min="1040" max="1040" width="17.28515625" bestFit="1" customWidth="1"/>
    <col min="1041" max="1041" width="16.140625" customWidth="1"/>
    <col min="1042" max="1042" width="17.42578125" bestFit="1" customWidth="1"/>
    <col min="1043" max="1043" width="16.28515625" bestFit="1" customWidth="1"/>
    <col min="1044" max="1044" width="20.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85546875" bestFit="1" customWidth="1"/>
    <col min="1285" max="1285" width="14.85546875" bestFit="1" customWidth="1"/>
    <col min="1286" max="1286" width="16.85546875" bestFit="1" customWidth="1"/>
    <col min="1287" max="1287" width="13.42578125" customWidth="1"/>
    <col min="1288" max="1288" width="15.42578125" bestFit="1" customWidth="1"/>
    <col min="1289" max="1289" width="14.28515625" bestFit="1" customWidth="1"/>
    <col min="1290" max="1290" width="15.28515625" customWidth="1"/>
    <col min="1291" max="1291" width="15.85546875" customWidth="1"/>
    <col min="1292" max="1292" width="17.28515625" bestFit="1" customWidth="1"/>
    <col min="1293" max="1293" width="12.7109375" customWidth="1"/>
    <col min="1294" max="1294" width="13.7109375" customWidth="1"/>
    <col min="1295" max="1295" width="14.140625" bestFit="1" customWidth="1"/>
    <col min="1296" max="1296" width="17.28515625" bestFit="1" customWidth="1"/>
    <col min="1297" max="1297" width="16.140625" customWidth="1"/>
    <col min="1298" max="1298" width="17.42578125" bestFit="1" customWidth="1"/>
    <col min="1299" max="1299" width="16.28515625" bestFit="1" customWidth="1"/>
    <col min="1300" max="1300" width="20.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85546875" bestFit="1" customWidth="1"/>
    <col min="1541" max="1541" width="14.85546875" bestFit="1" customWidth="1"/>
    <col min="1542" max="1542" width="16.85546875" bestFit="1" customWidth="1"/>
    <col min="1543" max="1543" width="13.42578125" customWidth="1"/>
    <col min="1544" max="1544" width="15.42578125" bestFit="1" customWidth="1"/>
    <col min="1545" max="1545" width="14.28515625" bestFit="1" customWidth="1"/>
    <col min="1546" max="1546" width="15.28515625" customWidth="1"/>
    <col min="1547" max="1547" width="15.85546875" customWidth="1"/>
    <col min="1548" max="1548" width="17.28515625" bestFit="1" customWidth="1"/>
    <col min="1549" max="1549" width="12.7109375" customWidth="1"/>
    <col min="1550" max="1550" width="13.7109375" customWidth="1"/>
    <col min="1551" max="1551" width="14.140625" bestFit="1" customWidth="1"/>
    <col min="1552" max="1552" width="17.28515625" bestFit="1" customWidth="1"/>
    <col min="1553" max="1553" width="16.140625" customWidth="1"/>
    <col min="1554" max="1554" width="17.42578125" bestFit="1" customWidth="1"/>
    <col min="1555" max="1555" width="16.28515625" bestFit="1" customWidth="1"/>
    <col min="1556" max="1556" width="20.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85546875" bestFit="1" customWidth="1"/>
    <col min="1797" max="1797" width="14.85546875" bestFit="1" customWidth="1"/>
    <col min="1798" max="1798" width="16.85546875" bestFit="1" customWidth="1"/>
    <col min="1799" max="1799" width="13.42578125" customWidth="1"/>
    <col min="1800" max="1800" width="15.42578125" bestFit="1" customWidth="1"/>
    <col min="1801" max="1801" width="14.28515625" bestFit="1" customWidth="1"/>
    <col min="1802" max="1802" width="15.28515625" customWidth="1"/>
    <col min="1803" max="1803" width="15.85546875" customWidth="1"/>
    <col min="1804" max="1804" width="17.28515625" bestFit="1" customWidth="1"/>
    <col min="1805" max="1805" width="12.7109375" customWidth="1"/>
    <col min="1806" max="1806" width="13.7109375" customWidth="1"/>
    <col min="1807" max="1807" width="14.140625" bestFit="1" customWidth="1"/>
    <col min="1808" max="1808" width="17.28515625" bestFit="1" customWidth="1"/>
    <col min="1809" max="1809" width="16.140625" customWidth="1"/>
    <col min="1810" max="1810" width="17.42578125" bestFit="1" customWidth="1"/>
    <col min="1811" max="1811" width="16.28515625" bestFit="1" customWidth="1"/>
    <col min="1812" max="1812" width="20.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85546875" bestFit="1" customWidth="1"/>
    <col min="2053" max="2053" width="14.85546875" bestFit="1" customWidth="1"/>
    <col min="2054" max="2054" width="16.85546875" bestFit="1" customWidth="1"/>
    <col min="2055" max="2055" width="13.42578125" customWidth="1"/>
    <col min="2056" max="2056" width="15.42578125" bestFit="1" customWidth="1"/>
    <col min="2057" max="2057" width="14.28515625" bestFit="1" customWidth="1"/>
    <col min="2058" max="2058" width="15.28515625" customWidth="1"/>
    <col min="2059" max="2059" width="15.85546875" customWidth="1"/>
    <col min="2060" max="2060" width="17.28515625" bestFit="1" customWidth="1"/>
    <col min="2061" max="2061" width="12.7109375" customWidth="1"/>
    <col min="2062" max="2062" width="13.7109375" customWidth="1"/>
    <col min="2063" max="2063" width="14.140625" bestFit="1" customWidth="1"/>
    <col min="2064" max="2064" width="17.28515625" bestFit="1" customWidth="1"/>
    <col min="2065" max="2065" width="16.140625" customWidth="1"/>
    <col min="2066" max="2066" width="17.42578125" bestFit="1" customWidth="1"/>
    <col min="2067" max="2067" width="16.28515625" bestFit="1" customWidth="1"/>
    <col min="2068" max="2068" width="20.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85546875" bestFit="1" customWidth="1"/>
    <col min="2309" max="2309" width="14.85546875" bestFit="1" customWidth="1"/>
    <col min="2310" max="2310" width="16.85546875" bestFit="1" customWidth="1"/>
    <col min="2311" max="2311" width="13.42578125" customWidth="1"/>
    <col min="2312" max="2312" width="15.42578125" bestFit="1" customWidth="1"/>
    <col min="2313" max="2313" width="14.28515625" bestFit="1" customWidth="1"/>
    <col min="2314" max="2314" width="15.28515625" customWidth="1"/>
    <col min="2315" max="2315" width="15.85546875" customWidth="1"/>
    <col min="2316" max="2316" width="17.28515625" bestFit="1" customWidth="1"/>
    <col min="2317" max="2317" width="12.7109375" customWidth="1"/>
    <col min="2318" max="2318" width="13.7109375" customWidth="1"/>
    <col min="2319" max="2319" width="14.140625" bestFit="1" customWidth="1"/>
    <col min="2320" max="2320" width="17.28515625" bestFit="1" customWidth="1"/>
    <col min="2321" max="2321" width="16.140625" customWidth="1"/>
    <col min="2322" max="2322" width="17.42578125" bestFit="1" customWidth="1"/>
    <col min="2323" max="2323" width="16.28515625" bestFit="1" customWidth="1"/>
    <col min="2324" max="2324" width="20.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85546875" bestFit="1" customWidth="1"/>
    <col min="2565" max="2565" width="14.85546875" bestFit="1" customWidth="1"/>
    <col min="2566" max="2566" width="16.85546875" bestFit="1" customWidth="1"/>
    <col min="2567" max="2567" width="13.42578125" customWidth="1"/>
    <col min="2568" max="2568" width="15.42578125" bestFit="1" customWidth="1"/>
    <col min="2569" max="2569" width="14.28515625" bestFit="1" customWidth="1"/>
    <col min="2570" max="2570" width="15.28515625" customWidth="1"/>
    <col min="2571" max="2571" width="15.85546875" customWidth="1"/>
    <col min="2572" max="2572" width="17.28515625" bestFit="1" customWidth="1"/>
    <col min="2573" max="2573" width="12.7109375" customWidth="1"/>
    <col min="2574" max="2574" width="13.7109375" customWidth="1"/>
    <col min="2575" max="2575" width="14.140625" bestFit="1" customWidth="1"/>
    <col min="2576" max="2576" width="17.28515625" bestFit="1" customWidth="1"/>
    <col min="2577" max="2577" width="16.140625" customWidth="1"/>
    <col min="2578" max="2578" width="17.42578125" bestFit="1" customWidth="1"/>
    <col min="2579" max="2579" width="16.28515625" bestFit="1" customWidth="1"/>
    <col min="2580" max="2580" width="20.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85546875" bestFit="1" customWidth="1"/>
    <col min="2821" max="2821" width="14.85546875" bestFit="1" customWidth="1"/>
    <col min="2822" max="2822" width="16.85546875" bestFit="1" customWidth="1"/>
    <col min="2823" max="2823" width="13.42578125" customWidth="1"/>
    <col min="2824" max="2824" width="15.42578125" bestFit="1" customWidth="1"/>
    <col min="2825" max="2825" width="14.28515625" bestFit="1" customWidth="1"/>
    <col min="2826" max="2826" width="15.28515625" customWidth="1"/>
    <col min="2827" max="2827" width="15.85546875" customWidth="1"/>
    <col min="2828" max="2828" width="17.28515625" bestFit="1" customWidth="1"/>
    <col min="2829" max="2829" width="12.7109375" customWidth="1"/>
    <col min="2830" max="2830" width="13.7109375" customWidth="1"/>
    <col min="2831" max="2831" width="14.140625" bestFit="1" customWidth="1"/>
    <col min="2832" max="2832" width="17.28515625" bestFit="1" customWidth="1"/>
    <col min="2833" max="2833" width="16.140625" customWidth="1"/>
    <col min="2834" max="2834" width="17.42578125" bestFit="1" customWidth="1"/>
    <col min="2835" max="2835" width="16.28515625" bestFit="1" customWidth="1"/>
    <col min="2836" max="2836" width="20.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85546875" bestFit="1" customWidth="1"/>
    <col min="3077" max="3077" width="14.85546875" bestFit="1" customWidth="1"/>
    <col min="3078" max="3078" width="16.85546875" bestFit="1" customWidth="1"/>
    <col min="3079" max="3079" width="13.42578125" customWidth="1"/>
    <col min="3080" max="3080" width="15.42578125" bestFit="1" customWidth="1"/>
    <col min="3081" max="3081" width="14.28515625" bestFit="1" customWidth="1"/>
    <col min="3082" max="3082" width="15.28515625" customWidth="1"/>
    <col min="3083" max="3083" width="15.85546875" customWidth="1"/>
    <col min="3084" max="3084" width="17.28515625" bestFit="1" customWidth="1"/>
    <col min="3085" max="3085" width="12.7109375" customWidth="1"/>
    <col min="3086" max="3086" width="13.7109375" customWidth="1"/>
    <col min="3087" max="3087" width="14.140625" bestFit="1" customWidth="1"/>
    <col min="3088" max="3088" width="17.28515625" bestFit="1" customWidth="1"/>
    <col min="3089" max="3089" width="16.140625" customWidth="1"/>
    <col min="3090" max="3090" width="17.42578125" bestFit="1" customWidth="1"/>
    <col min="3091" max="3091" width="16.28515625" bestFit="1" customWidth="1"/>
    <col min="3092" max="3092" width="20.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85546875" bestFit="1" customWidth="1"/>
    <col min="3333" max="3333" width="14.85546875" bestFit="1" customWidth="1"/>
    <col min="3334" max="3334" width="16.85546875" bestFit="1" customWidth="1"/>
    <col min="3335" max="3335" width="13.42578125" customWidth="1"/>
    <col min="3336" max="3336" width="15.42578125" bestFit="1" customWidth="1"/>
    <col min="3337" max="3337" width="14.28515625" bestFit="1" customWidth="1"/>
    <col min="3338" max="3338" width="15.28515625" customWidth="1"/>
    <col min="3339" max="3339" width="15.85546875" customWidth="1"/>
    <col min="3340" max="3340" width="17.28515625" bestFit="1" customWidth="1"/>
    <col min="3341" max="3341" width="12.7109375" customWidth="1"/>
    <col min="3342" max="3342" width="13.7109375" customWidth="1"/>
    <col min="3343" max="3343" width="14.140625" bestFit="1" customWidth="1"/>
    <col min="3344" max="3344" width="17.28515625" bestFit="1" customWidth="1"/>
    <col min="3345" max="3345" width="16.140625" customWidth="1"/>
    <col min="3346" max="3346" width="17.42578125" bestFit="1" customWidth="1"/>
    <col min="3347" max="3347" width="16.28515625" bestFit="1" customWidth="1"/>
    <col min="3348" max="3348" width="20.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85546875" bestFit="1" customWidth="1"/>
    <col min="3589" max="3589" width="14.85546875" bestFit="1" customWidth="1"/>
    <col min="3590" max="3590" width="16.85546875" bestFit="1" customWidth="1"/>
    <col min="3591" max="3591" width="13.42578125" customWidth="1"/>
    <col min="3592" max="3592" width="15.42578125" bestFit="1" customWidth="1"/>
    <col min="3593" max="3593" width="14.28515625" bestFit="1" customWidth="1"/>
    <col min="3594" max="3594" width="15.28515625" customWidth="1"/>
    <col min="3595" max="3595" width="15.85546875" customWidth="1"/>
    <col min="3596" max="3596" width="17.28515625" bestFit="1" customWidth="1"/>
    <col min="3597" max="3597" width="12.7109375" customWidth="1"/>
    <col min="3598" max="3598" width="13.7109375" customWidth="1"/>
    <col min="3599" max="3599" width="14.140625" bestFit="1" customWidth="1"/>
    <col min="3600" max="3600" width="17.28515625" bestFit="1" customWidth="1"/>
    <col min="3601" max="3601" width="16.140625" customWidth="1"/>
    <col min="3602" max="3602" width="17.42578125" bestFit="1" customWidth="1"/>
    <col min="3603" max="3603" width="16.28515625" bestFit="1" customWidth="1"/>
    <col min="3604" max="3604" width="20.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85546875" bestFit="1" customWidth="1"/>
    <col min="3845" max="3845" width="14.85546875" bestFit="1" customWidth="1"/>
    <col min="3846" max="3846" width="16.85546875" bestFit="1" customWidth="1"/>
    <col min="3847" max="3847" width="13.42578125" customWidth="1"/>
    <col min="3848" max="3848" width="15.42578125" bestFit="1" customWidth="1"/>
    <col min="3849" max="3849" width="14.28515625" bestFit="1" customWidth="1"/>
    <col min="3850" max="3850" width="15.28515625" customWidth="1"/>
    <col min="3851" max="3851" width="15.85546875" customWidth="1"/>
    <col min="3852" max="3852" width="17.28515625" bestFit="1" customWidth="1"/>
    <col min="3853" max="3853" width="12.7109375" customWidth="1"/>
    <col min="3854" max="3854" width="13.7109375" customWidth="1"/>
    <col min="3855" max="3855" width="14.140625" bestFit="1" customWidth="1"/>
    <col min="3856" max="3856" width="17.28515625" bestFit="1" customWidth="1"/>
    <col min="3857" max="3857" width="16.140625" customWidth="1"/>
    <col min="3858" max="3858" width="17.42578125" bestFit="1" customWidth="1"/>
    <col min="3859" max="3859" width="16.28515625" bestFit="1" customWidth="1"/>
    <col min="3860" max="3860" width="20.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85546875" bestFit="1" customWidth="1"/>
    <col min="4101" max="4101" width="14.85546875" bestFit="1" customWidth="1"/>
    <col min="4102" max="4102" width="16.85546875" bestFit="1" customWidth="1"/>
    <col min="4103" max="4103" width="13.42578125" customWidth="1"/>
    <col min="4104" max="4104" width="15.42578125" bestFit="1" customWidth="1"/>
    <col min="4105" max="4105" width="14.28515625" bestFit="1" customWidth="1"/>
    <col min="4106" max="4106" width="15.28515625" customWidth="1"/>
    <col min="4107" max="4107" width="15.85546875" customWidth="1"/>
    <col min="4108" max="4108" width="17.28515625" bestFit="1" customWidth="1"/>
    <col min="4109" max="4109" width="12.7109375" customWidth="1"/>
    <col min="4110" max="4110" width="13.7109375" customWidth="1"/>
    <col min="4111" max="4111" width="14.140625" bestFit="1" customWidth="1"/>
    <col min="4112" max="4112" width="17.28515625" bestFit="1" customWidth="1"/>
    <col min="4113" max="4113" width="16.140625" customWidth="1"/>
    <col min="4114" max="4114" width="17.42578125" bestFit="1" customWidth="1"/>
    <col min="4115" max="4115" width="16.28515625" bestFit="1" customWidth="1"/>
    <col min="4116" max="4116" width="20.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85546875" bestFit="1" customWidth="1"/>
    <col min="4357" max="4357" width="14.85546875" bestFit="1" customWidth="1"/>
    <col min="4358" max="4358" width="16.85546875" bestFit="1" customWidth="1"/>
    <col min="4359" max="4359" width="13.42578125" customWidth="1"/>
    <col min="4360" max="4360" width="15.42578125" bestFit="1" customWidth="1"/>
    <col min="4361" max="4361" width="14.28515625" bestFit="1" customWidth="1"/>
    <col min="4362" max="4362" width="15.28515625" customWidth="1"/>
    <col min="4363" max="4363" width="15.85546875" customWidth="1"/>
    <col min="4364" max="4364" width="17.28515625" bestFit="1" customWidth="1"/>
    <col min="4365" max="4365" width="12.7109375" customWidth="1"/>
    <col min="4366" max="4366" width="13.7109375" customWidth="1"/>
    <col min="4367" max="4367" width="14.140625" bestFit="1" customWidth="1"/>
    <col min="4368" max="4368" width="17.28515625" bestFit="1" customWidth="1"/>
    <col min="4369" max="4369" width="16.140625" customWidth="1"/>
    <col min="4370" max="4370" width="17.42578125" bestFit="1" customWidth="1"/>
    <col min="4371" max="4371" width="16.28515625" bestFit="1" customWidth="1"/>
    <col min="4372" max="4372" width="20.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85546875" bestFit="1" customWidth="1"/>
    <col min="4613" max="4613" width="14.85546875" bestFit="1" customWidth="1"/>
    <col min="4614" max="4614" width="16.85546875" bestFit="1" customWidth="1"/>
    <col min="4615" max="4615" width="13.42578125" customWidth="1"/>
    <col min="4616" max="4616" width="15.42578125" bestFit="1" customWidth="1"/>
    <col min="4617" max="4617" width="14.28515625" bestFit="1" customWidth="1"/>
    <col min="4618" max="4618" width="15.28515625" customWidth="1"/>
    <col min="4619" max="4619" width="15.85546875" customWidth="1"/>
    <col min="4620" max="4620" width="17.28515625" bestFit="1" customWidth="1"/>
    <col min="4621" max="4621" width="12.7109375" customWidth="1"/>
    <col min="4622" max="4622" width="13.7109375" customWidth="1"/>
    <col min="4623" max="4623" width="14.140625" bestFit="1" customWidth="1"/>
    <col min="4624" max="4624" width="17.28515625" bestFit="1" customWidth="1"/>
    <col min="4625" max="4625" width="16.140625" customWidth="1"/>
    <col min="4626" max="4626" width="17.42578125" bestFit="1" customWidth="1"/>
    <col min="4627" max="4627" width="16.28515625" bestFit="1" customWidth="1"/>
    <col min="4628" max="4628" width="20.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85546875" bestFit="1" customWidth="1"/>
    <col min="4869" max="4869" width="14.85546875" bestFit="1" customWidth="1"/>
    <col min="4870" max="4870" width="16.85546875" bestFit="1" customWidth="1"/>
    <col min="4871" max="4871" width="13.42578125" customWidth="1"/>
    <col min="4872" max="4872" width="15.42578125" bestFit="1" customWidth="1"/>
    <col min="4873" max="4873" width="14.28515625" bestFit="1" customWidth="1"/>
    <col min="4874" max="4874" width="15.28515625" customWidth="1"/>
    <col min="4875" max="4875" width="15.85546875" customWidth="1"/>
    <col min="4876" max="4876" width="17.28515625" bestFit="1" customWidth="1"/>
    <col min="4877" max="4877" width="12.7109375" customWidth="1"/>
    <col min="4878" max="4878" width="13.7109375" customWidth="1"/>
    <col min="4879" max="4879" width="14.140625" bestFit="1" customWidth="1"/>
    <col min="4880" max="4880" width="17.28515625" bestFit="1" customWidth="1"/>
    <col min="4881" max="4881" width="16.140625" customWidth="1"/>
    <col min="4882" max="4882" width="17.42578125" bestFit="1" customWidth="1"/>
    <col min="4883" max="4883" width="16.28515625" bestFit="1" customWidth="1"/>
    <col min="4884" max="4884" width="20.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85546875" bestFit="1" customWidth="1"/>
    <col min="5125" max="5125" width="14.85546875" bestFit="1" customWidth="1"/>
    <col min="5126" max="5126" width="16.85546875" bestFit="1" customWidth="1"/>
    <col min="5127" max="5127" width="13.42578125" customWidth="1"/>
    <col min="5128" max="5128" width="15.42578125" bestFit="1" customWidth="1"/>
    <col min="5129" max="5129" width="14.28515625" bestFit="1" customWidth="1"/>
    <col min="5130" max="5130" width="15.28515625" customWidth="1"/>
    <col min="5131" max="5131" width="15.85546875" customWidth="1"/>
    <col min="5132" max="5132" width="17.28515625" bestFit="1" customWidth="1"/>
    <col min="5133" max="5133" width="12.7109375" customWidth="1"/>
    <col min="5134" max="5134" width="13.7109375" customWidth="1"/>
    <col min="5135" max="5135" width="14.140625" bestFit="1" customWidth="1"/>
    <col min="5136" max="5136" width="17.28515625" bestFit="1" customWidth="1"/>
    <col min="5137" max="5137" width="16.140625" customWidth="1"/>
    <col min="5138" max="5138" width="17.42578125" bestFit="1" customWidth="1"/>
    <col min="5139" max="5139" width="16.28515625" bestFit="1" customWidth="1"/>
    <col min="5140" max="5140" width="20.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85546875" bestFit="1" customWidth="1"/>
    <col min="5381" max="5381" width="14.85546875" bestFit="1" customWidth="1"/>
    <col min="5382" max="5382" width="16.85546875" bestFit="1" customWidth="1"/>
    <col min="5383" max="5383" width="13.42578125" customWidth="1"/>
    <col min="5384" max="5384" width="15.42578125" bestFit="1" customWidth="1"/>
    <col min="5385" max="5385" width="14.28515625" bestFit="1" customWidth="1"/>
    <col min="5386" max="5386" width="15.28515625" customWidth="1"/>
    <col min="5387" max="5387" width="15.85546875" customWidth="1"/>
    <col min="5388" max="5388" width="17.28515625" bestFit="1" customWidth="1"/>
    <col min="5389" max="5389" width="12.7109375" customWidth="1"/>
    <col min="5390" max="5390" width="13.7109375" customWidth="1"/>
    <col min="5391" max="5391" width="14.140625" bestFit="1" customWidth="1"/>
    <col min="5392" max="5392" width="17.28515625" bestFit="1" customWidth="1"/>
    <col min="5393" max="5393" width="16.140625" customWidth="1"/>
    <col min="5394" max="5394" width="17.42578125" bestFit="1" customWidth="1"/>
    <col min="5395" max="5395" width="16.28515625" bestFit="1" customWidth="1"/>
    <col min="5396" max="5396" width="20.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85546875" bestFit="1" customWidth="1"/>
    <col min="5637" max="5637" width="14.85546875" bestFit="1" customWidth="1"/>
    <col min="5638" max="5638" width="16.85546875" bestFit="1" customWidth="1"/>
    <col min="5639" max="5639" width="13.42578125" customWidth="1"/>
    <col min="5640" max="5640" width="15.42578125" bestFit="1" customWidth="1"/>
    <col min="5641" max="5641" width="14.28515625" bestFit="1" customWidth="1"/>
    <col min="5642" max="5642" width="15.28515625" customWidth="1"/>
    <col min="5643" max="5643" width="15.85546875" customWidth="1"/>
    <col min="5644" max="5644" width="17.28515625" bestFit="1" customWidth="1"/>
    <col min="5645" max="5645" width="12.7109375" customWidth="1"/>
    <col min="5646" max="5646" width="13.7109375" customWidth="1"/>
    <col min="5647" max="5647" width="14.140625" bestFit="1" customWidth="1"/>
    <col min="5648" max="5648" width="17.28515625" bestFit="1" customWidth="1"/>
    <col min="5649" max="5649" width="16.140625" customWidth="1"/>
    <col min="5650" max="5650" width="17.42578125" bestFit="1" customWidth="1"/>
    <col min="5651" max="5651" width="16.28515625" bestFit="1" customWidth="1"/>
    <col min="5652" max="5652" width="20.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85546875" bestFit="1" customWidth="1"/>
    <col min="5893" max="5893" width="14.85546875" bestFit="1" customWidth="1"/>
    <col min="5894" max="5894" width="16.85546875" bestFit="1" customWidth="1"/>
    <col min="5895" max="5895" width="13.42578125" customWidth="1"/>
    <col min="5896" max="5896" width="15.42578125" bestFit="1" customWidth="1"/>
    <col min="5897" max="5897" width="14.28515625" bestFit="1" customWidth="1"/>
    <col min="5898" max="5898" width="15.28515625" customWidth="1"/>
    <col min="5899" max="5899" width="15.85546875" customWidth="1"/>
    <col min="5900" max="5900" width="17.28515625" bestFit="1" customWidth="1"/>
    <col min="5901" max="5901" width="12.7109375" customWidth="1"/>
    <col min="5902" max="5902" width="13.7109375" customWidth="1"/>
    <col min="5903" max="5903" width="14.140625" bestFit="1" customWidth="1"/>
    <col min="5904" max="5904" width="17.28515625" bestFit="1" customWidth="1"/>
    <col min="5905" max="5905" width="16.140625" customWidth="1"/>
    <col min="5906" max="5906" width="17.42578125" bestFit="1" customWidth="1"/>
    <col min="5907" max="5907" width="16.28515625" bestFit="1" customWidth="1"/>
    <col min="5908" max="5908" width="20.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85546875" bestFit="1" customWidth="1"/>
    <col min="6149" max="6149" width="14.85546875" bestFit="1" customWidth="1"/>
    <col min="6150" max="6150" width="16.85546875" bestFit="1" customWidth="1"/>
    <col min="6151" max="6151" width="13.42578125" customWidth="1"/>
    <col min="6152" max="6152" width="15.42578125" bestFit="1" customWidth="1"/>
    <col min="6153" max="6153" width="14.28515625" bestFit="1" customWidth="1"/>
    <col min="6154" max="6154" width="15.28515625" customWidth="1"/>
    <col min="6155" max="6155" width="15.85546875" customWidth="1"/>
    <col min="6156" max="6156" width="17.28515625" bestFit="1" customWidth="1"/>
    <col min="6157" max="6157" width="12.7109375" customWidth="1"/>
    <col min="6158" max="6158" width="13.7109375" customWidth="1"/>
    <col min="6159" max="6159" width="14.140625" bestFit="1" customWidth="1"/>
    <col min="6160" max="6160" width="17.28515625" bestFit="1" customWidth="1"/>
    <col min="6161" max="6161" width="16.140625" customWidth="1"/>
    <col min="6162" max="6162" width="17.42578125" bestFit="1" customWidth="1"/>
    <col min="6163" max="6163" width="16.28515625" bestFit="1" customWidth="1"/>
    <col min="6164" max="6164" width="20.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85546875" bestFit="1" customWidth="1"/>
    <col min="6405" max="6405" width="14.85546875" bestFit="1" customWidth="1"/>
    <col min="6406" max="6406" width="16.85546875" bestFit="1" customWidth="1"/>
    <col min="6407" max="6407" width="13.42578125" customWidth="1"/>
    <col min="6408" max="6408" width="15.42578125" bestFit="1" customWidth="1"/>
    <col min="6409" max="6409" width="14.28515625" bestFit="1" customWidth="1"/>
    <col min="6410" max="6410" width="15.28515625" customWidth="1"/>
    <col min="6411" max="6411" width="15.85546875" customWidth="1"/>
    <col min="6412" max="6412" width="17.28515625" bestFit="1" customWidth="1"/>
    <col min="6413" max="6413" width="12.7109375" customWidth="1"/>
    <col min="6414" max="6414" width="13.7109375" customWidth="1"/>
    <col min="6415" max="6415" width="14.140625" bestFit="1" customWidth="1"/>
    <col min="6416" max="6416" width="17.28515625" bestFit="1" customWidth="1"/>
    <col min="6417" max="6417" width="16.140625" customWidth="1"/>
    <col min="6418" max="6418" width="17.42578125" bestFit="1" customWidth="1"/>
    <col min="6419" max="6419" width="16.28515625" bestFit="1" customWidth="1"/>
    <col min="6420" max="6420" width="20.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85546875" bestFit="1" customWidth="1"/>
    <col min="6661" max="6661" width="14.85546875" bestFit="1" customWidth="1"/>
    <col min="6662" max="6662" width="16.85546875" bestFit="1" customWidth="1"/>
    <col min="6663" max="6663" width="13.42578125" customWidth="1"/>
    <col min="6664" max="6664" width="15.42578125" bestFit="1" customWidth="1"/>
    <col min="6665" max="6665" width="14.28515625" bestFit="1" customWidth="1"/>
    <col min="6666" max="6666" width="15.28515625" customWidth="1"/>
    <col min="6667" max="6667" width="15.85546875" customWidth="1"/>
    <col min="6668" max="6668" width="17.28515625" bestFit="1" customWidth="1"/>
    <col min="6669" max="6669" width="12.7109375" customWidth="1"/>
    <col min="6670" max="6670" width="13.7109375" customWidth="1"/>
    <col min="6671" max="6671" width="14.140625" bestFit="1" customWidth="1"/>
    <col min="6672" max="6672" width="17.28515625" bestFit="1" customWidth="1"/>
    <col min="6673" max="6673" width="16.140625" customWidth="1"/>
    <col min="6674" max="6674" width="17.42578125" bestFit="1" customWidth="1"/>
    <col min="6675" max="6675" width="16.28515625" bestFit="1" customWidth="1"/>
    <col min="6676" max="6676" width="20.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85546875" bestFit="1" customWidth="1"/>
    <col min="6917" max="6917" width="14.85546875" bestFit="1" customWidth="1"/>
    <col min="6918" max="6918" width="16.85546875" bestFit="1" customWidth="1"/>
    <col min="6919" max="6919" width="13.42578125" customWidth="1"/>
    <col min="6920" max="6920" width="15.42578125" bestFit="1" customWidth="1"/>
    <col min="6921" max="6921" width="14.28515625" bestFit="1" customWidth="1"/>
    <col min="6922" max="6922" width="15.28515625" customWidth="1"/>
    <col min="6923" max="6923" width="15.85546875" customWidth="1"/>
    <col min="6924" max="6924" width="17.28515625" bestFit="1" customWidth="1"/>
    <col min="6925" max="6925" width="12.7109375" customWidth="1"/>
    <col min="6926" max="6926" width="13.7109375" customWidth="1"/>
    <col min="6927" max="6927" width="14.140625" bestFit="1" customWidth="1"/>
    <col min="6928" max="6928" width="17.28515625" bestFit="1" customWidth="1"/>
    <col min="6929" max="6929" width="16.140625" customWidth="1"/>
    <col min="6930" max="6930" width="17.42578125" bestFit="1" customWidth="1"/>
    <col min="6931" max="6931" width="16.28515625" bestFit="1" customWidth="1"/>
    <col min="6932" max="6932" width="20.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85546875" bestFit="1" customWidth="1"/>
    <col min="7173" max="7173" width="14.85546875" bestFit="1" customWidth="1"/>
    <col min="7174" max="7174" width="16.85546875" bestFit="1" customWidth="1"/>
    <col min="7175" max="7175" width="13.42578125" customWidth="1"/>
    <col min="7176" max="7176" width="15.42578125" bestFit="1" customWidth="1"/>
    <col min="7177" max="7177" width="14.28515625" bestFit="1" customWidth="1"/>
    <col min="7178" max="7178" width="15.28515625" customWidth="1"/>
    <col min="7179" max="7179" width="15.85546875" customWidth="1"/>
    <col min="7180" max="7180" width="17.28515625" bestFit="1" customWidth="1"/>
    <col min="7181" max="7181" width="12.7109375" customWidth="1"/>
    <col min="7182" max="7182" width="13.7109375" customWidth="1"/>
    <col min="7183" max="7183" width="14.140625" bestFit="1" customWidth="1"/>
    <col min="7184" max="7184" width="17.28515625" bestFit="1" customWidth="1"/>
    <col min="7185" max="7185" width="16.140625" customWidth="1"/>
    <col min="7186" max="7186" width="17.42578125" bestFit="1" customWidth="1"/>
    <col min="7187" max="7187" width="16.28515625" bestFit="1" customWidth="1"/>
    <col min="7188" max="7188" width="20.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85546875" bestFit="1" customWidth="1"/>
    <col min="7429" max="7429" width="14.85546875" bestFit="1" customWidth="1"/>
    <col min="7430" max="7430" width="16.85546875" bestFit="1" customWidth="1"/>
    <col min="7431" max="7431" width="13.42578125" customWidth="1"/>
    <col min="7432" max="7432" width="15.42578125" bestFit="1" customWidth="1"/>
    <col min="7433" max="7433" width="14.28515625" bestFit="1" customWidth="1"/>
    <col min="7434" max="7434" width="15.28515625" customWidth="1"/>
    <col min="7435" max="7435" width="15.85546875" customWidth="1"/>
    <col min="7436" max="7436" width="17.28515625" bestFit="1" customWidth="1"/>
    <col min="7437" max="7437" width="12.7109375" customWidth="1"/>
    <col min="7438" max="7438" width="13.7109375" customWidth="1"/>
    <col min="7439" max="7439" width="14.140625" bestFit="1" customWidth="1"/>
    <col min="7440" max="7440" width="17.28515625" bestFit="1" customWidth="1"/>
    <col min="7441" max="7441" width="16.140625" customWidth="1"/>
    <col min="7442" max="7442" width="17.42578125" bestFit="1" customWidth="1"/>
    <col min="7443" max="7443" width="16.28515625" bestFit="1" customWidth="1"/>
    <col min="7444" max="7444" width="20.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85546875" bestFit="1" customWidth="1"/>
    <col min="7685" max="7685" width="14.85546875" bestFit="1" customWidth="1"/>
    <col min="7686" max="7686" width="16.85546875" bestFit="1" customWidth="1"/>
    <col min="7687" max="7687" width="13.42578125" customWidth="1"/>
    <col min="7688" max="7688" width="15.42578125" bestFit="1" customWidth="1"/>
    <col min="7689" max="7689" width="14.28515625" bestFit="1" customWidth="1"/>
    <col min="7690" max="7690" width="15.28515625" customWidth="1"/>
    <col min="7691" max="7691" width="15.85546875" customWidth="1"/>
    <col min="7692" max="7692" width="17.28515625" bestFit="1" customWidth="1"/>
    <col min="7693" max="7693" width="12.7109375" customWidth="1"/>
    <col min="7694" max="7694" width="13.7109375" customWidth="1"/>
    <col min="7695" max="7695" width="14.140625" bestFit="1" customWidth="1"/>
    <col min="7696" max="7696" width="17.28515625" bestFit="1" customWidth="1"/>
    <col min="7697" max="7697" width="16.140625" customWidth="1"/>
    <col min="7698" max="7698" width="17.42578125" bestFit="1" customWidth="1"/>
    <col min="7699" max="7699" width="16.28515625" bestFit="1" customWidth="1"/>
    <col min="7700" max="7700" width="20.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85546875" bestFit="1" customWidth="1"/>
    <col min="7941" max="7941" width="14.85546875" bestFit="1" customWidth="1"/>
    <col min="7942" max="7942" width="16.85546875" bestFit="1" customWidth="1"/>
    <col min="7943" max="7943" width="13.42578125" customWidth="1"/>
    <col min="7944" max="7944" width="15.42578125" bestFit="1" customWidth="1"/>
    <col min="7945" max="7945" width="14.28515625" bestFit="1" customWidth="1"/>
    <col min="7946" max="7946" width="15.28515625" customWidth="1"/>
    <col min="7947" max="7947" width="15.85546875" customWidth="1"/>
    <col min="7948" max="7948" width="17.28515625" bestFit="1" customWidth="1"/>
    <col min="7949" max="7949" width="12.7109375" customWidth="1"/>
    <col min="7950" max="7950" width="13.7109375" customWidth="1"/>
    <col min="7951" max="7951" width="14.140625" bestFit="1" customWidth="1"/>
    <col min="7952" max="7952" width="17.28515625" bestFit="1" customWidth="1"/>
    <col min="7953" max="7953" width="16.140625" customWidth="1"/>
    <col min="7954" max="7954" width="17.42578125" bestFit="1" customWidth="1"/>
    <col min="7955" max="7955" width="16.28515625" bestFit="1" customWidth="1"/>
    <col min="7956" max="7956" width="20.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85546875" bestFit="1" customWidth="1"/>
    <col min="8197" max="8197" width="14.85546875" bestFit="1" customWidth="1"/>
    <col min="8198" max="8198" width="16.85546875" bestFit="1" customWidth="1"/>
    <col min="8199" max="8199" width="13.42578125" customWidth="1"/>
    <col min="8200" max="8200" width="15.42578125" bestFit="1" customWidth="1"/>
    <col min="8201" max="8201" width="14.28515625" bestFit="1" customWidth="1"/>
    <col min="8202" max="8202" width="15.28515625" customWidth="1"/>
    <col min="8203" max="8203" width="15.85546875" customWidth="1"/>
    <col min="8204" max="8204" width="17.28515625" bestFit="1" customWidth="1"/>
    <col min="8205" max="8205" width="12.7109375" customWidth="1"/>
    <col min="8206" max="8206" width="13.7109375" customWidth="1"/>
    <col min="8207" max="8207" width="14.140625" bestFit="1" customWidth="1"/>
    <col min="8208" max="8208" width="17.28515625" bestFit="1" customWidth="1"/>
    <col min="8209" max="8209" width="16.140625" customWidth="1"/>
    <col min="8210" max="8210" width="17.42578125" bestFit="1" customWidth="1"/>
    <col min="8211" max="8211" width="16.28515625" bestFit="1" customWidth="1"/>
    <col min="8212" max="8212" width="20.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85546875" bestFit="1" customWidth="1"/>
    <col min="8453" max="8453" width="14.85546875" bestFit="1" customWidth="1"/>
    <col min="8454" max="8454" width="16.85546875" bestFit="1" customWidth="1"/>
    <col min="8455" max="8455" width="13.42578125" customWidth="1"/>
    <col min="8456" max="8456" width="15.42578125" bestFit="1" customWidth="1"/>
    <col min="8457" max="8457" width="14.28515625" bestFit="1" customWidth="1"/>
    <col min="8458" max="8458" width="15.28515625" customWidth="1"/>
    <col min="8459" max="8459" width="15.85546875" customWidth="1"/>
    <col min="8460" max="8460" width="17.28515625" bestFit="1" customWidth="1"/>
    <col min="8461" max="8461" width="12.7109375" customWidth="1"/>
    <col min="8462" max="8462" width="13.7109375" customWidth="1"/>
    <col min="8463" max="8463" width="14.140625" bestFit="1" customWidth="1"/>
    <col min="8464" max="8464" width="17.28515625" bestFit="1" customWidth="1"/>
    <col min="8465" max="8465" width="16.140625" customWidth="1"/>
    <col min="8466" max="8466" width="17.42578125" bestFit="1" customWidth="1"/>
    <col min="8467" max="8467" width="16.28515625" bestFit="1" customWidth="1"/>
    <col min="8468" max="8468" width="20.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85546875" bestFit="1" customWidth="1"/>
    <col min="8709" max="8709" width="14.85546875" bestFit="1" customWidth="1"/>
    <col min="8710" max="8710" width="16.85546875" bestFit="1" customWidth="1"/>
    <col min="8711" max="8711" width="13.42578125" customWidth="1"/>
    <col min="8712" max="8712" width="15.42578125" bestFit="1" customWidth="1"/>
    <col min="8713" max="8713" width="14.28515625" bestFit="1" customWidth="1"/>
    <col min="8714" max="8714" width="15.28515625" customWidth="1"/>
    <col min="8715" max="8715" width="15.85546875" customWidth="1"/>
    <col min="8716" max="8716" width="17.28515625" bestFit="1" customWidth="1"/>
    <col min="8717" max="8717" width="12.7109375" customWidth="1"/>
    <col min="8718" max="8718" width="13.7109375" customWidth="1"/>
    <col min="8719" max="8719" width="14.140625" bestFit="1" customWidth="1"/>
    <col min="8720" max="8720" width="17.28515625" bestFit="1" customWidth="1"/>
    <col min="8721" max="8721" width="16.140625" customWidth="1"/>
    <col min="8722" max="8722" width="17.42578125" bestFit="1" customWidth="1"/>
    <col min="8723" max="8723" width="16.28515625" bestFit="1" customWidth="1"/>
    <col min="8724" max="8724" width="20.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85546875" bestFit="1" customWidth="1"/>
    <col min="8965" max="8965" width="14.85546875" bestFit="1" customWidth="1"/>
    <col min="8966" max="8966" width="16.85546875" bestFit="1" customWidth="1"/>
    <col min="8967" max="8967" width="13.42578125" customWidth="1"/>
    <col min="8968" max="8968" width="15.42578125" bestFit="1" customWidth="1"/>
    <col min="8969" max="8969" width="14.28515625" bestFit="1" customWidth="1"/>
    <col min="8970" max="8970" width="15.28515625" customWidth="1"/>
    <col min="8971" max="8971" width="15.85546875" customWidth="1"/>
    <col min="8972" max="8972" width="17.28515625" bestFit="1" customWidth="1"/>
    <col min="8973" max="8973" width="12.7109375" customWidth="1"/>
    <col min="8974" max="8974" width="13.7109375" customWidth="1"/>
    <col min="8975" max="8975" width="14.140625" bestFit="1" customWidth="1"/>
    <col min="8976" max="8976" width="17.28515625" bestFit="1" customWidth="1"/>
    <col min="8977" max="8977" width="16.140625" customWidth="1"/>
    <col min="8978" max="8978" width="17.42578125" bestFit="1" customWidth="1"/>
    <col min="8979" max="8979" width="16.28515625" bestFit="1" customWidth="1"/>
    <col min="8980" max="8980" width="20.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85546875" bestFit="1" customWidth="1"/>
    <col min="9221" max="9221" width="14.85546875" bestFit="1" customWidth="1"/>
    <col min="9222" max="9222" width="16.85546875" bestFit="1" customWidth="1"/>
    <col min="9223" max="9223" width="13.42578125" customWidth="1"/>
    <col min="9224" max="9224" width="15.42578125" bestFit="1" customWidth="1"/>
    <col min="9225" max="9225" width="14.28515625" bestFit="1" customWidth="1"/>
    <col min="9226" max="9226" width="15.28515625" customWidth="1"/>
    <col min="9227" max="9227" width="15.85546875" customWidth="1"/>
    <col min="9228" max="9228" width="17.28515625" bestFit="1" customWidth="1"/>
    <col min="9229" max="9229" width="12.7109375" customWidth="1"/>
    <col min="9230" max="9230" width="13.7109375" customWidth="1"/>
    <col min="9231" max="9231" width="14.140625" bestFit="1" customWidth="1"/>
    <col min="9232" max="9232" width="17.28515625" bestFit="1" customWidth="1"/>
    <col min="9233" max="9233" width="16.140625" customWidth="1"/>
    <col min="9234" max="9234" width="17.42578125" bestFit="1" customWidth="1"/>
    <col min="9235" max="9235" width="16.28515625" bestFit="1" customWidth="1"/>
    <col min="9236" max="9236" width="20.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85546875" bestFit="1" customWidth="1"/>
    <col min="9477" max="9477" width="14.85546875" bestFit="1" customWidth="1"/>
    <col min="9478" max="9478" width="16.85546875" bestFit="1" customWidth="1"/>
    <col min="9479" max="9479" width="13.42578125" customWidth="1"/>
    <col min="9480" max="9480" width="15.42578125" bestFit="1" customWidth="1"/>
    <col min="9481" max="9481" width="14.28515625" bestFit="1" customWidth="1"/>
    <col min="9482" max="9482" width="15.28515625" customWidth="1"/>
    <col min="9483" max="9483" width="15.85546875" customWidth="1"/>
    <col min="9484" max="9484" width="17.28515625" bestFit="1" customWidth="1"/>
    <col min="9485" max="9485" width="12.7109375" customWidth="1"/>
    <col min="9486" max="9486" width="13.7109375" customWidth="1"/>
    <col min="9487" max="9487" width="14.140625" bestFit="1" customWidth="1"/>
    <col min="9488" max="9488" width="17.28515625" bestFit="1" customWidth="1"/>
    <col min="9489" max="9489" width="16.140625" customWidth="1"/>
    <col min="9490" max="9490" width="17.42578125" bestFit="1" customWidth="1"/>
    <col min="9491" max="9491" width="16.28515625" bestFit="1" customWidth="1"/>
    <col min="9492" max="9492" width="20.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85546875" bestFit="1" customWidth="1"/>
    <col min="9733" max="9733" width="14.85546875" bestFit="1" customWidth="1"/>
    <col min="9734" max="9734" width="16.85546875" bestFit="1" customWidth="1"/>
    <col min="9735" max="9735" width="13.42578125" customWidth="1"/>
    <col min="9736" max="9736" width="15.42578125" bestFit="1" customWidth="1"/>
    <col min="9737" max="9737" width="14.28515625" bestFit="1" customWidth="1"/>
    <col min="9738" max="9738" width="15.28515625" customWidth="1"/>
    <col min="9739" max="9739" width="15.85546875" customWidth="1"/>
    <col min="9740" max="9740" width="17.28515625" bestFit="1" customWidth="1"/>
    <col min="9741" max="9741" width="12.7109375" customWidth="1"/>
    <col min="9742" max="9742" width="13.7109375" customWidth="1"/>
    <col min="9743" max="9743" width="14.140625" bestFit="1" customWidth="1"/>
    <col min="9744" max="9744" width="17.28515625" bestFit="1" customWidth="1"/>
    <col min="9745" max="9745" width="16.140625" customWidth="1"/>
    <col min="9746" max="9746" width="17.42578125" bestFit="1" customWidth="1"/>
    <col min="9747" max="9747" width="16.28515625" bestFit="1" customWidth="1"/>
    <col min="9748" max="9748" width="20.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85546875" bestFit="1" customWidth="1"/>
    <col min="9989" max="9989" width="14.85546875" bestFit="1" customWidth="1"/>
    <col min="9990" max="9990" width="16.85546875" bestFit="1" customWidth="1"/>
    <col min="9991" max="9991" width="13.42578125" customWidth="1"/>
    <col min="9992" max="9992" width="15.42578125" bestFit="1" customWidth="1"/>
    <col min="9993" max="9993" width="14.28515625" bestFit="1" customWidth="1"/>
    <col min="9994" max="9994" width="15.28515625" customWidth="1"/>
    <col min="9995" max="9995" width="15.85546875" customWidth="1"/>
    <col min="9996" max="9996" width="17.28515625" bestFit="1" customWidth="1"/>
    <col min="9997" max="9997" width="12.7109375" customWidth="1"/>
    <col min="9998" max="9998" width="13.7109375" customWidth="1"/>
    <col min="9999" max="9999" width="14.140625" bestFit="1" customWidth="1"/>
    <col min="10000" max="10000" width="17.28515625" bestFit="1" customWidth="1"/>
    <col min="10001" max="10001" width="16.140625" customWidth="1"/>
    <col min="10002" max="10002" width="17.42578125" bestFit="1" customWidth="1"/>
    <col min="10003" max="10003" width="16.28515625" bestFit="1" customWidth="1"/>
    <col min="10004" max="10004" width="20.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85546875" bestFit="1" customWidth="1"/>
    <col min="10245" max="10245" width="14.85546875" bestFit="1" customWidth="1"/>
    <col min="10246" max="10246" width="16.85546875" bestFit="1" customWidth="1"/>
    <col min="10247" max="10247" width="13.42578125" customWidth="1"/>
    <col min="10248" max="10248" width="15.42578125" bestFit="1" customWidth="1"/>
    <col min="10249" max="10249" width="14.28515625" bestFit="1" customWidth="1"/>
    <col min="10250" max="10250" width="15.28515625" customWidth="1"/>
    <col min="10251" max="10251" width="15.85546875" customWidth="1"/>
    <col min="10252" max="10252" width="17.28515625" bestFit="1" customWidth="1"/>
    <col min="10253" max="10253" width="12.7109375" customWidth="1"/>
    <col min="10254" max="10254" width="13.7109375" customWidth="1"/>
    <col min="10255" max="10255" width="14.140625" bestFit="1" customWidth="1"/>
    <col min="10256" max="10256" width="17.28515625" bestFit="1" customWidth="1"/>
    <col min="10257" max="10257" width="16.140625" customWidth="1"/>
    <col min="10258" max="10258" width="17.42578125" bestFit="1" customWidth="1"/>
    <col min="10259" max="10259" width="16.28515625" bestFit="1" customWidth="1"/>
    <col min="10260" max="10260" width="20.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85546875" bestFit="1" customWidth="1"/>
    <col min="10501" max="10501" width="14.85546875" bestFit="1" customWidth="1"/>
    <col min="10502" max="10502" width="16.85546875" bestFit="1" customWidth="1"/>
    <col min="10503" max="10503" width="13.42578125" customWidth="1"/>
    <col min="10504" max="10504" width="15.42578125" bestFit="1" customWidth="1"/>
    <col min="10505" max="10505" width="14.28515625" bestFit="1" customWidth="1"/>
    <col min="10506" max="10506" width="15.28515625" customWidth="1"/>
    <col min="10507" max="10507" width="15.85546875" customWidth="1"/>
    <col min="10508" max="10508" width="17.28515625" bestFit="1" customWidth="1"/>
    <col min="10509" max="10509" width="12.7109375" customWidth="1"/>
    <col min="10510" max="10510" width="13.7109375" customWidth="1"/>
    <col min="10511" max="10511" width="14.140625" bestFit="1" customWidth="1"/>
    <col min="10512" max="10512" width="17.28515625" bestFit="1" customWidth="1"/>
    <col min="10513" max="10513" width="16.140625" customWidth="1"/>
    <col min="10514" max="10514" width="17.42578125" bestFit="1" customWidth="1"/>
    <col min="10515" max="10515" width="16.28515625" bestFit="1" customWidth="1"/>
    <col min="10516" max="10516" width="20.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85546875" bestFit="1" customWidth="1"/>
    <col min="10757" max="10757" width="14.85546875" bestFit="1" customWidth="1"/>
    <col min="10758" max="10758" width="16.85546875" bestFit="1" customWidth="1"/>
    <col min="10759" max="10759" width="13.42578125" customWidth="1"/>
    <col min="10760" max="10760" width="15.42578125" bestFit="1" customWidth="1"/>
    <col min="10761" max="10761" width="14.28515625" bestFit="1" customWidth="1"/>
    <col min="10762" max="10762" width="15.28515625" customWidth="1"/>
    <col min="10763" max="10763" width="15.85546875" customWidth="1"/>
    <col min="10764" max="10764" width="17.28515625" bestFit="1" customWidth="1"/>
    <col min="10765" max="10765" width="12.7109375" customWidth="1"/>
    <col min="10766" max="10766" width="13.7109375" customWidth="1"/>
    <col min="10767" max="10767" width="14.140625" bestFit="1" customWidth="1"/>
    <col min="10768" max="10768" width="17.28515625" bestFit="1" customWidth="1"/>
    <col min="10769" max="10769" width="16.140625" customWidth="1"/>
    <col min="10770" max="10770" width="17.42578125" bestFit="1" customWidth="1"/>
    <col min="10771" max="10771" width="16.28515625" bestFit="1" customWidth="1"/>
    <col min="10772" max="10772" width="20.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85546875" bestFit="1" customWidth="1"/>
    <col min="11013" max="11013" width="14.85546875" bestFit="1" customWidth="1"/>
    <col min="11014" max="11014" width="16.85546875" bestFit="1" customWidth="1"/>
    <col min="11015" max="11015" width="13.42578125" customWidth="1"/>
    <col min="11016" max="11016" width="15.42578125" bestFit="1" customWidth="1"/>
    <col min="11017" max="11017" width="14.28515625" bestFit="1" customWidth="1"/>
    <col min="11018" max="11018" width="15.28515625" customWidth="1"/>
    <col min="11019" max="11019" width="15.85546875" customWidth="1"/>
    <col min="11020" max="11020" width="17.28515625" bestFit="1" customWidth="1"/>
    <col min="11021" max="11021" width="12.7109375" customWidth="1"/>
    <col min="11022" max="11022" width="13.7109375" customWidth="1"/>
    <col min="11023" max="11023" width="14.140625" bestFit="1" customWidth="1"/>
    <col min="11024" max="11024" width="17.28515625" bestFit="1" customWidth="1"/>
    <col min="11025" max="11025" width="16.140625" customWidth="1"/>
    <col min="11026" max="11026" width="17.42578125" bestFit="1" customWidth="1"/>
    <col min="11027" max="11027" width="16.28515625" bestFit="1" customWidth="1"/>
    <col min="11028" max="11028" width="20.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85546875" bestFit="1" customWidth="1"/>
    <col min="11269" max="11269" width="14.85546875" bestFit="1" customWidth="1"/>
    <col min="11270" max="11270" width="16.85546875" bestFit="1" customWidth="1"/>
    <col min="11271" max="11271" width="13.42578125" customWidth="1"/>
    <col min="11272" max="11272" width="15.42578125" bestFit="1" customWidth="1"/>
    <col min="11273" max="11273" width="14.28515625" bestFit="1" customWidth="1"/>
    <col min="11274" max="11274" width="15.28515625" customWidth="1"/>
    <col min="11275" max="11275" width="15.85546875" customWidth="1"/>
    <col min="11276" max="11276" width="17.28515625" bestFit="1" customWidth="1"/>
    <col min="11277" max="11277" width="12.7109375" customWidth="1"/>
    <col min="11278" max="11278" width="13.7109375" customWidth="1"/>
    <col min="11279" max="11279" width="14.140625" bestFit="1" customWidth="1"/>
    <col min="11280" max="11280" width="17.28515625" bestFit="1" customWidth="1"/>
    <col min="11281" max="11281" width="16.140625" customWidth="1"/>
    <col min="11282" max="11282" width="17.42578125" bestFit="1" customWidth="1"/>
    <col min="11283" max="11283" width="16.28515625" bestFit="1" customWidth="1"/>
    <col min="11284" max="11284" width="20.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85546875" bestFit="1" customWidth="1"/>
    <col min="11525" max="11525" width="14.85546875" bestFit="1" customWidth="1"/>
    <col min="11526" max="11526" width="16.85546875" bestFit="1" customWidth="1"/>
    <col min="11527" max="11527" width="13.42578125" customWidth="1"/>
    <col min="11528" max="11528" width="15.42578125" bestFit="1" customWidth="1"/>
    <col min="11529" max="11529" width="14.28515625" bestFit="1" customWidth="1"/>
    <col min="11530" max="11530" width="15.28515625" customWidth="1"/>
    <col min="11531" max="11531" width="15.85546875" customWidth="1"/>
    <col min="11532" max="11532" width="17.28515625" bestFit="1" customWidth="1"/>
    <col min="11533" max="11533" width="12.7109375" customWidth="1"/>
    <col min="11534" max="11534" width="13.7109375" customWidth="1"/>
    <col min="11535" max="11535" width="14.140625" bestFit="1" customWidth="1"/>
    <col min="11536" max="11536" width="17.28515625" bestFit="1" customWidth="1"/>
    <col min="11537" max="11537" width="16.140625" customWidth="1"/>
    <col min="11538" max="11538" width="17.42578125" bestFit="1" customWidth="1"/>
    <col min="11539" max="11539" width="16.28515625" bestFit="1" customWidth="1"/>
    <col min="11540" max="11540" width="20.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85546875" bestFit="1" customWidth="1"/>
    <col min="11781" max="11781" width="14.85546875" bestFit="1" customWidth="1"/>
    <col min="11782" max="11782" width="16.85546875" bestFit="1" customWidth="1"/>
    <col min="11783" max="11783" width="13.42578125" customWidth="1"/>
    <col min="11784" max="11784" width="15.42578125" bestFit="1" customWidth="1"/>
    <col min="11785" max="11785" width="14.28515625" bestFit="1" customWidth="1"/>
    <col min="11786" max="11786" width="15.28515625" customWidth="1"/>
    <col min="11787" max="11787" width="15.85546875" customWidth="1"/>
    <col min="11788" max="11788" width="17.28515625" bestFit="1" customWidth="1"/>
    <col min="11789" max="11789" width="12.7109375" customWidth="1"/>
    <col min="11790" max="11790" width="13.7109375" customWidth="1"/>
    <col min="11791" max="11791" width="14.140625" bestFit="1" customWidth="1"/>
    <col min="11792" max="11792" width="17.28515625" bestFit="1" customWidth="1"/>
    <col min="11793" max="11793" width="16.140625" customWidth="1"/>
    <col min="11794" max="11794" width="17.42578125" bestFit="1" customWidth="1"/>
    <col min="11795" max="11795" width="16.28515625" bestFit="1" customWidth="1"/>
    <col min="11796" max="11796" width="20.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85546875" bestFit="1" customWidth="1"/>
    <col min="12037" max="12037" width="14.85546875" bestFit="1" customWidth="1"/>
    <col min="12038" max="12038" width="16.85546875" bestFit="1" customWidth="1"/>
    <col min="12039" max="12039" width="13.42578125" customWidth="1"/>
    <col min="12040" max="12040" width="15.42578125" bestFit="1" customWidth="1"/>
    <col min="12041" max="12041" width="14.28515625" bestFit="1" customWidth="1"/>
    <col min="12042" max="12042" width="15.28515625" customWidth="1"/>
    <col min="12043" max="12043" width="15.85546875" customWidth="1"/>
    <col min="12044" max="12044" width="17.28515625" bestFit="1" customWidth="1"/>
    <col min="12045" max="12045" width="12.7109375" customWidth="1"/>
    <col min="12046" max="12046" width="13.7109375" customWidth="1"/>
    <col min="12047" max="12047" width="14.140625" bestFit="1" customWidth="1"/>
    <col min="12048" max="12048" width="17.28515625" bestFit="1" customWidth="1"/>
    <col min="12049" max="12049" width="16.140625" customWidth="1"/>
    <col min="12050" max="12050" width="17.42578125" bestFit="1" customWidth="1"/>
    <col min="12051" max="12051" width="16.28515625" bestFit="1" customWidth="1"/>
    <col min="12052" max="12052" width="20.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85546875" bestFit="1" customWidth="1"/>
    <col min="12293" max="12293" width="14.85546875" bestFit="1" customWidth="1"/>
    <col min="12294" max="12294" width="16.85546875" bestFit="1" customWidth="1"/>
    <col min="12295" max="12295" width="13.42578125" customWidth="1"/>
    <col min="12296" max="12296" width="15.42578125" bestFit="1" customWidth="1"/>
    <col min="12297" max="12297" width="14.28515625" bestFit="1" customWidth="1"/>
    <col min="12298" max="12298" width="15.28515625" customWidth="1"/>
    <col min="12299" max="12299" width="15.85546875" customWidth="1"/>
    <col min="12300" max="12300" width="17.28515625" bestFit="1" customWidth="1"/>
    <col min="12301" max="12301" width="12.7109375" customWidth="1"/>
    <col min="12302" max="12302" width="13.7109375" customWidth="1"/>
    <col min="12303" max="12303" width="14.140625" bestFit="1" customWidth="1"/>
    <col min="12304" max="12304" width="17.28515625" bestFit="1" customWidth="1"/>
    <col min="12305" max="12305" width="16.140625" customWidth="1"/>
    <col min="12306" max="12306" width="17.42578125" bestFit="1" customWidth="1"/>
    <col min="12307" max="12307" width="16.28515625" bestFit="1" customWidth="1"/>
    <col min="12308" max="12308" width="20.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85546875" bestFit="1" customWidth="1"/>
    <col min="12549" max="12549" width="14.85546875" bestFit="1" customWidth="1"/>
    <col min="12550" max="12550" width="16.85546875" bestFit="1" customWidth="1"/>
    <col min="12551" max="12551" width="13.42578125" customWidth="1"/>
    <col min="12552" max="12552" width="15.42578125" bestFit="1" customWidth="1"/>
    <col min="12553" max="12553" width="14.28515625" bestFit="1" customWidth="1"/>
    <col min="12554" max="12554" width="15.28515625" customWidth="1"/>
    <col min="12555" max="12555" width="15.85546875" customWidth="1"/>
    <col min="12556" max="12556" width="17.28515625" bestFit="1" customWidth="1"/>
    <col min="12557" max="12557" width="12.7109375" customWidth="1"/>
    <col min="12558" max="12558" width="13.7109375" customWidth="1"/>
    <col min="12559" max="12559" width="14.140625" bestFit="1" customWidth="1"/>
    <col min="12560" max="12560" width="17.28515625" bestFit="1" customWidth="1"/>
    <col min="12561" max="12561" width="16.140625" customWidth="1"/>
    <col min="12562" max="12562" width="17.42578125" bestFit="1" customWidth="1"/>
    <col min="12563" max="12563" width="16.28515625" bestFit="1" customWidth="1"/>
    <col min="12564" max="12564" width="20.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85546875" bestFit="1" customWidth="1"/>
    <col min="12805" max="12805" width="14.85546875" bestFit="1" customWidth="1"/>
    <col min="12806" max="12806" width="16.85546875" bestFit="1" customWidth="1"/>
    <col min="12807" max="12807" width="13.42578125" customWidth="1"/>
    <col min="12808" max="12808" width="15.42578125" bestFit="1" customWidth="1"/>
    <col min="12809" max="12809" width="14.28515625" bestFit="1" customWidth="1"/>
    <col min="12810" max="12810" width="15.28515625" customWidth="1"/>
    <col min="12811" max="12811" width="15.85546875" customWidth="1"/>
    <col min="12812" max="12812" width="17.28515625" bestFit="1" customWidth="1"/>
    <col min="12813" max="12813" width="12.7109375" customWidth="1"/>
    <col min="12814" max="12814" width="13.7109375" customWidth="1"/>
    <col min="12815" max="12815" width="14.140625" bestFit="1" customWidth="1"/>
    <col min="12816" max="12816" width="17.28515625" bestFit="1" customWidth="1"/>
    <col min="12817" max="12817" width="16.140625" customWidth="1"/>
    <col min="12818" max="12818" width="17.42578125" bestFit="1" customWidth="1"/>
    <col min="12819" max="12819" width="16.28515625" bestFit="1" customWidth="1"/>
    <col min="12820" max="12820" width="20.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85546875" bestFit="1" customWidth="1"/>
    <col min="13061" max="13061" width="14.85546875" bestFit="1" customWidth="1"/>
    <col min="13062" max="13062" width="16.85546875" bestFit="1" customWidth="1"/>
    <col min="13063" max="13063" width="13.42578125" customWidth="1"/>
    <col min="13064" max="13064" width="15.42578125" bestFit="1" customWidth="1"/>
    <col min="13065" max="13065" width="14.28515625" bestFit="1" customWidth="1"/>
    <col min="13066" max="13066" width="15.28515625" customWidth="1"/>
    <col min="13067" max="13067" width="15.85546875" customWidth="1"/>
    <col min="13068" max="13068" width="17.28515625" bestFit="1" customWidth="1"/>
    <col min="13069" max="13069" width="12.7109375" customWidth="1"/>
    <col min="13070" max="13070" width="13.7109375" customWidth="1"/>
    <col min="13071" max="13071" width="14.140625" bestFit="1" customWidth="1"/>
    <col min="13072" max="13072" width="17.28515625" bestFit="1" customWidth="1"/>
    <col min="13073" max="13073" width="16.140625" customWidth="1"/>
    <col min="13074" max="13074" width="17.42578125" bestFit="1" customWidth="1"/>
    <col min="13075" max="13075" width="16.28515625" bestFit="1" customWidth="1"/>
    <col min="13076" max="13076" width="20.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85546875" bestFit="1" customWidth="1"/>
    <col min="13317" max="13317" width="14.85546875" bestFit="1" customWidth="1"/>
    <col min="13318" max="13318" width="16.85546875" bestFit="1" customWidth="1"/>
    <col min="13319" max="13319" width="13.42578125" customWidth="1"/>
    <col min="13320" max="13320" width="15.42578125" bestFit="1" customWidth="1"/>
    <col min="13321" max="13321" width="14.28515625" bestFit="1" customWidth="1"/>
    <col min="13322" max="13322" width="15.28515625" customWidth="1"/>
    <col min="13323" max="13323" width="15.85546875" customWidth="1"/>
    <col min="13324" max="13324" width="17.28515625" bestFit="1" customWidth="1"/>
    <col min="13325" max="13325" width="12.7109375" customWidth="1"/>
    <col min="13326" max="13326" width="13.7109375" customWidth="1"/>
    <col min="13327" max="13327" width="14.140625" bestFit="1" customWidth="1"/>
    <col min="13328" max="13328" width="17.28515625" bestFit="1" customWidth="1"/>
    <col min="13329" max="13329" width="16.140625" customWidth="1"/>
    <col min="13330" max="13330" width="17.42578125" bestFit="1" customWidth="1"/>
    <col min="13331" max="13331" width="16.28515625" bestFit="1" customWidth="1"/>
    <col min="13332" max="13332" width="20.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85546875" bestFit="1" customWidth="1"/>
    <col min="13573" max="13573" width="14.85546875" bestFit="1" customWidth="1"/>
    <col min="13574" max="13574" width="16.85546875" bestFit="1" customWidth="1"/>
    <col min="13575" max="13575" width="13.42578125" customWidth="1"/>
    <col min="13576" max="13576" width="15.42578125" bestFit="1" customWidth="1"/>
    <col min="13577" max="13577" width="14.28515625" bestFit="1" customWidth="1"/>
    <col min="13578" max="13578" width="15.28515625" customWidth="1"/>
    <col min="13579" max="13579" width="15.85546875" customWidth="1"/>
    <col min="13580" max="13580" width="17.28515625" bestFit="1" customWidth="1"/>
    <col min="13581" max="13581" width="12.7109375" customWidth="1"/>
    <col min="13582" max="13582" width="13.7109375" customWidth="1"/>
    <col min="13583" max="13583" width="14.140625" bestFit="1" customWidth="1"/>
    <col min="13584" max="13584" width="17.28515625" bestFit="1" customWidth="1"/>
    <col min="13585" max="13585" width="16.140625" customWidth="1"/>
    <col min="13586" max="13586" width="17.42578125" bestFit="1" customWidth="1"/>
    <col min="13587" max="13587" width="16.28515625" bestFit="1" customWidth="1"/>
    <col min="13588" max="13588" width="20.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85546875" bestFit="1" customWidth="1"/>
    <col min="13829" max="13829" width="14.85546875" bestFit="1" customWidth="1"/>
    <col min="13830" max="13830" width="16.85546875" bestFit="1" customWidth="1"/>
    <col min="13831" max="13831" width="13.42578125" customWidth="1"/>
    <col min="13832" max="13832" width="15.42578125" bestFit="1" customWidth="1"/>
    <col min="13833" max="13833" width="14.28515625" bestFit="1" customWidth="1"/>
    <col min="13834" max="13834" width="15.28515625" customWidth="1"/>
    <col min="13835" max="13835" width="15.85546875" customWidth="1"/>
    <col min="13836" max="13836" width="17.28515625" bestFit="1" customWidth="1"/>
    <col min="13837" max="13837" width="12.7109375" customWidth="1"/>
    <col min="13838" max="13838" width="13.7109375" customWidth="1"/>
    <col min="13839" max="13839" width="14.140625" bestFit="1" customWidth="1"/>
    <col min="13840" max="13840" width="17.28515625" bestFit="1" customWidth="1"/>
    <col min="13841" max="13841" width="16.140625" customWidth="1"/>
    <col min="13842" max="13842" width="17.42578125" bestFit="1" customWidth="1"/>
    <col min="13843" max="13843" width="16.28515625" bestFit="1" customWidth="1"/>
    <col min="13844" max="13844" width="20.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85546875" bestFit="1" customWidth="1"/>
    <col min="14085" max="14085" width="14.85546875" bestFit="1" customWidth="1"/>
    <col min="14086" max="14086" width="16.85546875" bestFit="1" customWidth="1"/>
    <col min="14087" max="14087" width="13.42578125" customWidth="1"/>
    <col min="14088" max="14088" width="15.42578125" bestFit="1" customWidth="1"/>
    <col min="14089" max="14089" width="14.28515625" bestFit="1" customWidth="1"/>
    <col min="14090" max="14090" width="15.28515625" customWidth="1"/>
    <col min="14091" max="14091" width="15.85546875" customWidth="1"/>
    <col min="14092" max="14092" width="17.28515625" bestFit="1" customWidth="1"/>
    <col min="14093" max="14093" width="12.7109375" customWidth="1"/>
    <col min="14094" max="14094" width="13.7109375" customWidth="1"/>
    <col min="14095" max="14095" width="14.140625" bestFit="1" customWidth="1"/>
    <col min="14096" max="14096" width="17.28515625" bestFit="1" customWidth="1"/>
    <col min="14097" max="14097" width="16.140625" customWidth="1"/>
    <col min="14098" max="14098" width="17.42578125" bestFit="1" customWidth="1"/>
    <col min="14099" max="14099" width="16.28515625" bestFit="1" customWidth="1"/>
    <col min="14100" max="14100" width="20.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85546875" bestFit="1" customWidth="1"/>
    <col min="14341" max="14341" width="14.85546875" bestFit="1" customWidth="1"/>
    <col min="14342" max="14342" width="16.85546875" bestFit="1" customWidth="1"/>
    <col min="14343" max="14343" width="13.42578125" customWidth="1"/>
    <col min="14344" max="14344" width="15.42578125" bestFit="1" customWidth="1"/>
    <col min="14345" max="14345" width="14.28515625" bestFit="1" customWidth="1"/>
    <col min="14346" max="14346" width="15.28515625" customWidth="1"/>
    <col min="14347" max="14347" width="15.85546875" customWidth="1"/>
    <col min="14348" max="14348" width="17.28515625" bestFit="1" customWidth="1"/>
    <col min="14349" max="14349" width="12.7109375" customWidth="1"/>
    <col min="14350" max="14350" width="13.7109375" customWidth="1"/>
    <col min="14351" max="14351" width="14.140625" bestFit="1" customWidth="1"/>
    <col min="14352" max="14352" width="17.28515625" bestFit="1" customWidth="1"/>
    <col min="14353" max="14353" width="16.140625" customWidth="1"/>
    <col min="14354" max="14354" width="17.42578125" bestFit="1" customWidth="1"/>
    <col min="14355" max="14355" width="16.28515625" bestFit="1" customWidth="1"/>
    <col min="14356" max="14356" width="20.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85546875" bestFit="1" customWidth="1"/>
    <col min="14597" max="14597" width="14.85546875" bestFit="1" customWidth="1"/>
    <col min="14598" max="14598" width="16.85546875" bestFit="1" customWidth="1"/>
    <col min="14599" max="14599" width="13.42578125" customWidth="1"/>
    <col min="14600" max="14600" width="15.42578125" bestFit="1" customWidth="1"/>
    <col min="14601" max="14601" width="14.28515625" bestFit="1" customWidth="1"/>
    <col min="14602" max="14602" width="15.28515625" customWidth="1"/>
    <col min="14603" max="14603" width="15.85546875" customWidth="1"/>
    <col min="14604" max="14604" width="17.28515625" bestFit="1" customWidth="1"/>
    <col min="14605" max="14605" width="12.7109375" customWidth="1"/>
    <col min="14606" max="14606" width="13.7109375" customWidth="1"/>
    <col min="14607" max="14607" width="14.140625" bestFit="1" customWidth="1"/>
    <col min="14608" max="14608" width="17.28515625" bestFit="1" customWidth="1"/>
    <col min="14609" max="14609" width="16.140625" customWidth="1"/>
    <col min="14610" max="14610" width="17.42578125" bestFit="1" customWidth="1"/>
    <col min="14611" max="14611" width="16.28515625" bestFit="1" customWidth="1"/>
    <col min="14612" max="14612" width="20.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85546875" bestFit="1" customWidth="1"/>
    <col min="14853" max="14853" width="14.85546875" bestFit="1" customWidth="1"/>
    <col min="14854" max="14854" width="16.85546875" bestFit="1" customWidth="1"/>
    <col min="14855" max="14855" width="13.42578125" customWidth="1"/>
    <col min="14856" max="14856" width="15.42578125" bestFit="1" customWidth="1"/>
    <col min="14857" max="14857" width="14.28515625" bestFit="1" customWidth="1"/>
    <col min="14858" max="14858" width="15.28515625" customWidth="1"/>
    <col min="14859" max="14859" width="15.85546875" customWidth="1"/>
    <col min="14860" max="14860" width="17.28515625" bestFit="1" customWidth="1"/>
    <col min="14861" max="14861" width="12.7109375" customWidth="1"/>
    <col min="14862" max="14862" width="13.7109375" customWidth="1"/>
    <col min="14863" max="14863" width="14.140625" bestFit="1" customWidth="1"/>
    <col min="14864" max="14864" width="17.28515625" bestFit="1" customWidth="1"/>
    <col min="14865" max="14865" width="16.140625" customWidth="1"/>
    <col min="14866" max="14866" width="17.42578125" bestFit="1" customWidth="1"/>
    <col min="14867" max="14867" width="16.28515625" bestFit="1" customWidth="1"/>
    <col min="14868" max="14868" width="20.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85546875" bestFit="1" customWidth="1"/>
    <col min="15109" max="15109" width="14.85546875" bestFit="1" customWidth="1"/>
    <col min="15110" max="15110" width="16.85546875" bestFit="1" customWidth="1"/>
    <col min="15111" max="15111" width="13.42578125" customWidth="1"/>
    <col min="15112" max="15112" width="15.42578125" bestFit="1" customWidth="1"/>
    <col min="15113" max="15113" width="14.28515625" bestFit="1" customWidth="1"/>
    <col min="15114" max="15114" width="15.28515625" customWidth="1"/>
    <col min="15115" max="15115" width="15.85546875" customWidth="1"/>
    <col min="15116" max="15116" width="17.28515625" bestFit="1" customWidth="1"/>
    <col min="15117" max="15117" width="12.7109375" customWidth="1"/>
    <col min="15118" max="15118" width="13.7109375" customWidth="1"/>
    <col min="15119" max="15119" width="14.140625" bestFit="1" customWidth="1"/>
    <col min="15120" max="15120" width="17.28515625" bestFit="1" customWidth="1"/>
    <col min="15121" max="15121" width="16.140625" customWidth="1"/>
    <col min="15122" max="15122" width="17.42578125" bestFit="1" customWidth="1"/>
    <col min="15123" max="15123" width="16.28515625" bestFit="1" customWidth="1"/>
    <col min="15124" max="15124" width="20.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85546875" bestFit="1" customWidth="1"/>
    <col min="15365" max="15365" width="14.85546875" bestFit="1" customWidth="1"/>
    <col min="15366" max="15366" width="16.85546875" bestFit="1" customWidth="1"/>
    <col min="15367" max="15367" width="13.42578125" customWidth="1"/>
    <col min="15368" max="15368" width="15.42578125" bestFit="1" customWidth="1"/>
    <col min="15369" max="15369" width="14.28515625" bestFit="1" customWidth="1"/>
    <col min="15370" max="15370" width="15.28515625" customWidth="1"/>
    <col min="15371" max="15371" width="15.85546875" customWidth="1"/>
    <col min="15372" max="15372" width="17.28515625" bestFit="1" customWidth="1"/>
    <col min="15373" max="15373" width="12.7109375" customWidth="1"/>
    <col min="15374" max="15374" width="13.7109375" customWidth="1"/>
    <col min="15375" max="15375" width="14.140625" bestFit="1" customWidth="1"/>
    <col min="15376" max="15376" width="17.28515625" bestFit="1" customWidth="1"/>
    <col min="15377" max="15377" width="16.140625" customWidth="1"/>
    <col min="15378" max="15378" width="17.42578125" bestFit="1" customWidth="1"/>
    <col min="15379" max="15379" width="16.28515625" bestFit="1" customWidth="1"/>
    <col min="15380" max="15380" width="20.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85546875" bestFit="1" customWidth="1"/>
    <col min="15621" max="15621" width="14.85546875" bestFit="1" customWidth="1"/>
    <col min="15622" max="15622" width="16.85546875" bestFit="1" customWidth="1"/>
    <col min="15623" max="15623" width="13.42578125" customWidth="1"/>
    <col min="15624" max="15624" width="15.42578125" bestFit="1" customWidth="1"/>
    <col min="15625" max="15625" width="14.28515625" bestFit="1" customWidth="1"/>
    <col min="15626" max="15626" width="15.28515625" customWidth="1"/>
    <col min="15627" max="15627" width="15.85546875" customWidth="1"/>
    <col min="15628" max="15628" width="17.28515625" bestFit="1" customWidth="1"/>
    <col min="15629" max="15629" width="12.7109375" customWidth="1"/>
    <col min="15630" max="15630" width="13.7109375" customWidth="1"/>
    <col min="15631" max="15631" width="14.140625" bestFit="1" customWidth="1"/>
    <col min="15632" max="15632" width="17.28515625" bestFit="1" customWidth="1"/>
    <col min="15633" max="15633" width="16.140625" customWidth="1"/>
    <col min="15634" max="15634" width="17.42578125" bestFit="1" customWidth="1"/>
    <col min="15635" max="15635" width="16.28515625" bestFit="1" customWidth="1"/>
    <col min="15636" max="15636" width="20.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85546875" bestFit="1" customWidth="1"/>
    <col min="15877" max="15877" width="14.85546875" bestFit="1" customWidth="1"/>
    <col min="15878" max="15878" width="16.85546875" bestFit="1" customWidth="1"/>
    <col min="15879" max="15879" width="13.42578125" customWidth="1"/>
    <col min="15880" max="15880" width="15.42578125" bestFit="1" customWidth="1"/>
    <col min="15881" max="15881" width="14.28515625" bestFit="1" customWidth="1"/>
    <col min="15882" max="15882" width="15.28515625" customWidth="1"/>
    <col min="15883" max="15883" width="15.85546875" customWidth="1"/>
    <col min="15884" max="15884" width="17.28515625" bestFit="1" customWidth="1"/>
    <col min="15885" max="15885" width="12.7109375" customWidth="1"/>
    <col min="15886" max="15886" width="13.7109375" customWidth="1"/>
    <col min="15887" max="15887" width="14.140625" bestFit="1" customWidth="1"/>
    <col min="15888" max="15888" width="17.28515625" bestFit="1" customWidth="1"/>
    <col min="15889" max="15889" width="16.140625" customWidth="1"/>
    <col min="15890" max="15890" width="17.42578125" bestFit="1" customWidth="1"/>
    <col min="15891" max="15891" width="16.28515625" bestFit="1" customWidth="1"/>
    <col min="15892" max="15892" width="20.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85546875" bestFit="1" customWidth="1"/>
    <col min="16133" max="16133" width="14.85546875" bestFit="1" customWidth="1"/>
    <col min="16134" max="16134" width="16.85546875" bestFit="1" customWidth="1"/>
    <col min="16135" max="16135" width="13.42578125" customWidth="1"/>
    <col min="16136" max="16136" width="15.42578125" bestFit="1" customWidth="1"/>
    <col min="16137" max="16137" width="14.28515625" bestFit="1" customWidth="1"/>
    <col min="16138" max="16138" width="15.28515625" customWidth="1"/>
    <col min="16139" max="16139" width="15.85546875" customWidth="1"/>
    <col min="16140" max="16140" width="17.28515625" bestFit="1" customWidth="1"/>
    <col min="16141" max="16141" width="12.7109375" customWidth="1"/>
    <col min="16142" max="16142" width="13.7109375" customWidth="1"/>
    <col min="16143" max="16143" width="14.140625" bestFit="1" customWidth="1"/>
    <col min="16144" max="16144" width="17.28515625" bestFit="1" customWidth="1"/>
    <col min="16145" max="16145" width="16.140625" customWidth="1"/>
    <col min="16146" max="16146" width="17.42578125" bestFit="1" customWidth="1"/>
    <col min="16147" max="16147" width="16.28515625" bestFit="1" customWidth="1"/>
    <col min="16148" max="16148" width="20.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461"/>
      <c r="F1" s="198"/>
      <c r="G1" s="198">
        <f>C3</f>
        <v>18230673</v>
      </c>
      <c r="H1" s="198" t="str">
        <f>C4</f>
        <v>Multi-Family New Construction Gas</v>
      </c>
      <c r="I1" s="198"/>
    </row>
    <row r="2" spans="2:22" ht="16.5" thickBot="1">
      <c r="B2" s="198" t="s">
        <v>109</v>
      </c>
      <c r="C2" s="199" t="s">
        <v>634</v>
      </c>
      <c r="G2" s="200" t="s">
        <v>8</v>
      </c>
      <c r="Q2" s="5133" t="s">
        <v>556</v>
      </c>
      <c r="R2" s="5133"/>
      <c r="S2" s="5124" t="s">
        <v>110</v>
      </c>
      <c r="T2" s="5125"/>
      <c r="U2" s="5126"/>
      <c r="V2" s="5118" t="s">
        <v>111</v>
      </c>
    </row>
    <row r="3" spans="2:22" ht="16.5" thickBot="1">
      <c r="B3" s="199" t="s">
        <v>6</v>
      </c>
      <c r="C3" s="199">
        <v>18230673</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635</v>
      </c>
      <c r="F4" s="198">
        <v>2011</v>
      </c>
      <c r="G4" s="206">
        <f>B13</f>
        <v>58200</v>
      </c>
      <c r="H4" s="207">
        <f>B18</f>
        <v>4500</v>
      </c>
      <c r="I4" s="207">
        <f>B23</f>
        <v>39501</v>
      </c>
      <c r="J4" s="207">
        <f>B28</f>
        <v>5250</v>
      </c>
      <c r="K4" s="207">
        <f>B33</f>
        <v>300</v>
      </c>
      <c r="L4" s="207">
        <f>B38</f>
        <v>600</v>
      </c>
      <c r="M4" s="207">
        <f>B43</f>
        <v>120</v>
      </c>
      <c r="N4" s="207">
        <f>B48</f>
        <v>1800</v>
      </c>
      <c r="O4" s="207">
        <f>B53</f>
        <v>200650</v>
      </c>
      <c r="P4" s="207">
        <f>B54</f>
        <v>0</v>
      </c>
      <c r="Q4" s="209">
        <f>B55</f>
        <v>310921</v>
      </c>
      <c r="R4" s="355">
        <f>T55</f>
        <v>0</v>
      </c>
      <c r="S4" s="316">
        <f>O4/Q4</f>
        <v>0.64534077788248467</v>
      </c>
      <c r="T4" s="316">
        <f>(J4+(H4*1.63))/Q4</f>
        <v>4.0476519759038466E-2</v>
      </c>
      <c r="U4" s="316">
        <f>L4/Q4</f>
        <v>1.9297506440542774E-3</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P55</f>
        <v>0</v>
      </c>
      <c r="S5" s="317" t="e">
        <f>O5/Q5</f>
        <v>#DIV/0!</v>
      </c>
      <c r="T5" s="317" t="e">
        <f>(J5+(H5*1.63))/Q5</f>
        <v>#DIV/0!</v>
      </c>
      <c r="U5" s="317" t="e">
        <f>L5/Q5</f>
        <v>#DIV/0!</v>
      </c>
      <c r="V5" s="218" t="e">
        <f>Q5/R5</f>
        <v>#DIV/0!</v>
      </c>
    </row>
    <row r="6" spans="2:22" s="3532" customFormat="1" ht="16.5" thickBot="1">
      <c r="B6" s="3536"/>
      <c r="D6" s="3533"/>
      <c r="F6" s="4249" t="s">
        <v>1168</v>
      </c>
      <c r="G6" s="3547">
        <v>35000</v>
      </c>
      <c r="H6" s="3548">
        <v>3500</v>
      </c>
      <c r="I6" s="3548">
        <v>24255</v>
      </c>
      <c r="J6" s="3548">
        <v>3750</v>
      </c>
      <c r="K6" s="3548">
        <v>2980</v>
      </c>
      <c r="L6" s="3548">
        <v>100</v>
      </c>
      <c r="M6" s="3548">
        <v>50</v>
      </c>
      <c r="N6" s="3548">
        <v>1485</v>
      </c>
      <c r="O6" s="3548">
        <v>241169.42</v>
      </c>
      <c r="P6" s="3548">
        <v>0</v>
      </c>
      <c r="Q6" s="3549">
        <v>312289.42000000004</v>
      </c>
      <c r="R6" s="3610">
        <v>46712.81</v>
      </c>
      <c r="S6" s="3637">
        <v>0.77226253774463438</v>
      </c>
      <c r="T6" s="3637">
        <v>3.0276401935102375E-2</v>
      </c>
      <c r="U6" s="3637">
        <v>3.2021577932419225E-4</v>
      </c>
      <c r="V6" s="3498">
        <v>6.6853058079785832</v>
      </c>
    </row>
    <row r="7" spans="2:22" ht="16.5" thickBot="1">
      <c r="C7" s="198" t="s">
        <v>512</v>
      </c>
      <c r="F7" s="4281" t="s">
        <v>1169</v>
      </c>
      <c r="G7" s="4195">
        <f>E13</f>
        <v>35000</v>
      </c>
      <c r="H7" s="4196">
        <f>E18</f>
        <v>3500</v>
      </c>
      <c r="I7" s="4196">
        <f>E23</f>
        <v>27219.5</v>
      </c>
      <c r="J7" s="4196">
        <f>E28</f>
        <v>3750</v>
      </c>
      <c r="K7" s="4196">
        <f>E33</f>
        <v>2980</v>
      </c>
      <c r="L7" s="4196">
        <f>E38</f>
        <v>100</v>
      </c>
      <c r="M7" s="4196">
        <f>E43</f>
        <v>50</v>
      </c>
      <c r="N7" s="4196">
        <f>E48</f>
        <v>1485</v>
      </c>
      <c r="O7" s="4196">
        <f>E53</f>
        <v>242881</v>
      </c>
      <c r="P7" s="4196">
        <f>E54</f>
        <v>0</v>
      </c>
      <c r="Q7" s="4197">
        <f>SUM(G7:P7)</f>
        <v>316965.5</v>
      </c>
      <c r="R7" s="4198">
        <f>Q55</f>
        <v>46712.81</v>
      </c>
      <c r="S7" s="317">
        <f>O7/Q7</f>
        <v>0.76626951513650543</v>
      </c>
      <c r="T7" s="317">
        <f>(J7+(H7*1.63))/Q7</f>
        <v>2.9829744877597087E-2</v>
      </c>
      <c r="U7" s="317">
        <f>L7/Q7</f>
        <v>3.1549174910203159E-4</v>
      </c>
      <c r="V7" s="218">
        <f>Q7/R7</f>
        <v>6.7854085421108259</v>
      </c>
    </row>
    <row r="8" spans="2:22" ht="16.5" thickBot="1">
      <c r="C8" s="220" t="s">
        <v>513</v>
      </c>
      <c r="F8" s="3611" t="s">
        <v>1175</v>
      </c>
      <c r="G8" s="357">
        <f>SUM(G5+G7)</f>
        <v>35000</v>
      </c>
      <c r="H8" s="3612">
        <f t="shared" ref="H8:R8" si="0">SUM(H5+H7)</f>
        <v>3500</v>
      </c>
      <c r="I8" s="3612">
        <f t="shared" si="0"/>
        <v>27219.5</v>
      </c>
      <c r="J8" s="3612">
        <f t="shared" si="0"/>
        <v>3750</v>
      </c>
      <c r="K8" s="3612">
        <f t="shared" si="0"/>
        <v>2980</v>
      </c>
      <c r="L8" s="3612">
        <f t="shared" si="0"/>
        <v>100</v>
      </c>
      <c r="M8" s="3612">
        <f t="shared" si="0"/>
        <v>50</v>
      </c>
      <c r="N8" s="3612">
        <f t="shared" si="0"/>
        <v>1485</v>
      </c>
      <c r="O8" s="3612">
        <f t="shared" si="0"/>
        <v>242881</v>
      </c>
      <c r="P8" s="3612">
        <f t="shared" si="0"/>
        <v>0</v>
      </c>
      <c r="Q8" s="3612">
        <f t="shared" si="0"/>
        <v>316965.5</v>
      </c>
      <c r="R8" s="3610">
        <f t="shared" si="0"/>
        <v>46712.81</v>
      </c>
      <c r="S8" s="317">
        <f>O8/Q8</f>
        <v>0.76626951513650543</v>
      </c>
      <c r="T8" s="317">
        <f>(J8+(H8*1.63))/Q8</f>
        <v>2.9829744877597087E-2</v>
      </c>
      <c r="U8" s="317">
        <f>L8/Q8</f>
        <v>3.1549174910203159E-4</v>
      </c>
      <c r="V8" s="218">
        <f>Q8/R8</f>
        <v>6.7854085421108259</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58200</v>
      </c>
      <c r="C13" s="236" t="s">
        <v>138</v>
      </c>
      <c r="D13" s="237">
        <f>SUM(D14:D17)</f>
        <v>0</v>
      </c>
      <c r="E13" s="237">
        <f>SUM(E14:E17)</f>
        <v>35000</v>
      </c>
      <c r="F13" s="238">
        <f>D13+E13</f>
        <v>35000</v>
      </c>
      <c r="H13" s="132"/>
      <c r="I13" s="239" t="str">
        <f t="shared" ref="I13:I19" si="1">C63</f>
        <v>Hydronic w/ Condensing Boiler w/ ext tank</v>
      </c>
      <c r="J13" s="3656"/>
      <c r="K13" s="3657"/>
      <c r="L13" s="3613">
        <f t="shared" ref="L13:L22" si="2">D63</f>
        <v>7.6E-3</v>
      </c>
      <c r="M13" s="3574">
        <v>0</v>
      </c>
      <c r="N13" s="3574">
        <v>125000</v>
      </c>
      <c r="O13" s="244">
        <f>M13+N13</f>
        <v>125000</v>
      </c>
      <c r="P13" s="361">
        <f t="shared" ref="P13:R28" si="3">M13*$D63</f>
        <v>0</v>
      </c>
      <c r="Q13" s="361">
        <f t="shared" si="3"/>
        <v>950</v>
      </c>
      <c r="R13" s="362">
        <f t="shared" si="3"/>
        <v>950</v>
      </c>
      <c r="T13" s="3535"/>
    </row>
    <row r="14" spans="2:22">
      <c r="B14" s="247"/>
      <c r="C14" s="248" t="s">
        <v>514</v>
      </c>
      <c r="D14" s="3194">
        <v>0</v>
      </c>
      <c r="E14" s="3194">
        <v>35000</v>
      </c>
      <c r="F14" s="249">
        <f>SUM(D14:E14)</f>
        <v>35000</v>
      </c>
      <c r="H14" s="132"/>
      <c r="I14" s="3568" t="str">
        <f t="shared" si="1"/>
        <v>Hydronic w/ Condensing Water Heater</v>
      </c>
      <c r="J14" s="3654"/>
      <c r="K14" s="3655"/>
      <c r="L14" s="3613">
        <f t="shared" si="2"/>
        <v>7.6E-3</v>
      </c>
      <c r="M14" s="3574">
        <v>0</v>
      </c>
      <c r="N14" s="3574">
        <v>125000</v>
      </c>
      <c r="O14" s="244">
        <f t="shared" ref="O14:O54" si="4">M14+N14</f>
        <v>125000</v>
      </c>
      <c r="P14" s="361">
        <f t="shared" si="3"/>
        <v>0</v>
      </c>
      <c r="Q14" s="361">
        <f t="shared" si="3"/>
        <v>950</v>
      </c>
      <c r="R14" s="362">
        <f t="shared" si="3"/>
        <v>950</v>
      </c>
      <c r="T14" s="3535"/>
    </row>
    <row r="15" spans="2:22">
      <c r="B15" s="254"/>
      <c r="C15" s="255" t="s">
        <v>140</v>
      </c>
      <c r="D15" s="256">
        <v>0</v>
      </c>
      <c r="E15" s="256"/>
      <c r="F15" s="249">
        <f t="shared" ref="F15:F25" si="5">SUM(D15:E15)</f>
        <v>0</v>
      </c>
      <c r="H15" s="132"/>
      <c r="I15" s="3568" t="str">
        <f t="shared" si="1"/>
        <v>Heat Recovery with hydronic no cooling High Rise</v>
      </c>
      <c r="J15" s="3654"/>
      <c r="K15" s="3655"/>
      <c r="L15" s="3613">
        <f t="shared" si="2"/>
        <v>5.8000000000000003E-2</v>
      </c>
      <c r="M15" s="3574">
        <v>0</v>
      </c>
      <c r="N15" s="3574">
        <v>1880</v>
      </c>
      <c r="O15" s="244">
        <f t="shared" si="4"/>
        <v>1880</v>
      </c>
      <c r="P15" s="361">
        <f t="shared" si="3"/>
        <v>0</v>
      </c>
      <c r="Q15" s="361">
        <f t="shared" si="3"/>
        <v>109.04</v>
      </c>
      <c r="R15" s="362">
        <f t="shared" si="3"/>
        <v>109.04</v>
      </c>
      <c r="T15" s="3535"/>
    </row>
    <row r="16" spans="2:22">
      <c r="B16" s="254"/>
      <c r="C16" s="255" t="s">
        <v>141</v>
      </c>
      <c r="D16" s="258">
        <v>0</v>
      </c>
      <c r="E16" s="258"/>
      <c r="F16" s="249">
        <f t="shared" si="5"/>
        <v>0</v>
      </c>
      <c r="H16" s="132"/>
      <c r="I16" s="3568" t="str">
        <f t="shared" si="1"/>
        <v>Heat Recovery with hydronic no cooling Low Rise</v>
      </c>
      <c r="J16" s="3654"/>
      <c r="K16" s="3655"/>
      <c r="L16" s="3613">
        <f t="shared" si="2"/>
        <v>3.5999999999999997E-2</v>
      </c>
      <c r="M16" s="4537">
        <v>0</v>
      </c>
      <c r="N16" s="4537">
        <v>4300</v>
      </c>
      <c r="O16" s="244">
        <f t="shared" si="4"/>
        <v>4300</v>
      </c>
      <c r="P16" s="361">
        <f t="shared" si="3"/>
        <v>0</v>
      </c>
      <c r="Q16" s="361">
        <f t="shared" si="3"/>
        <v>154.79999999999998</v>
      </c>
      <c r="R16" s="362">
        <f t="shared" si="3"/>
        <v>154.79999999999998</v>
      </c>
      <c r="T16" s="3535"/>
    </row>
    <row r="17" spans="2:20" ht="13.5" thickBot="1">
      <c r="B17" s="254"/>
      <c r="C17" s="255" t="s">
        <v>142</v>
      </c>
      <c r="D17" s="258">
        <v>0</v>
      </c>
      <c r="E17" s="258"/>
      <c r="F17" s="249">
        <f t="shared" si="5"/>
        <v>0</v>
      </c>
      <c r="H17" s="132"/>
      <c r="I17" s="3568" t="str">
        <f t="shared" si="1"/>
        <v>Condensing Boiler w/ ext tank EF .93 2011</v>
      </c>
      <c r="J17" s="3654"/>
      <c r="K17" s="3655"/>
      <c r="L17" s="3613">
        <f t="shared" si="2"/>
        <v>2.1499999999999998E-2</v>
      </c>
      <c r="M17" s="4537">
        <v>0</v>
      </c>
      <c r="N17" s="4537">
        <v>0</v>
      </c>
      <c r="O17" s="244">
        <f t="shared" si="4"/>
        <v>0</v>
      </c>
      <c r="P17" s="361">
        <f t="shared" si="3"/>
        <v>0</v>
      </c>
      <c r="Q17" s="361">
        <f t="shared" si="3"/>
        <v>0</v>
      </c>
      <c r="R17" s="362">
        <f t="shared" si="3"/>
        <v>0</v>
      </c>
      <c r="T17" s="3535"/>
    </row>
    <row r="18" spans="2:20" ht="13.5" thickBot="1">
      <c r="B18" s="262">
        <v>4500</v>
      </c>
      <c r="C18" s="236" t="s">
        <v>143</v>
      </c>
      <c r="D18" s="237">
        <f>SUM(D19:D22)</f>
        <v>0</v>
      </c>
      <c r="E18" s="237">
        <f>SUM(E19:E22)</f>
        <v>3500</v>
      </c>
      <c r="F18" s="238">
        <f>D18+E18</f>
        <v>3500</v>
      </c>
      <c r="H18" s="132"/>
      <c r="I18" s="3568" t="str">
        <f t="shared" si="1"/>
        <v>Condensing Water Heater EF .93 2011</v>
      </c>
      <c r="J18" s="3654"/>
      <c r="K18" s="3655"/>
      <c r="L18" s="3613">
        <f t="shared" si="2"/>
        <v>2.1499999999999998E-2</v>
      </c>
      <c r="M18" s="4537">
        <v>0</v>
      </c>
      <c r="N18" s="4537">
        <v>0</v>
      </c>
      <c r="O18" s="244">
        <f t="shared" si="4"/>
        <v>0</v>
      </c>
      <c r="P18" s="361">
        <f t="shared" si="3"/>
        <v>0</v>
      </c>
      <c r="Q18" s="361">
        <f t="shared" si="3"/>
        <v>0</v>
      </c>
      <c r="R18" s="362">
        <f t="shared" si="3"/>
        <v>0</v>
      </c>
      <c r="T18" s="3535"/>
    </row>
    <row r="19" spans="2:20">
      <c r="B19" s="247"/>
      <c r="C19" s="248" t="s">
        <v>10</v>
      </c>
      <c r="D19" s="3195">
        <v>0</v>
      </c>
      <c r="E19" s="3195">
        <v>3500</v>
      </c>
      <c r="F19" s="249">
        <f t="shared" si="5"/>
        <v>3500</v>
      </c>
      <c r="H19" s="132"/>
      <c r="I19" s="3568" t="str">
        <f t="shared" si="1"/>
        <v>Showerhead - Max 2.0 gpm GWH 2010-2011</v>
      </c>
      <c r="J19" s="3654"/>
      <c r="K19" s="3655"/>
      <c r="L19" s="3613">
        <f t="shared" si="2"/>
        <v>5</v>
      </c>
      <c r="M19" s="4537">
        <v>0</v>
      </c>
      <c r="N19" s="4537">
        <v>1550</v>
      </c>
      <c r="O19" s="244">
        <f t="shared" si="4"/>
        <v>1550</v>
      </c>
      <c r="P19" s="361">
        <f t="shared" si="3"/>
        <v>0</v>
      </c>
      <c r="Q19" s="361">
        <f t="shared" si="3"/>
        <v>7750</v>
      </c>
      <c r="R19" s="362">
        <f t="shared" si="3"/>
        <v>7750</v>
      </c>
      <c r="T19" s="3535"/>
    </row>
    <row r="20" spans="2:20">
      <c r="B20" s="254"/>
      <c r="C20" s="255" t="s">
        <v>140</v>
      </c>
      <c r="D20" s="256">
        <v>0</v>
      </c>
      <c r="E20" s="256"/>
      <c r="F20" s="249">
        <f t="shared" si="5"/>
        <v>0</v>
      </c>
      <c r="H20" s="132"/>
      <c r="I20" s="3568" t="str">
        <f>C70</f>
        <v>Custom Measures</v>
      </c>
      <c r="J20" s="3654"/>
      <c r="K20" s="3655"/>
      <c r="L20" s="3613">
        <f t="shared" si="2"/>
        <v>2.1499999999999998E-2</v>
      </c>
      <c r="M20" s="4537">
        <v>0</v>
      </c>
      <c r="N20" s="4537">
        <v>1711580</v>
      </c>
      <c r="O20" s="244">
        <f t="shared" si="4"/>
        <v>1711580</v>
      </c>
      <c r="P20" s="361">
        <f t="shared" si="3"/>
        <v>0</v>
      </c>
      <c r="Q20" s="361">
        <f t="shared" si="3"/>
        <v>36798.969999999994</v>
      </c>
      <c r="R20" s="362">
        <f t="shared" si="3"/>
        <v>36798.969999999994</v>
      </c>
      <c r="T20" s="3535"/>
    </row>
    <row r="21" spans="2:20">
      <c r="B21" s="254"/>
      <c r="C21" s="255" t="s">
        <v>141</v>
      </c>
      <c r="D21" s="258">
        <v>0</v>
      </c>
      <c r="E21" s="258"/>
      <c r="F21" s="249">
        <f t="shared" si="5"/>
        <v>0</v>
      </c>
      <c r="H21" s="132"/>
      <c r="I21" s="3568" t="str">
        <f>C71</f>
        <v xml:space="preserve">Showerhead - Max 1.75 gpm GWH </v>
      </c>
      <c r="J21" s="3654"/>
      <c r="K21" s="3655"/>
      <c r="L21" s="3613">
        <f t="shared" si="2"/>
        <v>9</v>
      </c>
      <c r="M21" s="4537">
        <v>0</v>
      </c>
      <c r="N21" s="4537">
        <v>0</v>
      </c>
      <c r="O21" s="244">
        <f t="shared" si="4"/>
        <v>0</v>
      </c>
      <c r="P21" s="361">
        <f t="shared" si="3"/>
        <v>0</v>
      </c>
      <c r="Q21" s="361">
        <f t="shared" si="3"/>
        <v>0</v>
      </c>
      <c r="R21" s="362">
        <f t="shared" si="3"/>
        <v>0</v>
      </c>
      <c r="T21" s="3535"/>
    </row>
    <row r="22" spans="2:20" ht="13.5" thickBot="1">
      <c r="B22" s="254"/>
      <c r="C22" s="255" t="s">
        <v>142</v>
      </c>
      <c r="D22" s="258">
        <v>0</v>
      </c>
      <c r="E22" s="258"/>
      <c r="F22" s="249">
        <f t="shared" si="5"/>
        <v>0</v>
      </c>
      <c r="H22" s="132"/>
      <c r="I22" s="3568" t="str">
        <f>C72</f>
        <v>Showerhead - Max 1.5 gpm GWH 2010-2011</v>
      </c>
      <c r="J22" s="3654"/>
      <c r="K22" s="3655"/>
      <c r="L22" s="3613">
        <f t="shared" si="2"/>
        <v>13</v>
      </c>
      <c r="M22" s="4537">
        <v>0</v>
      </c>
      <c r="N22" s="4537">
        <v>0</v>
      </c>
      <c r="O22" s="244">
        <f t="shared" si="4"/>
        <v>0</v>
      </c>
      <c r="P22" s="361">
        <f t="shared" si="3"/>
        <v>0</v>
      </c>
      <c r="Q22" s="361">
        <f t="shared" si="3"/>
        <v>0</v>
      </c>
      <c r="R22" s="362">
        <f t="shared" si="3"/>
        <v>0</v>
      </c>
      <c r="T22" s="3535"/>
    </row>
    <row r="23" spans="2:20" ht="13.5" thickBot="1">
      <c r="B23" s="262">
        <v>39501</v>
      </c>
      <c r="C23" s="236" t="s">
        <v>144</v>
      </c>
      <c r="D23" s="237">
        <f>SUM(D24:D27)</f>
        <v>0</v>
      </c>
      <c r="E23" s="237">
        <f>SUM(E24:E27)</f>
        <v>27219.5</v>
      </c>
      <c r="F23" s="238">
        <f>D23+E23</f>
        <v>27219.5</v>
      </c>
      <c r="G23" s="53"/>
      <c r="H23" s="132"/>
      <c r="I23" s="3197" t="s">
        <v>195</v>
      </c>
      <c r="J23" s="3198"/>
      <c r="K23" s="3199"/>
      <c r="L23" s="3200">
        <v>0</v>
      </c>
      <c r="M23" s="3445">
        <v>0</v>
      </c>
      <c r="N23" s="3445">
        <v>0</v>
      </c>
      <c r="O23" s="244">
        <f t="shared" si="4"/>
        <v>0</v>
      </c>
      <c r="P23" s="361">
        <f t="shared" si="3"/>
        <v>0</v>
      </c>
      <c r="Q23" s="361">
        <f t="shared" si="3"/>
        <v>0</v>
      </c>
      <c r="R23" s="362">
        <f t="shared" si="3"/>
        <v>0</v>
      </c>
      <c r="T23" s="3535"/>
    </row>
    <row r="24" spans="2:20">
      <c r="B24" s="247"/>
      <c r="C24" s="3566" t="s">
        <v>1434</v>
      </c>
      <c r="D24" s="249">
        <f>0.63*D13</f>
        <v>0</v>
      </c>
      <c r="E24" s="249">
        <f>0.707*E13</f>
        <v>24745</v>
      </c>
      <c r="F24" s="249">
        <f t="shared" si="5"/>
        <v>24745</v>
      </c>
      <c r="H24" s="132"/>
      <c r="I24" s="3197" t="s">
        <v>196</v>
      </c>
      <c r="J24" s="3198"/>
      <c r="K24" s="3199"/>
      <c r="L24" s="3200">
        <v>0</v>
      </c>
      <c r="M24" s="3201">
        <v>0</v>
      </c>
      <c r="N24" s="3201">
        <v>0</v>
      </c>
      <c r="O24" s="244">
        <f t="shared" si="4"/>
        <v>0</v>
      </c>
      <c r="P24" s="361">
        <f t="shared" si="3"/>
        <v>0</v>
      </c>
      <c r="Q24" s="361">
        <f t="shared" si="3"/>
        <v>0</v>
      </c>
      <c r="R24" s="362">
        <f t="shared" si="3"/>
        <v>0</v>
      </c>
      <c r="T24" s="3535"/>
    </row>
    <row r="25" spans="2:20">
      <c r="B25" s="247"/>
      <c r="C25" s="3566" t="s">
        <v>1435</v>
      </c>
      <c r="D25" s="256">
        <f>0.63*D18</f>
        <v>0</v>
      </c>
      <c r="E25" s="256">
        <f>0.707*E18</f>
        <v>2474.5</v>
      </c>
      <c r="F25" s="249">
        <f t="shared" si="5"/>
        <v>2474.5</v>
      </c>
      <c r="H25" s="132"/>
      <c r="I25" s="250" t="str">
        <f t="shared" ref="I25:I54" si="6">C75</f>
        <v>Measure 13</v>
      </c>
      <c r="J25" s="251"/>
      <c r="K25" s="252"/>
      <c r="L25" s="360">
        <f t="shared" ref="L25:L54" si="7">D75</f>
        <v>0</v>
      </c>
      <c r="M25" s="3201">
        <v>0</v>
      </c>
      <c r="N25" s="3201">
        <v>0</v>
      </c>
      <c r="O25" s="244">
        <f t="shared" si="4"/>
        <v>0</v>
      </c>
      <c r="P25" s="361">
        <f t="shared" si="3"/>
        <v>0</v>
      </c>
      <c r="Q25" s="361">
        <f t="shared" si="3"/>
        <v>0</v>
      </c>
      <c r="R25" s="362">
        <f t="shared" si="3"/>
        <v>0</v>
      </c>
      <c r="T25" s="3535"/>
    </row>
    <row r="26" spans="2:20">
      <c r="B26" s="254"/>
      <c r="C26" s="255"/>
      <c r="D26" s="258"/>
      <c r="E26" s="258"/>
      <c r="F26" s="258"/>
      <c r="H26" s="132"/>
      <c r="I26" s="250" t="str">
        <f t="shared" si="6"/>
        <v>Measure 14</v>
      </c>
      <c r="J26" s="251"/>
      <c r="K26" s="252"/>
      <c r="L26" s="360">
        <f t="shared" si="7"/>
        <v>0</v>
      </c>
      <c r="M26" s="3201">
        <v>0</v>
      </c>
      <c r="N26" s="3201">
        <v>0</v>
      </c>
      <c r="O26" s="244">
        <f t="shared" si="4"/>
        <v>0</v>
      </c>
      <c r="P26" s="361">
        <f t="shared" si="3"/>
        <v>0</v>
      </c>
      <c r="Q26" s="361">
        <f t="shared" si="3"/>
        <v>0</v>
      </c>
      <c r="R26" s="362">
        <f t="shared" si="3"/>
        <v>0</v>
      </c>
      <c r="T26" s="3535"/>
    </row>
    <row r="27" spans="2:20" ht="13.5" thickBot="1">
      <c r="B27" s="254"/>
      <c r="C27" s="255"/>
      <c r="D27" s="258"/>
      <c r="E27" s="258"/>
      <c r="F27" s="258"/>
      <c r="H27" s="132"/>
      <c r="I27" s="250" t="str">
        <f t="shared" si="6"/>
        <v>Measure 15</v>
      </c>
      <c r="J27" s="251"/>
      <c r="K27" s="252"/>
      <c r="L27" s="360">
        <f t="shared" si="7"/>
        <v>0</v>
      </c>
      <c r="M27" s="3201">
        <v>0</v>
      </c>
      <c r="N27" s="3201">
        <v>0</v>
      </c>
      <c r="O27" s="244">
        <f t="shared" si="4"/>
        <v>0</v>
      </c>
      <c r="P27" s="361">
        <f t="shared" si="3"/>
        <v>0</v>
      </c>
      <c r="Q27" s="361">
        <f t="shared" si="3"/>
        <v>0</v>
      </c>
      <c r="R27" s="362">
        <f t="shared" si="3"/>
        <v>0</v>
      </c>
      <c r="T27" s="3535"/>
    </row>
    <row r="28" spans="2:20" ht="13.5" thickBot="1">
      <c r="B28" s="262">
        <v>5250</v>
      </c>
      <c r="C28" s="236" t="s">
        <v>145</v>
      </c>
      <c r="D28" s="237">
        <f>SUM(D29:D32)</f>
        <v>0</v>
      </c>
      <c r="E28" s="4468">
        <f>SUM(E29:E32)</f>
        <v>3750</v>
      </c>
      <c r="F28" s="238">
        <f>D28+E28</f>
        <v>3750</v>
      </c>
      <c r="H28" s="132"/>
      <c r="I28" s="250" t="str">
        <f t="shared" si="6"/>
        <v>Measure 16</v>
      </c>
      <c r="J28" s="251"/>
      <c r="K28" s="252"/>
      <c r="L28" s="360">
        <f t="shared" si="7"/>
        <v>0</v>
      </c>
      <c r="M28" s="3201">
        <v>0</v>
      </c>
      <c r="N28" s="3201">
        <v>0</v>
      </c>
      <c r="O28" s="244">
        <f t="shared" si="4"/>
        <v>0</v>
      </c>
      <c r="P28" s="361">
        <f t="shared" si="3"/>
        <v>0</v>
      </c>
      <c r="Q28" s="361">
        <f t="shared" si="3"/>
        <v>0</v>
      </c>
      <c r="R28" s="362">
        <f t="shared" si="3"/>
        <v>0</v>
      </c>
      <c r="T28" s="3535"/>
    </row>
    <row r="29" spans="2:20">
      <c r="B29" s="247"/>
      <c r="C29" s="248" t="s">
        <v>515</v>
      </c>
      <c r="D29" s="249">
        <v>0</v>
      </c>
      <c r="E29" s="4447">
        <v>3750</v>
      </c>
      <c r="F29" s="249">
        <f t="shared" ref="F29:F37" si="8">SUM(D29:E29)</f>
        <v>3750</v>
      </c>
      <c r="H29" s="132"/>
      <c r="I29" s="250" t="str">
        <f t="shared" si="6"/>
        <v>Measure 17</v>
      </c>
      <c r="J29" s="251"/>
      <c r="K29" s="252"/>
      <c r="L29" s="360">
        <f t="shared" si="7"/>
        <v>0</v>
      </c>
      <c r="M29" s="3201">
        <v>0</v>
      </c>
      <c r="N29" s="3201">
        <v>0</v>
      </c>
      <c r="O29" s="244">
        <f t="shared" si="4"/>
        <v>0</v>
      </c>
      <c r="P29" s="361">
        <f t="shared" ref="P29:R44" si="9">M29*$D79</f>
        <v>0</v>
      </c>
      <c r="Q29" s="361">
        <f t="shared" si="9"/>
        <v>0</v>
      </c>
      <c r="R29" s="362">
        <f t="shared" si="9"/>
        <v>0</v>
      </c>
      <c r="T29" s="3535"/>
    </row>
    <row r="30" spans="2:20">
      <c r="B30" s="254"/>
      <c r="C30" s="255" t="s">
        <v>140</v>
      </c>
      <c r="D30" s="256">
        <v>0</v>
      </c>
      <c r="E30" s="256"/>
      <c r="F30" s="249">
        <f t="shared" si="8"/>
        <v>0</v>
      </c>
      <c r="H30" s="132"/>
      <c r="I30" s="250" t="str">
        <f t="shared" si="6"/>
        <v>Measure 18</v>
      </c>
      <c r="J30" s="251"/>
      <c r="K30" s="252"/>
      <c r="L30" s="360">
        <f t="shared" si="7"/>
        <v>0</v>
      </c>
      <c r="M30" s="3201">
        <v>0</v>
      </c>
      <c r="N30" s="3201">
        <v>0</v>
      </c>
      <c r="O30" s="244">
        <f t="shared" si="4"/>
        <v>0</v>
      </c>
      <c r="P30" s="361">
        <f t="shared" si="9"/>
        <v>0</v>
      </c>
      <c r="Q30" s="361">
        <f t="shared" si="9"/>
        <v>0</v>
      </c>
      <c r="R30" s="362">
        <f t="shared" si="9"/>
        <v>0</v>
      </c>
      <c r="T30" s="3535"/>
    </row>
    <row r="31" spans="2:20">
      <c r="B31" s="254"/>
      <c r="C31" s="255" t="s">
        <v>141</v>
      </c>
      <c r="D31" s="256">
        <v>0</v>
      </c>
      <c r="E31" s="256"/>
      <c r="F31" s="249">
        <f t="shared" si="8"/>
        <v>0</v>
      </c>
      <c r="H31" s="132"/>
      <c r="I31" s="250" t="str">
        <f t="shared" si="6"/>
        <v>Measure 19</v>
      </c>
      <c r="J31" s="251"/>
      <c r="K31" s="252"/>
      <c r="L31" s="360">
        <f t="shared" si="7"/>
        <v>0</v>
      </c>
      <c r="M31" s="257">
        <v>0</v>
      </c>
      <c r="N31" s="257">
        <v>0</v>
      </c>
      <c r="O31" s="244">
        <f t="shared" si="4"/>
        <v>0</v>
      </c>
      <c r="P31" s="361">
        <f t="shared" si="9"/>
        <v>0</v>
      </c>
      <c r="Q31" s="361">
        <f t="shared" si="9"/>
        <v>0</v>
      </c>
      <c r="R31" s="362">
        <f t="shared" si="9"/>
        <v>0</v>
      </c>
      <c r="T31" s="3535"/>
    </row>
    <row r="32" spans="2:20" ht="13.5" thickBot="1">
      <c r="B32" s="254"/>
      <c r="C32" s="255" t="s">
        <v>142</v>
      </c>
      <c r="D32" s="256">
        <v>0</v>
      </c>
      <c r="E32" s="256"/>
      <c r="F32" s="249">
        <f t="shared" si="8"/>
        <v>0</v>
      </c>
      <c r="H32" s="132"/>
      <c r="I32" s="250" t="str">
        <f t="shared" si="6"/>
        <v>Measure 20</v>
      </c>
      <c r="J32" s="251"/>
      <c r="K32" s="252"/>
      <c r="L32" s="360">
        <f t="shared" si="7"/>
        <v>0</v>
      </c>
      <c r="M32" s="257">
        <v>0</v>
      </c>
      <c r="N32" s="257">
        <v>0</v>
      </c>
      <c r="O32" s="244">
        <f t="shared" si="4"/>
        <v>0</v>
      </c>
      <c r="P32" s="361">
        <f t="shared" si="9"/>
        <v>0</v>
      </c>
      <c r="Q32" s="361">
        <f t="shared" si="9"/>
        <v>0</v>
      </c>
      <c r="R32" s="362">
        <f t="shared" si="9"/>
        <v>0</v>
      </c>
      <c r="T32" s="3535"/>
    </row>
    <row r="33" spans="2:20" ht="13.5" thickBot="1">
      <c r="B33" s="262">
        <v>300</v>
      </c>
      <c r="C33" s="236" t="s">
        <v>146</v>
      </c>
      <c r="D33" s="237">
        <f>SUM(D34:D37)</f>
        <v>0</v>
      </c>
      <c r="E33" s="237">
        <f>SUM(E34:E37)</f>
        <v>2980</v>
      </c>
      <c r="F33" s="238">
        <f>D33+E33</f>
        <v>2980</v>
      </c>
      <c r="H33" s="132"/>
      <c r="I33" s="250" t="str">
        <f t="shared" si="6"/>
        <v>Measure 21</v>
      </c>
      <c r="J33" s="251"/>
      <c r="K33" s="252"/>
      <c r="L33" s="360">
        <f t="shared" si="7"/>
        <v>0</v>
      </c>
      <c r="M33" s="257">
        <v>0</v>
      </c>
      <c r="N33" s="257">
        <v>0</v>
      </c>
      <c r="O33" s="244">
        <f t="shared" si="4"/>
        <v>0</v>
      </c>
      <c r="P33" s="361">
        <f t="shared" si="9"/>
        <v>0</v>
      </c>
      <c r="Q33" s="361">
        <f t="shared" si="9"/>
        <v>0</v>
      </c>
      <c r="R33" s="362">
        <f t="shared" si="9"/>
        <v>0</v>
      </c>
      <c r="T33" s="3535"/>
    </row>
    <row r="34" spans="2:20">
      <c r="B34" s="254"/>
      <c r="C34" s="255" t="s">
        <v>481</v>
      </c>
      <c r="D34" s="256">
        <v>0</v>
      </c>
      <c r="E34" s="256">
        <v>2980</v>
      </c>
      <c r="F34" s="249">
        <f t="shared" si="8"/>
        <v>2980</v>
      </c>
      <c r="H34" s="132"/>
      <c r="I34" s="250" t="str">
        <f t="shared" si="6"/>
        <v>Measure 22</v>
      </c>
      <c r="J34" s="251"/>
      <c r="K34" s="252"/>
      <c r="L34" s="360">
        <f t="shared" si="7"/>
        <v>0</v>
      </c>
      <c r="M34" s="257">
        <v>0</v>
      </c>
      <c r="N34" s="257">
        <v>0</v>
      </c>
      <c r="O34" s="244">
        <f t="shared" si="4"/>
        <v>0</v>
      </c>
      <c r="P34" s="361">
        <f t="shared" si="9"/>
        <v>0</v>
      </c>
      <c r="Q34" s="361">
        <f t="shared" si="9"/>
        <v>0</v>
      </c>
      <c r="R34" s="362">
        <f t="shared" si="9"/>
        <v>0</v>
      </c>
      <c r="T34" s="3535"/>
    </row>
    <row r="35" spans="2:20">
      <c r="B35" s="254"/>
      <c r="C35" s="255" t="s">
        <v>140</v>
      </c>
      <c r="D35" s="256">
        <v>0</v>
      </c>
      <c r="E35" s="256"/>
      <c r="F35" s="249">
        <f t="shared" si="8"/>
        <v>0</v>
      </c>
      <c r="H35" s="132"/>
      <c r="I35" s="250" t="str">
        <f t="shared" si="6"/>
        <v>Measure 23</v>
      </c>
      <c r="J35" s="251"/>
      <c r="K35" s="252"/>
      <c r="L35" s="360">
        <f t="shared" si="7"/>
        <v>0</v>
      </c>
      <c r="M35" s="257">
        <v>0</v>
      </c>
      <c r="N35" s="257">
        <v>0</v>
      </c>
      <c r="O35" s="244">
        <f t="shared" si="4"/>
        <v>0</v>
      </c>
      <c r="P35" s="361">
        <f t="shared" si="9"/>
        <v>0</v>
      </c>
      <c r="Q35" s="361">
        <f t="shared" si="9"/>
        <v>0</v>
      </c>
      <c r="R35" s="362">
        <f t="shared" si="9"/>
        <v>0</v>
      </c>
      <c r="T35" s="3535"/>
    </row>
    <row r="36" spans="2:20">
      <c r="B36" s="254"/>
      <c r="C36" s="255" t="s">
        <v>141</v>
      </c>
      <c r="D36" s="256">
        <v>0</v>
      </c>
      <c r="E36" s="256"/>
      <c r="F36" s="249">
        <f t="shared" si="8"/>
        <v>0</v>
      </c>
      <c r="H36" s="132"/>
      <c r="I36" s="250" t="str">
        <f t="shared" si="6"/>
        <v>Measure 24</v>
      </c>
      <c r="J36" s="251"/>
      <c r="K36" s="252"/>
      <c r="L36" s="360">
        <f t="shared" si="7"/>
        <v>0</v>
      </c>
      <c r="M36" s="257">
        <v>0</v>
      </c>
      <c r="N36" s="257">
        <v>0</v>
      </c>
      <c r="O36" s="244">
        <f t="shared" si="4"/>
        <v>0</v>
      </c>
      <c r="P36" s="361">
        <f t="shared" si="9"/>
        <v>0</v>
      </c>
      <c r="Q36" s="361">
        <f t="shared" si="9"/>
        <v>0</v>
      </c>
      <c r="R36" s="362">
        <f t="shared" si="9"/>
        <v>0</v>
      </c>
      <c r="T36" s="3535"/>
    </row>
    <row r="37" spans="2:20" ht="13.5" thickBot="1">
      <c r="B37" s="254"/>
      <c r="C37" s="255" t="s">
        <v>142</v>
      </c>
      <c r="D37" s="256">
        <v>0</v>
      </c>
      <c r="E37" s="256"/>
      <c r="F37" s="249">
        <f t="shared" si="8"/>
        <v>0</v>
      </c>
      <c r="H37" s="132"/>
      <c r="I37" s="250" t="str">
        <f t="shared" si="6"/>
        <v>Measure 25</v>
      </c>
      <c r="J37" s="251"/>
      <c r="K37" s="252"/>
      <c r="L37" s="360">
        <f t="shared" si="7"/>
        <v>0</v>
      </c>
      <c r="M37" s="257">
        <v>0</v>
      </c>
      <c r="N37" s="257">
        <v>0</v>
      </c>
      <c r="O37" s="244">
        <f t="shared" si="4"/>
        <v>0</v>
      </c>
      <c r="P37" s="361">
        <f t="shared" si="9"/>
        <v>0</v>
      </c>
      <c r="Q37" s="361">
        <f t="shared" si="9"/>
        <v>0</v>
      </c>
      <c r="R37" s="362">
        <f t="shared" si="9"/>
        <v>0</v>
      </c>
      <c r="T37" s="3535"/>
    </row>
    <row r="38" spans="2:20" ht="13.5" thickBot="1">
      <c r="B38" s="262">
        <v>600</v>
      </c>
      <c r="C38" s="236" t="s">
        <v>147</v>
      </c>
      <c r="D38" s="237">
        <f>SUM(D39:D42)</f>
        <v>0</v>
      </c>
      <c r="E38" s="4468">
        <f>SUM(E39:E42)</f>
        <v>100</v>
      </c>
      <c r="F38" s="238">
        <f>D38+E38</f>
        <v>100</v>
      </c>
      <c r="H38" s="132"/>
      <c r="I38" s="250" t="str">
        <f t="shared" si="6"/>
        <v>Measure 26</v>
      </c>
      <c r="J38" s="251"/>
      <c r="K38" s="260"/>
      <c r="L38" s="360">
        <f t="shared" si="7"/>
        <v>0</v>
      </c>
      <c r="M38" s="257">
        <v>0</v>
      </c>
      <c r="N38" s="257">
        <v>0</v>
      </c>
      <c r="O38" s="244">
        <f t="shared" si="4"/>
        <v>0</v>
      </c>
      <c r="P38" s="361">
        <f t="shared" si="9"/>
        <v>0</v>
      </c>
      <c r="Q38" s="361">
        <f t="shared" si="9"/>
        <v>0</v>
      </c>
      <c r="R38" s="362">
        <f t="shared" si="9"/>
        <v>0</v>
      </c>
      <c r="T38" s="3535"/>
    </row>
    <row r="39" spans="2:20">
      <c r="B39" s="254"/>
      <c r="C39" s="4448" t="s">
        <v>1345</v>
      </c>
      <c r="D39" s="256">
        <v>0</v>
      </c>
      <c r="E39" s="4449">
        <v>100</v>
      </c>
      <c r="F39" s="249">
        <f t="shared" ref="F39:F52" si="10">SUM(D39:E39)</f>
        <v>100</v>
      </c>
      <c r="H39" s="132"/>
      <c r="I39" s="250" t="str">
        <f t="shared" si="6"/>
        <v>Measure 27</v>
      </c>
      <c r="J39" s="251"/>
      <c r="K39" s="260"/>
      <c r="L39" s="360">
        <f t="shared" si="7"/>
        <v>0</v>
      </c>
      <c r="M39" s="257">
        <v>0</v>
      </c>
      <c r="N39" s="257">
        <v>0</v>
      </c>
      <c r="O39" s="244">
        <f t="shared" si="4"/>
        <v>0</v>
      </c>
      <c r="P39" s="361">
        <f t="shared" si="9"/>
        <v>0</v>
      </c>
      <c r="Q39" s="361">
        <f t="shared" si="9"/>
        <v>0</v>
      </c>
      <c r="R39" s="362">
        <f t="shared" si="9"/>
        <v>0</v>
      </c>
      <c r="T39" s="3535"/>
    </row>
    <row r="40" spans="2:20">
      <c r="B40" s="254"/>
      <c r="C40" s="255" t="s">
        <v>140</v>
      </c>
      <c r="D40" s="256">
        <v>0</v>
      </c>
      <c r="E40" s="256"/>
      <c r="F40" s="249">
        <f t="shared" si="10"/>
        <v>0</v>
      </c>
      <c r="H40" s="132"/>
      <c r="I40" s="250" t="str">
        <f t="shared" si="6"/>
        <v>Measure 28</v>
      </c>
      <c r="J40" s="251"/>
      <c r="K40" s="260"/>
      <c r="L40" s="360">
        <f t="shared" si="7"/>
        <v>0</v>
      </c>
      <c r="M40" s="257">
        <v>0</v>
      </c>
      <c r="N40" s="257">
        <v>0</v>
      </c>
      <c r="O40" s="244">
        <f t="shared" si="4"/>
        <v>0</v>
      </c>
      <c r="P40" s="361">
        <f t="shared" si="9"/>
        <v>0</v>
      </c>
      <c r="Q40" s="361">
        <f t="shared" si="9"/>
        <v>0</v>
      </c>
      <c r="R40" s="362">
        <f t="shared" si="9"/>
        <v>0</v>
      </c>
      <c r="T40" s="3535"/>
    </row>
    <row r="41" spans="2:20">
      <c r="B41" s="254"/>
      <c r="C41" s="255" t="s">
        <v>141</v>
      </c>
      <c r="D41" s="256">
        <v>0</v>
      </c>
      <c r="E41" s="256"/>
      <c r="F41" s="249">
        <f t="shared" si="10"/>
        <v>0</v>
      </c>
      <c r="H41" s="132"/>
      <c r="I41" s="250" t="str">
        <f t="shared" si="6"/>
        <v>Measure 29</v>
      </c>
      <c r="J41" s="251"/>
      <c r="K41" s="260"/>
      <c r="L41" s="360">
        <f t="shared" si="7"/>
        <v>0</v>
      </c>
      <c r="M41" s="257">
        <v>0</v>
      </c>
      <c r="N41" s="257">
        <v>0</v>
      </c>
      <c r="O41" s="244">
        <f t="shared" si="4"/>
        <v>0</v>
      </c>
      <c r="P41" s="361">
        <f t="shared" si="9"/>
        <v>0</v>
      </c>
      <c r="Q41" s="361">
        <f t="shared" si="9"/>
        <v>0</v>
      </c>
      <c r="R41" s="362">
        <f t="shared" si="9"/>
        <v>0</v>
      </c>
      <c r="T41" s="3535"/>
    </row>
    <row r="42" spans="2:20" ht="13.5" thickBot="1">
      <c r="B42" s="254"/>
      <c r="C42" s="255" t="s">
        <v>142</v>
      </c>
      <c r="D42" s="256">
        <v>0</v>
      </c>
      <c r="E42" s="256"/>
      <c r="F42" s="249">
        <f t="shared" si="10"/>
        <v>0</v>
      </c>
      <c r="H42" s="132"/>
      <c r="I42" s="250" t="str">
        <f t="shared" si="6"/>
        <v>Measure 30</v>
      </c>
      <c r="J42" s="251"/>
      <c r="K42" s="260"/>
      <c r="L42" s="360">
        <f t="shared" si="7"/>
        <v>0</v>
      </c>
      <c r="M42" s="257">
        <v>0</v>
      </c>
      <c r="N42" s="257">
        <v>0</v>
      </c>
      <c r="O42" s="244">
        <f t="shared" si="4"/>
        <v>0</v>
      </c>
      <c r="P42" s="361">
        <f t="shared" si="9"/>
        <v>0</v>
      </c>
      <c r="Q42" s="361">
        <f t="shared" si="9"/>
        <v>0</v>
      </c>
      <c r="R42" s="362">
        <f t="shared" si="9"/>
        <v>0</v>
      </c>
      <c r="T42" s="3535"/>
    </row>
    <row r="43" spans="2:20" ht="13.5" thickBot="1">
      <c r="B43" s="262">
        <v>120</v>
      </c>
      <c r="C43" s="236" t="s">
        <v>148</v>
      </c>
      <c r="D43" s="237">
        <f>SUM(D44:D47)</f>
        <v>0</v>
      </c>
      <c r="E43" s="4468">
        <f>SUM(E44:E47)</f>
        <v>50</v>
      </c>
      <c r="F43" s="238">
        <f>D43+E43</f>
        <v>50</v>
      </c>
      <c r="H43" s="132"/>
      <c r="I43" s="250" t="str">
        <f t="shared" si="6"/>
        <v>Measure 31</v>
      </c>
      <c r="J43" s="251"/>
      <c r="K43" s="260"/>
      <c r="L43" s="360">
        <f t="shared" si="7"/>
        <v>0</v>
      </c>
      <c r="M43" s="257">
        <v>0</v>
      </c>
      <c r="N43" s="257">
        <v>0</v>
      </c>
      <c r="O43" s="244">
        <f t="shared" si="4"/>
        <v>0</v>
      </c>
      <c r="P43" s="361">
        <f t="shared" si="9"/>
        <v>0</v>
      </c>
      <c r="Q43" s="361">
        <f t="shared" si="9"/>
        <v>0</v>
      </c>
      <c r="R43" s="362">
        <f t="shared" si="9"/>
        <v>0</v>
      </c>
      <c r="T43" s="3535"/>
    </row>
    <row r="44" spans="2:20">
      <c r="B44" s="254"/>
      <c r="C44" s="255" t="s">
        <v>139</v>
      </c>
      <c r="D44" s="256">
        <v>0</v>
      </c>
      <c r="E44" s="4449">
        <v>50</v>
      </c>
      <c r="F44" s="249">
        <f t="shared" si="10"/>
        <v>50</v>
      </c>
      <c r="H44" s="132"/>
      <c r="I44" s="250" t="str">
        <f t="shared" si="6"/>
        <v>Measure 32</v>
      </c>
      <c r="J44" s="251"/>
      <c r="K44" s="260"/>
      <c r="L44" s="360">
        <f t="shared" si="7"/>
        <v>0</v>
      </c>
      <c r="M44" s="257">
        <v>0</v>
      </c>
      <c r="N44" s="257">
        <v>0</v>
      </c>
      <c r="O44" s="244">
        <f t="shared" si="4"/>
        <v>0</v>
      </c>
      <c r="P44" s="361">
        <f t="shared" si="9"/>
        <v>0</v>
      </c>
      <c r="Q44" s="361">
        <f t="shared" si="9"/>
        <v>0</v>
      </c>
      <c r="R44" s="362">
        <f t="shared" si="9"/>
        <v>0</v>
      </c>
      <c r="T44" s="3535"/>
    </row>
    <row r="45" spans="2:20">
      <c r="B45" s="254"/>
      <c r="C45" s="255" t="s">
        <v>140</v>
      </c>
      <c r="D45" s="256">
        <v>0</v>
      </c>
      <c r="E45" s="256"/>
      <c r="F45" s="249">
        <f t="shared" si="10"/>
        <v>0</v>
      </c>
      <c r="H45" s="132"/>
      <c r="I45" s="250" t="str">
        <f t="shared" si="6"/>
        <v>Measure 33</v>
      </c>
      <c r="J45" s="251"/>
      <c r="K45" s="260"/>
      <c r="L45" s="360">
        <f t="shared" si="7"/>
        <v>0</v>
      </c>
      <c r="M45" s="257">
        <v>0</v>
      </c>
      <c r="N45" s="257">
        <v>0</v>
      </c>
      <c r="O45" s="244">
        <f t="shared" si="4"/>
        <v>0</v>
      </c>
      <c r="P45" s="361">
        <f t="shared" ref="P45:R54" si="11">M45*$D95</f>
        <v>0</v>
      </c>
      <c r="Q45" s="361">
        <f t="shared" si="11"/>
        <v>0</v>
      </c>
      <c r="R45" s="362">
        <f t="shared" si="11"/>
        <v>0</v>
      </c>
      <c r="T45" s="3535"/>
    </row>
    <row r="46" spans="2:20">
      <c r="B46" s="254"/>
      <c r="C46" s="255" t="s">
        <v>141</v>
      </c>
      <c r="D46" s="256">
        <v>0</v>
      </c>
      <c r="E46" s="256"/>
      <c r="F46" s="249">
        <f t="shared" si="10"/>
        <v>0</v>
      </c>
      <c r="H46" s="132"/>
      <c r="I46" s="250" t="str">
        <f t="shared" si="6"/>
        <v>Measure 34</v>
      </c>
      <c r="J46" s="251"/>
      <c r="K46" s="260"/>
      <c r="L46" s="360">
        <f t="shared" si="7"/>
        <v>0</v>
      </c>
      <c r="M46" s="257">
        <v>0</v>
      </c>
      <c r="N46" s="257">
        <v>0</v>
      </c>
      <c r="O46" s="244">
        <f t="shared" si="4"/>
        <v>0</v>
      </c>
      <c r="P46" s="361">
        <f t="shared" si="11"/>
        <v>0</v>
      </c>
      <c r="Q46" s="361">
        <f t="shared" si="11"/>
        <v>0</v>
      </c>
      <c r="R46" s="362">
        <f t="shared" si="11"/>
        <v>0</v>
      </c>
      <c r="T46" s="3535"/>
    </row>
    <row r="47" spans="2:20" ht="13.5" thickBot="1">
      <c r="B47" s="254"/>
      <c r="C47" s="255" t="s">
        <v>142</v>
      </c>
      <c r="D47" s="256">
        <v>0</v>
      </c>
      <c r="E47" s="256"/>
      <c r="F47" s="249">
        <f t="shared" si="10"/>
        <v>0</v>
      </c>
      <c r="H47" s="132"/>
      <c r="I47" s="250" t="str">
        <f t="shared" si="6"/>
        <v>Measure 35</v>
      </c>
      <c r="J47" s="251"/>
      <c r="K47" s="260"/>
      <c r="L47" s="360">
        <f t="shared" si="7"/>
        <v>0</v>
      </c>
      <c r="M47" s="257">
        <v>0</v>
      </c>
      <c r="N47" s="257">
        <v>0</v>
      </c>
      <c r="O47" s="244">
        <f t="shared" si="4"/>
        <v>0</v>
      </c>
      <c r="P47" s="361">
        <f t="shared" si="11"/>
        <v>0</v>
      </c>
      <c r="Q47" s="361">
        <f t="shared" si="11"/>
        <v>0</v>
      </c>
      <c r="R47" s="362">
        <f t="shared" si="11"/>
        <v>0</v>
      </c>
      <c r="T47" s="3535"/>
    </row>
    <row r="48" spans="2:20" ht="13.5" thickBot="1">
      <c r="B48" s="262">
        <v>1800</v>
      </c>
      <c r="C48" s="236" t="s">
        <v>149</v>
      </c>
      <c r="D48" s="237">
        <f>SUM(D49:D52)</f>
        <v>0</v>
      </c>
      <c r="E48" s="4468">
        <f>SUM(E49:E52)</f>
        <v>1485</v>
      </c>
      <c r="F48" s="238">
        <f>D48+E48</f>
        <v>1485</v>
      </c>
      <c r="H48" s="132"/>
      <c r="I48" s="250" t="str">
        <f t="shared" si="6"/>
        <v>Measure 36</v>
      </c>
      <c r="J48" s="251"/>
      <c r="K48" s="260"/>
      <c r="L48" s="360">
        <f t="shared" si="7"/>
        <v>0</v>
      </c>
      <c r="M48" s="257">
        <v>0</v>
      </c>
      <c r="N48" s="257">
        <v>0</v>
      </c>
      <c r="O48" s="244">
        <f t="shared" si="4"/>
        <v>0</v>
      </c>
      <c r="P48" s="361">
        <f t="shared" si="11"/>
        <v>0</v>
      </c>
      <c r="Q48" s="361">
        <f t="shared" si="11"/>
        <v>0</v>
      </c>
      <c r="R48" s="362">
        <f t="shared" si="11"/>
        <v>0</v>
      </c>
      <c r="T48" s="3535"/>
    </row>
    <row r="49" spans="2:25">
      <c r="B49" s="254"/>
      <c r="C49" s="255" t="s">
        <v>16</v>
      </c>
      <c r="D49" s="256">
        <v>0</v>
      </c>
      <c r="E49" s="4449">
        <v>1485</v>
      </c>
      <c r="F49" s="249">
        <f t="shared" si="10"/>
        <v>1485</v>
      </c>
      <c r="H49" s="132"/>
      <c r="I49" s="250" t="str">
        <f t="shared" si="6"/>
        <v>Measure 37</v>
      </c>
      <c r="J49" s="251"/>
      <c r="K49" s="260"/>
      <c r="L49" s="360">
        <f t="shared" si="7"/>
        <v>0</v>
      </c>
      <c r="M49" s="257">
        <v>0</v>
      </c>
      <c r="N49" s="257">
        <v>0</v>
      </c>
      <c r="O49" s="244">
        <f t="shared" si="4"/>
        <v>0</v>
      </c>
      <c r="P49" s="361">
        <f t="shared" si="11"/>
        <v>0</v>
      </c>
      <c r="Q49" s="361">
        <f t="shared" si="11"/>
        <v>0</v>
      </c>
      <c r="R49" s="362">
        <f t="shared" si="11"/>
        <v>0</v>
      </c>
      <c r="T49" s="3535"/>
    </row>
    <row r="50" spans="2:25">
      <c r="B50" s="254"/>
      <c r="C50" s="255" t="s">
        <v>626</v>
      </c>
      <c r="D50" s="256">
        <v>0</v>
      </c>
      <c r="E50" s="256">
        <v>0</v>
      </c>
      <c r="F50" s="249">
        <f t="shared" si="10"/>
        <v>0</v>
      </c>
      <c r="I50" s="250" t="str">
        <f t="shared" si="6"/>
        <v>Measure 38</v>
      </c>
      <c r="J50" s="251"/>
      <c r="K50" s="252"/>
      <c r="L50" s="360">
        <f t="shared" si="7"/>
        <v>0</v>
      </c>
      <c r="M50" s="257">
        <v>0</v>
      </c>
      <c r="N50" s="257">
        <v>0</v>
      </c>
      <c r="O50" s="244">
        <f t="shared" si="4"/>
        <v>0</v>
      </c>
      <c r="P50" s="361">
        <f t="shared" si="11"/>
        <v>0</v>
      </c>
      <c r="Q50" s="361">
        <f t="shared" si="11"/>
        <v>0</v>
      </c>
      <c r="R50" s="362">
        <f t="shared" si="11"/>
        <v>0</v>
      </c>
      <c r="T50" s="3535"/>
    </row>
    <row r="51" spans="2:25">
      <c r="B51" s="254"/>
      <c r="C51" s="255" t="s">
        <v>141</v>
      </c>
      <c r="D51" s="256">
        <v>0</v>
      </c>
      <c r="E51" s="256"/>
      <c r="F51" s="249">
        <f t="shared" si="10"/>
        <v>0</v>
      </c>
      <c r="I51" s="250" t="str">
        <f t="shared" si="6"/>
        <v>Measure 39</v>
      </c>
      <c r="J51" s="251"/>
      <c r="K51" s="252"/>
      <c r="L51" s="360">
        <f t="shared" si="7"/>
        <v>0</v>
      </c>
      <c r="M51" s="257">
        <v>0</v>
      </c>
      <c r="N51" s="257">
        <v>0</v>
      </c>
      <c r="O51" s="244">
        <f t="shared" si="4"/>
        <v>0</v>
      </c>
      <c r="P51" s="361">
        <f t="shared" si="11"/>
        <v>0</v>
      </c>
      <c r="Q51" s="361">
        <f t="shared" si="11"/>
        <v>0</v>
      </c>
      <c r="R51" s="362">
        <f t="shared" si="11"/>
        <v>0</v>
      </c>
      <c r="T51" s="3535"/>
    </row>
    <row r="52" spans="2:25" ht="13.5" thickBot="1">
      <c r="B52" s="254"/>
      <c r="C52" s="255" t="s">
        <v>142</v>
      </c>
      <c r="D52" s="256">
        <v>0</v>
      </c>
      <c r="E52" s="256"/>
      <c r="F52" s="249">
        <f t="shared" si="10"/>
        <v>0</v>
      </c>
      <c r="I52" s="250" t="str">
        <f t="shared" si="6"/>
        <v>Measure 40</v>
      </c>
      <c r="J52" s="251"/>
      <c r="K52" s="252"/>
      <c r="L52" s="360">
        <f t="shared" si="7"/>
        <v>0</v>
      </c>
      <c r="M52" s="257">
        <v>0</v>
      </c>
      <c r="N52" s="257">
        <v>0</v>
      </c>
      <c r="O52" s="244">
        <f t="shared" si="4"/>
        <v>0</v>
      </c>
      <c r="P52" s="361">
        <f t="shared" si="11"/>
        <v>0</v>
      </c>
      <c r="Q52" s="361">
        <f t="shared" si="11"/>
        <v>0</v>
      </c>
      <c r="R52" s="362">
        <f t="shared" si="11"/>
        <v>0</v>
      </c>
      <c r="T52" s="3535"/>
    </row>
    <row r="53" spans="2:25" ht="13.5" thickBot="1">
      <c r="B53" s="262">
        <v>200650</v>
      </c>
      <c r="C53" s="236" t="s">
        <v>150</v>
      </c>
      <c r="D53" s="237">
        <f>T105</f>
        <v>0</v>
      </c>
      <c r="E53" s="237">
        <f>U105</f>
        <v>242881</v>
      </c>
      <c r="F53" s="238">
        <f>V105</f>
        <v>242881</v>
      </c>
      <c r="G53" s="261" t="s">
        <v>151</v>
      </c>
      <c r="I53" s="250" t="str">
        <f t="shared" si="6"/>
        <v>Measure 41</v>
      </c>
      <c r="J53" s="251"/>
      <c r="K53" s="252"/>
      <c r="L53" s="360">
        <f t="shared" si="7"/>
        <v>0</v>
      </c>
      <c r="M53" s="257">
        <v>0</v>
      </c>
      <c r="N53" s="257">
        <v>0</v>
      </c>
      <c r="O53" s="244">
        <f t="shared" si="4"/>
        <v>0</v>
      </c>
      <c r="P53" s="361">
        <f t="shared" si="11"/>
        <v>0</v>
      </c>
      <c r="Q53" s="361">
        <f t="shared" si="11"/>
        <v>0</v>
      </c>
      <c r="R53" s="362">
        <f t="shared" si="11"/>
        <v>0</v>
      </c>
      <c r="T53" s="3535"/>
    </row>
    <row r="54" spans="2:25" ht="13.5" thickBot="1">
      <c r="B54" s="262">
        <v>0</v>
      </c>
      <c r="C54" s="236" t="s">
        <v>152</v>
      </c>
      <c r="D54" s="237">
        <v>0</v>
      </c>
      <c r="E54" s="237">
        <v>0</v>
      </c>
      <c r="F54" s="238">
        <v>0</v>
      </c>
      <c r="I54" s="250" t="str">
        <f t="shared" si="6"/>
        <v>Measure 42</v>
      </c>
      <c r="J54" s="251"/>
      <c r="K54" s="252"/>
      <c r="L54" s="360">
        <f t="shared" si="7"/>
        <v>0</v>
      </c>
      <c r="M54" s="257">
        <v>0</v>
      </c>
      <c r="N54" s="257">
        <v>0</v>
      </c>
      <c r="O54" s="244">
        <f t="shared" si="4"/>
        <v>0</v>
      </c>
      <c r="P54" s="361">
        <f t="shared" si="11"/>
        <v>0</v>
      </c>
      <c r="Q54" s="361">
        <f t="shared" si="11"/>
        <v>0</v>
      </c>
      <c r="R54" s="362">
        <f t="shared" si="11"/>
        <v>0</v>
      </c>
      <c r="T54" s="3535"/>
    </row>
    <row r="55" spans="2:25">
      <c r="B55" s="263">
        <f>B13+B18+B23+B28+B33+B38+B43+B48+B53+B54</f>
        <v>310921</v>
      </c>
      <c r="C55" s="264" t="s">
        <v>153</v>
      </c>
      <c r="D55" s="263">
        <f>D13+D18+D23+D28+D33+D38+D43+D48+D53+D54</f>
        <v>0</v>
      </c>
      <c r="E55" s="263">
        <f>E13+E18+E23+E28+E33+E38+E43+E48+E53+E54</f>
        <v>316965.5</v>
      </c>
      <c r="F55" s="263">
        <f>F13+F18+F23+F28+F33+F38+F43+F48+F53+F54</f>
        <v>316965.5</v>
      </c>
      <c r="P55" s="365">
        <f>SUM(P13:P54)</f>
        <v>0</v>
      </c>
      <c r="Q55" s="365">
        <f>SUM(Q13:Q54)</f>
        <v>46712.81</v>
      </c>
      <c r="R55" s="365">
        <f>SUM(R13:R54)</f>
        <v>46712.81</v>
      </c>
      <c r="T55" s="4894"/>
    </row>
    <row r="56" spans="2:25">
      <c r="C56" s="264"/>
      <c r="D56" s="263"/>
      <c r="E56" s="263"/>
      <c r="F56" s="263"/>
      <c r="T56" s="3535"/>
    </row>
    <row r="57" spans="2:25">
      <c r="C57" s="264" t="s">
        <v>154</v>
      </c>
      <c r="D57" s="263">
        <f>D55-D53</f>
        <v>0</v>
      </c>
      <c r="E57" s="263">
        <f>E55-E53</f>
        <v>74084.5</v>
      </c>
      <c r="F57" s="263">
        <f>F55-F53</f>
        <v>74084.5</v>
      </c>
    </row>
    <row r="58" spans="2:25">
      <c r="C58" s="264" t="s">
        <v>155</v>
      </c>
      <c r="D58" s="266">
        <f>D53</f>
        <v>0</v>
      </c>
      <c r="E58" s="266">
        <f>E53</f>
        <v>242881</v>
      </c>
      <c r="F58" s="266">
        <f>F53</f>
        <v>242881</v>
      </c>
      <c r="G58" s="319">
        <f>F58/(F57+F58)</f>
        <v>0.76626951513650543</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257"/>
      <c r="C63" s="3574" t="s">
        <v>627</v>
      </c>
      <c r="D63" s="3574">
        <v>7.6E-3</v>
      </c>
      <c r="E63" s="3574" t="s">
        <v>524</v>
      </c>
      <c r="F63" s="3574"/>
      <c r="G63" s="4608">
        <v>4.7E-2</v>
      </c>
      <c r="H63" s="4574">
        <v>0.05</v>
      </c>
      <c r="I63" s="4156">
        <f>R13/R$55</f>
        <v>2.0337033888562901E-2</v>
      </c>
      <c r="J63" s="3574">
        <v>24</v>
      </c>
      <c r="K63" s="3574" t="s">
        <v>560</v>
      </c>
      <c r="L63" s="3574"/>
      <c r="M63" s="278">
        <f>Q63/O63</f>
        <v>1.3190107704522849</v>
      </c>
      <c r="N63" s="278">
        <f>((L63/S63)+R63)/P63</f>
        <v>1.3860186124269485</v>
      </c>
      <c r="O63" s="3548">
        <f t="shared" ref="O63:O104" si="12">(($I63*$F$57)+$V63)/$S63</f>
        <v>7195.4165001087549</v>
      </c>
      <c r="P63" s="3548">
        <f t="shared" ref="P63:P104" si="13">(($I63*$F$57)+($G63*$O13))/$S63</f>
        <v>6847.550080813764</v>
      </c>
      <c r="Q63" s="3548">
        <f>IF(K63=0, 0, (HLOOKUP(K63,'[3]G-CESTD'!$A$5:$G$35,J63+1,FALSE)*R13))</f>
        <v>9490.831861533532</v>
      </c>
      <c r="R63" s="3548">
        <f>IF(K63=0, 0, (HLOOKUP(K63,'[3]G-CESTD'!$A$5:$G$35,J63+1,FALSE)*R13))</f>
        <v>9490.831861533532</v>
      </c>
      <c r="S63" s="3592">
        <v>1.0780000000000001</v>
      </c>
      <c r="T63" s="4150">
        <f t="shared" ref="T63:U104" si="14">M13*$H63</f>
        <v>0</v>
      </c>
      <c r="U63" s="4150">
        <f t="shared" si="14"/>
        <v>6250</v>
      </c>
      <c r="V63" s="3196">
        <f>SUM(T63:U63)</f>
        <v>6250</v>
      </c>
      <c r="W63" s="322">
        <f t="shared" ref="W63:W81" si="15">V63/(V63+(I63*F$57))</f>
        <v>0.80575928507111183</v>
      </c>
      <c r="X63" s="322">
        <f t="shared" ref="X63:X81" si="16">(I63*((F$18*1.63)+F$28))/(V63+(I63*F$57))</f>
        <v>2.4789881279520521E-2</v>
      </c>
      <c r="Y63" s="322">
        <f t="shared" ref="Y63:Y81" si="17">(I63*F$38)/(V63+(I63*F$57))</f>
        <v>2.6218806218424669E-4</v>
      </c>
    </row>
    <row r="64" spans="2:25">
      <c r="B64" s="282"/>
      <c r="C64" s="3593" t="s">
        <v>628</v>
      </c>
      <c r="D64" s="3593">
        <v>7.6E-3</v>
      </c>
      <c r="E64" s="3574" t="s">
        <v>524</v>
      </c>
      <c r="F64" s="3593"/>
      <c r="G64" s="4608">
        <v>3.7999999999999999E-2</v>
      </c>
      <c r="H64" s="4574">
        <v>0.04</v>
      </c>
      <c r="I64" s="4156">
        <f t="shared" ref="I64:I72" si="18">R14/R$55</f>
        <v>2.0337033888562901E-2</v>
      </c>
      <c r="J64" s="3574">
        <v>24</v>
      </c>
      <c r="K64" s="3574" t="s">
        <v>560</v>
      </c>
      <c r="L64" s="3574"/>
      <c r="M64" s="278">
        <f t="shared" ref="M64:M103" si="19">Q64/O64</f>
        <v>1.5724070935621637</v>
      </c>
      <c r="N64" s="278">
        <f t="shared" ref="N64:N104" si="20">((L64/S64)+R64)/P64</f>
        <v>1.6352364365389753</v>
      </c>
      <c r="O64" s="3548">
        <f t="shared" si="12"/>
        <v>6035.8617691254522</v>
      </c>
      <c r="P64" s="3548">
        <f t="shared" si="13"/>
        <v>5803.9508229287921</v>
      </c>
      <c r="Q64" s="3548">
        <f>IF(K64=0, 0, (HLOOKUP(K64,'[3]G-CESTD'!$A$5:$G$35,J64+1,FALSE)*R14))</f>
        <v>9490.831861533532</v>
      </c>
      <c r="R64" s="3548">
        <f>IF(K64=0, 0, (HLOOKUP(K64,'[3]G-CESTD'!$A$5:$G$35,J64+1,FALSE)*R14))</f>
        <v>9490.831861533532</v>
      </c>
      <c r="S64" s="3592">
        <v>1.0780000000000001</v>
      </c>
      <c r="T64" s="4150">
        <f t="shared" si="14"/>
        <v>0</v>
      </c>
      <c r="U64" s="4150">
        <f t="shared" si="14"/>
        <v>5000</v>
      </c>
      <c r="V64" s="3653">
        <f t="shared" ref="V64:V104" si="21">SUM(T64:U64)</f>
        <v>5000</v>
      </c>
      <c r="W64" s="322">
        <f t="shared" si="15"/>
        <v>0.76844352991292075</v>
      </c>
      <c r="X64" s="322">
        <f t="shared" si="16"/>
        <v>2.9552287248659766E-2</v>
      </c>
      <c r="Y64" s="322">
        <f t="shared" si="17"/>
        <v>3.1255724218571938E-4</v>
      </c>
    </row>
    <row r="65" spans="2:25">
      <c r="B65" s="282"/>
      <c r="C65" s="3593" t="s">
        <v>629</v>
      </c>
      <c r="D65" s="3593">
        <v>5.8000000000000003E-2</v>
      </c>
      <c r="E65" s="3574" t="s">
        <v>524</v>
      </c>
      <c r="F65" s="3593"/>
      <c r="G65" s="4608">
        <v>0.32800000000000001</v>
      </c>
      <c r="H65" s="4574">
        <v>0.32</v>
      </c>
      <c r="I65" s="4156">
        <f t="shared" si="18"/>
        <v>2.334263342325157E-3</v>
      </c>
      <c r="J65" s="3574">
        <v>15</v>
      </c>
      <c r="K65" s="3574" t="s">
        <v>560</v>
      </c>
      <c r="L65" s="3574"/>
      <c r="M65" s="278">
        <f t="shared" si="19"/>
        <v>1.0948774860535995</v>
      </c>
      <c r="N65" s="278">
        <f t="shared" si="20"/>
        <v>1.0740219565872446</v>
      </c>
      <c r="O65" s="3548">
        <f t="shared" si="12"/>
        <v>718.49047549581451</v>
      </c>
      <c r="P65" s="3548">
        <f t="shared" si="13"/>
        <v>732.44223801900557</v>
      </c>
      <c r="Q65" s="3548">
        <f>IF(K65=0, 0, (HLOOKUP(K65,'[3]G-CESTD'!$A$5:$G$35,J65+1,FALSE)*R15))</f>
        <v>786.65904556431269</v>
      </c>
      <c r="R65" s="3548">
        <f>IF(K65=0, 0, (HLOOKUP(K65,'[3]G-CESTD'!$A$5:$G$35,J65+1,FALSE)*R15))</f>
        <v>786.65904556431269</v>
      </c>
      <c r="S65" s="3592">
        <v>1.0780000000000001</v>
      </c>
      <c r="T65" s="4150">
        <f t="shared" si="14"/>
        <v>0</v>
      </c>
      <c r="U65" s="4150">
        <f t="shared" si="14"/>
        <v>601.6</v>
      </c>
      <c r="V65" s="3653">
        <f t="shared" si="21"/>
        <v>601.6</v>
      </c>
      <c r="W65" s="322">
        <f t="shared" si="15"/>
        <v>0.77672637280616907</v>
      </c>
      <c r="X65" s="322">
        <f t="shared" si="16"/>
        <v>2.8495193260637118E-2</v>
      </c>
      <c r="Y65" s="322">
        <f t="shared" si="17"/>
        <v>3.0137697790203193E-4</v>
      </c>
    </row>
    <row r="66" spans="2:25">
      <c r="B66" s="282"/>
      <c r="C66" s="3593" t="s">
        <v>630</v>
      </c>
      <c r="D66" s="3593">
        <v>3.5999999999999997E-2</v>
      </c>
      <c r="E66" s="3574" t="s">
        <v>524</v>
      </c>
      <c r="F66" s="3593"/>
      <c r="G66" s="4608">
        <v>0.32800000000000001</v>
      </c>
      <c r="H66" s="4574">
        <v>0.18</v>
      </c>
      <c r="I66" s="4156">
        <f t="shared" si="18"/>
        <v>3.3138661536310917E-3</v>
      </c>
      <c r="J66" s="3574">
        <v>15</v>
      </c>
      <c r="K66" s="3574" t="s">
        <v>560</v>
      </c>
      <c r="L66" s="3574"/>
      <c r="M66" s="278">
        <f t="shared" si="19"/>
        <v>1.1808658937831662</v>
      </c>
      <c r="N66" s="278">
        <f t="shared" si="20"/>
        <v>0.72703397235849587</v>
      </c>
      <c r="O66" s="3548">
        <f t="shared" si="12"/>
        <v>945.73851304144944</v>
      </c>
      <c r="P66" s="3548">
        <f t="shared" si="13"/>
        <v>1536.0910176796683</v>
      </c>
      <c r="Q66" s="3548">
        <f>IF(K66=0, 0, (HLOOKUP(K66,'[3]G-CESTD'!$A$5:$G$35,J66+1,FALSE)*R16))</f>
        <v>1116.7903544878538</v>
      </c>
      <c r="R66" s="3548">
        <f>IF(K66=0, 0, (HLOOKUP(K66,'[3]G-CESTD'!$A$5:$G$35,J66+1,FALSE)*R16))</f>
        <v>1116.7903544878538</v>
      </c>
      <c r="S66" s="3592">
        <v>1.0780000000000001</v>
      </c>
      <c r="T66" s="4150">
        <f t="shared" si="14"/>
        <v>0</v>
      </c>
      <c r="U66" s="4150">
        <f t="shared" si="14"/>
        <v>774</v>
      </c>
      <c r="V66" s="3653">
        <f t="shared" si="21"/>
        <v>774</v>
      </c>
      <c r="W66" s="322">
        <f t="shared" si="15"/>
        <v>0.75919112896842844</v>
      </c>
      <c r="X66" s="322">
        <f t="shared" si="16"/>
        <v>3.073312063391815E-2</v>
      </c>
      <c r="Y66" s="322">
        <f t="shared" si="17"/>
        <v>3.2504622563636333E-4</v>
      </c>
    </row>
    <row r="67" spans="2:25">
      <c r="B67" s="282"/>
      <c r="C67" s="3593" t="s">
        <v>631</v>
      </c>
      <c r="D67" s="3593">
        <v>2.1499999999999998E-2</v>
      </c>
      <c r="E67" s="3574" t="s">
        <v>524</v>
      </c>
      <c r="F67" s="3593"/>
      <c r="G67" s="4608">
        <v>0.185</v>
      </c>
      <c r="H67" s="4574">
        <v>0.129</v>
      </c>
      <c r="I67" s="4156">
        <f t="shared" si="18"/>
        <v>0</v>
      </c>
      <c r="J67" s="3574">
        <v>15</v>
      </c>
      <c r="K67" s="3574" t="s">
        <v>1082</v>
      </c>
      <c r="L67" s="3574"/>
      <c r="M67" s="278" t="e">
        <f t="shared" si="19"/>
        <v>#DIV/0!</v>
      </c>
      <c r="N67" s="278" t="e">
        <f t="shared" si="20"/>
        <v>#DIV/0!</v>
      </c>
      <c r="O67" s="3548">
        <f t="shared" si="12"/>
        <v>0</v>
      </c>
      <c r="P67" s="3548">
        <f t="shared" si="13"/>
        <v>0</v>
      </c>
      <c r="Q67" s="3548">
        <f>IF(K67=0, 0, (HLOOKUP(K67,'[3]G-CESTD'!$A$5:$G$35,J67+1,FALSE)*R17))</f>
        <v>0</v>
      </c>
      <c r="R67" s="3548">
        <f>IF(K67=0, 0, (HLOOKUP(K67,'[3]G-CESTD'!$A$5:$G$35,J67+1,FALSE)*R17))</f>
        <v>0</v>
      </c>
      <c r="S67" s="3592">
        <v>1.0780000000000001</v>
      </c>
      <c r="T67" s="4150">
        <f t="shared" si="14"/>
        <v>0</v>
      </c>
      <c r="U67" s="4150">
        <f t="shared" si="14"/>
        <v>0</v>
      </c>
      <c r="V67" s="3653">
        <f t="shared" si="21"/>
        <v>0</v>
      </c>
      <c r="W67" s="322" t="e">
        <f t="shared" si="15"/>
        <v>#DIV/0!</v>
      </c>
      <c r="X67" s="322" t="e">
        <f t="shared" si="16"/>
        <v>#DIV/0!</v>
      </c>
      <c r="Y67" s="322" t="e">
        <f t="shared" si="17"/>
        <v>#DIV/0!</v>
      </c>
    </row>
    <row r="68" spans="2:25">
      <c r="B68" s="282"/>
      <c r="C68" s="3593" t="s">
        <v>632</v>
      </c>
      <c r="D68" s="3593">
        <v>2.1499999999999998E-2</v>
      </c>
      <c r="E68" s="3574" t="s">
        <v>524</v>
      </c>
      <c r="F68" s="3593"/>
      <c r="G68" s="4608">
        <v>7.0000000000000007E-2</v>
      </c>
      <c r="H68" s="4574">
        <v>0.04</v>
      </c>
      <c r="I68" s="4156">
        <f t="shared" si="18"/>
        <v>0</v>
      </c>
      <c r="J68" s="3574">
        <v>7</v>
      </c>
      <c r="K68" s="3574" t="s">
        <v>1082</v>
      </c>
      <c r="L68" s="3574"/>
      <c r="M68" s="278" t="e">
        <f t="shared" si="19"/>
        <v>#DIV/0!</v>
      </c>
      <c r="N68" s="278" t="e">
        <f t="shared" si="20"/>
        <v>#DIV/0!</v>
      </c>
      <c r="O68" s="3548">
        <f t="shared" si="12"/>
        <v>0</v>
      </c>
      <c r="P68" s="3548">
        <f t="shared" si="13"/>
        <v>0</v>
      </c>
      <c r="Q68" s="3548">
        <f>IF(K68=0, 0, (HLOOKUP(K68,'[3]G-CESTD'!$A$5:$G$35,J68+1,FALSE)*R18))</f>
        <v>0</v>
      </c>
      <c r="R68" s="3548">
        <f>IF(K68=0, 0, (HLOOKUP(K68,'[3]G-CESTD'!$A$5:$G$35,J68+1,FALSE)*R18))</f>
        <v>0</v>
      </c>
      <c r="S68" s="3592">
        <v>1.0780000000000001</v>
      </c>
      <c r="T68" s="4150">
        <f t="shared" si="14"/>
        <v>0</v>
      </c>
      <c r="U68" s="4150">
        <f t="shared" si="14"/>
        <v>0</v>
      </c>
      <c r="V68" s="3653">
        <f t="shared" si="21"/>
        <v>0</v>
      </c>
      <c r="W68" s="322" t="e">
        <f t="shared" si="15"/>
        <v>#DIV/0!</v>
      </c>
      <c r="X68" s="322" t="e">
        <f t="shared" si="16"/>
        <v>#DIV/0!</v>
      </c>
      <c r="Y68" s="322" t="e">
        <f t="shared" si="17"/>
        <v>#DIV/0!</v>
      </c>
    </row>
    <row r="69" spans="2:25">
      <c r="B69" s="282"/>
      <c r="C69" s="3593" t="s">
        <v>633</v>
      </c>
      <c r="D69" s="3593">
        <v>5</v>
      </c>
      <c r="E69" s="3593" t="s">
        <v>454</v>
      </c>
      <c r="F69" s="3593"/>
      <c r="G69" s="4608">
        <v>30</v>
      </c>
      <c r="H69" s="4574">
        <v>5</v>
      </c>
      <c r="I69" s="4156">
        <f t="shared" si="18"/>
        <v>0.16590738172248684</v>
      </c>
      <c r="J69" s="3574">
        <v>6</v>
      </c>
      <c r="K69" s="3574" t="s">
        <v>233</v>
      </c>
      <c r="L69" s="3574">
        <v>92.14</v>
      </c>
      <c r="M69" s="278">
        <f t="shared" si="19"/>
        <v>0.82471134485774156</v>
      </c>
      <c r="N69" s="278">
        <f t="shared" si="20"/>
        <v>0.28270091888757953</v>
      </c>
      <c r="O69" s="3548">
        <f t="shared" si="12"/>
        <v>18591.062542875305</v>
      </c>
      <c r="P69" s="3548">
        <f t="shared" si="13"/>
        <v>54537.259203357673</v>
      </c>
      <c r="Q69" s="3548">
        <f>IF(K69=0, 0, (HLOOKUP(K69,'[3]G-CESTD'!$A$5:$G$35,J69+1,FALSE)*R19))</f>
        <v>15332.260192069078</v>
      </c>
      <c r="R69" s="3548">
        <f>IF(K69=0, 0, (HLOOKUP(K69,'[3]G-CESTD'!$A$5:$G$35,J69+1,FALSE)*R19))</f>
        <v>15332.260192069078</v>
      </c>
      <c r="S69" s="3592">
        <v>1.0780000000000001</v>
      </c>
      <c r="T69" s="4150">
        <f t="shared" si="14"/>
        <v>0</v>
      </c>
      <c r="U69" s="4150">
        <f t="shared" si="14"/>
        <v>7750</v>
      </c>
      <c r="V69" s="3653">
        <f t="shared" si="21"/>
        <v>7750</v>
      </c>
      <c r="W69" s="322">
        <f t="shared" si="15"/>
        <v>0.38670405822778664</v>
      </c>
      <c r="X69" s="322">
        <f t="shared" si="16"/>
        <v>7.8271610518479251E-2</v>
      </c>
      <c r="Y69" s="322">
        <f t="shared" si="17"/>
        <v>8.2783300389718936E-4</v>
      </c>
    </row>
    <row r="70" spans="2:25">
      <c r="B70" s="282"/>
      <c r="C70" s="3593" t="s">
        <v>1083</v>
      </c>
      <c r="D70" s="3593">
        <v>2.1499999999999998E-2</v>
      </c>
      <c r="E70" s="3574" t="s">
        <v>559</v>
      </c>
      <c r="F70" s="3593" t="s">
        <v>186</v>
      </c>
      <c r="G70" s="4608">
        <v>4</v>
      </c>
      <c r="H70" s="3594">
        <v>0.13</v>
      </c>
      <c r="I70" s="4156">
        <f t="shared" si="18"/>
        <v>0.78777042100443107</v>
      </c>
      <c r="J70" s="3574">
        <v>15</v>
      </c>
      <c r="K70" s="3574" t="s">
        <v>1082</v>
      </c>
      <c r="L70" s="3574"/>
      <c r="M70" s="278">
        <f t="shared" si="19"/>
        <v>0.70215239885936021</v>
      </c>
      <c r="N70" s="278">
        <f t="shared" si="20"/>
        <v>2.8561986526119864E-2</v>
      </c>
      <c r="O70" s="3548">
        <f t="shared" si="12"/>
        <v>260544.50626614358</v>
      </c>
      <c r="P70" s="3548">
        <f t="shared" si="13"/>
        <v>6405084.9515351597</v>
      </c>
      <c r="Q70" s="3548">
        <f>IF(K70=0, 0, (HLOOKUP(K70,'[3]G-CESTD'!$A$5:$G$35,J70+1,FALSE)*R20))</f>
        <v>182941.95008440033</v>
      </c>
      <c r="R70" s="3548">
        <f>IF(K70=0, 0, (HLOOKUP(K70,'[3]G-CESTD'!$A$5:$G$35,J70+1,FALSE)*R20))</f>
        <v>182941.95008440033</v>
      </c>
      <c r="S70" s="3592">
        <v>1.0780000000000001</v>
      </c>
      <c r="T70" s="4150">
        <f t="shared" si="14"/>
        <v>0</v>
      </c>
      <c r="U70" s="4150">
        <f t="shared" si="14"/>
        <v>222505.4</v>
      </c>
      <c r="V70" s="3653">
        <f t="shared" si="21"/>
        <v>222505.4</v>
      </c>
      <c r="W70" s="322">
        <f t="shared" si="15"/>
        <v>0.79220918663556184</v>
      </c>
      <c r="X70" s="322">
        <f t="shared" si="16"/>
        <v>2.651920631658122E-2</v>
      </c>
      <c r="Y70" s="322">
        <f t="shared" si="17"/>
        <v>2.8047812074649626E-4</v>
      </c>
    </row>
    <row r="71" spans="2:25">
      <c r="B71" s="282"/>
      <c r="C71" s="3593" t="s">
        <v>1311</v>
      </c>
      <c r="D71" s="3593">
        <v>9</v>
      </c>
      <c r="E71" s="3574" t="s">
        <v>454</v>
      </c>
      <c r="F71" s="3593" t="s">
        <v>186</v>
      </c>
      <c r="G71" s="3594">
        <v>30</v>
      </c>
      <c r="H71" s="3594">
        <v>15</v>
      </c>
      <c r="I71" s="4156">
        <f t="shared" si="18"/>
        <v>0</v>
      </c>
      <c r="J71" s="3574">
        <v>6</v>
      </c>
      <c r="K71" s="3574" t="s">
        <v>233</v>
      </c>
      <c r="L71" s="3574">
        <v>144</v>
      </c>
      <c r="M71" s="278" t="e">
        <f t="shared" si="19"/>
        <v>#N/A</v>
      </c>
      <c r="N71" s="278" t="e">
        <f t="shared" si="20"/>
        <v>#DIV/0!</v>
      </c>
      <c r="O71" s="3548">
        <f t="shared" si="12"/>
        <v>0</v>
      </c>
      <c r="P71" s="3548">
        <f t="shared" si="13"/>
        <v>0</v>
      </c>
      <c r="Q71" s="3548" t="e">
        <f>IF(K71=0, 0, (HLOOKUP(K71,'[3]G-CESTDWO'!$A$5:$G$35,J71+1,FALSE)*R21))</f>
        <v>#N/A</v>
      </c>
      <c r="R71" s="3548">
        <f>IF(K71=0, 0, (HLOOKUP(K71,'[3]G-CESTD'!$A$5:$G$35,J71+1,FALSE)*R21))</f>
        <v>0</v>
      </c>
      <c r="S71" s="3592">
        <v>1.0780000000000001</v>
      </c>
      <c r="T71" s="4150">
        <f t="shared" si="14"/>
        <v>0</v>
      </c>
      <c r="U71" s="4150">
        <f t="shared" si="14"/>
        <v>0</v>
      </c>
      <c r="V71" s="3653">
        <f t="shared" si="21"/>
        <v>0</v>
      </c>
      <c r="W71" s="322" t="e">
        <f t="shared" si="15"/>
        <v>#DIV/0!</v>
      </c>
      <c r="X71" s="322" t="e">
        <f t="shared" si="16"/>
        <v>#DIV/0!</v>
      </c>
      <c r="Y71" s="322" t="e">
        <f t="shared" si="17"/>
        <v>#DIV/0!</v>
      </c>
    </row>
    <row r="72" spans="2:25">
      <c r="B72" s="282"/>
      <c r="C72" s="3593" t="s">
        <v>1312</v>
      </c>
      <c r="D72" s="3593">
        <v>13</v>
      </c>
      <c r="E72" s="3593" t="s">
        <v>454</v>
      </c>
      <c r="F72" s="3593" t="s">
        <v>186</v>
      </c>
      <c r="G72" s="3594">
        <v>30</v>
      </c>
      <c r="H72" s="3594">
        <v>25</v>
      </c>
      <c r="I72" s="4156">
        <f t="shared" si="18"/>
        <v>0</v>
      </c>
      <c r="J72" s="3574">
        <v>6</v>
      </c>
      <c r="K72" s="3574" t="s">
        <v>233</v>
      </c>
      <c r="L72" s="3574">
        <v>195.79</v>
      </c>
      <c r="M72" s="278" t="e">
        <f t="shared" si="19"/>
        <v>#N/A</v>
      </c>
      <c r="N72" s="278" t="e">
        <f t="shared" si="20"/>
        <v>#DIV/0!</v>
      </c>
      <c r="O72" s="3548">
        <f t="shared" si="12"/>
        <v>0</v>
      </c>
      <c r="P72" s="3548">
        <f t="shared" si="13"/>
        <v>0</v>
      </c>
      <c r="Q72" s="3548" t="e">
        <f>IF(K72=0, 0, (HLOOKUP(K72,'[3]G-CESTDWO'!$A$5:$G$35,J72+1,FALSE)*R22))</f>
        <v>#N/A</v>
      </c>
      <c r="R72" s="3548">
        <f>IF(K72=0, 0, (HLOOKUP(K72,'[3]G-CESTD'!$A$5:$G$35,J72+1,FALSE)*R22))</f>
        <v>0</v>
      </c>
      <c r="S72" s="3592">
        <v>1.0780000000000001</v>
      </c>
      <c r="T72" s="4150">
        <f t="shared" si="14"/>
        <v>0</v>
      </c>
      <c r="U72" s="4150">
        <f t="shared" si="14"/>
        <v>0</v>
      </c>
      <c r="V72" s="3653">
        <f t="shared" si="21"/>
        <v>0</v>
      </c>
      <c r="W72" s="322" t="e">
        <f t="shared" si="15"/>
        <v>#DIV/0!</v>
      </c>
      <c r="X72" s="322" t="e">
        <f t="shared" si="16"/>
        <v>#DIV/0!</v>
      </c>
      <c r="Y72" s="322" t="e">
        <f t="shared" si="17"/>
        <v>#DIV/0!</v>
      </c>
    </row>
    <row r="73" spans="2:25">
      <c r="B73" s="282"/>
      <c r="C73" s="3593" t="s">
        <v>195</v>
      </c>
      <c r="D73" s="3574">
        <v>0</v>
      </c>
      <c r="E73" s="3593" t="s">
        <v>559</v>
      </c>
      <c r="F73" s="3593" t="s">
        <v>186</v>
      </c>
      <c r="G73" s="3594"/>
      <c r="H73" s="3594"/>
      <c r="I73" s="4156">
        <v>0</v>
      </c>
      <c r="J73" s="3574"/>
      <c r="K73" s="3574"/>
      <c r="L73" s="3574"/>
      <c r="M73" s="278" t="e">
        <f t="shared" si="19"/>
        <v>#DIV/0!</v>
      </c>
      <c r="N73" s="278" t="e">
        <f t="shared" si="20"/>
        <v>#DIV/0!</v>
      </c>
      <c r="O73" s="3548">
        <f t="shared" si="12"/>
        <v>0</v>
      </c>
      <c r="P73" s="3548">
        <f t="shared" si="13"/>
        <v>0</v>
      </c>
      <c r="Q73" s="3548">
        <f>IF(K73=0, 0, (HLOOKUP(K73,'[3]G-CESTDWO'!$A$5:$G$35,J73+1,FALSE)*R23))</f>
        <v>0</v>
      </c>
      <c r="R73" s="3548">
        <f>IF(K73=0, 0, (HLOOKUP(K73,'[3]G-CESTD'!$A$5:$G$35,J73+1,FALSE)*R23))</f>
        <v>0</v>
      </c>
      <c r="S73" s="3592">
        <v>1.0780000000000001</v>
      </c>
      <c r="T73" s="4150">
        <f t="shared" si="14"/>
        <v>0</v>
      </c>
      <c r="U73" s="4150">
        <f t="shared" si="14"/>
        <v>0</v>
      </c>
      <c r="V73" s="3653">
        <f t="shared" si="21"/>
        <v>0</v>
      </c>
      <c r="W73" s="322" t="e">
        <f t="shared" si="15"/>
        <v>#DIV/0!</v>
      </c>
      <c r="X73" s="322" t="e">
        <f t="shared" si="16"/>
        <v>#DIV/0!</v>
      </c>
      <c r="Y73" s="322" t="e">
        <f t="shared" si="17"/>
        <v>#DIV/0!</v>
      </c>
    </row>
    <row r="74" spans="2:25">
      <c r="B74" s="282"/>
      <c r="C74" s="3593" t="s">
        <v>196</v>
      </c>
      <c r="D74" s="3593">
        <v>0</v>
      </c>
      <c r="E74" s="3593" t="s">
        <v>559</v>
      </c>
      <c r="F74" s="3593" t="s">
        <v>186</v>
      </c>
      <c r="G74" s="3594"/>
      <c r="H74" s="3594"/>
      <c r="I74" s="4156">
        <v>0</v>
      </c>
      <c r="J74" s="3574"/>
      <c r="K74" s="3574"/>
      <c r="L74" s="3574"/>
      <c r="M74" s="278" t="e">
        <f t="shared" si="19"/>
        <v>#DIV/0!</v>
      </c>
      <c r="N74" s="278" t="e">
        <f t="shared" si="20"/>
        <v>#DIV/0!</v>
      </c>
      <c r="O74" s="3548">
        <f t="shared" si="12"/>
        <v>0</v>
      </c>
      <c r="P74" s="3548">
        <f t="shared" si="13"/>
        <v>0</v>
      </c>
      <c r="Q74" s="3548">
        <f>IF(K74=0, 0, (HLOOKUP(K74,'[3]G-CESTDWO'!$A$5:$G$35,J74+1,FALSE)*R24))</f>
        <v>0</v>
      </c>
      <c r="R74" s="3548">
        <f>IF(K74=0, 0, (HLOOKUP(K74,'[3]G-CESTD'!$A$5:$G$35,J74+1,FALSE)*R24))</f>
        <v>0</v>
      </c>
      <c r="S74" s="3592">
        <v>1.0780000000000001</v>
      </c>
      <c r="T74" s="4150">
        <f t="shared" si="14"/>
        <v>0</v>
      </c>
      <c r="U74" s="4150">
        <f t="shared" si="14"/>
        <v>0</v>
      </c>
      <c r="V74" s="3653">
        <f t="shared" si="21"/>
        <v>0</v>
      </c>
      <c r="W74" s="322" t="e">
        <f t="shared" si="15"/>
        <v>#DIV/0!</v>
      </c>
      <c r="X74" s="322" t="e">
        <f t="shared" si="16"/>
        <v>#DIV/0!</v>
      </c>
      <c r="Y74" s="322" t="e">
        <f t="shared" si="17"/>
        <v>#DIV/0!</v>
      </c>
    </row>
    <row r="75" spans="2:25">
      <c r="B75" s="282"/>
      <c r="C75" s="3593" t="s">
        <v>197</v>
      </c>
      <c r="D75" s="3574">
        <v>0</v>
      </c>
      <c r="E75" s="3593" t="s">
        <v>559</v>
      </c>
      <c r="F75" s="3593" t="s">
        <v>186</v>
      </c>
      <c r="G75" s="3594"/>
      <c r="H75" s="3594"/>
      <c r="I75" s="4156">
        <v>0</v>
      </c>
      <c r="J75" s="3574"/>
      <c r="K75" s="3574"/>
      <c r="L75" s="3574"/>
      <c r="M75" s="278" t="e">
        <f t="shared" si="19"/>
        <v>#DIV/0!</v>
      </c>
      <c r="N75" s="278" t="e">
        <f t="shared" si="20"/>
        <v>#DIV/0!</v>
      </c>
      <c r="O75" s="3548">
        <f t="shared" si="12"/>
        <v>0</v>
      </c>
      <c r="P75" s="3548">
        <f t="shared" si="13"/>
        <v>0</v>
      </c>
      <c r="Q75" s="3548">
        <f>IF(K75=0, 0, (HLOOKUP(K75,'[3]G-CESTDWO'!$A$5:$G$35,J75+1,FALSE)*R25))</f>
        <v>0</v>
      </c>
      <c r="R75" s="3548">
        <f>IF(K75=0, 0, (HLOOKUP(K75,'[3]G-CESTD'!$A$5:$G$35,J75+1,FALSE)*R25))</f>
        <v>0</v>
      </c>
      <c r="S75" s="3592">
        <v>1.0780000000000001</v>
      </c>
      <c r="T75" s="4150">
        <f t="shared" si="14"/>
        <v>0</v>
      </c>
      <c r="U75" s="4150">
        <f t="shared" si="14"/>
        <v>0</v>
      </c>
      <c r="V75" s="3653">
        <f t="shared" si="21"/>
        <v>0</v>
      </c>
      <c r="W75" s="322" t="e">
        <f t="shared" si="15"/>
        <v>#DIV/0!</v>
      </c>
      <c r="X75" s="322" t="e">
        <f t="shared" si="16"/>
        <v>#DIV/0!</v>
      </c>
      <c r="Y75" s="322" t="e">
        <f t="shared" si="17"/>
        <v>#DIV/0!</v>
      </c>
    </row>
    <row r="76" spans="2:25">
      <c r="B76" s="282"/>
      <c r="C76" s="3593" t="s">
        <v>198</v>
      </c>
      <c r="D76" s="3593">
        <v>0</v>
      </c>
      <c r="E76" s="3593" t="s">
        <v>559</v>
      </c>
      <c r="F76" s="3593" t="s">
        <v>186</v>
      </c>
      <c r="G76" s="3594"/>
      <c r="H76" s="3594"/>
      <c r="I76" s="4156">
        <v>0</v>
      </c>
      <c r="J76" s="3574"/>
      <c r="K76" s="3574"/>
      <c r="L76" s="3574"/>
      <c r="M76" s="278" t="e">
        <f t="shared" si="19"/>
        <v>#DIV/0!</v>
      </c>
      <c r="N76" s="278" t="e">
        <f t="shared" si="20"/>
        <v>#DIV/0!</v>
      </c>
      <c r="O76" s="3548">
        <f t="shared" si="12"/>
        <v>0</v>
      </c>
      <c r="P76" s="3548">
        <f t="shared" si="13"/>
        <v>0</v>
      </c>
      <c r="Q76" s="3548">
        <f>IF(K76=0, 0, (HLOOKUP(K76,'[3]G-CESTDWO'!$A$5:$G$35,J76+1,FALSE)*R26))</f>
        <v>0</v>
      </c>
      <c r="R76" s="3548">
        <f>IF(K76=0, 0, (HLOOKUP(K76,'[3]G-CESTD'!$A$5:$G$35,J76+1,FALSE)*R26))</f>
        <v>0</v>
      </c>
      <c r="S76" s="3592">
        <v>1.0780000000000001</v>
      </c>
      <c r="T76" s="4150">
        <f t="shared" si="14"/>
        <v>0</v>
      </c>
      <c r="U76" s="4150">
        <f t="shared" si="14"/>
        <v>0</v>
      </c>
      <c r="V76" s="3653">
        <f t="shared" si="21"/>
        <v>0</v>
      </c>
      <c r="W76" s="322" t="e">
        <f t="shared" si="15"/>
        <v>#DIV/0!</v>
      </c>
      <c r="X76" s="322" t="e">
        <f t="shared" si="16"/>
        <v>#DIV/0!</v>
      </c>
      <c r="Y76" s="322" t="e">
        <f t="shared" si="17"/>
        <v>#DIV/0!</v>
      </c>
    </row>
    <row r="77" spans="2:25">
      <c r="B77" s="282"/>
      <c r="C77" s="3593" t="s">
        <v>199</v>
      </c>
      <c r="D77" s="3574">
        <v>0</v>
      </c>
      <c r="E77" s="3593" t="s">
        <v>559</v>
      </c>
      <c r="F77" s="3593" t="s">
        <v>186</v>
      </c>
      <c r="G77" s="3594"/>
      <c r="H77" s="3594"/>
      <c r="I77" s="4156">
        <v>0</v>
      </c>
      <c r="J77" s="3574"/>
      <c r="K77" s="3574"/>
      <c r="L77" s="3574"/>
      <c r="M77" s="278" t="e">
        <f t="shared" si="19"/>
        <v>#DIV/0!</v>
      </c>
      <c r="N77" s="278" t="e">
        <f t="shared" si="20"/>
        <v>#DIV/0!</v>
      </c>
      <c r="O77" s="3548">
        <f t="shared" si="12"/>
        <v>0</v>
      </c>
      <c r="P77" s="3548">
        <f t="shared" si="13"/>
        <v>0</v>
      </c>
      <c r="Q77" s="3548">
        <f>IF(K77=0, 0, (HLOOKUP(K77,'[3]G-CESTDWO'!$A$5:$G$35,J77+1,FALSE)*R27))</f>
        <v>0</v>
      </c>
      <c r="R77" s="3548">
        <f>IF(K77=0, 0, (HLOOKUP(K77,'[3]G-CESTD'!$A$5:$G$35,J77+1,FALSE)*R27))</f>
        <v>0</v>
      </c>
      <c r="S77" s="3592">
        <v>1.0780000000000001</v>
      </c>
      <c r="T77" s="4150">
        <f t="shared" si="14"/>
        <v>0</v>
      </c>
      <c r="U77" s="4150">
        <f t="shared" si="14"/>
        <v>0</v>
      </c>
      <c r="V77" s="3653">
        <f t="shared" si="21"/>
        <v>0</v>
      </c>
      <c r="W77" s="322" t="e">
        <f t="shared" si="15"/>
        <v>#DIV/0!</v>
      </c>
      <c r="X77" s="322" t="e">
        <f t="shared" si="16"/>
        <v>#DIV/0!</v>
      </c>
      <c r="Y77" s="322" t="e">
        <f t="shared" si="17"/>
        <v>#DIV/0!</v>
      </c>
    </row>
    <row r="78" spans="2:25">
      <c r="B78" s="282"/>
      <c r="C78" s="3593" t="s">
        <v>200</v>
      </c>
      <c r="D78" s="3593">
        <v>0</v>
      </c>
      <c r="E78" s="3593" t="s">
        <v>559</v>
      </c>
      <c r="F78" s="3593" t="s">
        <v>186</v>
      </c>
      <c r="G78" s="3594"/>
      <c r="H78" s="3594"/>
      <c r="I78" s="4156">
        <v>0</v>
      </c>
      <c r="J78" s="3574"/>
      <c r="K78" s="3574"/>
      <c r="L78" s="3574"/>
      <c r="M78" s="278" t="e">
        <f t="shared" si="19"/>
        <v>#DIV/0!</v>
      </c>
      <c r="N78" s="278" t="e">
        <f t="shared" si="20"/>
        <v>#DIV/0!</v>
      </c>
      <c r="O78" s="3548">
        <f t="shared" si="12"/>
        <v>0</v>
      </c>
      <c r="P78" s="3548">
        <f t="shared" si="13"/>
        <v>0</v>
      </c>
      <c r="Q78" s="3548">
        <f>IF(K78=0, 0, (HLOOKUP(K78,'[3]G-CESTDWO'!$A$5:$G$35,J78+1,FALSE)*R28))</f>
        <v>0</v>
      </c>
      <c r="R78" s="3548">
        <f>IF(K78=0, 0, (HLOOKUP(K78,'[3]G-CESTD'!$A$5:$G$35,J78+1,FALSE)*R28))</f>
        <v>0</v>
      </c>
      <c r="S78" s="3592">
        <v>1.0780000000000001</v>
      </c>
      <c r="T78" s="4150">
        <f t="shared" si="14"/>
        <v>0</v>
      </c>
      <c r="U78" s="4150">
        <f t="shared" si="14"/>
        <v>0</v>
      </c>
      <c r="V78" s="3653">
        <f t="shared" si="21"/>
        <v>0</v>
      </c>
      <c r="W78" s="322" t="e">
        <f t="shared" si="15"/>
        <v>#DIV/0!</v>
      </c>
      <c r="X78" s="322" t="e">
        <f t="shared" si="16"/>
        <v>#DIV/0!</v>
      </c>
      <c r="Y78" s="322" t="e">
        <f t="shared" si="17"/>
        <v>#DIV/0!</v>
      </c>
    </row>
    <row r="79" spans="2:25">
      <c r="B79" s="282"/>
      <c r="C79" s="3593" t="s">
        <v>201</v>
      </c>
      <c r="D79" s="3574">
        <v>0</v>
      </c>
      <c r="E79" s="3593" t="s">
        <v>559</v>
      </c>
      <c r="F79" s="3593" t="s">
        <v>186</v>
      </c>
      <c r="G79" s="3594"/>
      <c r="H79" s="3594"/>
      <c r="I79" s="4156">
        <v>0</v>
      </c>
      <c r="J79" s="3574"/>
      <c r="K79" s="3574"/>
      <c r="L79" s="3574"/>
      <c r="M79" s="278" t="e">
        <f t="shared" si="19"/>
        <v>#DIV/0!</v>
      </c>
      <c r="N79" s="278" t="e">
        <f t="shared" si="20"/>
        <v>#DIV/0!</v>
      </c>
      <c r="O79" s="3548">
        <f t="shared" si="12"/>
        <v>0</v>
      </c>
      <c r="P79" s="3548">
        <f t="shared" si="13"/>
        <v>0</v>
      </c>
      <c r="Q79" s="3548">
        <f>IF(K79=0, 0, (HLOOKUP(K79,'[3]G-CESTDWO'!$A$5:$G$35,J79+1,FALSE)*R29))</f>
        <v>0</v>
      </c>
      <c r="R79" s="3548">
        <f>IF(K79=0, 0, (HLOOKUP(K79,'[3]G-CESTD'!$A$5:$G$35,J79+1,FALSE)*R29))</f>
        <v>0</v>
      </c>
      <c r="S79" s="3592">
        <v>1.0780000000000001</v>
      </c>
      <c r="T79" s="4150">
        <f t="shared" si="14"/>
        <v>0</v>
      </c>
      <c r="U79" s="4150">
        <f t="shared" si="14"/>
        <v>0</v>
      </c>
      <c r="V79" s="3653">
        <f t="shared" si="21"/>
        <v>0</v>
      </c>
      <c r="W79" s="322" t="e">
        <f t="shared" si="15"/>
        <v>#DIV/0!</v>
      </c>
      <c r="X79" s="322" t="e">
        <f t="shared" si="16"/>
        <v>#DIV/0!</v>
      </c>
      <c r="Y79" s="322" t="e">
        <f t="shared" si="17"/>
        <v>#DIV/0!</v>
      </c>
    </row>
    <row r="80" spans="2:25">
      <c r="B80" s="282"/>
      <c r="C80" s="3593" t="s">
        <v>202</v>
      </c>
      <c r="D80" s="3593">
        <v>0</v>
      </c>
      <c r="E80" s="3593" t="s">
        <v>559</v>
      </c>
      <c r="F80" s="3593" t="s">
        <v>186</v>
      </c>
      <c r="G80" s="3594"/>
      <c r="H80" s="3594"/>
      <c r="I80" s="4156">
        <v>0</v>
      </c>
      <c r="J80" s="3574"/>
      <c r="K80" s="3574"/>
      <c r="L80" s="3574"/>
      <c r="M80" s="278" t="e">
        <f t="shared" si="19"/>
        <v>#DIV/0!</v>
      </c>
      <c r="N80" s="278" t="e">
        <f t="shared" si="20"/>
        <v>#DIV/0!</v>
      </c>
      <c r="O80" s="3548">
        <f t="shared" si="12"/>
        <v>0</v>
      </c>
      <c r="P80" s="3548">
        <f t="shared" si="13"/>
        <v>0</v>
      </c>
      <c r="Q80" s="3548">
        <f>IF(K80=0, 0, (HLOOKUP(K80,'[3]G-CESTDWO'!$A$5:$G$35,J80+1,FALSE)*R30))</f>
        <v>0</v>
      </c>
      <c r="R80" s="3548">
        <f>IF(K80=0, 0, (HLOOKUP(K80,'[3]G-CESTD'!$A$5:$G$35,J80+1,FALSE)*R30))</f>
        <v>0</v>
      </c>
      <c r="S80" s="3592">
        <v>1.0780000000000001</v>
      </c>
      <c r="T80" s="4150">
        <f t="shared" si="14"/>
        <v>0</v>
      </c>
      <c r="U80" s="4150">
        <f t="shared" si="14"/>
        <v>0</v>
      </c>
      <c r="V80" s="3653">
        <f t="shared" si="21"/>
        <v>0</v>
      </c>
      <c r="W80" s="322" t="e">
        <f t="shared" si="15"/>
        <v>#DIV/0!</v>
      </c>
      <c r="X80" s="322" t="e">
        <f t="shared" si="16"/>
        <v>#DIV/0!</v>
      </c>
      <c r="Y80" s="322" t="e">
        <f t="shared" si="17"/>
        <v>#DIV/0!</v>
      </c>
    </row>
    <row r="81" spans="2:25">
      <c r="B81" s="282"/>
      <c r="C81" s="3593" t="s">
        <v>203</v>
      </c>
      <c r="D81" s="3593">
        <v>0</v>
      </c>
      <c r="E81" s="3593" t="s">
        <v>559</v>
      </c>
      <c r="F81" s="3593" t="s">
        <v>186</v>
      </c>
      <c r="G81" s="3594"/>
      <c r="H81" s="3594"/>
      <c r="I81" s="4156">
        <v>0</v>
      </c>
      <c r="J81" s="3574"/>
      <c r="K81" s="3574"/>
      <c r="L81" s="3574"/>
      <c r="M81" s="278" t="e">
        <f t="shared" si="19"/>
        <v>#DIV/0!</v>
      </c>
      <c r="N81" s="278" t="e">
        <f t="shared" si="20"/>
        <v>#DIV/0!</v>
      </c>
      <c r="O81" s="3548">
        <f t="shared" si="12"/>
        <v>0</v>
      </c>
      <c r="P81" s="3548">
        <f t="shared" si="13"/>
        <v>0</v>
      </c>
      <c r="Q81" s="3548">
        <f>IF(K81=0, 0, (HLOOKUP(K81,'[3]G-CESTDWO'!$A$5:$G$35,J81+1,FALSE)*R31))</f>
        <v>0</v>
      </c>
      <c r="R81" s="3548">
        <f>IF(K81=0, 0, (HLOOKUP(K81,'[3]G-CESTD'!$A$5:$G$35,J81+1,FALSE)*R31))</f>
        <v>0</v>
      </c>
      <c r="S81" s="3592">
        <v>1.0780000000000001</v>
      </c>
      <c r="T81" s="4150">
        <f t="shared" si="14"/>
        <v>0</v>
      </c>
      <c r="U81" s="4150">
        <f t="shared" si="14"/>
        <v>0</v>
      </c>
      <c r="V81" s="3653">
        <f t="shared" si="21"/>
        <v>0</v>
      </c>
      <c r="W81" s="322" t="e">
        <f t="shared" si="15"/>
        <v>#DIV/0!</v>
      </c>
      <c r="X81" s="322" t="e">
        <f t="shared" si="16"/>
        <v>#DIV/0!</v>
      </c>
      <c r="Y81" s="322" t="e">
        <f t="shared" si="17"/>
        <v>#DIV/0!</v>
      </c>
    </row>
    <row r="82" spans="2:25">
      <c r="B82" s="282"/>
      <c r="C82" s="3593" t="s">
        <v>204</v>
      </c>
      <c r="D82" s="3593">
        <v>0</v>
      </c>
      <c r="E82" s="3593" t="s">
        <v>559</v>
      </c>
      <c r="F82" s="3593" t="s">
        <v>186</v>
      </c>
      <c r="G82" s="3594"/>
      <c r="H82" s="3594"/>
      <c r="I82" s="4156">
        <v>0</v>
      </c>
      <c r="J82" s="3574"/>
      <c r="K82" s="3574"/>
      <c r="L82" s="3574"/>
      <c r="M82" s="278" t="e">
        <f t="shared" si="19"/>
        <v>#DIV/0!</v>
      </c>
      <c r="N82" s="278" t="e">
        <f t="shared" si="20"/>
        <v>#DIV/0!</v>
      </c>
      <c r="O82" s="3548">
        <f t="shared" si="12"/>
        <v>0</v>
      </c>
      <c r="P82" s="3548">
        <f t="shared" si="13"/>
        <v>0</v>
      </c>
      <c r="Q82" s="3548">
        <f>IF(K82=0, 0, (HLOOKUP(K82,'[3]G-CESTDWO'!$A$5:$G$35,J82+1,FALSE)*R32))</f>
        <v>0</v>
      </c>
      <c r="R82" s="3548">
        <f>IF(K82=0, 0, (HLOOKUP(K82,'[3]G-CESTD'!$A$5:$G$35,J82+1,FALSE)*R32))</f>
        <v>0</v>
      </c>
      <c r="S82" s="3592">
        <v>1.0780000000000001</v>
      </c>
      <c r="T82" s="4150">
        <f t="shared" si="14"/>
        <v>0</v>
      </c>
      <c r="U82" s="4150">
        <f t="shared" si="14"/>
        <v>0</v>
      </c>
      <c r="V82" s="3653">
        <f t="shared" si="21"/>
        <v>0</v>
      </c>
    </row>
    <row r="83" spans="2:25">
      <c r="B83" s="282"/>
      <c r="C83" s="3593" t="s">
        <v>205</v>
      </c>
      <c r="D83" s="3595">
        <v>0</v>
      </c>
      <c r="E83" s="3593" t="s">
        <v>559</v>
      </c>
      <c r="F83" s="3593" t="s">
        <v>186</v>
      </c>
      <c r="G83" s="3594"/>
      <c r="H83" s="3594"/>
      <c r="I83" s="4156">
        <v>0</v>
      </c>
      <c r="J83" s="3574"/>
      <c r="K83" s="3574"/>
      <c r="L83" s="3574"/>
      <c r="M83" s="278" t="e">
        <f t="shared" si="19"/>
        <v>#DIV/0!</v>
      </c>
      <c r="N83" s="278" t="e">
        <f t="shared" si="20"/>
        <v>#DIV/0!</v>
      </c>
      <c r="O83" s="3548">
        <f t="shared" si="12"/>
        <v>0</v>
      </c>
      <c r="P83" s="3548">
        <f t="shared" si="13"/>
        <v>0</v>
      </c>
      <c r="Q83" s="3548">
        <f>IF(K83=0, 0, (HLOOKUP(K83,'[3]G-CESTDWO'!$A$5:$G$35,J83+1,FALSE)*R33))</f>
        <v>0</v>
      </c>
      <c r="R83" s="3548">
        <f>IF(K83=0, 0, (HLOOKUP(K83,'[3]G-CESTD'!$A$5:$G$35,J83+1,FALSE)*R33))</f>
        <v>0</v>
      </c>
      <c r="S83" s="3592">
        <v>1.0780000000000001</v>
      </c>
      <c r="T83" s="4150">
        <f t="shared" si="14"/>
        <v>0</v>
      </c>
      <c r="U83" s="4150">
        <f t="shared" si="14"/>
        <v>0</v>
      </c>
      <c r="V83" s="3653">
        <f t="shared" si="21"/>
        <v>0</v>
      </c>
    </row>
    <row r="84" spans="2:25">
      <c r="B84" s="282"/>
      <c r="C84" s="3593" t="s">
        <v>206</v>
      </c>
      <c r="D84" s="3595">
        <v>0</v>
      </c>
      <c r="E84" s="3593" t="s">
        <v>559</v>
      </c>
      <c r="F84" s="3593" t="s">
        <v>186</v>
      </c>
      <c r="G84" s="3594"/>
      <c r="H84" s="3594"/>
      <c r="I84" s="4156">
        <v>0</v>
      </c>
      <c r="J84" s="3574"/>
      <c r="K84" s="3574"/>
      <c r="L84" s="3574"/>
      <c r="M84" s="278" t="e">
        <f t="shared" si="19"/>
        <v>#DIV/0!</v>
      </c>
      <c r="N84" s="278" t="e">
        <f t="shared" si="20"/>
        <v>#DIV/0!</v>
      </c>
      <c r="O84" s="3548">
        <f t="shared" si="12"/>
        <v>0</v>
      </c>
      <c r="P84" s="3548">
        <f t="shared" si="13"/>
        <v>0</v>
      </c>
      <c r="Q84" s="3548">
        <f>IF(K84=0, 0, (HLOOKUP(K84,'[3]G-CESTDWO'!$A$5:$G$35,J84+1,FALSE)*R34))</f>
        <v>0</v>
      </c>
      <c r="R84" s="3548">
        <f>IF(K84=0, 0, (HLOOKUP(K84,'[3]G-CESTD'!$A$5:$G$35,J84+1,FALSE)*R34))</f>
        <v>0</v>
      </c>
      <c r="S84" s="3592">
        <v>1.0780000000000001</v>
      </c>
      <c r="T84" s="4150">
        <f t="shared" si="14"/>
        <v>0</v>
      </c>
      <c r="U84" s="4150">
        <f t="shared" si="14"/>
        <v>0</v>
      </c>
      <c r="V84" s="3653">
        <f t="shared" si="21"/>
        <v>0</v>
      </c>
    </row>
    <row r="85" spans="2:25">
      <c r="B85" s="282"/>
      <c r="C85" s="3593" t="s">
        <v>207</v>
      </c>
      <c r="D85" s="3595">
        <v>0</v>
      </c>
      <c r="E85" s="3593" t="s">
        <v>559</v>
      </c>
      <c r="F85" s="3593" t="s">
        <v>186</v>
      </c>
      <c r="G85" s="3594"/>
      <c r="H85" s="3594"/>
      <c r="I85" s="4156">
        <v>0</v>
      </c>
      <c r="J85" s="3574"/>
      <c r="K85" s="3574"/>
      <c r="L85" s="3574"/>
      <c r="M85" s="278" t="e">
        <f t="shared" si="19"/>
        <v>#DIV/0!</v>
      </c>
      <c r="N85" s="278" t="e">
        <f t="shared" si="20"/>
        <v>#DIV/0!</v>
      </c>
      <c r="O85" s="3548">
        <f t="shared" si="12"/>
        <v>0</v>
      </c>
      <c r="P85" s="3548">
        <f t="shared" si="13"/>
        <v>0</v>
      </c>
      <c r="Q85" s="3548">
        <f>IF(K85=0, 0, (HLOOKUP(K85,'[3]G-CESTDWO'!$A$5:$G$35,J85+1,FALSE)*R35))</f>
        <v>0</v>
      </c>
      <c r="R85" s="3548">
        <f>IF(K85=0, 0, (HLOOKUP(K85,'[3]G-CESTD'!$A$5:$G$35,J85+1,FALSE)*R35))</f>
        <v>0</v>
      </c>
      <c r="S85" s="3592">
        <v>1.0780000000000001</v>
      </c>
      <c r="T85" s="4150">
        <f t="shared" si="14"/>
        <v>0</v>
      </c>
      <c r="U85" s="4150">
        <f t="shared" si="14"/>
        <v>0</v>
      </c>
      <c r="V85" s="3653">
        <f t="shared" si="21"/>
        <v>0</v>
      </c>
    </row>
    <row r="86" spans="2:25">
      <c r="B86" s="282"/>
      <c r="C86" s="3593" t="s">
        <v>208</v>
      </c>
      <c r="D86" s="3595">
        <v>0</v>
      </c>
      <c r="E86" s="3593" t="s">
        <v>559</v>
      </c>
      <c r="F86" s="3593" t="s">
        <v>186</v>
      </c>
      <c r="G86" s="3594"/>
      <c r="H86" s="3594"/>
      <c r="I86" s="4156">
        <v>0</v>
      </c>
      <c r="J86" s="3574"/>
      <c r="K86" s="3574"/>
      <c r="L86" s="3574"/>
      <c r="M86" s="278" t="e">
        <f t="shared" si="19"/>
        <v>#DIV/0!</v>
      </c>
      <c r="N86" s="278" t="e">
        <f t="shared" si="20"/>
        <v>#DIV/0!</v>
      </c>
      <c r="O86" s="3548">
        <f t="shared" si="12"/>
        <v>0</v>
      </c>
      <c r="P86" s="3548">
        <f t="shared" si="13"/>
        <v>0</v>
      </c>
      <c r="Q86" s="3548">
        <f>IF(K86=0, 0, (HLOOKUP(K86,'[3]G-CESTDWO'!$A$5:$G$35,J86+1,FALSE)*R36))</f>
        <v>0</v>
      </c>
      <c r="R86" s="3548">
        <f>IF(K86=0, 0, (HLOOKUP(K86,'[3]G-CESTD'!$A$5:$G$35,J86+1,FALSE)*R36))</f>
        <v>0</v>
      </c>
      <c r="S86" s="3592">
        <v>1.0780000000000001</v>
      </c>
      <c r="T86" s="4150">
        <f t="shared" si="14"/>
        <v>0</v>
      </c>
      <c r="U86" s="4150">
        <f t="shared" si="14"/>
        <v>0</v>
      </c>
      <c r="V86" s="3653">
        <f t="shared" si="21"/>
        <v>0</v>
      </c>
    </row>
    <row r="87" spans="2:25">
      <c r="B87" s="282"/>
      <c r="C87" s="3593" t="s">
        <v>209</v>
      </c>
      <c r="D87" s="3595">
        <v>0</v>
      </c>
      <c r="E87" s="3593" t="s">
        <v>559</v>
      </c>
      <c r="F87" s="3593" t="s">
        <v>186</v>
      </c>
      <c r="G87" s="3594"/>
      <c r="H87" s="3594"/>
      <c r="I87" s="4156">
        <v>0</v>
      </c>
      <c r="J87" s="3574"/>
      <c r="K87" s="3574"/>
      <c r="L87" s="3574"/>
      <c r="M87" s="278" t="e">
        <f t="shared" si="19"/>
        <v>#DIV/0!</v>
      </c>
      <c r="N87" s="278" t="e">
        <f t="shared" si="20"/>
        <v>#DIV/0!</v>
      </c>
      <c r="O87" s="3548">
        <f t="shared" si="12"/>
        <v>0</v>
      </c>
      <c r="P87" s="3548">
        <f t="shared" si="13"/>
        <v>0</v>
      </c>
      <c r="Q87" s="3548">
        <f>IF(K87=0, 0, (HLOOKUP(K87,'[3]G-CESTDWO'!$A$5:$G$35,J87+1,FALSE)*R37))</f>
        <v>0</v>
      </c>
      <c r="R87" s="3548">
        <f>IF(K87=0, 0, (HLOOKUP(K87,'[3]G-CESTD'!$A$5:$G$35,J87+1,FALSE)*R37))</f>
        <v>0</v>
      </c>
      <c r="S87" s="3592">
        <v>1.0780000000000001</v>
      </c>
      <c r="T87" s="4150">
        <f t="shared" si="14"/>
        <v>0</v>
      </c>
      <c r="U87" s="4150">
        <f t="shared" si="14"/>
        <v>0</v>
      </c>
      <c r="V87" s="3653">
        <f t="shared" si="21"/>
        <v>0</v>
      </c>
    </row>
    <row r="88" spans="2:25">
      <c r="B88" s="282"/>
      <c r="C88" s="3593" t="s">
        <v>210</v>
      </c>
      <c r="D88" s="3595">
        <v>0</v>
      </c>
      <c r="E88" s="3593" t="s">
        <v>559</v>
      </c>
      <c r="F88" s="3593" t="s">
        <v>186</v>
      </c>
      <c r="G88" s="3594"/>
      <c r="H88" s="3594"/>
      <c r="I88" s="4156">
        <v>0</v>
      </c>
      <c r="J88" s="3574"/>
      <c r="K88" s="3574"/>
      <c r="L88" s="3574"/>
      <c r="M88" s="278" t="e">
        <f t="shared" si="19"/>
        <v>#DIV/0!</v>
      </c>
      <c r="N88" s="278" t="e">
        <f t="shared" si="20"/>
        <v>#DIV/0!</v>
      </c>
      <c r="O88" s="3548">
        <f t="shared" si="12"/>
        <v>0</v>
      </c>
      <c r="P88" s="3548">
        <f t="shared" si="13"/>
        <v>0</v>
      </c>
      <c r="Q88" s="3548">
        <f>IF(K88=0, 0, (HLOOKUP(K88,'[3]G-CESTDWO'!$A$5:$G$35,J88+1,FALSE)*R38))</f>
        <v>0</v>
      </c>
      <c r="R88" s="3548">
        <f>IF(K88=0, 0, (HLOOKUP(K88,'[3]G-CESTD'!$A$5:$G$35,J88+1,FALSE)*R38))</f>
        <v>0</v>
      </c>
      <c r="S88" s="3592">
        <v>1.0780000000000001</v>
      </c>
      <c r="T88" s="4150">
        <f t="shared" si="14"/>
        <v>0</v>
      </c>
      <c r="U88" s="4150">
        <f t="shared" si="14"/>
        <v>0</v>
      </c>
      <c r="V88" s="3653">
        <f t="shared" si="21"/>
        <v>0</v>
      </c>
    </row>
    <row r="89" spans="2:25">
      <c r="B89" s="282"/>
      <c r="C89" s="3593" t="s">
        <v>211</v>
      </c>
      <c r="D89" s="3595">
        <v>0</v>
      </c>
      <c r="E89" s="3593" t="s">
        <v>559</v>
      </c>
      <c r="F89" s="3593" t="s">
        <v>186</v>
      </c>
      <c r="G89" s="3594"/>
      <c r="H89" s="3594"/>
      <c r="I89" s="4156">
        <v>0</v>
      </c>
      <c r="J89" s="3574"/>
      <c r="K89" s="3574"/>
      <c r="L89" s="3574"/>
      <c r="M89" s="278" t="e">
        <f t="shared" si="19"/>
        <v>#DIV/0!</v>
      </c>
      <c r="N89" s="278" t="e">
        <f t="shared" si="20"/>
        <v>#DIV/0!</v>
      </c>
      <c r="O89" s="3548">
        <f t="shared" si="12"/>
        <v>0</v>
      </c>
      <c r="P89" s="3548">
        <f t="shared" si="13"/>
        <v>0</v>
      </c>
      <c r="Q89" s="3548">
        <f>IF(K89=0, 0, (HLOOKUP(K89,'[3]G-CESTDWO'!$A$5:$G$35,J89+1,FALSE)*R39))</f>
        <v>0</v>
      </c>
      <c r="R89" s="3548">
        <f>IF(K89=0, 0, (HLOOKUP(K89,'[3]G-CESTD'!$A$5:$G$35,J89+1,FALSE)*R39))</f>
        <v>0</v>
      </c>
      <c r="S89" s="3592">
        <v>1.0780000000000001</v>
      </c>
      <c r="T89" s="4150">
        <f t="shared" si="14"/>
        <v>0</v>
      </c>
      <c r="U89" s="4150">
        <f t="shared" si="14"/>
        <v>0</v>
      </c>
      <c r="V89" s="3653">
        <f t="shared" si="21"/>
        <v>0</v>
      </c>
    </row>
    <row r="90" spans="2:25">
      <c r="B90" s="282"/>
      <c r="C90" s="3593" t="s">
        <v>212</v>
      </c>
      <c r="D90" s="3595">
        <v>0</v>
      </c>
      <c r="E90" s="3593" t="s">
        <v>559</v>
      </c>
      <c r="F90" s="3593" t="s">
        <v>186</v>
      </c>
      <c r="G90" s="3594"/>
      <c r="H90" s="3594"/>
      <c r="I90" s="4156">
        <v>0</v>
      </c>
      <c r="J90" s="3574"/>
      <c r="K90" s="3574"/>
      <c r="L90" s="3574"/>
      <c r="M90" s="278" t="e">
        <f t="shared" si="19"/>
        <v>#DIV/0!</v>
      </c>
      <c r="N90" s="278" t="e">
        <f t="shared" si="20"/>
        <v>#DIV/0!</v>
      </c>
      <c r="O90" s="3548">
        <f t="shared" si="12"/>
        <v>0</v>
      </c>
      <c r="P90" s="3548">
        <f t="shared" si="13"/>
        <v>0</v>
      </c>
      <c r="Q90" s="3548">
        <f>IF(K90=0, 0, (HLOOKUP(K90,'[3]G-CESTDWO'!$A$5:$G$35,J90+1,FALSE)*R40))</f>
        <v>0</v>
      </c>
      <c r="R90" s="3548">
        <f>IF(K90=0, 0, (HLOOKUP(K90,'[3]G-CESTD'!$A$5:$G$35,J90+1,FALSE)*R40))</f>
        <v>0</v>
      </c>
      <c r="S90" s="3592">
        <v>1.0780000000000001</v>
      </c>
      <c r="T90" s="4150">
        <f t="shared" si="14"/>
        <v>0</v>
      </c>
      <c r="U90" s="4150">
        <f t="shared" si="14"/>
        <v>0</v>
      </c>
      <c r="V90" s="3653">
        <f t="shared" si="21"/>
        <v>0</v>
      </c>
    </row>
    <row r="91" spans="2:25">
      <c r="B91" s="282"/>
      <c r="C91" s="3593" t="s">
        <v>213</v>
      </c>
      <c r="D91" s="3595">
        <v>0</v>
      </c>
      <c r="E91" s="3593" t="s">
        <v>559</v>
      </c>
      <c r="F91" s="3593" t="s">
        <v>186</v>
      </c>
      <c r="G91" s="3594"/>
      <c r="H91" s="3594"/>
      <c r="I91" s="4156">
        <v>0</v>
      </c>
      <c r="J91" s="3574"/>
      <c r="K91" s="3574"/>
      <c r="L91" s="3574"/>
      <c r="M91" s="278" t="e">
        <f t="shared" si="19"/>
        <v>#DIV/0!</v>
      </c>
      <c r="N91" s="278" t="e">
        <f t="shared" si="20"/>
        <v>#DIV/0!</v>
      </c>
      <c r="O91" s="3548">
        <f t="shared" si="12"/>
        <v>0</v>
      </c>
      <c r="P91" s="3548">
        <f t="shared" si="13"/>
        <v>0</v>
      </c>
      <c r="Q91" s="3548">
        <f>IF(K91=0, 0, (HLOOKUP(K91,'[3]G-CESTDWO'!$A$5:$G$35,J91+1,FALSE)*R41))</f>
        <v>0</v>
      </c>
      <c r="R91" s="3548">
        <f>IF(K91=0, 0, (HLOOKUP(K91,'[3]G-CESTD'!$A$5:$G$35,J91+1,FALSE)*R41))</f>
        <v>0</v>
      </c>
      <c r="S91" s="3592">
        <v>1.0780000000000001</v>
      </c>
      <c r="T91" s="4150">
        <f t="shared" si="14"/>
        <v>0</v>
      </c>
      <c r="U91" s="4150">
        <f t="shared" si="14"/>
        <v>0</v>
      </c>
      <c r="V91" s="3653">
        <f t="shared" si="21"/>
        <v>0</v>
      </c>
    </row>
    <row r="92" spans="2:25">
      <c r="B92" s="282"/>
      <c r="C92" s="3593" t="s">
        <v>214</v>
      </c>
      <c r="D92" s="3595">
        <v>0</v>
      </c>
      <c r="E92" s="3593" t="s">
        <v>559</v>
      </c>
      <c r="F92" s="3593" t="s">
        <v>186</v>
      </c>
      <c r="G92" s="3594"/>
      <c r="H92" s="3594"/>
      <c r="I92" s="4156">
        <v>0</v>
      </c>
      <c r="J92" s="3574"/>
      <c r="K92" s="3574"/>
      <c r="L92" s="3574"/>
      <c r="M92" s="278" t="e">
        <f t="shared" si="19"/>
        <v>#DIV/0!</v>
      </c>
      <c r="N92" s="278" t="e">
        <f t="shared" si="20"/>
        <v>#DIV/0!</v>
      </c>
      <c r="O92" s="3548">
        <f t="shared" si="12"/>
        <v>0</v>
      </c>
      <c r="P92" s="3548">
        <f t="shared" si="13"/>
        <v>0</v>
      </c>
      <c r="Q92" s="3548">
        <f>IF(K92=0, 0, (HLOOKUP(K92,'[3]G-CESTDWO'!$A$5:$G$35,J92+1,FALSE)*R42))</f>
        <v>0</v>
      </c>
      <c r="R92" s="3548">
        <f>IF(K92=0, 0, (HLOOKUP(K92,'[3]G-CESTD'!$A$5:$G$35,J92+1,FALSE)*R42))</f>
        <v>0</v>
      </c>
      <c r="S92" s="3592">
        <v>1.0780000000000001</v>
      </c>
      <c r="T92" s="4150">
        <f t="shared" si="14"/>
        <v>0</v>
      </c>
      <c r="U92" s="4150">
        <f t="shared" si="14"/>
        <v>0</v>
      </c>
      <c r="V92" s="3653">
        <f t="shared" si="21"/>
        <v>0</v>
      </c>
    </row>
    <row r="93" spans="2:25">
      <c r="B93" s="282"/>
      <c r="C93" s="3593" t="s">
        <v>215</v>
      </c>
      <c r="D93" s="3595">
        <v>0</v>
      </c>
      <c r="E93" s="3593" t="s">
        <v>559</v>
      </c>
      <c r="F93" s="3593" t="s">
        <v>186</v>
      </c>
      <c r="G93" s="3594"/>
      <c r="H93" s="3594"/>
      <c r="I93" s="4156">
        <v>0</v>
      </c>
      <c r="J93" s="3574"/>
      <c r="K93" s="3574"/>
      <c r="L93" s="3574"/>
      <c r="M93" s="278" t="e">
        <f t="shared" si="19"/>
        <v>#DIV/0!</v>
      </c>
      <c r="N93" s="278" t="e">
        <f t="shared" si="20"/>
        <v>#DIV/0!</v>
      </c>
      <c r="O93" s="3548">
        <f t="shared" si="12"/>
        <v>0</v>
      </c>
      <c r="P93" s="3548">
        <f t="shared" si="13"/>
        <v>0</v>
      </c>
      <c r="Q93" s="3548">
        <f>IF(K93=0, 0, (HLOOKUP(K93,'[3]G-CESTDWO'!$A$5:$G$35,J93+1,FALSE)*R43))</f>
        <v>0</v>
      </c>
      <c r="R93" s="3548">
        <f>IF(K93=0, 0, (HLOOKUP(K93,'[3]G-CESTD'!$A$5:$G$35,J93+1,FALSE)*R43))</f>
        <v>0</v>
      </c>
      <c r="S93" s="3592">
        <v>1.0780000000000001</v>
      </c>
      <c r="T93" s="4150">
        <f t="shared" si="14"/>
        <v>0</v>
      </c>
      <c r="U93" s="4150">
        <f t="shared" si="14"/>
        <v>0</v>
      </c>
      <c r="V93" s="3653">
        <f t="shared" si="21"/>
        <v>0</v>
      </c>
    </row>
    <row r="94" spans="2:25">
      <c r="B94" s="282"/>
      <c r="C94" s="3593" t="s">
        <v>216</v>
      </c>
      <c r="D94" s="3595">
        <v>0</v>
      </c>
      <c r="E94" s="3593" t="s">
        <v>559</v>
      </c>
      <c r="F94" s="3593" t="s">
        <v>186</v>
      </c>
      <c r="G94" s="3594"/>
      <c r="H94" s="3594"/>
      <c r="I94" s="4156">
        <v>0</v>
      </c>
      <c r="J94" s="3574"/>
      <c r="K94" s="3574"/>
      <c r="L94" s="3574"/>
      <c r="M94" s="278" t="e">
        <f t="shared" si="19"/>
        <v>#DIV/0!</v>
      </c>
      <c r="N94" s="278" t="e">
        <f t="shared" si="20"/>
        <v>#DIV/0!</v>
      </c>
      <c r="O94" s="3548">
        <f t="shared" si="12"/>
        <v>0</v>
      </c>
      <c r="P94" s="3548">
        <f t="shared" si="13"/>
        <v>0</v>
      </c>
      <c r="Q94" s="3548">
        <f>IF(K94=0, 0, (HLOOKUP(K94,'[3]G-CESTDWO'!$A$5:$G$35,J94+1,FALSE)*R44))</f>
        <v>0</v>
      </c>
      <c r="R94" s="3548">
        <f>IF(K94=0, 0, (HLOOKUP(K94,'[3]G-CESTD'!$A$5:$G$35,J94+1,FALSE)*R44))</f>
        <v>0</v>
      </c>
      <c r="S94" s="3592">
        <v>1.0780000000000001</v>
      </c>
      <c r="T94" s="4150">
        <f t="shared" si="14"/>
        <v>0</v>
      </c>
      <c r="U94" s="4150">
        <f t="shared" si="14"/>
        <v>0</v>
      </c>
      <c r="V94" s="3653">
        <f t="shared" si="21"/>
        <v>0</v>
      </c>
    </row>
    <row r="95" spans="2:25">
      <c r="B95" s="282"/>
      <c r="C95" s="3593" t="s">
        <v>217</v>
      </c>
      <c r="D95" s="3595">
        <v>0</v>
      </c>
      <c r="E95" s="3593" t="s">
        <v>559</v>
      </c>
      <c r="F95" s="3593" t="s">
        <v>186</v>
      </c>
      <c r="G95" s="3594"/>
      <c r="H95" s="3594"/>
      <c r="I95" s="4156">
        <v>0</v>
      </c>
      <c r="J95" s="3574"/>
      <c r="K95" s="3574"/>
      <c r="L95" s="3574"/>
      <c r="M95" s="278" t="e">
        <f t="shared" si="19"/>
        <v>#DIV/0!</v>
      </c>
      <c r="N95" s="278" t="e">
        <f t="shared" si="20"/>
        <v>#DIV/0!</v>
      </c>
      <c r="O95" s="3548">
        <f t="shared" si="12"/>
        <v>0</v>
      </c>
      <c r="P95" s="3548">
        <f t="shared" si="13"/>
        <v>0</v>
      </c>
      <c r="Q95" s="3548">
        <f>IF(K95=0, 0, (HLOOKUP(K95,'[3]G-CESTDWO'!$A$5:$G$35,J95+1,FALSE)*R45))</f>
        <v>0</v>
      </c>
      <c r="R95" s="3548">
        <f>IF(K95=0, 0, (HLOOKUP(K95,'[3]G-CESTD'!$A$5:$G$35,J95+1,FALSE)*R45))</f>
        <v>0</v>
      </c>
      <c r="S95" s="3592">
        <v>1.0780000000000001</v>
      </c>
      <c r="T95" s="4150">
        <f t="shared" si="14"/>
        <v>0</v>
      </c>
      <c r="U95" s="4150">
        <f t="shared" si="14"/>
        <v>0</v>
      </c>
      <c r="V95" s="3653">
        <f t="shared" si="21"/>
        <v>0</v>
      </c>
    </row>
    <row r="96" spans="2:25">
      <c r="B96" s="282"/>
      <c r="C96" s="3593" t="s">
        <v>218</v>
      </c>
      <c r="D96" s="3595">
        <v>0</v>
      </c>
      <c r="E96" s="3593" t="s">
        <v>559</v>
      </c>
      <c r="F96" s="3593" t="s">
        <v>186</v>
      </c>
      <c r="G96" s="3594"/>
      <c r="H96" s="3594"/>
      <c r="I96" s="4156">
        <v>0</v>
      </c>
      <c r="J96" s="3574"/>
      <c r="K96" s="3574"/>
      <c r="L96" s="3574"/>
      <c r="M96" s="278" t="e">
        <f t="shared" si="19"/>
        <v>#DIV/0!</v>
      </c>
      <c r="N96" s="278" t="e">
        <f t="shared" si="20"/>
        <v>#DIV/0!</v>
      </c>
      <c r="O96" s="3548">
        <f t="shared" si="12"/>
        <v>0</v>
      </c>
      <c r="P96" s="3548">
        <f t="shared" si="13"/>
        <v>0</v>
      </c>
      <c r="Q96" s="3548">
        <f>IF(K96=0, 0, (HLOOKUP(K96,'[3]G-CESTDWO'!$A$5:$G$35,J96+1,FALSE)*R46))</f>
        <v>0</v>
      </c>
      <c r="R96" s="3548">
        <f>IF(K96=0, 0, (HLOOKUP(K96,'[3]G-CESTD'!$A$5:$G$35,J96+1,FALSE)*R46))</f>
        <v>0</v>
      </c>
      <c r="S96" s="3592">
        <v>1.0780000000000001</v>
      </c>
      <c r="T96" s="4150">
        <f t="shared" si="14"/>
        <v>0</v>
      </c>
      <c r="U96" s="4150">
        <f t="shared" si="14"/>
        <v>0</v>
      </c>
      <c r="V96" s="3653">
        <f t="shared" si="21"/>
        <v>0</v>
      </c>
    </row>
    <row r="97" spans="2:22">
      <c r="B97" s="282"/>
      <c r="C97" s="3593" t="s">
        <v>219</v>
      </c>
      <c r="D97" s="3595">
        <v>0</v>
      </c>
      <c r="E97" s="3593" t="s">
        <v>559</v>
      </c>
      <c r="F97" s="3593" t="s">
        <v>186</v>
      </c>
      <c r="G97" s="3594"/>
      <c r="H97" s="3594"/>
      <c r="I97" s="4156">
        <v>0</v>
      </c>
      <c r="J97" s="3574"/>
      <c r="K97" s="3574"/>
      <c r="L97" s="3574"/>
      <c r="M97" s="278" t="e">
        <f t="shared" si="19"/>
        <v>#DIV/0!</v>
      </c>
      <c r="N97" s="278" t="e">
        <f t="shared" si="20"/>
        <v>#DIV/0!</v>
      </c>
      <c r="O97" s="3548">
        <f t="shared" si="12"/>
        <v>0</v>
      </c>
      <c r="P97" s="3548">
        <f t="shared" si="13"/>
        <v>0</v>
      </c>
      <c r="Q97" s="3548">
        <f>IF(K97=0, 0, (HLOOKUP(K97,'[3]G-CESTDWO'!$A$5:$G$35,J97+1,FALSE)*R47))</f>
        <v>0</v>
      </c>
      <c r="R97" s="3548">
        <f>IF(K97=0, 0, (HLOOKUP(K97,'[3]G-CESTD'!$A$5:$G$35,J97+1,FALSE)*R47))</f>
        <v>0</v>
      </c>
      <c r="S97" s="3592">
        <v>1.0780000000000001</v>
      </c>
      <c r="T97" s="4150">
        <f t="shared" si="14"/>
        <v>0</v>
      </c>
      <c r="U97" s="4150">
        <f t="shared" si="14"/>
        <v>0</v>
      </c>
      <c r="V97" s="3653">
        <f t="shared" si="21"/>
        <v>0</v>
      </c>
    </row>
    <row r="98" spans="2:22">
      <c r="B98" s="282"/>
      <c r="C98" s="3593" t="s">
        <v>220</v>
      </c>
      <c r="D98" s="3595">
        <v>0</v>
      </c>
      <c r="E98" s="3593" t="s">
        <v>559</v>
      </c>
      <c r="F98" s="3593" t="s">
        <v>186</v>
      </c>
      <c r="G98" s="3594"/>
      <c r="H98" s="3594"/>
      <c r="I98" s="4156">
        <v>0</v>
      </c>
      <c r="J98" s="3574"/>
      <c r="K98" s="3574"/>
      <c r="L98" s="3574"/>
      <c r="M98" s="278" t="e">
        <f t="shared" si="19"/>
        <v>#DIV/0!</v>
      </c>
      <c r="N98" s="278" t="e">
        <f t="shared" si="20"/>
        <v>#DIV/0!</v>
      </c>
      <c r="O98" s="3548">
        <f t="shared" si="12"/>
        <v>0</v>
      </c>
      <c r="P98" s="3548">
        <f t="shared" si="13"/>
        <v>0</v>
      </c>
      <c r="Q98" s="3548">
        <f>IF(K98=0, 0, (HLOOKUP(K98,'[3]G-CESTDWO'!$A$5:$G$35,J98+1,FALSE)*R48))</f>
        <v>0</v>
      </c>
      <c r="R98" s="3548">
        <f>IF(K98=0, 0, (HLOOKUP(K98,'[3]G-CESTD'!$A$5:$G$35,J98+1,FALSE)*R48))</f>
        <v>0</v>
      </c>
      <c r="S98" s="3592">
        <v>1.0780000000000001</v>
      </c>
      <c r="T98" s="4150">
        <f t="shared" si="14"/>
        <v>0</v>
      </c>
      <c r="U98" s="4150">
        <f t="shared" si="14"/>
        <v>0</v>
      </c>
      <c r="V98" s="3653">
        <f t="shared" si="21"/>
        <v>0</v>
      </c>
    </row>
    <row r="99" spans="2:22">
      <c r="B99" s="282"/>
      <c r="C99" s="3593" t="s">
        <v>221</v>
      </c>
      <c r="D99" s="3595">
        <v>0</v>
      </c>
      <c r="E99" s="3593" t="s">
        <v>559</v>
      </c>
      <c r="F99" s="3593" t="s">
        <v>186</v>
      </c>
      <c r="G99" s="3594"/>
      <c r="H99" s="3594"/>
      <c r="I99" s="4156">
        <v>0</v>
      </c>
      <c r="J99" s="3574"/>
      <c r="K99" s="3574"/>
      <c r="L99" s="3574"/>
      <c r="M99" s="278" t="e">
        <f t="shared" si="19"/>
        <v>#DIV/0!</v>
      </c>
      <c r="N99" s="278" t="e">
        <f t="shared" si="20"/>
        <v>#DIV/0!</v>
      </c>
      <c r="O99" s="3548">
        <f t="shared" si="12"/>
        <v>0</v>
      </c>
      <c r="P99" s="3548">
        <f t="shared" si="13"/>
        <v>0</v>
      </c>
      <c r="Q99" s="3548">
        <f>IF(K99=0, 0, (HLOOKUP(K99,'[3]G-CESTDWO'!$A$5:$G$35,J99+1,FALSE)*R49))</f>
        <v>0</v>
      </c>
      <c r="R99" s="3548">
        <f>IF(K99=0, 0, (HLOOKUP(K99,'[3]G-CESTD'!$A$5:$G$35,J99+1,FALSE)*R49))</f>
        <v>0</v>
      </c>
      <c r="S99" s="3592">
        <v>1.0780000000000001</v>
      </c>
      <c r="T99" s="4150">
        <f t="shared" si="14"/>
        <v>0</v>
      </c>
      <c r="U99" s="4150">
        <f t="shared" si="14"/>
        <v>0</v>
      </c>
      <c r="V99" s="3653">
        <f t="shared" si="21"/>
        <v>0</v>
      </c>
    </row>
    <row r="100" spans="2:22">
      <c r="B100" s="282"/>
      <c r="C100" s="3593" t="s">
        <v>222</v>
      </c>
      <c r="D100" s="3595">
        <v>0</v>
      </c>
      <c r="E100" s="3593" t="s">
        <v>559</v>
      </c>
      <c r="F100" s="3593" t="s">
        <v>186</v>
      </c>
      <c r="G100" s="3594"/>
      <c r="H100" s="3594"/>
      <c r="I100" s="4156">
        <v>0</v>
      </c>
      <c r="J100" s="3574"/>
      <c r="K100" s="3574"/>
      <c r="L100" s="3574"/>
      <c r="M100" s="278" t="e">
        <f t="shared" si="19"/>
        <v>#DIV/0!</v>
      </c>
      <c r="N100" s="278" t="e">
        <f t="shared" si="20"/>
        <v>#DIV/0!</v>
      </c>
      <c r="O100" s="3548">
        <f t="shared" si="12"/>
        <v>0</v>
      </c>
      <c r="P100" s="3548">
        <f t="shared" si="13"/>
        <v>0</v>
      </c>
      <c r="Q100" s="3548">
        <f>IF(K100=0, 0, (HLOOKUP(K100,'[3]G-CESTDWO'!$A$5:$G$35,J100+1,FALSE)*R50))</f>
        <v>0</v>
      </c>
      <c r="R100" s="3548">
        <f>IF(K100=0, 0, (HLOOKUP(K100,'[3]G-CESTD'!$A$5:$G$35,J100+1,FALSE)*R50))</f>
        <v>0</v>
      </c>
      <c r="S100" s="3592">
        <v>1.0780000000000001</v>
      </c>
      <c r="T100" s="4150">
        <f t="shared" si="14"/>
        <v>0</v>
      </c>
      <c r="U100" s="4150">
        <f t="shared" si="14"/>
        <v>0</v>
      </c>
      <c r="V100" s="3653">
        <f t="shared" si="21"/>
        <v>0</v>
      </c>
    </row>
    <row r="101" spans="2:22">
      <c r="B101" s="282"/>
      <c r="C101" s="3593" t="s">
        <v>223</v>
      </c>
      <c r="D101" s="3595">
        <v>0</v>
      </c>
      <c r="E101" s="3593" t="s">
        <v>559</v>
      </c>
      <c r="F101" s="3593" t="s">
        <v>186</v>
      </c>
      <c r="G101" s="3594"/>
      <c r="H101" s="3594"/>
      <c r="I101" s="4156">
        <v>0</v>
      </c>
      <c r="J101" s="3574"/>
      <c r="K101" s="3574"/>
      <c r="L101" s="3574"/>
      <c r="M101" s="278" t="e">
        <f t="shared" si="19"/>
        <v>#DIV/0!</v>
      </c>
      <c r="N101" s="278" t="e">
        <f t="shared" si="20"/>
        <v>#DIV/0!</v>
      </c>
      <c r="O101" s="3548">
        <f t="shared" si="12"/>
        <v>0</v>
      </c>
      <c r="P101" s="3548">
        <f t="shared" si="13"/>
        <v>0</v>
      </c>
      <c r="Q101" s="3548">
        <f>IF(K101=0, 0, (HLOOKUP(K101,'[3]G-CESTDWO'!$A$5:$G$35,J101+1,FALSE)*R51))</f>
        <v>0</v>
      </c>
      <c r="R101" s="3548">
        <f>IF(K101=0, 0, (HLOOKUP(K101,'[3]G-CESTD'!$A$5:$G$35,J101+1,FALSE)*R51))</f>
        <v>0</v>
      </c>
      <c r="S101" s="3592">
        <v>1.0780000000000001</v>
      </c>
      <c r="T101" s="4150">
        <f t="shared" si="14"/>
        <v>0</v>
      </c>
      <c r="U101" s="4150">
        <f t="shared" si="14"/>
        <v>0</v>
      </c>
      <c r="V101" s="3653">
        <f t="shared" si="21"/>
        <v>0</v>
      </c>
    </row>
    <row r="102" spans="2:22">
      <c r="B102" s="282"/>
      <c r="C102" s="3593" t="s">
        <v>224</v>
      </c>
      <c r="D102" s="3595">
        <v>0</v>
      </c>
      <c r="E102" s="3593" t="s">
        <v>559</v>
      </c>
      <c r="F102" s="3593" t="s">
        <v>186</v>
      </c>
      <c r="G102" s="3594"/>
      <c r="H102" s="3594"/>
      <c r="I102" s="4156">
        <v>0</v>
      </c>
      <c r="J102" s="3574"/>
      <c r="K102" s="3574"/>
      <c r="L102" s="3574"/>
      <c r="M102" s="278" t="e">
        <f t="shared" si="19"/>
        <v>#DIV/0!</v>
      </c>
      <c r="N102" s="278" t="e">
        <f t="shared" si="20"/>
        <v>#DIV/0!</v>
      </c>
      <c r="O102" s="3548">
        <f t="shared" si="12"/>
        <v>0</v>
      </c>
      <c r="P102" s="3548">
        <f t="shared" si="13"/>
        <v>0</v>
      </c>
      <c r="Q102" s="3548">
        <f>IF(K102=0, 0, (HLOOKUP(K102,'[3]G-CESTDWO'!$A$5:$G$35,J102+1,FALSE)*R52))</f>
        <v>0</v>
      </c>
      <c r="R102" s="3548">
        <f>IF(K102=0, 0, (HLOOKUP(K102,'[3]G-CESTD'!$A$5:$G$35,J102+1,FALSE)*R52))</f>
        <v>0</v>
      </c>
      <c r="S102" s="3592">
        <v>1.0780000000000001</v>
      </c>
      <c r="T102" s="4150">
        <f t="shared" si="14"/>
        <v>0</v>
      </c>
      <c r="U102" s="4150">
        <f t="shared" si="14"/>
        <v>0</v>
      </c>
      <c r="V102" s="3653">
        <f t="shared" si="21"/>
        <v>0</v>
      </c>
    </row>
    <row r="103" spans="2:22">
      <c r="B103" s="282"/>
      <c r="C103" s="3593" t="s">
        <v>225</v>
      </c>
      <c r="D103" s="3595">
        <v>0</v>
      </c>
      <c r="E103" s="3593" t="s">
        <v>559</v>
      </c>
      <c r="F103" s="3593" t="s">
        <v>186</v>
      </c>
      <c r="G103" s="3594"/>
      <c r="H103" s="3594"/>
      <c r="I103" s="4156">
        <v>0</v>
      </c>
      <c r="J103" s="3574"/>
      <c r="K103" s="3574"/>
      <c r="L103" s="3574"/>
      <c r="M103" s="278" t="e">
        <f t="shared" si="19"/>
        <v>#DIV/0!</v>
      </c>
      <c r="N103" s="278" t="e">
        <f t="shared" si="20"/>
        <v>#DIV/0!</v>
      </c>
      <c r="O103" s="3548">
        <f t="shared" si="12"/>
        <v>0</v>
      </c>
      <c r="P103" s="3548">
        <f t="shared" si="13"/>
        <v>0</v>
      </c>
      <c r="Q103" s="3548">
        <f>IF(K103=0, 0, (HLOOKUP(K103,'[3]G-CESTDWO'!$A$5:$G$35,J103+1,FALSE)*R53))</f>
        <v>0</v>
      </c>
      <c r="R103" s="3548">
        <f>IF(K103=0, 0, (HLOOKUP(K103,'[3]G-CESTD'!$A$5:$G$35,J103+1,FALSE)*R53))</f>
        <v>0</v>
      </c>
      <c r="S103" s="3592">
        <v>1.0780000000000001</v>
      </c>
      <c r="T103" s="4150">
        <f t="shared" si="14"/>
        <v>0</v>
      </c>
      <c r="U103" s="4150">
        <f t="shared" si="14"/>
        <v>0</v>
      </c>
      <c r="V103" s="3653">
        <f t="shared" si="21"/>
        <v>0</v>
      </c>
    </row>
    <row r="104" spans="2:22" ht="13.5" thickBot="1">
      <c r="B104" s="282"/>
      <c r="C104" s="3593" t="s">
        <v>226</v>
      </c>
      <c r="D104" s="3595">
        <v>0</v>
      </c>
      <c r="E104" s="3593" t="s">
        <v>559</v>
      </c>
      <c r="F104" s="3593" t="s">
        <v>186</v>
      </c>
      <c r="G104" s="3594"/>
      <c r="H104" s="3594"/>
      <c r="I104" s="4156">
        <v>0</v>
      </c>
      <c r="J104" s="3574"/>
      <c r="K104" s="3574"/>
      <c r="L104" s="4109"/>
      <c r="M104" s="315" t="e">
        <f>Q104/O104</f>
        <v>#DIV/0!</v>
      </c>
      <c r="N104" s="278" t="e">
        <f t="shared" si="20"/>
        <v>#DIV/0!</v>
      </c>
      <c r="O104" s="3548">
        <f t="shared" si="12"/>
        <v>0</v>
      </c>
      <c r="P104" s="3548">
        <f t="shared" si="13"/>
        <v>0</v>
      </c>
      <c r="Q104" s="3548">
        <f>IF(K104=0, 0, (HLOOKUP(K104,'[3]G-CESTDWO'!$A$5:$G$35,J104+1,FALSE)*R54))</f>
        <v>0</v>
      </c>
      <c r="R104" s="3548">
        <f>IF(K104=0, 0, (HLOOKUP(K104,'[3]G-CESTD'!$A$5:$G$35,J104+1,FALSE)*R54))</f>
        <v>0</v>
      </c>
      <c r="S104" s="3592">
        <v>1.0780000000000001</v>
      </c>
      <c r="T104" s="4150">
        <f t="shared" si="14"/>
        <v>0</v>
      </c>
      <c r="U104" s="4150">
        <f t="shared" si="14"/>
        <v>0</v>
      </c>
      <c r="V104" s="3653">
        <f t="shared" si="21"/>
        <v>0</v>
      </c>
    </row>
    <row r="105" spans="2:22" ht="13.5" thickBot="1">
      <c r="G105" s="286">
        <f>SUMPRODUCT(G63:G104,O13:O54)</f>
        <v>6905472.04</v>
      </c>
      <c r="H105" s="287">
        <f>V105</f>
        <v>242881</v>
      </c>
      <c r="I105" s="288">
        <f>SUM(I63:I104)</f>
        <v>1</v>
      </c>
      <c r="J105" s="289">
        <f>ROUND(SUMPRODUCT(J63:J104,R13:R54)/R55,0)</f>
        <v>14</v>
      </c>
      <c r="K105" s="264"/>
      <c r="L105" s="3580"/>
      <c r="M105" s="3448" t="e">
        <f>Q105/O105</f>
        <v>#N/A</v>
      </c>
      <c r="N105" s="3449">
        <f>R105/P105</f>
        <v>3.3849392761672016E-2</v>
      </c>
      <c r="O105" s="297">
        <f>SUM(O63:O104)</f>
        <v>294031.07606679038</v>
      </c>
      <c r="P105" s="297">
        <f>SUM(P63:P104)</f>
        <v>6474542.2448979588</v>
      </c>
      <c r="Q105" s="297" t="e">
        <f>SUM(Q63:Q104)</f>
        <v>#N/A</v>
      </c>
      <c r="R105" s="297">
        <f>SUM(R63:R104)</f>
        <v>219159.32339958864</v>
      </c>
      <c r="S105" s="293">
        <v>1.081</v>
      </c>
      <c r="T105" s="294">
        <f>SUM(T63:T104)</f>
        <v>0</v>
      </c>
      <c r="U105" s="294">
        <f>SUM(U63:U104)</f>
        <v>242881</v>
      </c>
      <c r="V105" s="294">
        <f>SUM(V63:V104)</f>
        <v>242881</v>
      </c>
    </row>
    <row r="106" spans="2:22">
      <c r="P106" s="373"/>
    </row>
    <row r="107" spans="2:22">
      <c r="P107" s="373"/>
    </row>
    <row r="108" spans="2:22">
      <c r="P108" s="373"/>
    </row>
  </sheetData>
  <sheetProtection password="9E1F" sheet="1" objects="1" scenarios="1"/>
  <customSheetViews>
    <customSheetView guid="{074EB09C-6289-46D7-9513-012B68BCA7BF}" fitToPage="1">
      <pane xSplit="1" ySplit="1" topLeftCell="B2" activePane="bottomRight" state="frozen"/>
      <selection pane="bottomRight" activeCell="B7" sqref="B7"/>
      <pageMargins left="0.21" right="0.17" top="0.34" bottom="0.36" header="0.3" footer="0.3"/>
      <pageSetup paperSize="17" scale="52"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1" right="0.17" top="0.34" bottom="0.36" header="0.3" footer="0.3"/>
  <pageSetup paperSize="17" scale="53" orientation="landscape" r:id="rId2"/>
  <drawing r:id="rId3"/>
</worksheet>
</file>

<file path=xl/worksheets/sheet4.xml><?xml version="1.0" encoding="utf-8"?>
<worksheet xmlns="http://schemas.openxmlformats.org/spreadsheetml/2006/main" xmlns:r="http://schemas.openxmlformats.org/officeDocument/2006/relationships">
  <dimension ref="B2:S90"/>
  <sheetViews>
    <sheetView zoomScale="90" zoomScaleNormal="90" zoomScalePageLayoutView="80" workbookViewId="0">
      <pane xSplit="5" ySplit="5" topLeftCell="F6" activePane="bottomRight" state="frozen"/>
      <selection pane="topRight" activeCell="F1" sqref="F1"/>
      <selection pane="bottomLeft" activeCell="A6" sqref="A6"/>
      <selection pane="bottomRight" activeCell="E30" sqref="E30"/>
    </sheetView>
  </sheetViews>
  <sheetFormatPr defaultColWidth="9.140625" defaultRowHeight="12.75"/>
  <cols>
    <col min="1" max="1" width="1.28515625" customWidth="1"/>
    <col min="2" max="2" width="11.140625" style="19" customWidth="1"/>
    <col min="3" max="3" width="9.7109375" customWidth="1"/>
    <col min="4" max="4" width="42.42578125" customWidth="1"/>
    <col min="5" max="5" width="21.42578125" customWidth="1"/>
    <col min="6" max="16" width="15.85546875" style="77" customWidth="1"/>
    <col min="17" max="17" width="15.7109375" style="2102" customWidth="1"/>
    <col min="18" max="18" width="2" customWidth="1"/>
    <col min="19" max="19" width="50.85546875" customWidth="1"/>
  </cols>
  <sheetData>
    <row r="2" spans="2:19" ht="18">
      <c r="C2" s="1429" t="s">
        <v>1166</v>
      </c>
    </row>
    <row r="3" spans="2:19" ht="42" customHeight="1">
      <c r="C3" s="1430" t="s">
        <v>815</v>
      </c>
      <c r="E3" s="5114" t="s">
        <v>1366</v>
      </c>
      <c r="F3" s="5115"/>
      <c r="G3" s="5115"/>
      <c r="H3" s="5115"/>
      <c r="I3" s="5115"/>
      <c r="J3" s="5115"/>
      <c r="K3" s="5115"/>
      <c r="L3" s="5115"/>
      <c r="M3" s="5116"/>
    </row>
    <row r="4" spans="2:19" ht="36.75" customHeight="1" thickBot="1">
      <c r="E4" s="354"/>
    </row>
    <row r="5" spans="2:19" ht="36" thickBot="1">
      <c r="B5" s="150" t="s">
        <v>841</v>
      </c>
      <c r="C5" t="s">
        <v>553</v>
      </c>
      <c r="D5" t="s">
        <v>27</v>
      </c>
      <c r="E5" s="3065" t="s">
        <v>1071</v>
      </c>
      <c r="F5" s="2099" t="s">
        <v>9</v>
      </c>
      <c r="G5" s="2100" t="s">
        <v>10</v>
      </c>
      <c r="H5" s="2100" t="s">
        <v>11</v>
      </c>
      <c r="I5" s="2100" t="s">
        <v>12</v>
      </c>
      <c r="J5" s="2100" t="s">
        <v>13</v>
      </c>
      <c r="K5" s="2100" t="s">
        <v>14</v>
      </c>
      <c r="L5" s="2100" t="s">
        <v>15</v>
      </c>
      <c r="M5" s="2100" t="s">
        <v>16</v>
      </c>
      <c r="N5" s="2100" t="s">
        <v>112</v>
      </c>
      <c r="O5" s="2100" t="s">
        <v>113</v>
      </c>
      <c r="P5" s="2101" t="s">
        <v>18</v>
      </c>
      <c r="Q5" s="2103" t="s">
        <v>832</v>
      </c>
      <c r="S5" s="2111" t="s">
        <v>839</v>
      </c>
    </row>
    <row r="6" spans="2:19">
      <c r="C6" t="s">
        <v>552</v>
      </c>
      <c r="E6" s="2203"/>
      <c r="F6" s="2209"/>
      <c r="G6" s="2209"/>
      <c r="H6" s="2209"/>
      <c r="I6" s="2209"/>
      <c r="J6" s="2209"/>
      <c r="K6" s="2209"/>
      <c r="L6" s="2209"/>
      <c r="M6" s="2209"/>
      <c r="N6" s="2209"/>
      <c r="O6" s="2209"/>
      <c r="P6" s="2209"/>
    </row>
    <row r="7" spans="2:19">
      <c r="B7" s="19">
        <v>4</v>
      </c>
      <c r="C7" t="s">
        <v>339</v>
      </c>
      <c r="D7" s="3534" t="s">
        <v>340</v>
      </c>
      <c r="E7" s="2097">
        <v>18230611</v>
      </c>
      <c r="F7" s="4705">
        <f>'4) Detail_REM Sch 201 Elec '!G7</f>
        <v>155046.23000000001</v>
      </c>
      <c r="G7" s="4705">
        <f>'4) Detail_REM Sch 201 Elec '!H7</f>
        <v>17158.5</v>
      </c>
      <c r="H7" s="2209">
        <f>'4) Detail_REM Sch 201 Elec '!I7</f>
        <v>121748.74411</v>
      </c>
      <c r="I7" s="2209">
        <f>'4) Detail_REM Sch 201 Elec '!J7</f>
        <v>4650</v>
      </c>
      <c r="J7" s="4705">
        <f>'4) Detail_REM Sch 201 Elec '!K7</f>
        <v>6696</v>
      </c>
      <c r="K7" s="4705">
        <f>'4) Detail_REM Sch 201 Elec '!L7</f>
        <v>22320</v>
      </c>
      <c r="L7" s="2209">
        <f>'4) Detail_REM Sch 201 Elec '!M7</f>
        <v>10800</v>
      </c>
      <c r="M7" s="2209">
        <f>'4) Detail_REM Sch 201 Elec '!N7</f>
        <v>909.93</v>
      </c>
      <c r="N7" s="4705">
        <f>'4) Detail_REM Sch 201 Elec '!O7</f>
        <v>2086134</v>
      </c>
      <c r="O7" s="2209">
        <f>'4) Detail_REM Sch 201 Elec '!P7</f>
        <v>0</v>
      </c>
      <c r="P7" s="2209">
        <f>'4) Detail_REM Sch 201 Elec '!Q7</f>
        <v>2425463.40411</v>
      </c>
      <c r="Q7" s="4912">
        <f>'4) Detail_REM Sch 201 Elec '!R7</f>
        <v>1201202.0359999996</v>
      </c>
    </row>
    <row r="8" spans="2:19">
      <c r="B8" s="19" t="s">
        <v>823</v>
      </c>
      <c r="C8" t="s">
        <v>227</v>
      </c>
      <c r="D8" s="3534" t="s">
        <v>228</v>
      </c>
      <c r="E8" s="2097">
        <v>18230625</v>
      </c>
      <c r="F8" s="4705">
        <f>'5a) Detail_214HomePrint Elec'!G7</f>
        <v>180000</v>
      </c>
      <c r="G8" s="4705">
        <f>'5a) Detail_214HomePrint Elec'!H7</f>
        <v>61500</v>
      </c>
      <c r="H8" s="2209">
        <f>'5a) Detail_214HomePrint Elec'!I7</f>
        <v>170740.5</v>
      </c>
      <c r="I8" s="4705">
        <f>'5a) Detail_214HomePrint Elec'!J7</f>
        <v>193000</v>
      </c>
      <c r="J8" s="4705">
        <f>'5a) Detail_214HomePrint Elec'!K7</f>
        <v>3000</v>
      </c>
      <c r="K8" s="2209">
        <f>'5a) Detail_214HomePrint Elec'!L7</f>
        <v>0</v>
      </c>
      <c r="L8" s="2209">
        <f>'5a) Detail_214HomePrint Elec'!M7</f>
        <v>0</v>
      </c>
      <c r="M8" s="4705">
        <f>'5a) Detail_214HomePrint Elec'!N7</f>
        <v>2000</v>
      </c>
      <c r="N8" s="4705">
        <f>'5a) Detail_214HomePrint Elec'!O7</f>
        <v>1228500</v>
      </c>
      <c r="O8" s="2209">
        <f>'5a) Detail_214HomePrint Elec'!P7</f>
        <v>0</v>
      </c>
      <c r="P8" s="2209">
        <f>'5a) Detail_214HomePrint Elec'!Q7</f>
        <v>1838740.5</v>
      </c>
      <c r="Q8" s="4912">
        <f>'5a) Detail_214HomePrint Elec'!R7</f>
        <v>4081000</v>
      </c>
    </row>
    <row r="9" spans="2:19">
      <c r="B9" s="19" t="s">
        <v>824</v>
      </c>
      <c r="C9" t="s">
        <v>227</v>
      </c>
      <c r="D9" s="3534" t="s">
        <v>237</v>
      </c>
      <c r="E9" s="2097">
        <v>18230626</v>
      </c>
      <c r="F9" s="4705">
        <f>'5b) Detail_214WaterHeat Elec'!G7</f>
        <v>63000</v>
      </c>
      <c r="G9" s="4705">
        <f>'5b) Detail_214WaterHeat Elec'!H7</f>
        <v>30700</v>
      </c>
      <c r="H9" s="2209">
        <f>'5b) Detail_214WaterHeat Elec'!I7</f>
        <v>66245.899999999994</v>
      </c>
      <c r="I9" s="4705">
        <f>'5b) Detail_214WaterHeat Elec'!J7</f>
        <v>105000</v>
      </c>
      <c r="J9" s="2209">
        <f>'5b) Detail_214WaterHeat Elec'!K7</f>
        <v>1200</v>
      </c>
      <c r="K9" s="2209">
        <f>'5b) Detail_214WaterHeat Elec'!L7</f>
        <v>4000</v>
      </c>
      <c r="L9" s="2209">
        <f>'5b) Detail_214WaterHeat Elec'!M7</f>
        <v>5000</v>
      </c>
      <c r="M9" s="2209">
        <f>'5b) Detail_214WaterHeat Elec'!N7</f>
        <v>2400</v>
      </c>
      <c r="N9" s="4705">
        <f>'5b) Detail_214WaterHeat Elec'!O7</f>
        <v>311300</v>
      </c>
      <c r="O9" s="2209">
        <f>'5b) Detail_214WaterHeat Elec'!P7</f>
        <v>0</v>
      </c>
      <c r="P9" s="2209">
        <f>'5b) Detail_214WaterHeat Elec'!Q7</f>
        <v>588845.9</v>
      </c>
      <c r="Q9" s="4912">
        <f>'5b) Detail_214WaterHeat Elec'!R7</f>
        <v>857890</v>
      </c>
    </row>
    <row r="10" spans="2:19">
      <c r="B10" s="19" t="s">
        <v>825</v>
      </c>
      <c r="C10" t="s">
        <v>227</v>
      </c>
      <c r="D10" s="3534" t="s">
        <v>357</v>
      </c>
      <c r="E10" s="2097">
        <v>18230627</v>
      </c>
      <c r="F10" s="4705">
        <f>'5c) Detail_214Wx Elec'!G7</f>
        <v>160000</v>
      </c>
      <c r="G10" s="4705">
        <f>'5c) Detail_214Wx Elec'!H7</f>
        <v>70000</v>
      </c>
      <c r="H10" s="2209">
        <f>'5c) Detail_214Wx Elec'!I7</f>
        <v>162610</v>
      </c>
      <c r="I10" s="4705">
        <f>'5c) Detail_214Wx Elec'!J7</f>
        <v>218000</v>
      </c>
      <c r="J10" s="4705">
        <f>'5c) Detail_214Wx Elec'!K7</f>
        <v>2302</v>
      </c>
      <c r="K10" s="4705">
        <f>'5c) Detail_214Wx Elec'!L7</f>
        <v>95000</v>
      </c>
      <c r="L10" s="2209">
        <f>'5c) Detail_214Wx Elec'!M7</f>
        <v>3000</v>
      </c>
      <c r="M10" s="4705">
        <f>'5c) Detail_214Wx Elec'!N7</f>
        <v>20019</v>
      </c>
      <c r="N10" s="4705">
        <f>'5c) Detail_214Wx Elec'!O7</f>
        <v>1403261.2787409062</v>
      </c>
      <c r="O10" s="2209">
        <f>'5c) Detail_214Wx Elec'!P7</f>
        <v>0</v>
      </c>
      <c r="P10" s="2209">
        <f>'5c) Detail_214Wx Elec'!Q7</f>
        <v>2134192.2787409062</v>
      </c>
      <c r="Q10" s="4912">
        <f>'5c) Detail_214Wx Elec'!R7</f>
        <v>6351898.6054794313</v>
      </c>
    </row>
    <row r="11" spans="2:19">
      <c r="B11" s="19" t="s">
        <v>826</v>
      </c>
      <c r="C11" t="s">
        <v>227</v>
      </c>
      <c r="D11" s="3534" t="s">
        <v>367</v>
      </c>
      <c r="E11" s="2097">
        <v>18230628</v>
      </c>
      <c r="F11" s="4705">
        <f>'5d) Detail_214SpcHeat Elec'!G7</f>
        <v>210000</v>
      </c>
      <c r="G11" s="4705">
        <f>'5d) Detail_214SpcHeat Elec'!H7</f>
        <v>65000</v>
      </c>
      <c r="H11" s="2209">
        <f>'5d) Detail_214SpcHeat Elec'!I7</f>
        <v>194425</v>
      </c>
      <c r="I11" s="4705">
        <f>'5d) Detail_214SpcHeat Elec'!J7</f>
        <v>296000</v>
      </c>
      <c r="J11" s="2209">
        <f>'5d) Detail_214SpcHeat Elec'!K7</f>
        <v>7200</v>
      </c>
      <c r="K11" s="2209">
        <f>'5d) Detail_214SpcHeat Elec'!L7</f>
        <v>28000</v>
      </c>
      <c r="L11" s="2209">
        <f>'5d) Detail_214SpcHeat Elec'!M7</f>
        <v>17200</v>
      </c>
      <c r="M11" s="2209">
        <f>'5d) Detail_214SpcHeat Elec'!N7</f>
        <v>28200</v>
      </c>
      <c r="N11" s="2209">
        <f>'5d) Detail_214SpcHeat Elec'!O7</f>
        <v>2158150</v>
      </c>
      <c r="O11" s="2209">
        <f>'5d) Detail_214SpcHeat Elec'!P7</f>
        <v>0</v>
      </c>
      <c r="P11" s="2209">
        <f>'5d) Detail_214SpcHeat Elec'!Q7</f>
        <v>3004175</v>
      </c>
      <c r="Q11" s="2102">
        <f>'5d) Detail_214SpcHeat Elec'!R7</f>
        <v>6138116</v>
      </c>
    </row>
    <row r="12" spans="2:19">
      <c r="B12" s="19" t="s">
        <v>827</v>
      </c>
      <c r="C12" t="s">
        <v>227</v>
      </c>
      <c r="D12" s="4683" t="s">
        <v>372</v>
      </c>
      <c r="E12" s="2097">
        <v>18230409</v>
      </c>
      <c r="F12" s="2209">
        <f>'5e) Detail_214RefRepl Elec'!G7</f>
        <v>0</v>
      </c>
      <c r="G12" s="2209">
        <f>'5e) Detail_214RefRepl Elec'!H7</f>
        <v>0</v>
      </c>
      <c r="H12" s="2209">
        <f>'5e) Detail_214RefRepl Elec'!I7</f>
        <v>0</v>
      </c>
      <c r="I12" s="2209">
        <f>'5e) Detail_214RefRepl Elec'!J7</f>
        <v>0</v>
      </c>
      <c r="J12" s="2209">
        <f>'5e) Detail_214RefRepl Elec'!K7</f>
        <v>0</v>
      </c>
      <c r="K12" s="2209">
        <f>'5e) Detail_214RefRepl Elec'!L7</f>
        <v>0</v>
      </c>
      <c r="L12" s="2209">
        <f>'5e) Detail_214RefRepl Elec'!M7</f>
        <v>0</v>
      </c>
      <c r="M12" s="2209">
        <f>'5e) Detail_214RefRepl Elec'!N7</f>
        <v>0</v>
      </c>
      <c r="N12" s="2209">
        <f>'5e) Detail_214RefRepl Elec'!O7</f>
        <v>0</v>
      </c>
      <c r="O12" s="2209">
        <f>'5e) Detail_214RefRepl Elec'!P7</f>
        <v>0</v>
      </c>
      <c r="P12" s="2209">
        <f>'5e) Detail_214RefRepl Elec'!Q7</f>
        <v>0</v>
      </c>
      <c r="Q12" s="2102">
        <f>'5e) Detail_214RefRepl Elec'!R7</f>
        <v>0</v>
      </c>
    </row>
    <row r="13" spans="2:19">
      <c r="B13" s="19" t="s">
        <v>828</v>
      </c>
      <c r="C13" t="s">
        <v>227</v>
      </c>
      <c r="D13" s="3534" t="s">
        <v>375</v>
      </c>
      <c r="E13" s="2097">
        <v>18230434</v>
      </c>
      <c r="F13" s="4705">
        <f>'5f) Detail_214HmAppplc Elec'!G7</f>
        <v>269204.8</v>
      </c>
      <c r="G13" s="2209">
        <f>'5f) Detail_214HmAppplc Elec'!H7</f>
        <v>64575</v>
      </c>
      <c r="H13" s="2209">
        <f>'5f) Detail_214HmAppplc Elec'!I7</f>
        <v>235982.31859999997</v>
      </c>
      <c r="I13" s="2209">
        <f>'5f) Detail_214HmAppplc Elec'!J7</f>
        <v>480000</v>
      </c>
      <c r="J13" s="2209">
        <f>'5f) Detail_214HmAppplc Elec'!K7</f>
        <v>0</v>
      </c>
      <c r="K13" s="2209">
        <f>'5f) Detail_214HmAppplc Elec'!L7</f>
        <v>820000</v>
      </c>
      <c r="L13" s="2209">
        <f>'5f) Detail_214HmAppplc Elec'!M7</f>
        <v>18000</v>
      </c>
      <c r="M13" s="2209">
        <f>'5f) Detail_214HmAppplc Elec'!N7</f>
        <v>10000</v>
      </c>
      <c r="N13" s="4705">
        <f>'5f) Detail_214HmAppplc Elec'!O7</f>
        <v>5854050</v>
      </c>
      <c r="O13" s="2209">
        <f>'5f) Detail_214HmAppplc Elec'!P7</f>
        <v>0</v>
      </c>
      <c r="P13" s="2209">
        <f>'5f) Detail_214HmAppplc Elec'!Q7</f>
        <v>7751812.1185999997</v>
      </c>
      <c r="Q13" s="4912">
        <f>'5f) Detail_214HmAppplc Elec'!R7</f>
        <v>12405640</v>
      </c>
    </row>
    <row r="14" spans="2:19">
      <c r="B14" s="19" t="s">
        <v>829</v>
      </c>
      <c r="C14" t="s">
        <v>227</v>
      </c>
      <c r="D14" s="3534" t="s">
        <v>554</v>
      </c>
      <c r="E14" s="2097">
        <v>18230435</v>
      </c>
      <c r="F14" s="4705">
        <f>'5g) Detail_214ShwrHead  Elec'!G7</f>
        <v>15000</v>
      </c>
      <c r="G14" s="4705">
        <f>'5g) Detail_214ShwrHead  Elec'!H7</f>
        <v>6000</v>
      </c>
      <c r="H14" s="2209">
        <f>'5g) Detail_214ShwrHead  Elec'!I7</f>
        <v>14847</v>
      </c>
      <c r="I14" s="4705">
        <f>'5g) Detail_214ShwrHead  Elec'!J7</f>
        <v>20000</v>
      </c>
      <c r="J14" s="4705">
        <f>'5g) Detail_214ShwrHead  Elec'!K7</f>
        <v>1000</v>
      </c>
      <c r="K14" s="4705">
        <f>'5g) Detail_214ShwrHead  Elec'!L7</f>
        <v>10000</v>
      </c>
      <c r="L14" s="2209">
        <f>'5g) Detail_214ShwrHead  Elec'!M7</f>
        <v>500</v>
      </c>
      <c r="M14" s="2209">
        <f>'5g) Detail_214ShwrHead  Elec'!N7</f>
        <v>500</v>
      </c>
      <c r="N14" s="4705">
        <f>'5g) Detail_214ShwrHead  Elec'!O7</f>
        <v>157947.44999999998</v>
      </c>
      <c r="O14" s="2209">
        <f>'5g) Detail_214ShwrHead  Elec'!P7</f>
        <v>0</v>
      </c>
      <c r="P14" s="2209">
        <f>'5g) Detail_214ShwrHead  Elec'!Q7</f>
        <v>225794.44999999998</v>
      </c>
      <c r="Q14" s="4912">
        <f>'5g) Detail_214ShwrHead  Elec'!R7</f>
        <v>3496457.56</v>
      </c>
    </row>
    <row r="15" spans="2:19">
      <c r="B15" s="19" t="s">
        <v>830</v>
      </c>
      <c r="C15" t="s">
        <v>227</v>
      </c>
      <c r="D15" s="3534" t="s">
        <v>555</v>
      </c>
      <c r="E15" s="2097">
        <v>18230440</v>
      </c>
      <c r="F15" s="4705">
        <f>'5h) Detail_214Lighting Elec'!G7</f>
        <v>323841.69999999995</v>
      </c>
      <c r="G15" s="2209">
        <f>'5h) Detail_214Lighting Elec'!H7</f>
        <v>64575</v>
      </c>
      <c r="H15" s="2209">
        <f>'5h) Detail_214Lighting Elec'!I7</f>
        <v>274610.60689999996</v>
      </c>
      <c r="I15" s="4705">
        <f>'5h) Detail_214Lighting Elec'!J7</f>
        <v>1750000</v>
      </c>
      <c r="J15" s="2209">
        <f>'5h) Detail_214Lighting Elec'!K7</f>
        <v>0</v>
      </c>
      <c r="K15" s="2209">
        <f>'5h) Detail_214Lighting Elec'!L7</f>
        <v>871600</v>
      </c>
      <c r="L15" s="2209">
        <f>'5h) Detail_214Lighting Elec'!M7</f>
        <v>7500</v>
      </c>
      <c r="M15" s="2209">
        <f>'5h) Detail_214Lighting Elec'!N7</f>
        <v>36000</v>
      </c>
      <c r="N15" s="4705">
        <f>'5h) Detail_214Lighting Elec'!O7</f>
        <v>9794910</v>
      </c>
      <c r="O15" s="2209">
        <f>'5h) Detail_214Lighting Elec'!P7</f>
        <v>0</v>
      </c>
      <c r="P15" s="2209">
        <f>'5h) Detail_214Lighting Elec'!Q7</f>
        <v>13123037.3069</v>
      </c>
      <c r="Q15" s="4912">
        <f>'5h) Detail_214Lighting Elec'!R7</f>
        <v>83225000</v>
      </c>
    </row>
    <row r="16" spans="2:19" s="3532" customFormat="1">
      <c r="B16" s="3533" t="s">
        <v>1192</v>
      </c>
      <c r="C16" s="3532" t="s">
        <v>227</v>
      </c>
      <c r="D16" s="4917" t="s">
        <v>1193</v>
      </c>
      <c r="E16" s="4913">
        <v>18230634</v>
      </c>
      <c r="F16" s="4705">
        <f>'5i) Detail_214MHDS Elec'!G7</f>
        <v>60000</v>
      </c>
      <c r="G16" s="4705">
        <f>'5i) Detail_214MHDS Elec'!H7</f>
        <v>37000</v>
      </c>
      <c r="H16" s="4705">
        <f>'5i) Detail_214MHDS Elec'!I7</f>
        <v>68579</v>
      </c>
      <c r="I16" s="4705">
        <f>'5i) Detail_214MHDS Elec'!J7</f>
        <v>20000</v>
      </c>
      <c r="J16" s="4705">
        <f>'5i) Detail_214MHDS Elec'!K7</f>
        <v>402.26</v>
      </c>
      <c r="K16" s="4705">
        <f>'5i) Detail_214MHDS Elec'!L7</f>
        <v>126.99</v>
      </c>
      <c r="L16" s="4705">
        <f>'5i) Detail_214MHDS Elec'!M7</f>
        <v>507.96</v>
      </c>
      <c r="M16" s="4705">
        <f>'5i) Detail_214MHDS Elec'!N7</f>
        <v>590.71</v>
      </c>
      <c r="N16" s="4705">
        <f>'5i) Detail_214MHDS Elec'!O7</f>
        <v>369675.7</v>
      </c>
      <c r="O16" s="4705">
        <f>'5i) Detail_214MHDS Elec'!P7</f>
        <v>0</v>
      </c>
      <c r="P16" s="4705">
        <f>'5i) Detail_214MHDS Elec'!Q7</f>
        <v>556882.62</v>
      </c>
      <c r="Q16" s="4914">
        <f>'5i) Detail_214MHDS Elec'!R7</f>
        <v>1046040</v>
      </c>
    </row>
    <row r="17" spans="2:19" s="3532" customFormat="1">
      <c r="B17" s="3533" t="s">
        <v>1233</v>
      </c>
      <c r="C17" s="3532" t="s">
        <v>227</v>
      </c>
      <c r="D17" s="3534" t="s">
        <v>1234</v>
      </c>
      <c r="E17" s="3638">
        <v>18230501</v>
      </c>
      <c r="F17" s="3495">
        <f>'5j) Detail_214ARRAWx Elec'!G8</f>
        <v>0</v>
      </c>
      <c r="G17" s="3495">
        <f>'5j) Detail_214ARRAWx Elec'!H8</f>
        <v>0</v>
      </c>
      <c r="H17" s="3495">
        <f>'5j) Detail_214ARRAWx Elec'!I8</f>
        <v>27</v>
      </c>
      <c r="I17" s="3495">
        <f>'5j) Detail_214ARRAWx Elec'!J8</f>
        <v>0</v>
      </c>
      <c r="J17" s="3495">
        <f>'5j) Detail_214ARRAWx Elec'!K8</f>
        <v>0</v>
      </c>
      <c r="K17" s="3495">
        <f>'5j) Detail_214ARRAWx Elec'!L8</f>
        <v>0</v>
      </c>
      <c r="L17" s="3495">
        <f>'5j) Detail_214ARRAWx Elec'!M8</f>
        <v>0</v>
      </c>
      <c r="M17" s="3495">
        <f>'5j) Detail_214ARRAWx Elec'!N8</f>
        <v>0</v>
      </c>
      <c r="N17" s="4705">
        <f>'5j) Detail_214ARRAWx Elec'!O8</f>
        <v>741140.27802919003</v>
      </c>
      <c r="O17" s="3495">
        <f>'5j) Detail_214ARRAWx Elec'!P8</f>
        <v>0</v>
      </c>
      <c r="P17" s="3495">
        <f>'5j) Detail_214ARRAWx Elec'!Q8</f>
        <v>741167.27802919003</v>
      </c>
      <c r="Q17" s="4914">
        <f>'5j) Detail_214ARRAWx Elec'!R8</f>
        <v>2845321.04</v>
      </c>
    </row>
    <row r="18" spans="2:19">
      <c r="B18" s="4740" t="s">
        <v>1375</v>
      </c>
      <c r="C18" t="s">
        <v>546</v>
      </c>
      <c r="D18" s="3534" t="s">
        <v>547</v>
      </c>
      <c r="E18" s="3638">
        <v>18230461</v>
      </c>
      <c r="F18" s="2209">
        <f>'5k) Detail_REM Sch214 HER Elec'!G7</f>
        <v>20038.025000000001</v>
      </c>
      <c r="G18" s="2209">
        <f>'5k) Detail_REM Sch214 HER Elec'!H7</f>
        <v>6150</v>
      </c>
      <c r="H18" s="3436">
        <f>'5k) Detail_REM Sch214 HER Elec'!I7</f>
        <v>18514.933675</v>
      </c>
      <c r="I18" s="2209">
        <f>'5k) Detail_REM Sch214 HER Elec'!J7</f>
        <v>0</v>
      </c>
      <c r="J18" s="2209">
        <f>'5k) Detail_REM Sch214 HER Elec'!K7</f>
        <v>0</v>
      </c>
      <c r="K18" s="4705">
        <f>'5k) Detail_REM Sch214 HER Elec'!L7</f>
        <v>86681</v>
      </c>
      <c r="L18" s="2209">
        <f>'5k) Detail_REM Sch214 HER Elec'!M7</f>
        <v>0</v>
      </c>
      <c r="M18" s="2209">
        <f>'5k) Detail_REM Sch214 HER Elec'!N7</f>
        <v>0</v>
      </c>
      <c r="N18" s="2209">
        <f>'5k) Detail_REM Sch214 HER Elec'!O7</f>
        <v>86681</v>
      </c>
      <c r="O18" s="2209">
        <f>'5k) Detail_REM Sch214 HER Elec'!P7</f>
        <v>0</v>
      </c>
      <c r="P18" s="2209">
        <f>'5k) Detail_REM Sch214 HER Elec'!Q7</f>
        <v>218064.958675</v>
      </c>
      <c r="Q18" s="2102">
        <f>'5k) Detail_REM Sch214 HER Elec'!R7</f>
        <v>5498052</v>
      </c>
    </row>
    <row r="19" spans="2:19">
      <c r="B19" s="19">
        <v>6</v>
      </c>
      <c r="C19" t="s">
        <v>442</v>
      </c>
      <c r="D19" s="3534" t="s">
        <v>443</v>
      </c>
      <c r="E19" s="2097">
        <v>18230405</v>
      </c>
      <c r="F19" s="4705">
        <f>'6) Detail_REM Sch 215 Elec'!G7</f>
        <v>154579</v>
      </c>
      <c r="G19" s="4705">
        <f>'6) Detail_REM Sch 215 Elec'!H7</f>
        <v>93600</v>
      </c>
      <c r="H19" s="2209">
        <f>'6) Detail_REM Sch 215 Elec'!I7</f>
        <v>175462.55299999999</v>
      </c>
      <c r="I19" s="4705">
        <f>'6) Detail_REM Sch 215 Elec'!J7</f>
        <v>90317</v>
      </c>
      <c r="J19" s="2209">
        <f>'6) Detail_REM Sch 215 Elec'!K7</f>
        <v>6000</v>
      </c>
      <c r="K19" s="4705">
        <f>'6) Detail_REM Sch 215 Elec'!L7</f>
        <v>161174</v>
      </c>
      <c r="L19" s="2209">
        <f>'6) Detail_REM Sch 215 Elec'!M7</f>
        <v>2000</v>
      </c>
      <c r="M19" s="2209">
        <f>'6) Detail_REM Sch 215 Elec'!N7</f>
        <v>5000</v>
      </c>
      <c r="N19" s="4705">
        <f>'6) Detail_REM Sch 215 Elec'!O7</f>
        <v>510420</v>
      </c>
      <c r="O19" s="2209">
        <f>'6) Detail_REM Sch 215 Elec'!P7</f>
        <v>0</v>
      </c>
      <c r="P19" s="2209">
        <f>'6) Detail_REM Sch 215 Elec'!Q7</f>
        <v>1198552.5529999998</v>
      </c>
      <c r="Q19" s="4912">
        <f>'6) Detail_REM Sch 215 Elec'!R7</f>
        <v>1112700</v>
      </c>
    </row>
    <row r="20" spans="2:19">
      <c r="B20" s="19" t="s">
        <v>831</v>
      </c>
      <c r="C20" t="s">
        <v>442</v>
      </c>
      <c r="D20" s="3534" t="s">
        <v>452</v>
      </c>
      <c r="E20" s="2097">
        <v>18230433</v>
      </c>
      <c r="F20" s="2209">
        <f>'6a) Detail_215NCMfgHome Elec'!G7</f>
        <v>8993</v>
      </c>
      <c r="G20" s="2209">
        <f>'6a) Detail_215NCMfgHome Elec'!H7</f>
        <v>4000</v>
      </c>
      <c r="H20" s="2209">
        <f>'6a) Detail_215NCMfgHome Elec'!I7</f>
        <v>9186.0509999999995</v>
      </c>
      <c r="I20" s="2209">
        <f>'6a) Detail_215NCMfgHome Elec'!J7</f>
        <v>3505</v>
      </c>
      <c r="J20" s="2209">
        <f>'6a) Detail_215NCMfgHome Elec'!K7</f>
        <v>800</v>
      </c>
      <c r="K20" s="2209">
        <f>'6a) Detail_215NCMfgHome Elec'!L7</f>
        <v>0</v>
      </c>
      <c r="L20" s="2209">
        <f>'6a) Detail_215NCMfgHome Elec'!M7</f>
        <v>0</v>
      </c>
      <c r="M20" s="2209">
        <f>'6a) Detail_215NCMfgHome Elec'!N7</f>
        <v>0</v>
      </c>
      <c r="N20" s="2209">
        <f>'6a) Detail_215NCMfgHome Elec'!O7</f>
        <v>24000</v>
      </c>
      <c r="O20" s="2209">
        <f>'6a) Detail_215NCMfgHome Elec'!P7</f>
        <v>0</v>
      </c>
      <c r="P20" s="2209">
        <f>'6a) Detail_215NCMfgHome Elec'!Q7</f>
        <v>50484.050999999999</v>
      </c>
      <c r="Q20" s="2102">
        <f>'6a) Detail_215NCMfgHome Elec'!R7</f>
        <v>418420</v>
      </c>
    </row>
    <row r="21" spans="2:19">
      <c r="B21" s="19">
        <v>7</v>
      </c>
      <c r="C21" t="s">
        <v>474</v>
      </c>
      <c r="D21" s="3534" t="s">
        <v>475</v>
      </c>
      <c r="E21" s="2097">
        <v>18230612</v>
      </c>
      <c r="F21" s="4705">
        <f>'7) Detail_REM Sch 216 Elec'!G7</f>
        <v>142000</v>
      </c>
      <c r="G21" s="4705">
        <f>'7) Detail_REM Sch 216 Elec'!H7</f>
        <v>61500</v>
      </c>
      <c r="H21" s="2209">
        <f>'7) Detail_REM Sch 216 Elec'!I7</f>
        <v>143874.5</v>
      </c>
      <c r="I21" s="4705">
        <f>'7) Detail_REM Sch 216 Elec'!J7</f>
        <v>140000</v>
      </c>
      <c r="J21" s="2209">
        <f>'7) Detail_REM Sch 216 Elec'!K7</f>
        <v>1200</v>
      </c>
      <c r="K21" s="2209">
        <f>'7) Detail_REM Sch 216 Elec'!L7</f>
        <v>1000</v>
      </c>
      <c r="L21" s="2209">
        <f>'7) Detail_REM Sch 216 Elec'!M7</f>
        <v>1000</v>
      </c>
      <c r="M21" s="2209">
        <f>'7) Detail_REM Sch 216 Elec'!N7</f>
        <v>2000</v>
      </c>
      <c r="N21" s="2209">
        <f>'7) Detail_REM Sch 216 Elec'!O7</f>
        <v>591000</v>
      </c>
      <c r="O21" s="2209">
        <f>'7) Detail_REM Sch 216 Elec'!P7</f>
        <v>0</v>
      </c>
      <c r="P21" s="2209">
        <f>'7) Detail_REM Sch 216 Elec'!Q7</f>
        <v>1083574.5</v>
      </c>
      <c r="Q21" s="2102">
        <f>'7) Detail_REM Sch 216 Elec'!R7</f>
        <v>2649750</v>
      </c>
    </row>
    <row r="22" spans="2:19">
      <c r="B22" s="19">
        <v>8</v>
      </c>
      <c r="C22" t="s">
        <v>510</v>
      </c>
      <c r="D22" s="3534" t="s">
        <v>511</v>
      </c>
      <c r="E22" s="2097">
        <v>18230407</v>
      </c>
      <c r="F22" s="4705">
        <f>'8) Detail_REM Sch 217 Elec'!G7</f>
        <v>257631.75</v>
      </c>
      <c r="G22" s="4705">
        <f>'8) Detail_REM Sch 217 Elec'!H7</f>
        <v>70110</v>
      </c>
      <c r="H22" s="2209">
        <f>'8) Detail_REM Sch 217 Elec'!I7</f>
        <v>231713.41724999997</v>
      </c>
      <c r="I22" s="4705">
        <f>'8) Detail_REM Sch 217 Elec'!J7</f>
        <v>71250</v>
      </c>
      <c r="J22" s="4705">
        <f>'8) Detail_REM Sch 217 Elec'!K7</f>
        <v>11010</v>
      </c>
      <c r="K22" s="4705">
        <f>'8) Detail_REM Sch 217 Elec'!L7</f>
        <v>827392.3</v>
      </c>
      <c r="L22" s="4705">
        <f>'8) Detail_REM Sch 217 Elec'!M7</f>
        <v>250</v>
      </c>
      <c r="M22" s="2209">
        <f>'8) Detail_REM Sch 217 Elec'!N7</f>
        <v>9620</v>
      </c>
      <c r="N22" s="4705">
        <f>'8) Detail_REM Sch 217 Elec'!O7</f>
        <v>5382843.7000000002</v>
      </c>
      <c r="O22" s="2209">
        <f>'8) Detail_REM Sch 217 Elec'!P7</f>
        <v>0</v>
      </c>
      <c r="P22" s="2209">
        <f>'8) Detail_REM Sch 217 Elec'!Q7</f>
        <v>6861821.1672499999</v>
      </c>
      <c r="Q22" s="4912">
        <f>'8) Detail_REM Sch 217 Elec'!R7</f>
        <v>16746954.299999999</v>
      </c>
    </row>
    <row r="23" spans="2:19">
      <c r="B23" s="19">
        <v>9</v>
      </c>
      <c r="C23" t="s">
        <v>541</v>
      </c>
      <c r="D23" s="3534" t="s">
        <v>542</v>
      </c>
      <c r="E23" s="2097">
        <v>18230486</v>
      </c>
      <c r="F23" s="2209">
        <f>'9) Detail_REM Sch 218 Elec'!G7</f>
        <v>166678</v>
      </c>
      <c r="G23" s="2209">
        <f>'9) Detail_REM Sch 218 Elec'!H7</f>
        <v>15760</v>
      </c>
      <c r="H23" s="2209">
        <f>'9) Detail_REM Sch 218 Elec'!I7</f>
        <v>128983.666</v>
      </c>
      <c r="I23" s="2209">
        <f>'9) Detail_REM Sch 218 Elec'!J7</f>
        <v>33750</v>
      </c>
      <c r="J23" s="2209">
        <f>'9) Detail_REM Sch 218 Elec'!K7</f>
        <v>2340</v>
      </c>
      <c r="K23" s="2209">
        <f>'9) Detail_REM Sch 218 Elec'!L7</f>
        <v>200</v>
      </c>
      <c r="L23" s="2209">
        <f>'9) Detail_REM Sch 218 Elec'!M7</f>
        <v>100</v>
      </c>
      <c r="M23" s="2209">
        <f>'9) Detail_REM Sch 218 Elec'!N7</f>
        <v>5240</v>
      </c>
      <c r="N23" s="2209">
        <f>'9) Detail_REM Sch 218 Elec'!O7</f>
        <v>321369.29399999999</v>
      </c>
      <c r="O23" s="2209">
        <f>'9) Detail_REM Sch 218 Elec'!P7</f>
        <v>0</v>
      </c>
      <c r="P23" s="2209">
        <f>'9) Detail_REM Sch 218 Elec'!Q7</f>
        <v>674420.96</v>
      </c>
      <c r="Q23" s="2102">
        <f>'9) Detail_REM Sch 218 Elec'!R7</f>
        <v>954788.15511999989</v>
      </c>
    </row>
    <row r="24" spans="2:19">
      <c r="B24" s="19">
        <v>10</v>
      </c>
      <c r="C24" t="s">
        <v>546</v>
      </c>
      <c r="D24" s="3534" t="s">
        <v>550</v>
      </c>
      <c r="E24" s="2097">
        <v>18230629</v>
      </c>
      <c r="F24" s="2209">
        <f>'10) Detail_REM Sch 249 Elec'!G7</f>
        <v>0</v>
      </c>
      <c r="G24" s="2209">
        <f>'10) Detail_REM Sch 249 Elec'!H7</f>
        <v>0</v>
      </c>
      <c r="H24" s="2209">
        <f>'10) Detail_REM Sch 249 Elec'!I7</f>
        <v>0</v>
      </c>
      <c r="I24" s="2209">
        <f>'10) Detail_REM Sch 249 Elec'!J7</f>
        <v>0</v>
      </c>
      <c r="J24" s="2209">
        <f>'10) Detail_REM Sch 249 Elec'!K7</f>
        <v>0</v>
      </c>
      <c r="K24" s="2209">
        <f>'10) Detail_REM Sch 249 Elec'!L7</f>
        <v>0</v>
      </c>
      <c r="L24" s="2209">
        <f>'10) Detail_REM Sch 249 Elec'!M7</f>
        <v>0</v>
      </c>
      <c r="M24" s="2209">
        <f>'10) Detail_REM Sch 249 Elec'!N7</f>
        <v>0</v>
      </c>
      <c r="N24" s="2209">
        <f>'10) Detail_REM Sch 249 Elec'!O7</f>
        <v>0</v>
      </c>
      <c r="O24" s="2209">
        <f>'10) Detail_REM Sch 249 Elec'!P7</f>
        <v>0</v>
      </c>
      <c r="P24" s="2209">
        <f>'10) Detail_REM Sch 249 Elec'!Q7</f>
        <v>0</v>
      </c>
      <c r="Q24" s="2102">
        <f>'10) Detail_REM Sch 249 Elec'!R7</f>
        <v>0</v>
      </c>
    </row>
    <row r="25" spans="2:19" s="2105" customFormat="1">
      <c r="B25" s="2104"/>
      <c r="D25" s="772" t="s">
        <v>763</v>
      </c>
      <c r="E25" s="2106"/>
      <c r="F25" s="2107">
        <f t="shared" ref="F25:O25" si="0">SUM(F7:F24)</f>
        <v>2186012.5049999999</v>
      </c>
      <c r="G25" s="2107">
        <f t="shared" si="0"/>
        <v>667628.5</v>
      </c>
      <c r="H25" s="2107">
        <f t="shared" si="0"/>
        <v>2017551.1905349998</v>
      </c>
      <c r="I25" s="2107">
        <f t="shared" si="0"/>
        <v>3425472</v>
      </c>
      <c r="J25" s="2107">
        <f t="shared" si="0"/>
        <v>43150.259999999995</v>
      </c>
      <c r="K25" s="2107">
        <f t="shared" si="0"/>
        <v>2927494.29</v>
      </c>
      <c r="L25" s="2107">
        <f t="shared" si="0"/>
        <v>65857.959999999992</v>
      </c>
      <c r="M25" s="2107">
        <f t="shared" si="0"/>
        <v>122479.64</v>
      </c>
      <c r="N25" s="2107">
        <f t="shared" si="0"/>
        <v>31021382.700770091</v>
      </c>
      <c r="O25" s="2107">
        <f t="shared" si="0"/>
        <v>0</v>
      </c>
      <c r="P25" s="2107">
        <f>SUM(P7:P24)</f>
        <v>42477029.046305098</v>
      </c>
      <c r="Q25" s="2108">
        <f>SUM(Q7:Q24)</f>
        <v>149029229.69659942</v>
      </c>
    </row>
    <row r="26" spans="2:19">
      <c r="D26" s="4695" t="s">
        <v>1332</v>
      </c>
      <c r="E26" s="4697"/>
      <c r="F26" s="4703">
        <v>2025036.7429999998</v>
      </c>
      <c r="G26" s="4703">
        <v>468034</v>
      </c>
      <c r="H26" s="4703">
        <v>1575903.88809</v>
      </c>
      <c r="I26" s="4703">
        <v>2079945</v>
      </c>
      <c r="J26" s="4703">
        <v>61500</v>
      </c>
      <c r="K26" s="4703">
        <v>4512096.9000000004</v>
      </c>
      <c r="L26" s="4703">
        <v>65100</v>
      </c>
      <c r="M26" s="4703">
        <v>144737</v>
      </c>
      <c r="N26" s="4703">
        <v>31421355.6087</v>
      </c>
      <c r="O26" s="4703">
        <v>0</v>
      </c>
      <c r="P26" s="4703">
        <v>42353709.139790006</v>
      </c>
      <c r="Q26" s="4701">
        <v>149578011.39111999</v>
      </c>
      <c r="S26">
        <f>Q26/1000</f>
        <v>149578.01139111997</v>
      </c>
    </row>
    <row r="27" spans="2:19" s="4721" customFormat="1">
      <c r="B27" s="4722"/>
      <c r="D27" s="4702" t="s">
        <v>1333</v>
      </c>
      <c r="E27" s="4704"/>
      <c r="F27" s="4699">
        <f>F25-F26</f>
        <v>160975.7620000001</v>
      </c>
      <c r="G27" s="4699">
        <f t="shared" ref="G27:Q27" si="1">G25-G26</f>
        <v>199594.5</v>
      </c>
      <c r="H27" s="4699">
        <f t="shared" si="1"/>
        <v>441647.3024449998</v>
      </c>
      <c r="I27" s="4699">
        <f t="shared" si="1"/>
        <v>1345527</v>
      </c>
      <c r="J27" s="4699">
        <f t="shared" si="1"/>
        <v>-18349.740000000005</v>
      </c>
      <c r="K27" s="4699">
        <f t="shared" si="1"/>
        <v>-1584602.6100000003</v>
      </c>
      <c r="L27" s="4699">
        <f t="shared" si="1"/>
        <v>757.95999999999185</v>
      </c>
      <c r="M27" s="4699">
        <f t="shared" si="1"/>
        <v>-22257.360000000001</v>
      </c>
      <c r="N27" s="4699">
        <f t="shared" si="1"/>
        <v>-399972.90792990848</v>
      </c>
      <c r="O27" s="4699">
        <f t="shared" si="1"/>
        <v>0</v>
      </c>
      <c r="P27" s="4699">
        <f t="shared" si="1"/>
        <v>123319.90651509166</v>
      </c>
      <c r="Q27" s="4693">
        <f t="shared" si="1"/>
        <v>-548781.69452056289</v>
      </c>
    </row>
    <row r="28" spans="2:19">
      <c r="E28" s="2203"/>
      <c r="F28" s="2209"/>
      <c r="G28" s="2209"/>
      <c r="H28" s="2209"/>
      <c r="I28" s="4915"/>
      <c r="J28" s="2209"/>
      <c r="K28" s="2209"/>
      <c r="L28" s="2209"/>
      <c r="M28" s="2209"/>
      <c r="N28" s="2209"/>
      <c r="O28" s="2209"/>
      <c r="P28" s="2209"/>
    </row>
    <row r="29" spans="2:19">
      <c r="C29" s="4739" t="s">
        <v>765</v>
      </c>
      <c r="E29" s="2203"/>
      <c r="F29" s="2209"/>
      <c r="G29" s="2209"/>
      <c r="H29" s="2209"/>
      <c r="I29" s="2209"/>
      <c r="J29" s="2209"/>
      <c r="K29" s="2209"/>
      <c r="L29" s="2209"/>
      <c r="M29" s="2209"/>
      <c r="N29" s="2209"/>
      <c r="O29" s="2209"/>
      <c r="P29" s="2209"/>
    </row>
    <row r="30" spans="2:19">
      <c r="B30" s="19">
        <v>17</v>
      </c>
      <c r="C30" s="3064" t="s">
        <v>880</v>
      </c>
      <c r="D30" s="3534" t="s">
        <v>752</v>
      </c>
      <c r="E30" s="2097">
        <v>18230711</v>
      </c>
      <c r="F30" s="4705">
        <f>'17) Detail_BEM Sch 250 Elec'!C8</f>
        <v>1503050</v>
      </c>
      <c r="G30" s="2209">
        <f>'17) Detail_BEM Sch 250 Elec'!D8</f>
        <v>32800</v>
      </c>
      <c r="H30" s="2209">
        <f>'17) Detail_BEM Sch 250 Elec'!E8</f>
        <v>1085800</v>
      </c>
      <c r="I30" s="2209">
        <f>'17) Detail_BEM Sch 250 Elec'!F8</f>
        <v>21000</v>
      </c>
      <c r="J30" s="2209">
        <f>'17) Detail_BEM Sch 250 Elec'!G8</f>
        <v>61800</v>
      </c>
      <c r="K30" s="2209">
        <f>'17) Detail_BEM Sch 250 Elec'!H8</f>
        <v>2564750</v>
      </c>
      <c r="L30" s="2209">
        <f>'17) Detail_BEM Sch 250 Elec'!I8</f>
        <v>10650</v>
      </c>
      <c r="M30" s="2209">
        <f>'17) Detail_BEM Sch 250 Elec'!J8</f>
        <v>2400</v>
      </c>
      <c r="N30" s="4705">
        <f>'17) Detail_BEM Sch 250 Elec'!K8</f>
        <v>13703515</v>
      </c>
      <c r="O30" s="2209"/>
      <c r="P30" s="1428">
        <f>'17) Detail_BEM Sch 250 Elec'!L8</f>
        <v>18985765</v>
      </c>
      <c r="Q30" s="4912">
        <f>'17) Detail_BEM Sch 250 Elec'!M8</f>
        <v>71375000</v>
      </c>
    </row>
    <row r="31" spans="2:19">
      <c r="B31" s="19">
        <v>18</v>
      </c>
      <c r="C31" t="s">
        <v>745</v>
      </c>
      <c r="D31" s="3534" t="s">
        <v>753</v>
      </c>
      <c r="E31" s="2097">
        <v>18230715</v>
      </c>
      <c r="F31" s="4705">
        <f>'18) Detail_BEM Sch 251 Elec'!C8</f>
        <v>217700</v>
      </c>
      <c r="G31" s="2209">
        <f>'18) Detail_BEM Sch 251 Elec'!D8</f>
        <v>19400</v>
      </c>
      <c r="H31" s="2209">
        <f>'18) Detail_BEM Sch 251 Elec'!E8</f>
        <v>167600</v>
      </c>
      <c r="I31" s="2209">
        <f>'18) Detail_BEM Sch 251 Elec'!F8</f>
        <v>10500</v>
      </c>
      <c r="J31" s="2209">
        <f>'18) Detail_BEM Sch 251 Elec'!G8</f>
        <v>4000</v>
      </c>
      <c r="K31" s="2209">
        <f>'18) Detail_BEM Sch 251 Elec'!H8</f>
        <v>50200</v>
      </c>
      <c r="L31" s="2209">
        <f>'18) Detail_BEM Sch 251 Elec'!I8</f>
        <v>470</v>
      </c>
      <c r="M31" s="2209">
        <f>'18) Detail_BEM Sch 251 Elec'!J8</f>
        <v>500</v>
      </c>
      <c r="N31" s="4705">
        <f>'18) Detail_BEM Sch 251 Elec'!K8</f>
        <v>1000000</v>
      </c>
      <c r="O31" s="2209"/>
      <c r="P31" s="1428">
        <f>'18) Detail_BEM Sch 251 Elec'!L8</f>
        <v>1470370</v>
      </c>
      <c r="Q31" s="2102">
        <f>'18) Detail_BEM Sch 251 Elec'!M8</f>
        <v>3500000</v>
      </c>
    </row>
    <row r="32" spans="2:19">
      <c r="B32" s="19">
        <v>19</v>
      </c>
      <c r="C32" t="s">
        <v>746</v>
      </c>
      <c r="D32" s="3534" t="s">
        <v>754</v>
      </c>
      <c r="E32" s="2097">
        <v>18230723</v>
      </c>
      <c r="F32" s="4705">
        <f>'19) Detail_BEM Sch 253 Elec'!C8</f>
        <v>389800</v>
      </c>
      <c r="G32" s="2209">
        <f>'19) Detail_BEM Sch 253 Elec'!D8</f>
        <v>19400</v>
      </c>
      <c r="H32" s="2209">
        <f>'19) Detail_BEM Sch 253 Elec'!E8</f>
        <v>289300</v>
      </c>
      <c r="I32" s="2209">
        <f>'19) Detail_BEM Sch 253 Elec'!F8</f>
        <v>8750</v>
      </c>
      <c r="J32" s="2209">
        <f>'19) Detail_BEM Sch 253 Elec'!G8</f>
        <v>15500</v>
      </c>
      <c r="K32" s="2209">
        <f>'19) Detail_BEM Sch 253 Elec'!H8</f>
        <v>413600</v>
      </c>
      <c r="L32" s="2209">
        <f>'19) Detail_BEM Sch 253 Elec'!I8</f>
        <v>19350</v>
      </c>
      <c r="M32" s="2209">
        <f>'19) Detail_BEM Sch 253 Elec'!J8</f>
        <v>2000</v>
      </c>
      <c r="N32" s="4705">
        <f>'19) Detail_BEM Sch 253 Elec'!K8</f>
        <v>400000</v>
      </c>
      <c r="O32" s="2209"/>
      <c r="P32" s="1428">
        <f>'19) Detail_BEM Sch 253 Elec'!L8</f>
        <v>1557700</v>
      </c>
      <c r="Q32" s="2102">
        <f>'19) Detail_BEM Sch 253 Elec'!M8</f>
        <v>18750000</v>
      </c>
    </row>
    <row r="33" spans="2:19">
      <c r="B33" s="19">
        <v>20</v>
      </c>
      <c r="C33" t="s">
        <v>747</v>
      </c>
      <c r="D33" s="3534" t="s">
        <v>755</v>
      </c>
      <c r="E33" s="2097">
        <v>18230725</v>
      </c>
      <c r="F33" s="4705">
        <f>'20) Detail_BEM Sch 255 Elec'!C8</f>
        <v>645100</v>
      </c>
      <c r="G33" s="2209">
        <f>'20) Detail_BEM Sch 255 Elec'!D8</f>
        <v>19400</v>
      </c>
      <c r="H33" s="2209">
        <f>'20) Detail_BEM Sch 255 Elec'!E8</f>
        <v>469800</v>
      </c>
      <c r="I33" s="2209">
        <f>'20) Detail_BEM Sch 255 Elec'!F8</f>
        <v>12500</v>
      </c>
      <c r="J33" s="2209">
        <f>'20) Detail_BEM Sch 255 Elec'!G8</f>
        <v>10200</v>
      </c>
      <c r="K33" s="2209">
        <f>'20) Detail_BEM Sch 255 Elec'!H8</f>
        <v>68250</v>
      </c>
      <c r="L33" s="2209">
        <f>'20) Detail_BEM Sch 255 Elec'!I8</f>
        <v>3380</v>
      </c>
      <c r="M33" s="2209">
        <f>'20) Detail_BEM Sch 255 Elec'!J8</f>
        <v>500</v>
      </c>
      <c r="N33" s="2209">
        <f>'20) Detail_BEM Sch 255 Elec'!K8</f>
        <v>4411000</v>
      </c>
      <c r="O33" s="2209"/>
      <c r="P33" s="1428">
        <f>'20) Detail_BEM Sch 255 Elec'!L8</f>
        <v>5640130</v>
      </c>
      <c r="Q33" s="2102">
        <f>'20) Detail_BEM Sch 255 Elec'!M8</f>
        <v>16040000</v>
      </c>
    </row>
    <row r="34" spans="2:19" hidden="1">
      <c r="B34" s="19">
        <v>21</v>
      </c>
      <c r="C34" t="s">
        <v>748</v>
      </c>
      <c r="D34" s="3534" t="s">
        <v>756</v>
      </c>
      <c r="E34" s="1431"/>
      <c r="F34" s="2209">
        <f>'21) Detail_BEM Sch 257 Elec'!B7</f>
        <v>0</v>
      </c>
      <c r="G34" s="2209">
        <f>'21) Detail_BEM Sch 257 Elec'!C7</f>
        <v>0</v>
      </c>
      <c r="H34" s="2209">
        <f>'21) Detail_BEM Sch 257 Elec'!D7</f>
        <v>0</v>
      </c>
      <c r="I34" s="2209">
        <f>'21) Detail_BEM Sch 257 Elec'!E7</f>
        <v>0</v>
      </c>
      <c r="J34" s="2209">
        <f>'21) Detail_BEM Sch 257 Elec'!F7</f>
        <v>0</v>
      </c>
      <c r="K34" s="2209">
        <f>'21) Detail_BEM Sch 257 Elec'!G7</f>
        <v>0</v>
      </c>
      <c r="L34" s="2209">
        <f>'21) Detail_BEM Sch 257 Elec'!H7</f>
        <v>0</v>
      </c>
      <c r="M34" s="2209">
        <f>'21) Detail_BEM Sch 257 Elec'!I7</f>
        <v>0</v>
      </c>
      <c r="N34" s="2209">
        <f>'21) Detail_BEM Sch 257 Elec'!J7</f>
        <v>0</v>
      </c>
      <c r="O34" s="2209"/>
      <c r="P34" s="1428">
        <f>'21) Detail_BEM Sch 257 Elec'!K7</f>
        <v>0</v>
      </c>
      <c r="Q34" s="2102">
        <f>'21) Detail_BEM Sch 257 Elec'!L7</f>
        <v>0</v>
      </c>
    </row>
    <row r="35" spans="2:19">
      <c r="B35" s="19">
        <v>22</v>
      </c>
      <c r="C35" t="s">
        <v>749</v>
      </c>
      <c r="D35" s="3534" t="s">
        <v>757</v>
      </c>
      <c r="E35" s="2097">
        <v>18230729</v>
      </c>
      <c r="F35" s="4705">
        <f>'22) Detail_BEM Sch 258 Elec'!C8</f>
        <v>321350</v>
      </c>
      <c r="G35" s="2209">
        <f>'22) Detail_BEM Sch 258 Elec'!D8</f>
        <v>0</v>
      </c>
      <c r="H35" s="2209">
        <f>'22) Detail_BEM Sch 258 Elec'!E8</f>
        <v>227200</v>
      </c>
      <c r="I35" s="2209">
        <f>'22) Detail_BEM Sch 258 Elec'!F8</f>
        <v>0</v>
      </c>
      <c r="J35" s="2209">
        <f>'22) Detail_BEM Sch 258 Elec'!G8</f>
        <v>0</v>
      </c>
      <c r="K35" s="4705">
        <f>'22) Detail_BEM Sch 258 Elec'!H8</f>
        <v>0</v>
      </c>
      <c r="L35" s="2209">
        <f>'22) Detail_BEM Sch 258 Elec'!I8</f>
        <v>0</v>
      </c>
      <c r="M35" s="2209">
        <f>'22) Detail_BEM Sch 258 Elec'!J8</f>
        <v>0</v>
      </c>
      <c r="N35" s="4705">
        <f>'22) Detail_BEM Sch 258 Elec'!K8</f>
        <v>3640000</v>
      </c>
      <c r="O35" s="2209"/>
      <c r="P35" s="1428">
        <f>'22) Detail_BEM Sch 258 Elec'!L8</f>
        <v>4188550</v>
      </c>
      <c r="Q35" s="4912">
        <f>'22) Detail_BEM Sch 258 Elec'!M8</f>
        <v>13000000</v>
      </c>
    </row>
    <row r="36" spans="2:19">
      <c r="B36" s="19">
        <v>23</v>
      </c>
      <c r="C36" t="s">
        <v>750</v>
      </c>
      <c r="D36" s="3534" t="s">
        <v>758</v>
      </c>
      <c r="E36" s="2097">
        <v>18230448</v>
      </c>
      <c r="F36" s="2209">
        <f>'23) Detail_BEM Sch 261 Elec'!C8</f>
        <v>4500</v>
      </c>
      <c r="G36" s="2209">
        <f>'23) Detail_BEM Sch 261 Elec'!D8</f>
        <v>0</v>
      </c>
      <c r="H36" s="2209">
        <f>'23) Detail_BEM Sch 261 Elec'!E8</f>
        <v>3200</v>
      </c>
      <c r="I36" s="2209">
        <f>'23) Detail_BEM Sch 261 Elec'!F8</f>
        <v>0</v>
      </c>
      <c r="J36" s="2209">
        <f>'23) Detail_BEM Sch 261 Elec'!G8</f>
        <v>0</v>
      </c>
      <c r="K36" s="2209">
        <f>'23) Detail_BEM Sch 261 Elec'!H8</f>
        <v>0</v>
      </c>
      <c r="L36" s="2209">
        <f>'23) Detail_BEM Sch 261 Elec'!I8</f>
        <v>20000</v>
      </c>
      <c r="M36" s="2209">
        <f>'23) Detail_BEM Sch 261 Elec'!J8</f>
        <v>2900</v>
      </c>
      <c r="N36" s="2209">
        <f>'23) Detail_BEM Sch 261 Elec'!K8</f>
        <v>0</v>
      </c>
      <c r="O36" s="2209"/>
      <c r="P36" s="1428">
        <f>'23) Detail_BEM Sch 261 Elec'!L8</f>
        <v>30600</v>
      </c>
      <c r="Q36" s="2102">
        <f>'23) Detail_BEM Sch 261 Elec'!M8</f>
        <v>0</v>
      </c>
      <c r="S36" s="3532" t="s">
        <v>1328</v>
      </c>
    </row>
    <row r="37" spans="2:19">
      <c r="B37" s="19">
        <v>24</v>
      </c>
      <c r="C37" t="s">
        <v>751</v>
      </c>
      <c r="D37" s="3534" t="s">
        <v>759</v>
      </c>
      <c r="E37" s="2097">
        <v>18230449</v>
      </c>
      <c r="F37" s="4705">
        <f>'24) Detail_BEM Sch 262 Elec'!C8</f>
        <v>507200</v>
      </c>
      <c r="G37" s="2209">
        <f>'24) Detail_BEM Sch 262 Elec'!D8</f>
        <v>40100</v>
      </c>
      <c r="H37" s="2209">
        <f>'24) Detail_BEM Sch 262 Elec'!E8</f>
        <v>386900</v>
      </c>
      <c r="I37" s="2209">
        <f>'24) Detail_BEM Sch 262 Elec'!F8</f>
        <v>54000</v>
      </c>
      <c r="J37" s="2209">
        <f>'24) Detail_BEM Sch 262 Elec'!G8</f>
        <v>11400</v>
      </c>
      <c r="K37" s="2209">
        <f>'24) Detail_BEM Sch 262 Elec'!H8</f>
        <v>511800</v>
      </c>
      <c r="L37" s="2209">
        <f>'24) Detail_BEM Sch 262 Elec'!I8</f>
        <v>8680</v>
      </c>
      <c r="M37" s="2209">
        <f>'24) Detail_BEM Sch 262 Elec'!J8</f>
        <v>1500</v>
      </c>
      <c r="N37" s="4705">
        <f>'24) Detail_BEM Sch 262 Elec'!K8</f>
        <v>5126540</v>
      </c>
      <c r="O37" s="2209"/>
      <c r="P37" s="1428">
        <f>'24) Detail_BEM Sch 262 Elec'!L8</f>
        <v>6648120</v>
      </c>
      <c r="Q37" s="4912">
        <f>'24) Detail_BEM Sch 262 Elec'!M8</f>
        <v>34311500</v>
      </c>
    </row>
    <row r="38" spans="2:19" s="2105" customFormat="1">
      <c r="B38" s="2104"/>
      <c r="D38" s="772" t="s">
        <v>764</v>
      </c>
      <c r="E38" s="2207"/>
      <c r="F38" s="2107">
        <f t="shared" ref="F38:O38" si="2">SUM(F30:F37)</f>
        <v>3588700</v>
      </c>
      <c r="G38" s="2107">
        <f t="shared" si="2"/>
        <v>131100</v>
      </c>
      <c r="H38" s="2107">
        <f t="shared" si="2"/>
        <v>2629800</v>
      </c>
      <c r="I38" s="2107">
        <f t="shared" si="2"/>
        <v>106750</v>
      </c>
      <c r="J38" s="2107">
        <f t="shared" si="2"/>
        <v>102900</v>
      </c>
      <c r="K38" s="2107">
        <f t="shared" si="2"/>
        <v>3608600</v>
      </c>
      <c r="L38" s="2107">
        <f t="shared" si="2"/>
        <v>62530</v>
      </c>
      <c r="M38" s="2107">
        <f t="shared" si="2"/>
        <v>9800</v>
      </c>
      <c r="N38" s="2107">
        <f t="shared" si="2"/>
        <v>28281055</v>
      </c>
      <c r="O38" s="2107">
        <f t="shared" si="2"/>
        <v>0</v>
      </c>
      <c r="P38" s="2107">
        <f>SUM(P30:P37)</f>
        <v>38521235</v>
      </c>
      <c r="Q38" s="2108">
        <f>SUM(Q30:Q37)</f>
        <v>156976500</v>
      </c>
    </row>
    <row r="39" spans="2:19" s="4724" customFormat="1">
      <c r="B39" s="4723"/>
      <c r="D39" s="4695" t="s">
        <v>1332</v>
      </c>
      <c r="E39" s="4697"/>
      <c r="F39" s="4703">
        <v>3349300</v>
      </c>
      <c r="G39" s="4703">
        <v>131100</v>
      </c>
      <c r="H39" s="4703">
        <v>2192700</v>
      </c>
      <c r="I39" s="4703">
        <v>106750</v>
      </c>
      <c r="J39" s="4703">
        <v>102900</v>
      </c>
      <c r="K39" s="4703">
        <v>3608600</v>
      </c>
      <c r="L39" s="4703">
        <v>62530</v>
      </c>
      <c r="M39" s="4703">
        <v>9800</v>
      </c>
      <c r="N39" s="4703">
        <v>29076300</v>
      </c>
      <c r="O39" s="4703">
        <v>0</v>
      </c>
      <c r="P39" s="4703">
        <v>38639980</v>
      </c>
      <c r="Q39" s="4701">
        <v>151036000</v>
      </c>
    </row>
    <row r="40" spans="2:19" s="4724" customFormat="1">
      <c r="B40" s="4723"/>
      <c r="D40" s="4702" t="s">
        <v>1333</v>
      </c>
      <c r="E40" s="4704"/>
      <c r="F40" s="4699">
        <f>F38-F39</f>
        <v>239400</v>
      </c>
      <c r="G40" s="4699">
        <f t="shared" ref="G40:Q40" si="3">G38-G39</f>
        <v>0</v>
      </c>
      <c r="H40" s="4699">
        <f t="shared" si="3"/>
        <v>437100</v>
      </c>
      <c r="I40" s="4699">
        <f t="shared" si="3"/>
        <v>0</v>
      </c>
      <c r="J40" s="4699">
        <f t="shared" si="3"/>
        <v>0</v>
      </c>
      <c r="K40" s="4699">
        <f t="shared" si="3"/>
        <v>0</v>
      </c>
      <c r="L40" s="4699">
        <f t="shared" si="3"/>
        <v>0</v>
      </c>
      <c r="M40" s="4699">
        <f t="shared" si="3"/>
        <v>0</v>
      </c>
      <c r="N40" s="4699">
        <f t="shared" si="3"/>
        <v>-795245</v>
      </c>
      <c r="O40" s="4699">
        <f t="shared" si="3"/>
        <v>0</v>
      </c>
      <c r="P40" s="4699">
        <f t="shared" si="3"/>
        <v>-118745</v>
      </c>
      <c r="Q40" s="4726">
        <f t="shared" si="3"/>
        <v>5940500</v>
      </c>
    </row>
    <row r="41" spans="2:19">
      <c r="E41" s="2203"/>
      <c r="F41" s="2209"/>
      <c r="G41" s="2209"/>
      <c r="H41" s="2209"/>
      <c r="I41" s="2209"/>
      <c r="J41" s="2209"/>
      <c r="K41" s="2209"/>
      <c r="L41" s="2209"/>
      <c r="M41" s="2209"/>
      <c r="N41" s="2209"/>
      <c r="O41" s="2209"/>
      <c r="P41" s="2209"/>
    </row>
    <row r="42" spans="2:19">
      <c r="C42" t="s">
        <v>766</v>
      </c>
      <c r="E42" s="2203"/>
      <c r="F42" s="2209"/>
      <c r="G42" s="2209"/>
      <c r="H42" s="2209"/>
      <c r="I42" s="2209"/>
      <c r="J42" s="2209"/>
      <c r="K42" s="2209"/>
      <c r="L42" s="2209"/>
      <c r="M42" s="2209"/>
      <c r="N42" s="2209"/>
      <c r="O42" s="2209"/>
      <c r="P42" s="2209"/>
    </row>
    <row r="43" spans="2:19">
      <c r="B43" s="19">
        <v>30</v>
      </c>
      <c r="C43" t="s">
        <v>769</v>
      </c>
      <c r="D43" t="s">
        <v>767</v>
      </c>
      <c r="E43" s="2409">
        <v>18230421</v>
      </c>
      <c r="F43" s="2209">
        <f>'30) Detail_NEEA elec'!E11</f>
        <v>0</v>
      </c>
      <c r="G43" s="2209">
        <f>'30) Detail_NEEA elec'!F11</f>
        <v>0</v>
      </c>
      <c r="H43" s="2209">
        <f>'30) Detail_NEEA elec'!G11</f>
        <v>0</v>
      </c>
      <c r="I43" s="2209">
        <f>'30) Detail_NEEA elec'!H11</f>
        <v>0</v>
      </c>
      <c r="J43" s="2209">
        <f>'30) Detail_NEEA elec'!I11</f>
        <v>0</v>
      </c>
      <c r="K43" s="2209">
        <f>'30) Detail_NEEA elec'!J11</f>
        <v>1578192</v>
      </c>
      <c r="L43" s="2209">
        <f>'30) Detail_NEEA elec'!K11</f>
        <v>0</v>
      </c>
      <c r="M43" s="2209">
        <f>'30) Detail_NEEA elec'!L11</f>
        <v>0</v>
      </c>
      <c r="N43" s="2209">
        <f>'30) Detail_NEEA elec'!M11</f>
        <v>3682448</v>
      </c>
      <c r="P43" s="2209">
        <f>'30) Detail_NEEA elec'!N11</f>
        <v>5260640</v>
      </c>
      <c r="Q43" s="2102">
        <f>'30) Detail_NEEA elec'!O11</f>
        <v>19414500</v>
      </c>
    </row>
    <row r="44" spans="2:19">
      <c r="B44" s="19">
        <v>31</v>
      </c>
      <c r="C44" s="3532" t="s">
        <v>1162</v>
      </c>
      <c r="D44" t="s">
        <v>768</v>
      </c>
      <c r="E44" s="2409">
        <v>18230713</v>
      </c>
      <c r="F44" s="4170">
        <f>'31) Detail_T&amp;D elec'!C9</f>
        <v>191100</v>
      </c>
      <c r="G44" s="4170">
        <f>'31) Detail_T&amp;D elec'!D9</f>
        <v>0</v>
      </c>
      <c r="H44" s="4170">
        <f>'31) Detail_T&amp;D elec'!E9</f>
        <v>120400</v>
      </c>
      <c r="I44" s="4170">
        <f>'31) Detail_T&amp;D elec'!F9</f>
        <v>0</v>
      </c>
      <c r="J44" s="4170">
        <f>'31) Detail_T&amp;D elec'!G9</f>
        <v>0</v>
      </c>
      <c r="K44" s="4170">
        <f>'31) Detail_T&amp;D elec'!H9</f>
        <v>0</v>
      </c>
      <c r="L44" s="4170">
        <f>'31) Detail_T&amp;D elec'!I9</f>
        <v>0</v>
      </c>
      <c r="M44" s="4170">
        <f>'31) Detail_T&amp;D elec'!J9</f>
        <v>0</v>
      </c>
      <c r="N44" s="4170">
        <f>'31) Detail_T&amp;D elec'!K9</f>
        <v>0</v>
      </c>
      <c r="O44" s="4170"/>
      <c r="P44" s="4170">
        <f>'31) Detail_T&amp;D elec'!L9</f>
        <v>311500</v>
      </c>
      <c r="Q44" s="2102">
        <f>'31) Detail_T&amp;D elec'!M7</f>
        <v>8078500</v>
      </c>
    </row>
    <row r="45" spans="2:19">
      <c r="D45" s="772" t="s">
        <v>770</v>
      </c>
      <c r="E45" s="2203"/>
      <c r="F45" s="2107">
        <f>F43</f>
        <v>0</v>
      </c>
      <c r="G45" s="2107">
        <f t="shared" ref="G45:P45" si="4">G43</f>
        <v>0</v>
      </c>
      <c r="H45" s="2107">
        <f t="shared" si="4"/>
        <v>0</v>
      </c>
      <c r="I45" s="2107">
        <f t="shared" si="4"/>
        <v>0</v>
      </c>
      <c r="J45" s="2107">
        <f t="shared" si="4"/>
        <v>0</v>
      </c>
      <c r="K45" s="2107">
        <f t="shared" si="4"/>
        <v>1578192</v>
      </c>
      <c r="L45" s="2107">
        <f t="shared" si="4"/>
        <v>0</v>
      </c>
      <c r="M45" s="2107">
        <f t="shared" si="4"/>
        <v>0</v>
      </c>
      <c r="N45" s="2107">
        <f t="shared" si="4"/>
        <v>3682448</v>
      </c>
      <c r="O45" s="2107">
        <f t="shared" si="4"/>
        <v>0</v>
      </c>
      <c r="P45" s="2107">
        <f t="shared" si="4"/>
        <v>5260640</v>
      </c>
      <c r="Q45" s="2108">
        <f>SUM(Q43:Q44)</f>
        <v>27493000</v>
      </c>
    </row>
    <row r="46" spans="2:19">
      <c r="E46" s="2203"/>
      <c r="F46" s="2209"/>
      <c r="G46" s="2209"/>
      <c r="H46" s="2209"/>
      <c r="I46" s="2209"/>
      <c r="J46" s="2209"/>
      <c r="K46" s="2209"/>
      <c r="L46" s="2209"/>
      <c r="M46" s="2209"/>
      <c r="N46" s="2209"/>
      <c r="O46" s="2209"/>
      <c r="P46" s="2209"/>
    </row>
    <row r="47" spans="2:19">
      <c r="C47" t="s">
        <v>771</v>
      </c>
      <c r="E47" s="2203"/>
      <c r="F47" s="2209"/>
      <c r="G47" s="2209"/>
      <c r="H47" s="2209"/>
      <c r="I47" s="2209"/>
      <c r="J47" s="2209"/>
      <c r="K47" s="2209"/>
      <c r="L47" s="2209"/>
      <c r="M47" s="2209"/>
      <c r="N47" s="2209"/>
      <c r="O47" s="2209"/>
      <c r="P47" s="2209"/>
    </row>
    <row r="48" spans="2:19">
      <c r="B48" s="19">
        <v>32</v>
      </c>
      <c r="C48" s="3064" t="s">
        <v>1070</v>
      </c>
      <c r="D48" t="s">
        <v>772</v>
      </c>
      <c r="E48" s="1432"/>
      <c r="F48" s="2209"/>
      <c r="G48" s="2209"/>
      <c r="H48" s="2209"/>
      <c r="I48" s="2209"/>
      <c r="J48" s="2209"/>
      <c r="K48" s="2209"/>
      <c r="L48" s="2209"/>
      <c r="M48" s="2209"/>
      <c r="N48" s="2209"/>
      <c r="O48" s="2209"/>
      <c r="P48" s="2209"/>
    </row>
    <row r="49" spans="2:17">
      <c r="B49" s="19" t="s">
        <v>833</v>
      </c>
      <c r="D49" t="s">
        <v>773</v>
      </c>
      <c r="E49" s="3638">
        <v>18230610</v>
      </c>
      <c r="F49" s="2209">
        <f>'32a) Detail_PSCE_EAs Elec'!G7</f>
        <v>602139.72</v>
      </c>
      <c r="G49" s="2209">
        <f>'32a) Detail_PSCE_EAs Elec'!H7</f>
        <v>0</v>
      </c>
      <c r="H49" s="2209">
        <f>'32a) Detail_PSCE_EAs Elec'!I7</f>
        <v>425712.78203999996</v>
      </c>
      <c r="I49" s="2209">
        <f>'32a) Detail_PSCE_EAs Elec'!J7</f>
        <v>0</v>
      </c>
      <c r="J49" s="2209">
        <f>'32a) Detail_PSCE_EAs Elec'!K7</f>
        <v>29145.7</v>
      </c>
      <c r="K49" s="2209">
        <f>'32a) Detail_PSCE_EAs Elec'!L7</f>
        <v>21054</v>
      </c>
      <c r="L49" s="2209">
        <f>'32a) Detail_PSCE_EAs Elec'!M7</f>
        <v>5220</v>
      </c>
      <c r="M49" s="2209">
        <f>'32a) Detail_PSCE_EAs Elec'!N7</f>
        <v>0</v>
      </c>
      <c r="N49" s="2209">
        <f>'32a) Detail_PSCE_EAs Elec'!O7</f>
        <v>0</v>
      </c>
      <c r="O49" s="2209">
        <f>'32a) Detail_PSCE_EAs Elec'!P7</f>
        <v>0</v>
      </c>
      <c r="P49" s="2209">
        <f>'32a) Detail_PSCE_EAs Elec'!Q7</f>
        <v>1083272.2020399999</v>
      </c>
      <c r="Q49" s="2209"/>
    </row>
    <row r="50" spans="2:17">
      <c r="B50" s="19" t="s">
        <v>834</v>
      </c>
      <c r="D50" t="s">
        <v>774</v>
      </c>
      <c r="E50" s="3638">
        <v>18230487</v>
      </c>
      <c r="F50" s="4705">
        <f>'32b) Detail_PSCE_Events Elec'!G7</f>
        <v>82000</v>
      </c>
      <c r="G50" s="4741">
        <f>'32b) Detail_PSCE_Events Elec'!H7</f>
        <v>0</v>
      </c>
      <c r="H50" s="4741">
        <f>'32b) Detail_PSCE_Events Elec'!I7</f>
        <v>57974</v>
      </c>
      <c r="I50" s="4705">
        <f>'32b) Detail_PSCE_Events Elec'!J7</f>
        <v>22648.799999999999</v>
      </c>
      <c r="J50" s="4741">
        <f>'32b) Detail_PSCE_Events Elec'!K7</f>
        <v>2445.58</v>
      </c>
      <c r="K50" s="4705">
        <f>'32b) Detail_PSCE_Events Elec'!L7</f>
        <v>128525.4</v>
      </c>
      <c r="L50" s="4705">
        <f>'32b) Detail_PSCE_Events Elec'!M7</f>
        <v>0</v>
      </c>
      <c r="M50" s="4741">
        <f>'32b) Detail_PSCE_Events Elec'!N7</f>
        <v>3825</v>
      </c>
      <c r="N50" s="4741">
        <f>'32b) Detail_PSCE_Events Elec'!O7</f>
        <v>0</v>
      </c>
      <c r="O50" s="4741">
        <f>'32b) Detail_PSCE_Events Elec'!P7</f>
        <v>0</v>
      </c>
      <c r="P50" s="4741">
        <f>'32b) Detail_PSCE_Events Elec'!Q7</f>
        <v>297418.77999999997</v>
      </c>
      <c r="Q50" s="4741"/>
    </row>
    <row r="51" spans="2:17">
      <c r="B51" s="19" t="s">
        <v>835</v>
      </c>
      <c r="D51" t="s">
        <v>775</v>
      </c>
      <c r="E51" s="3638">
        <v>18230482</v>
      </c>
      <c r="F51" s="2209">
        <f>'32c) Detail_PSCE_Broch Elec'!G7</f>
        <v>0</v>
      </c>
      <c r="G51" s="2209">
        <f>'32c) Detail_PSCE_Broch Elec'!H7</f>
        <v>0</v>
      </c>
      <c r="H51" s="2209">
        <f>'32c) Detail_PSCE_Broch Elec'!I7</f>
        <v>0</v>
      </c>
      <c r="I51" s="2209">
        <f>'32c) Detail_PSCE_Broch Elec'!J7</f>
        <v>27280</v>
      </c>
      <c r="J51" s="2209">
        <f>'32c) Detail_PSCE_Broch Elec'!K7</f>
        <v>0</v>
      </c>
      <c r="K51" s="2209">
        <f>'32c) Detail_PSCE_Broch Elec'!L7</f>
        <v>2175</v>
      </c>
      <c r="L51" s="2209">
        <f>'32c) Detail_PSCE_Broch Elec'!M7</f>
        <v>24795</v>
      </c>
      <c r="M51" s="2209">
        <f>'32c) Detail_PSCE_Broch Elec'!N7</f>
        <v>0</v>
      </c>
      <c r="N51" s="2209">
        <f>'32c) Detail_PSCE_Broch Elec'!O7</f>
        <v>0</v>
      </c>
      <c r="O51" s="2209">
        <f>'32c) Detail_PSCE_Broch Elec'!P7</f>
        <v>0</v>
      </c>
      <c r="P51" s="2209">
        <f>'32c) Detail_PSCE_Broch Elec'!Q7</f>
        <v>54250</v>
      </c>
    </row>
    <row r="52" spans="2:17">
      <c r="B52" s="19" t="s">
        <v>836</v>
      </c>
      <c r="D52" t="s">
        <v>776</v>
      </c>
      <c r="E52" s="3638">
        <v>18230621</v>
      </c>
      <c r="F52" s="4705">
        <f>'32d) Detail_PSCE_Edu Elec'!G7</f>
        <v>20785.599999999999</v>
      </c>
      <c r="G52" s="2209">
        <f>'32d) Detail_PSCE_Edu Elec'!H7</f>
        <v>0</v>
      </c>
      <c r="H52" s="2209">
        <f>'32d) Detail_PSCE_Edu Elec'!I7</f>
        <v>14165.6592</v>
      </c>
      <c r="I52" s="2209">
        <f>'32d) Detail_PSCE_Edu Elec'!J7</f>
        <v>0</v>
      </c>
      <c r="J52" s="2209">
        <f>'32d) Detail_PSCE_Edu Elec'!K7</f>
        <v>840</v>
      </c>
      <c r="K52" s="2209">
        <f>'32d) Detail_PSCE_Edu Elec'!L7</f>
        <v>30650</v>
      </c>
      <c r="L52" s="4705">
        <f>'32d) Detail_PSCE_Edu Elec'!M7</f>
        <v>17800</v>
      </c>
      <c r="M52" s="2209">
        <f>'32d) Detail_PSCE_Edu Elec'!N7</f>
        <v>0</v>
      </c>
      <c r="N52" s="2209">
        <f>'32d) Detail_PSCE_Edu Elec'!O7</f>
        <v>0</v>
      </c>
      <c r="O52" s="2209">
        <f>'32d) Detail_PSCE_Edu Elec'!P7</f>
        <v>0</v>
      </c>
      <c r="P52" s="2209">
        <f>'32d) Detail_PSCE_Edu Elec'!Q7</f>
        <v>84241.2592</v>
      </c>
    </row>
    <row r="53" spans="2:17">
      <c r="B53" s="19">
        <v>33</v>
      </c>
      <c r="C53" s="3064" t="s">
        <v>1070</v>
      </c>
      <c r="D53" s="3532" t="s">
        <v>777</v>
      </c>
      <c r="E53" s="1431"/>
      <c r="F53" s="2209"/>
      <c r="G53" s="2209"/>
      <c r="H53" s="2209"/>
      <c r="I53" s="2209"/>
      <c r="J53" s="2209"/>
      <c r="K53" s="2209"/>
      <c r="L53" s="2209"/>
      <c r="M53" s="2209"/>
      <c r="N53" s="2209"/>
      <c r="O53" s="2209"/>
      <c r="P53" s="2209"/>
    </row>
    <row r="54" spans="2:17">
      <c r="B54" s="19" t="s">
        <v>837</v>
      </c>
      <c r="D54" s="3532" t="s">
        <v>1164</v>
      </c>
      <c r="E54" s="3638">
        <v>18230408</v>
      </c>
      <c r="F54" s="2209">
        <f>'33a) Detail_PSWE_On Exp Elec'!E11</f>
        <v>0</v>
      </c>
      <c r="G54" s="2209">
        <f>'33a) Detail_PSWE_On Exp Elec'!F11</f>
        <v>0</v>
      </c>
      <c r="H54" s="2209">
        <f>'33a) Detail_PSWE_On Exp Elec'!G11</f>
        <v>0</v>
      </c>
      <c r="I54" s="2209">
        <f>'33a) Detail_PSWE_On Exp Elec'!H11</f>
        <v>0</v>
      </c>
      <c r="J54" s="2209">
        <f>'33a) Detail_PSWE_On Exp Elec'!I11</f>
        <v>0</v>
      </c>
      <c r="K54" s="2209">
        <f>'33a) Detail_PSWE_On Exp Elec'!J11</f>
        <v>632470</v>
      </c>
      <c r="L54" s="2209">
        <f>'33a) Detail_PSWE_On Exp Elec'!K11</f>
        <v>0</v>
      </c>
      <c r="M54" s="2209">
        <f>'33a) Detail_PSWE_On Exp Elec'!L11</f>
        <v>0</v>
      </c>
      <c r="N54" s="2209">
        <f>'33a) Detail_PSWE_On Exp Elec'!M11</f>
        <v>0</v>
      </c>
      <c r="O54" s="2209"/>
      <c r="P54" s="2209">
        <f>'33a) Detail_PSWE_On Exp Elec'!N11</f>
        <v>632470</v>
      </c>
    </row>
    <row r="55" spans="2:17">
      <c r="B55" s="19" t="s">
        <v>838</v>
      </c>
      <c r="D55" t="s">
        <v>778</v>
      </c>
      <c r="E55" s="2097">
        <v>18230466</v>
      </c>
      <c r="F55" s="2209">
        <f>'33b) Detail_PSWE_Mkt Int Elec'!E11</f>
        <v>161298</v>
      </c>
      <c r="G55" s="2209">
        <f>'33b) Detail_PSWE_Mkt Int Elec'!F11</f>
        <v>0</v>
      </c>
      <c r="H55" s="2209">
        <f>'33b) Detail_PSWE_Mkt Int Elec'!G11</f>
        <v>114037.68599999999</v>
      </c>
      <c r="I55" s="2209">
        <f>'33b) Detail_PSWE_Mkt Int Elec'!H11</f>
        <v>0</v>
      </c>
      <c r="J55" s="2209">
        <f>'33b) Detail_PSWE_Mkt Int Elec'!I11</f>
        <v>17400</v>
      </c>
      <c r="K55" s="2209">
        <f>'33b) Detail_PSWE_Mkt Int Elec'!J11</f>
        <v>73950</v>
      </c>
      <c r="L55" s="2209">
        <f>'33b) Detail_PSWE_Mkt Int Elec'!K11</f>
        <v>0</v>
      </c>
      <c r="M55" s="2209">
        <f>'33b) Detail_PSWE_Mkt Int Elec'!L11</f>
        <v>0</v>
      </c>
      <c r="N55" s="2209">
        <f>'33b) Detail_PSWE_Mkt Int Elec'!M11</f>
        <v>0</v>
      </c>
      <c r="O55" s="2209"/>
      <c r="P55" s="2209">
        <f>'33b) Detail_PSWE_Mkt Int Elec'!N11</f>
        <v>366685.68599999999</v>
      </c>
    </row>
    <row r="56" spans="2:17">
      <c r="B56" s="19">
        <v>34</v>
      </c>
      <c r="D56" t="s">
        <v>76</v>
      </c>
      <c r="E56" s="2097">
        <v>18230811</v>
      </c>
      <c r="F56" s="4705">
        <f>'34) Detail_PS_EE Comm Elec'!E11</f>
        <v>197877</v>
      </c>
      <c r="G56" s="2209">
        <f>'34) Detail_PS_EE Comm Elec'!F11</f>
        <v>0</v>
      </c>
      <c r="H56" s="2209">
        <f>'34) Detail_PS_EE Comm Elec'!G11</f>
        <v>139899.03899999999</v>
      </c>
      <c r="I56" s="2209">
        <f>'34) Detail_PS_EE Comm Elec'!H11</f>
        <v>0</v>
      </c>
      <c r="J56" s="4705">
        <f>'34) Detail_PS_EE Comm Elec'!I11</f>
        <v>34800</v>
      </c>
      <c r="K56" s="4705">
        <f>'34) Detail_PS_EE Comm Elec'!J11</f>
        <v>5699</v>
      </c>
      <c r="L56" s="4705">
        <f>'34) Detail_PS_EE Comm Elec'!K11</f>
        <v>2610</v>
      </c>
      <c r="M56" s="2209">
        <f>'34) Detail_PS_EE Comm Elec'!L11</f>
        <v>0</v>
      </c>
      <c r="N56" s="2209">
        <f>'34) Detail_PS_EE Comm Elec'!M11</f>
        <v>0</v>
      </c>
      <c r="O56" s="2209"/>
      <c r="P56" s="2209">
        <f>'34) Detail_PS_EE Comm Elec'!N11</f>
        <v>380885.03899999999</v>
      </c>
    </row>
    <row r="57" spans="2:17">
      <c r="B57" s="19">
        <v>35</v>
      </c>
      <c r="D57" s="53" t="s">
        <v>779</v>
      </c>
      <c r="E57" s="2097">
        <v>18230730</v>
      </c>
      <c r="F57" s="2209">
        <f>'35) Detail_PS_ Trade Ally Elec'!E11</f>
        <v>0</v>
      </c>
      <c r="G57" s="2209">
        <f>'35) Detail_PS_ Trade Ally Elec'!F11</f>
        <v>0</v>
      </c>
      <c r="H57" s="2209">
        <f>'35) Detail_PS_ Trade Ally Elec'!G11</f>
        <v>0</v>
      </c>
      <c r="I57" s="2209">
        <f>'35) Detail_PS_ Trade Ally Elec'!H11</f>
        <v>0</v>
      </c>
      <c r="J57" s="2209">
        <f>'35) Detail_PS_ Trade Ally Elec'!I11</f>
        <v>0</v>
      </c>
      <c r="K57" s="2209">
        <f>'35) Detail_PS_ Trade Ally Elec'!J11</f>
        <v>0</v>
      </c>
      <c r="L57" s="2209">
        <f>'35) Detail_PS_ Trade Ally Elec'!K11</f>
        <v>0</v>
      </c>
      <c r="M57" s="4705">
        <f>'35) Detail_PS_ Trade Ally Elec'!L11</f>
        <v>62300</v>
      </c>
      <c r="N57" s="2209">
        <f>'35) Detail_PS_ Trade Ally Elec'!M11</f>
        <v>0</v>
      </c>
      <c r="P57" s="2209">
        <f>'35) Detail_PS_ Trade Ally Elec'!N11</f>
        <v>62300</v>
      </c>
    </row>
    <row r="58" spans="2:17">
      <c r="B58" s="19">
        <v>36</v>
      </c>
      <c r="D58" t="s">
        <v>100</v>
      </c>
      <c r="E58" s="2097">
        <v>18230437</v>
      </c>
      <c r="F58" s="4705">
        <f>'36) Detail_PS_Mktg Resch Elec'!E11</f>
        <v>182287</v>
      </c>
      <c r="G58" s="2209">
        <f>'36) Detail_PS_Mktg Resch Elec'!F11</f>
        <v>0</v>
      </c>
      <c r="H58" s="2209">
        <f>'36) Detail_PS_Mktg Resch Elec'!G11</f>
        <v>128876.909</v>
      </c>
      <c r="I58" s="2209">
        <f>'36) Detail_PS_Mktg Resch Elec'!H11</f>
        <v>0</v>
      </c>
      <c r="J58" s="2209">
        <f>'36) Detail_PS_Mktg Resch Elec'!I11</f>
        <v>3275</v>
      </c>
      <c r="K58" s="2209">
        <f>'36) Detail_PS_Mktg Resch Elec'!J11</f>
        <v>291450</v>
      </c>
      <c r="L58" s="2209">
        <f>'36) Detail_PS_Mktg Resch Elec'!K11</f>
        <v>1350</v>
      </c>
      <c r="M58" s="2209">
        <f>'36) Detail_PS_Mktg Resch Elec'!L11</f>
        <v>1000</v>
      </c>
      <c r="N58" s="2209">
        <f>'36) Detail_PS_Mktg Resch Elec'!M11</f>
        <v>0</v>
      </c>
      <c r="O58" s="2209"/>
      <c r="P58" s="2209">
        <f>'36) Detail_PS_Mktg Resch Elec'!N11</f>
        <v>608238.90899999999</v>
      </c>
    </row>
    <row r="59" spans="2:17" s="2105" customFormat="1">
      <c r="B59" s="2104"/>
      <c r="D59" s="772" t="s">
        <v>780</v>
      </c>
      <c r="E59" s="4700"/>
      <c r="F59" s="2107">
        <f>SUM(F49:F58)</f>
        <v>1246387.3199999998</v>
      </c>
      <c r="G59" s="2107">
        <f t="shared" ref="G59:P59" si="5">SUM(G49:G58)</f>
        <v>0</v>
      </c>
      <c r="H59" s="2107">
        <f t="shared" si="5"/>
        <v>880666.07523999992</v>
      </c>
      <c r="I59" s="2107">
        <f t="shared" si="5"/>
        <v>49928.800000000003</v>
      </c>
      <c r="J59" s="2107">
        <f t="shared" si="5"/>
        <v>87906.28</v>
      </c>
      <c r="K59" s="2107">
        <f t="shared" si="5"/>
        <v>1185973.3999999999</v>
      </c>
      <c r="L59" s="2107">
        <f t="shared" si="5"/>
        <v>51775</v>
      </c>
      <c r="M59" s="2107">
        <f t="shared" si="5"/>
        <v>67125</v>
      </c>
      <c r="N59" s="2107">
        <f t="shared" si="5"/>
        <v>0</v>
      </c>
      <c r="O59" s="2107">
        <f t="shared" si="5"/>
        <v>0</v>
      </c>
      <c r="P59" s="2107">
        <f t="shared" si="5"/>
        <v>3569761.87524</v>
      </c>
      <c r="Q59" s="2108"/>
    </row>
    <row r="60" spans="2:17" s="4729" customFormat="1">
      <c r="B60" s="4728"/>
      <c r="D60" s="4695" t="s">
        <v>1332</v>
      </c>
      <c r="E60" s="4725"/>
      <c r="F60" s="4703">
        <v>1361151.2799999998</v>
      </c>
      <c r="G60" s="4703">
        <v>0</v>
      </c>
      <c r="H60" s="4703">
        <v>966224.2211999998</v>
      </c>
      <c r="I60" s="4703">
        <v>49929.599999999999</v>
      </c>
      <c r="J60" s="4703">
        <v>64251.86</v>
      </c>
      <c r="K60" s="4703">
        <v>1325141.8</v>
      </c>
      <c r="L60" s="4703">
        <v>47919</v>
      </c>
      <c r="M60" s="4703">
        <v>55040</v>
      </c>
      <c r="N60" s="4703">
        <v>0</v>
      </c>
      <c r="O60" s="4703">
        <v>0</v>
      </c>
      <c r="P60" s="4687">
        <v>4049799.7211999996</v>
      </c>
      <c r="Q60" s="4727"/>
    </row>
    <row r="61" spans="2:17" s="4729" customFormat="1">
      <c r="B61" s="4728"/>
      <c r="D61" s="4707" t="s">
        <v>1333</v>
      </c>
      <c r="E61" s="4690"/>
      <c r="F61" s="4708">
        <f>F59-F60</f>
        <v>-114763.95999999996</v>
      </c>
      <c r="G61" s="4708">
        <f t="shared" ref="G61" si="6">G59-G60</f>
        <v>0</v>
      </c>
      <c r="H61" s="4708">
        <f t="shared" ref="H61" si="7">H59-H60</f>
        <v>-85558.145959999878</v>
      </c>
      <c r="I61" s="4708">
        <f t="shared" ref="I61" si="8">I59-I60</f>
        <v>-0.79999999999563443</v>
      </c>
      <c r="J61" s="4708">
        <f t="shared" ref="J61" si="9">J59-J60</f>
        <v>23654.42</v>
      </c>
      <c r="K61" s="4708">
        <f t="shared" ref="K61" si="10">K59-K60</f>
        <v>-139168.40000000014</v>
      </c>
      <c r="L61" s="4708">
        <f t="shared" ref="L61" si="11">L59-L60</f>
        <v>3856</v>
      </c>
      <c r="M61" s="4708">
        <f t="shared" ref="M61" si="12">M59-M60</f>
        <v>12085</v>
      </c>
      <c r="N61" s="4708">
        <f t="shared" ref="N61" si="13">N59-N60</f>
        <v>0</v>
      </c>
      <c r="O61" s="4708">
        <f t="shared" ref="O61" si="14">O59-O60</f>
        <v>0</v>
      </c>
      <c r="P61" s="4693">
        <f t="shared" ref="P61" si="15">P59-P60</f>
        <v>-480037.8459599996</v>
      </c>
      <c r="Q61" s="4692"/>
    </row>
    <row r="62" spans="2:17">
      <c r="E62" s="4691"/>
      <c r="F62" s="2209"/>
      <c r="G62" s="2209"/>
      <c r="H62" s="2209"/>
      <c r="I62" s="2209"/>
      <c r="J62" s="2209"/>
      <c r="K62" s="2209"/>
      <c r="L62" s="2209"/>
      <c r="M62" s="2209"/>
      <c r="N62" s="2209"/>
      <c r="O62" s="2209"/>
      <c r="P62" s="2209"/>
    </row>
    <row r="63" spans="2:17">
      <c r="C63" t="s">
        <v>781</v>
      </c>
      <c r="E63" s="2097"/>
      <c r="F63" s="2209"/>
      <c r="G63" s="2209"/>
      <c r="H63" s="2209"/>
      <c r="I63" s="2209"/>
      <c r="J63" s="2209"/>
      <c r="K63" s="2209"/>
      <c r="L63" s="2209"/>
      <c r="M63" s="2209"/>
      <c r="N63" s="2209"/>
      <c r="O63" s="2209"/>
      <c r="P63" s="2209"/>
    </row>
    <row r="64" spans="2:17">
      <c r="B64" s="19">
        <v>42</v>
      </c>
      <c r="D64" t="s">
        <v>78</v>
      </c>
      <c r="E64" s="2097">
        <v>18230809</v>
      </c>
      <c r="F64" s="2209">
        <f>'42) Detail_R&amp;C_Supp Crv Elec'!E11</f>
        <v>115154</v>
      </c>
      <c r="G64" s="2209">
        <f>'42) Detail_R&amp;C_Supp Crv Elec'!F11</f>
        <v>0</v>
      </c>
      <c r="H64" s="2209">
        <f>'42) Detail_R&amp;C_Supp Crv Elec'!G11</f>
        <v>81413.877999999997</v>
      </c>
      <c r="I64" s="2209">
        <f>'42) Detail_R&amp;C_Supp Crv Elec'!H11</f>
        <v>0</v>
      </c>
      <c r="J64" s="2209">
        <f>'42) Detail_R&amp;C_Supp Crv Elec'!I11</f>
        <v>2175</v>
      </c>
      <c r="K64" s="2209">
        <f>'42) Detail_R&amp;C_Supp Crv Elec'!J11</f>
        <v>56550</v>
      </c>
      <c r="L64" s="2209">
        <f>'42) Detail_R&amp;C_Supp Crv Elec'!K11</f>
        <v>0</v>
      </c>
      <c r="M64" s="2209">
        <f>'42) Detail_R&amp;C_Supp Crv Elec'!L11</f>
        <v>0</v>
      </c>
      <c r="N64" s="2209">
        <f>'42) Detail_R&amp;C_Supp Crv Elec'!M11</f>
        <v>0</v>
      </c>
      <c r="O64" s="2209"/>
      <c r="P64" s="2209">
        <f>'42) Detail_R&amp;C_Supp Crv Elec'!N11</f>
        <v>255292.878</v>
      </c>
    </row>
    <row r="65" spans="2:18">
      <c r="B65" s="19">
        <v>43</v>
      </c>
      <c r="D65" t="s">
        <v>101</v>
      </c>
      <c r="E65" s="2097">
        <v>18230469</v>
      </c>
      <c r="F65" s="4705">
        <f>'43) Detail_R&amp;C_Strat Pln Elec'!E11</f>
        <v>85067</v>
      </c>
      <c r="G65" s="2209">
        <f>'43) Detail_R&amp;C_Strat Pln Elec'!F11</f>
        <v>0</v>
      </c>
      <c r="H65" s="2209">
        <f>'43) Detail_R&amp;C_Strat Pln Elec'!G11</f>
        <v>60142.368999999999</v>
      </c>
      <c r="I65" s="2209">
        <f>'43) Detail_R&amp;C_Strat Pln Elec'!H11</f>
        <v>0</v>
      </c>
      <c r="J65" s="2209">
        <f>'43) Detail_R&amp;C_Strat Pln Elec'!I11</f>
        <v>3045</v>
      </c>
      <c r="K65" s="2209">
        <f>'43) Detail_R&amp;C_Strat Pln Elec'!J11</f>
        <v>87000</v>
      </c>
      <c r="L65" s="2209">
        <f>'43) Detail_R&amp;C_Strat Pln Elec'!K11</f>
        <v>1305</v>
      </c>
      <c r="M65" s="2209">
        <f>'43) Detail_R&amp;C_Strat Pln Elec'!L11</f>
        <v>870</v>
      </c>
      <c r="N65" s="2209">
        <f>'43) Detail_R&amp;C_Strat Pln Elec'!M11</f>
        <v>0</v>
      </c>
      <c r="O65" s="2209"/>
      <c r="P65" s="2209">
        <f>'43) Detail_R&amp;C_Strat Pln Elec'!N11</f>
        <v>237429.36900000001</v>
      </c>
    </row>
    <row r="66" spans="2:18">
      <c r="B66" s="19">
        <v>44</v>
      </c>
      <c r="D66" t="s">
        <v>81</v>
      </c>
      <c r="E66" s="2097">
        <v>18230802</v>
      </c>
      <c r="F66" s="4705">
        <f>'44) Detail_R&amp;C_Eval Elec'!E11</f>
        <v>340269</v>
      </c>
      <c r="G66" s="2209">
        <f>'44) Detail_R&amp;C_Eval Elec'!F11</f>
        <v>0</v>
      </c>
      <c r="H66" s="2209">
        <f>'44) Detail_R&amp;C_Eval Elec'!G11</f>
        <v>240570.18299999999</v>
      </c>
      <c r="I66" s="2209">
        <f>'44) Detail_R&amp;C_Eval Elec'!H11</f>
        <v>0</v>
      </c>
      <c r="J66" s="2209">
        <f>'44) Detail_R&amp;C_Eval Elec'!I11</f>
        <v>18200</v>
      </c>
      <c r="K66" s="4705">
        <f>'44) Detail_R&amp;C_Eval Elec'!J11</f>
        <v>1300000</v>
      </c>
      <c r="L66" s="2209">
        <f>'44) Detail_R&amp;C_Eval Elec'!K11</f>
        <v>0</v>
      </c>
      <c r="M66" s="2209">
        <f>'44) Detail_R&amp;C_Eval Elec'!L11</f>
        <v>260000</v>
      </c>
      <c r="N66" s="2209">
        <f>'44) Detail_R&amp;C_Eval Elec'!M11</f>
        <v>0</v>
      </c>
      <c r="O66" s="2209"/>
      <c r="P66" s="2209">
        <f>'44) Detail_R&amp;C_Eval Elec'!N11</f>
        <v>2159039.1830000002</v>
      </c>
    </row>
    <row r="67" spans="2:18" s="3457" customFormat="1">
      <c r="B67" s="4696" t="s">
        <v>1185</v>
      </c>
      <c r="D67" s="3457" t="s">
        <v>1184</v>
      </c>
      <c r="E67" s="3638">
        <v>18230418</v>
      </c>
      <c r="F67" s="4705">
        <f>'44a) Detail_R&amp;C_V-Team_Elec'!E11</f>
        <v>324650</v>
      </c>
      <c r="G67" s="4705">
        <f>'44a) Detail_R&amp;C_V-Team_Elec'!F11</f>
        <v>0</v>
      </c>
      <c r="H67" s="4705">
        <f>'44a) Detail_R&amp;C_V-Team_Elec'!G11</f>
        <v>229527.55</v>
      </c>
      <c r="I67" s="4705">
        <f>'44a) Detail_R&amp;C_V-Team_Elec'!H11</f>
        <v>0</v>
      </c>
      <c r="J67" s="4705">
        <f>'44a) Detail_R&amp;C_V-Team_Elec'!I11</f>
        <v>6505</v>
      </c>
      <c r="K67" s="4705">
        <f>'44a) Detail_R&amp;C_V-Team_Elec'!J11</f>
        <v>66221</v>
      </c>
      <c r="L67" s="4705">
        <f>'44a) Detail_R&amp;C_V-Team_Elec'!K11</f>
        <v>5897</v>
      </c>
      <c r="M67" s="4705">
        <f>'44a) Detail_R&amp;C_V-Team_Elec'!L11</f>
        <v>600</v>
      </c>
      <c r="N67" s="4705">
        <f>'44a) Detail_R&amp;C_V-Team_Elec'!M11</f>
        <v>0</v>
      </c>
      <c r="P67" s="4705">
        <f>'44a) Detail_R&amp;C_V-Team_Elec'!N11</f>
        <v>633400.55000000005</v>
      </c>
      <c r="Q67" s="4705"/>
      <c r="R67" s="4912"/>
    </row>
    <row r="68" spans="2:18">
      <c r="B68" s="19">
        <v>45</v>
      </c>
      <c r="D68" s="53" t="s">
        <v>782</v>
      </c>
      <c r="E68" s="3528">
        <v>18230810</v>
      </c>
      <c r="F68" s="4705">
        <f>'45) Detail_R&amp;C_Support Elec'!E11</f>
        <v>230000</v>
      </c>
      <c r="G68" s="2209">
        <f>'45) Detail_R&amp;C_Support Elec'!F11</f>
        <v>0</v>
      </c>
      <c r="H68" s="2209">
        <f>'45) Detail_R&amp;C_Support Elec'!G11</f>
        <v>162610</v>
      </c>
      <c r="I68" s="2209">
        <f>'45) Detail_R&amp;C_Support Elec'!H11</f>
        <v>0</v>
      </c>
      <c r="J68" s="4705">
        <f>'45) Detail_R&amp;C_Support Elec'!I11</f>
        <v>11000</v>
      </c>
      <c r="K68" s="4705">
        <f>'45) Detail_R&amp;C_Support Elec'!J11</f>
        <v>50000</v>
      </c>
      <c r="L68" s="2209">
        <f>'45) Detail_R&amp;C_Support Elec'!K11</f>
        <v>0</v>
      </c>
      <c r="M68" s="2209">
        <f>'45) Detail_R&amp;C_Support Elec'!L11</f>
        <v>0</v>
      </c>
      <c r="N68" s="2209">
        <f>'45) Detail_R&amp;C_Support Elec'!M11</f>
        <v>0</v>
      </c>
      <c r="P68" s="2209">
        <f>'45) Detail_R&amp;C_Support Elec'!N11</f>
        <v>453610</v>
      </c>
    </row>
    <row r="69" spans="2:18" s="2105" customFormat="1">
      <c r="B69" s="2104"/>
      <c r="D69" s="772" t="s">
        <v>783</v>
      </c>
      <c r="E69" s="4700"/>
      <c r="F69" s="2107">
        <f>SUM(F64:F68)</f>
        <v>1095140</v>
      </c>
      <c r="G69" s="2107">
        <f t="shared" ref="G69:O69" si="16">SUM(G64:G68)</f>
        <v>0</v>
      </c>
      <c r="H69" s="2107">
        <f>SUM(H64:H68)</f>
        <v>774263.98</v>
      </c>
      <c r="I69" s="2107">
        <f t="shared" si="16"/>
        <v>0</v>
      </c>
      <c r="J69" s="2107">
        <f t="shared" si="16"/>
        <v>40925</v>
      </c>
      <c r="K69" s="2107">
        <f t="shared" si="16"/>
        <v>1559771</v>
      </c>
      <c r="L69" s="2107">
        <f t="shared" si="16"/>
        <v>7202</v>
      </c>
      <c r="M69" s="2107">
        <f t="shared" si="16"/>
        <v>261470</v>
      </c>
      <c r="N69" s="2107">
        <f t="shared" si="16"/>
        <v>0</v>
      </c>
      <c r="O69" s="2107">
        <f t="shared" si="16"/>
        <v>0</v>
      </c>
      <c r="P69" s="2107">
        <f>SUM(P64:P68)</f>
        <v>3738771.9800000004</v>
      </c>
      <c r="Q69" s="2108"/>
    </row>
    <row r="70" spans="2:18" s="4731" customFormat="1">
      <c r="B70" s="4730"/>
      <c r="D70" s="4695" t="s">
        <v>1332</v>
      </c>
      <c r="E70" s="4725"/>
      <c r="F70" s="4703">
        <v>717735</v>
      </c>
      <c r="G70" s="4703">
        <v>0</v>
      </c>
      <c r="H70" s="4703">
        <v>452173.05</v>
      </c>
      <c r="I70" s="4703">
        <v>0</v>
      </c>
      <c r="J70" s="4703">
        <v>28420</v>
      </c>
      <c r="K70" s="4703">
        <v>1171550</v>
      </c>
      <c r="L70" s="4703">
        <v>1305</v>
      </c>
      <c r="M70" s="4703">
        <v>260870</v>
      </c>
      <c r="N70" s="4703">
        <v>0</v>
      </c>
      <c r="O70" s="4703">
        <v>0</v>
      </c>
      <c r="P70" s="4687">
        <v>2632053.0499999998</v>
      </c>
      <c r="Q70" s="4732"/>
    </row>
    <row r="71" spans="2:18" s="4731" customFormat="1">
      <c r="B71" s="4730"/>
      <c r="D71" s="4707" t="s">
        <v>1333</v>
      </c>
      <c r="E71" s="4690"/>
      <c r="F71" s="4708">
        <f>F69-F70</f>
        <v>377405</v>
      </c>
      <c r="G71" s="4708">
        <f t="shared" ref="G71" si="17">G69-G70</f>
        <v>0</v>
      </c>
      <c r="H71" s="4708">
        <f t="shared" ref="H71" si="18">H69-H70</f>
        <v>322090.93</v>
      </c>
      <c r="I71" s="4708">
        <f t="shared" ref="I71" si="19">I69-I70</f>
        <v>0</v>
      </c>
      <c r="J71" s="4708">
        <f t="shared" ref="J71" si="20">J69-J70</f>
        <v>12505</v>
      </c>
      <c r="K71" s="4708">
        <f t="shared" ref="K71" si="21">K69-K70</f>
        <v>388221</v>
      </c>
      <c r="L71" s="4708">
        <f t="shared" ref="L71" si="22">L69-L70</f>
        <v>5897</v>
      </c>
      <c r="M71" s="4708">
        <f t="shared" ref="M71" si="23">M69-M70</f>
        <v>600</v>
      </c>
      <c r="N71" s="4708">
        <f t="shared" ref="N71" si="24">N69-N70</f>
        <v>0</v>
      </c>
      <c r="O71" s="4708">
        <f t="shared" ref="O71" si="25">O69-O70</f>
        <v>0</v>
      </c>
      <c r="P71" s="4693">
        <f t="shared" ref="P71" si="26">P69-P70</f>
        <v>1106718.9300000006</v>
      </c>
      <c r="Q71" s="4732"/>
    </row>
    <row r="72" spans="2:18">
      <c r="E72" s="2097"/>
      <c r="F72" s="2209"/>
      <c r="G72" s="2209"/>
      <c r="H72" s="2209"/>
      <c r="I72" s="2209"/>
      <c r="J72" s="2209"/>
      <c r="K72" s="2209"/>
      <c r="L72" s="2209"/>
      <c r="M72" s="2209"/>
      <c r="N72" s="2209"/>
      <c r="O72" s="2209"/>
      <c r="P72" s="2209"/>
    </row>
    <row r="73" spans="2:18">
      <c r="C73" t="s">
        <v>784</v>
      </c>
      <c r="E73" s="2097"/>
      <c r="F73" s="2209"/>
      <c r="G73" s="2209"/>
      <c r="H73" s="2209"/>
      <c r="I73" s="2209"/>
      <c r="J73" s="2209"/>
      <c r="K73" s="2209"/>
      <c r="L73" s="2209"/>
      <c r="M73" s="2209"/>
      <c r="N73" s="2209"/>
      <c r="O73" s="2209"/>
      <c r="P73" s="2209"/>
    </row>
    <row r="74" spans="2:18">
      <c r="B74" s="19">
        <v>50</v>
      </c>
      <c r="C74" s="3532" t="s">
        <v>898</v>
      </c>
      <c r="D74" t="s">
        <v>3</v>
      </c>
      <c r="E74" s="2097">
        <v>18230128</v>
      </c>
      <c r="F74" s="2209">
        <f>'50) Details_Oth Elec_Net Mtr'!E12</f>
        <v>223139</v>
      </c>
      <c r="G74" s="2209">
        <f>'50) Details_Oth Elec_Net Mtr'!F12</f>
        <v>0</v>
      </c>
      <c r="H74" s="2209">
        <f>'50) Details_Oth Elec_Net Mtr'!G12</f>
        <v>157759.27299999999</v>
      </c>
      <c r="I74" s="2209">
        <f>'50) Details_Oth Elec_Net Mtr'!H12</f>
        <v>0</v>
      </c>
      <c r="J74" s="2209">
        <f>'50) Details_Oth Elec_Net Mtr'!I12</f>
        <v>8079</v>
      </c>
      <c r="K74" s="2209">
        <f>'50) Details_Oth Elec_Net Mtr'!J12</f>
        <v>2000</v>
      </c>
      <c r="L74" s="2209">
        <f>'50) Details_Oth Elec_Net Mtr'!K12</f>
        <v>0</v>
      </c>
      <c r="M74" s="2209">
        <f>'50) Details_Oth Elec_Net Mtr'!L12</f>
        <v>69800</v>
      </c>
      <c r="N74" s="2209">
        <f>'50) Details_Oth Elec_Net Mtr'!M12</f>
        <v>0</v>
      </c>
      <c r="O74" s="2209"/>
      <c r="P74" s="2209">
        <f>'50) Details_Oth Elec_Net Mtr'!N12</f>
        <v>460777.27299999999</v>
      </c>
    </row>
    <row r="75" spans="2:18">
      <c r="B75" s="19">
        <v>51</v>
      </c>
      <c r="C75" s="3532" t="s">
        <v>899</v>
      </c>
      <c r="D75" t="s">
        <v>785</v>
      </c>
      <c r="E75" s="2097">
        <v>18230492</v>
      </c>
      <c r="F75" s="2209">
        <f>'51) Details_Oth Elec_Renew Ed'!E12</f>
        <v>63495</v>
      </c>
      <c r="G75" s="2209">
        <f>'51) Details_Oth Elec_Renew Ed'!F12</f>
        <v>0</v>
      </c>
      <c r="H75" s="2209">
        <f>'51) Details_Oth Elec_Renew Ed'!G12</f>
        <v>44890.964999999997</v>
      </c>
      <c r="I75" s="2209">
        <f>'51) Details_Oth Elec_Renew Ed'!H12</f>
        <v>0</v>
      </c>
      <c r="J75" s="2209">
        <f>'51) Details_Oth Elec_Renew Ed'!I12</f>
        <v>4079</v>
      </c>
      <c r="K75" s="2209">
        <f>'51) Details_Oth Elec_Renew Ed'!J12</f>
        <v>0</v>
      </c>
      <c r="L75" s="2209">
        <f>'51) Details_Oth Elec_Renew Ed'!K12</f>
        <v>8000</v>
      </c>
      <c r="M75" s="2209">
        <f>'51) Details_Oth Elec_Renew Ed'!L12</f>
        <v>0</v>
      </c>
      <c r="N75" s="2209">
        <f>'51) Details_Oth Elec_Renew Ed'!M12</f>
        <v>0</v>
      </c>
      <c r="O75" s="2209"/>
      <c r="P75" s="2209">
        <f>'51) Details_Oth Elec_Renew Ed'!N12</f>
        <v>120464.965</v>
      </c>
    </row>
    <row r="76" spans="2:18">
      <c r="B76" s="19">
        <v>52</v>
      </c>
      <c r="C76" s="3532" t="s">
        <v>1148</v>
      </c>
      <c r="D76" t="s">
        <v>64</v>
      </c>
      <c r="E76" s="2097">
        <v>18230438</v>
      </c>
      <c r="F76" s="4705">
        <f>'52) Details_Oth Elec_CI Load Cr'!E12</f>
        <v>107000</v>
      </c>
      <c r="G76" s="2209">
        <f>'52) Details_Oth Elec_CI Load Cr'!F12</f>
        <v>0.05</v>
      </c>
      <c r="H76" s="2209">
        <f>'52) Details_Oth Elec_CI Load Cr'!G12</f>
        <v>75649.035349999991</v>
      </c>
      <c r="I76" s="2209">
        <f>'52) Details_Oth Elec_CI Load Cr'!H12</f>
        <v>0</v>
      </c>
      <c r="J76" s="4705">
        <f>'52) Details_Oth Elec_CI Load Cr'!I12</f>
        <v>11200</v>
      </c>
      <c r="K76" s="4705">
        <f>'52) Details_Oth Elec_CI Load Cr'!J12</f>
        <v>50000</v>
      </c>
      <c r="L76" s="2209">
        <f>'52) Details_Oth Elec_CI Load Cr'!K12</f>
        <v>0</v>
      </c>
      <c r="M76" s="2209">
        <f>'52) Details_Oth Elec_CI Load Cr'!L12</f>
        <v>0</v>
      </c>
      <c r="N76" s="2209">
        <f>'52) Details_Oth Elec_CI Load Cr'!M12</f>
        <v>0</v>
      </c>
      <c r="O76" s="2209"/>
      <c r="P76" s="2209">
        <f>'52) Details_Oth Elec_CI Load Cr'!N12</f>
        <v>243849.08535000001</v>
      </c>
    </row>
    <row r="77" spans="2:18">
      <c r="B77" s="19">
        <v>53</v>
      </c>
      <c r="C77" s="3532" t="s">
        <v>1174</v>
      </c>
      <c r="D77" t="s">
        <v>786</v>
      </c>
      <c r="E77" s="2097">
        <v>18230439</v>
      </c>
      <c r="F77" s="4705">
        <f>'53) Details_Oth Elec_Res DR'!E12</f>
        <v>5750</v>
      </c>
      <c r="G77" s="2209">
        <f>'53) Details_Oth Elec_Res DR'!F12</f>
        <v>0</v>
      </c>
      <c r="H77" s="2209">
        <f>'53) Details_Oth Elec_Res DR'!G12</f>
        <v>4065.25</v>
      </c>
      <c r="I77" s="2209">
        <f>'53) Details_Oth Elec_Res DR'!H12</f>
        <v>0</v>
      </c>
      <c r="J77" s="2209">
        <f>'53) Details_Oth Elec_Res DR'!I12</f>
        <v>0</v>
      </c>
      <c r="K77" s="2209">
        <f>'53) Details_Oth Elec_Res DR'!J12</f>
        <v>0</v>
      </c>
      <c r="L77" s="2209">
        <f>'53) Details_Oth Elec_Res DR'!K12</f>
        <v>0</v>
      </c>
      <c r="M77" s="2209">
        <f>'53) Details_Oth Elec_Res DR'!L12</f>
        <v>0</v>
      </c>
      <c r="N77" s="2209">
        <f>'53) Details_Oth Elec_Res DR'!M12</f>
        <v>0</v>
      </c>
      <c r="O77" s="2209"/>
      <c r="P77" s="2209">
        <f>'53) Details_Oth Elec_Res DR'!N12</f>
        <v>9815.25</v>
      </c>
    </row>
    <row r="78" spans="2:18" s="2105" customFormat="1">
      <c r="B78" s="2104"/>
      <c r="D78" s="772" t="s">
        <v>787</v>
      </c>
      <c r="E78" s="4700"/>
      <c r="F78" s="2107">
        <f>SUM(F74:F77)</f>
        <v>399384</v>
      </c>
      <c r="G78" s="2107">
        <f t="shared" ref="G78:P78" si="27">SUM(G74:G77)</f>
        <v>0.05</v>
      </c>
      <c r="H78" s="2107">
        <f t="shared" si="27"/>
        <v>282364.52334999997</v>
      </c>
      <c r="I78" s="2107">
        <f t="shared" si="27"/>
        <v>0</v>
      </c>
      <c r="J78" s="2107">
        <f t="shared" si="27"/>
        <v>23358</v>
      </c>
      <c r="K78" s="2107">
        <f t="shared" si="27"/>
        <v>52000</v>
      </c>
      <c r="L78" s="2107">
        <f t="shared" si="27"/>
        <v>8000</v>
      </c>
      <c r="M78" s="2107">
        <f t="shared" si="27"/>
        <v>69800</v>
      </c>
      <c r="N78" s="2107">
        <f t="shared" si="27"/>
        <v>0</v>
      </c>
      <c r="O78" s="2107">
        <f t="shared" si="27"/>
        <v>0</v>
      </c>
      <c r="P78" s="2107">
        <f t="shared" si="27"/>
        <v>834906.57334999996</v>
      </c>
      <c r="Q78" s="2108"/>
    </row>
    <row r="79" spans="2:18" s="4734" customFormat="1">
      <c r="B79" s="4733"/>
      <c r="D79" s="4695" t="s">
        <v>1332</v>
      </c>
      <c r="E79" s="4725"/>
      <c r="F79" s="4703">
        <v>497634</v>
      </c>
      <c r="G79" s="4703">
        <v>0.05</v>
      </c>
      <c r="H79" s="4703">
        <v>313509.45150000002</v>
      </c>
      <c r="I79" s="4703">
        <v>3000</v>
      </c>
      <c r="J79" s="4703">
        <v>18858</v>
      </c>
      <c r="K79" s="4703">
        <v>1002000</v>
      </c>
      <c r="L79" s="4703">
        <v>23000</v>
      </c>
      <c r="M79" s="4703">
        <v>259800</v>
      </c>
      <c r="N79" s="4703">
        <v>0</v>
      </c>
      <c r="O79" s="4703">
        <v>0</v>
      </c>
      <c r="P79" s="4687">
        <v>2117801.5014999998</v>
      </c>
      <c r="Q79" s="4735"/>
    </row>
    <row r="80" spans="2:18" s="4734" customFormat="1">
      <c r="B80" s="4733"/>
      <c r="D80" s="4707" t="s">
        <v>1333</v>
      </c>
      <c r="E80" s="4690"/>
      <c r="F80" s="4708">
        <f>F78-F79</f>
        <v>-98250</v>
      </c>
      <c r="G80" s="4708">
        <f t="shared" ref="G80" si="28">G78-G79</f>
        <v>0</v>
      </c>
      <c r="H80" s="4708">
        <f t="shared" ref="H80" si="29">H78-H79</f>
        <v>-31144.928150000051</v>
      </c>
      <c r="I80" s="4708">
        <f t="shared" ref="I80" si="30">I78-I79</f>
        <v>-3000</v>
      </c>
      <c r="J80" s="4708">
        <f t="shared" ref="J80" si="31">J78-J79</f>
        <v>4500</v>
      </c>
      <c r="K80" s="4708">
        <f t="shared" ref="K80" si="32">K78-K79</f>
        <v>-950000</v>
      </c>
      <c r="L80" s="4708">
        <f t="shared" ref="L80" si="33">L78-L79</f>
        <v>-15000</v>
      </c>
      <c r="M80" s="4708">
        <f t="shared" ref="M80" si="34">M78-M79</f>
        <v>-190000</v>
      </c>
      <c r="N80" s="4708">
        <f t="shared" ref="N80" si="35">N78-N79</f>
        <v>0</v>
      </c>
      <c r="O80" s="4708">
        <f t="shared" ref="O80" si="36">O78-O79</f>
        <v>0</v>
      </c>
      <c r="P80" s="4693">
        <f t="shared" ref="P80" si="37">P78-P79</f>
        <v>-1282894.9281499998</v>
      </c>
      <c r="Q80" s="4735"/>
    </row>
    <row r="81" spans="2:17">
      <c r="E81" s="2203"/>
      <c r="F81" s="2209"/>
      <c r="G81" s="2209"/>
      <c r="H81" s="2209"/>
      <c r="I81" s="2209"/>
      <c r="J81" s="2209"/>
      <c r="K81" s="2209"/>
      <c r="L81" s="2209"/>
      <c r="M81" s="2209"/>
      <c r="N81" s="2209"/>
      <c r="O81" s="2209"/>
      <c r="P81" s="2209"/>
    </row>
    <row r="82" spans="2:17" s="4750" customFormat="1">
      <c r="B82" s="4749"/>
      <c r="D82" s="4742" t="s">
        <v>789</v>
      </c>
      <c r="F82" s="2107">
        <f t="shared" ref="F82:Q82" si="38">F25+F38+F45+F59+F69+F78</f>
        <v>8515623.8249999993</v>
      </c>
      <c r="G82" s="2107">
        <f t="shared" si="38"/>
        <v>798728.55</v>
      </c>
      <c r="H82" s="2107">
        <f t="shared" si="38"/>
        <v>6584645.7691249996</v>
      </c>
      <c r="I82" s="2107">
        <f t="shared" si="38"/>
        <v>3582150.8</v>
      </c>
      <c r="J82" s="2107">
        <f t="shared" si="38"/>
        <v>298239.54000000004</v>
      </c>
      <c r="K82" s="2107">
        <f t="shared" si="38"/>
        <v>10912030.689999999</v>
      </c>
      <c r="L82" s="2107">
        <f t="shared" si="38"/>
        <v>195364.96</v>
      </c>
      <c r="M82" s="2107">
        <f t="shared" si="38"/>
        <v>530674.64</v>
      </c>
      <c r="N82" s="2107">
        <f t="shared" si="38"/>
        <v>62984885.700770095</v>
      </c>
      <c r="O82" s="2107">
        <f t="shared" si="38"/>
        <v>0</v>
      </c>
      <c r="P82" s="2107">
        <f t="shared" si="38"/>
        <v>94402344.47489509</v>
      </c>
      <c r="Q82" s="4751">
        <f t="shared" si="38"/>
        <v>333498729.69659942</v>
      </c>
    </row>
    <row r="83" spans="2:17" s="4739" customFormat="1">
      <c r="B83" s="4740"/>
      <c r="D83" s="4742"/>
      <c r="F83" s="4741"/>
      <c r="G83" s="4741"/>
      <c r="H83" s="4741"/>
      <c r="I83" s="4741"/>
      <c r="J83" s="4741"/>
      <c r="K83" s="4741"/>
      <c r="L83" s="4741"/>
      <c r="M83" s="4741"/>
      <c r="N83" s="4741"/>
      <c r="O83" s="4741"/>
      <c r="P83" s="4741"/>
      <c r="Q83" s="2110">
        <f>Q82/1000/8760</f>
        <v>38.070631243904046</v>
      </c>
    </row>
    <row r="84" spans="2:17" s="4737" customFormat="1">
      <c r="B84" s="4738"/>
      <c r="D84" s="4695" t="s">
        <v>1332</v>
      </c>
      <c r="E84" s="4725"/>
      <c r="F84" s="4703">
        <v>7950857.023</v>
      </c>
      <c r="G84" s="4703">
        <v>599134.05000000005</v>
      </c>
      <c r="H84" s="4703">
        <v>5500510.6107900003</v>
      </c>
      <c r="I84" s="4703">
        <v>2239624.6</v>
      </c>
      <c r="J84" s="4703">
        <v>275929.86</v>
      </c>
      <c r="K84" s="4703">
        <v>16880028.700000003</v>
      </c>
      <c r="L84" s="4703">
        <v>199854</v>
      </c>
      <c r="M84" s="4703">
        <v>730247</v>
      </c>
      <c r="N84" s="4703">
        <v>60497655.6087</v>
      </c>
      <c r="O84" s="4703">
        <v>0</v>
      </c>
      <c r="P84" s="4703">
        <v>95053983.412489995</v>
      </c>
      <c r="Q84" s="4701">
        <v>328107011.39111996</v>
      </c>
    </row>
    <row r="85" spans="2:17" s="4737" customFormat="1">
      <c r="B85" s="4738"/>
      <c r="D85" s="4707" t="s">
        <v>1333</v>
      </c>
      <c r="E85" s="4690"/>
      <c r="F85" s="4708">
        <f>F82-F84</f>
        <v>564766.80199999921</v>
      </c>
      <c r="G85" s="4708">
        <f t="shared" ref="G85" si="39">G82-G84</f>
        <v>199594.5</v>
      </c>
      <c r="H85" s="4708">
        <f t="shared" ref="H85" si="40">H82-H84</f>
        <v>1084135.1583349993</v>
      </c>
      <c r="I85" s="4708">
        <f t="shared" ref="I85" si="41">I82-I84</f>
        <v>1342526.1999999997</v>
      </c>
      <c r="J85" s="4708">
        <f t="shared" ref="J85" si="42">J82-J84</f>
        <v>22309.680000000051</v>
      </c>
      <c r="K85" s="4708">
        <f t="shared" ref="K85" si="43">K82-K84</f>
        <v>-5967998.0100000035</v>
      </c>
      <c r="L85" s="4708">
        <f t="shared" ref="L85" si="44">L82-L84</f>
        <v>-4489.0400000000081</v>
      </c>
      <c r="M85" s="4708">
        <f t="shared" ref="M85" si="45">M82-M84</f>
        <v>-199572.36</v>
      </c>
      <c r="N85" s="4708">
        <f t="shared" ref="N85" si="46">N82-N84</f>
        <v>2487230.0920700952</v>
      </c>
      <c r="O85" s="4708">
        <f t="shared" ref="O85" si="47">O82-O84</f>
        <v>0</v>
      </c>
      <c r="P85" s="4708">
        <f t="shared" ref="P85:Q85" si="48">P82-P84</f>
        <v>-651638.9375949055</v>
      </c>
      <c r="Q85" s="4726">
        <f t="shared" si="48"/>
        <v>5391718.3054794669</v>
      </c>
    </row>
    <row r="86" spans="2:17">
      <c r="E86" s="2203"/>
      <c r="F86" s="2209"/>
      <c r="G86" s="2209"/>
      <c r="H86" s="2209"/>
      <c r="I86" s="2209"/>
      <c r="J86" s="2209"/>
      <c r="K86" s="2209"/>
      <c r="L86" s="2209"/>
      <c r="M86" s="2209"/>
      <c r="N86" s="2209"/>
      <c r="O86" s="2209"/>
      <c r="P86" s="2209"/>
    </row>
    <row r="87" spans="2:17" s="2344" customFormat="1" ht="146.25">
      <c r="B87" s="2343"/>
      <c r="D87" s="2342" t="s">
        <v>915</v>
      </c>
      <c r="E87" s="2346" t="s">
        <v>916</v>
      </c>
      <c r="F87" s="2347" t="s">
        <v>917</v>
      </c>
      <c r="G87" s="2348"/>
      <c r="H87" s="2349" t="s">
        <v>918</v>
      </c>
      <c r="I87" s="2347" t="s">
        <v>919</v>
      </c>
      <c r="J87" s="2347" t="s">
        <v>920</v>
      </c>
      <c r="K87" s="2347" t="s">
        <v>921</v>
      </c>
      <c r="L87" s="2347" t="s">
        <v>922</v>
      </c>
      <c r="M87" s="2347" t="s">
        <v>923</v>
      </c>
      <c r="N87" s="2347" t="s">
        <v>924</v>
      </c>
      <c r="O87" s="2347" t="s">
        <v>925</v>
      </c>
      <c r="P87" s="2345"/>
      <c r="Q87" s="2351"/>
    </row>
    <row r="90" spans="2:17">
      <c r="L90" s="2350"/>
    </row>
  </sheetData>
  <sheetProtection password="9E1F" sheet="1" objects="1" scenarios="1"/>
  <customSheetViews>
    <customSheetView guid="{074EB09C-6289-46D7-9513-012B68BCA7BF}" scale="90" hiddenRows="1">
      <pane xSplit="5" ySplit="5" topLeftCell="F6" activePane="bottomRight" state="frozen"/>
      <selection pane="bottomRight"/>
      <pageMargins left="0.23" right="0.25" top="0.48" bottom="0.75" header="0.3" footer="0.3"/>
      <pageSetup paperSize="17" scale="60" orientation="landscape" r:id="rId1"/>
    </customSheetView>
    <customSheetView guid="{AF9F1D33-B8C2-423F-86A1-47612B8F532C}" scale="80" hiddenRows="1">
      <pane xSplit="5" ySplit="5" topLeftCell="J12" activePane="bottomRight" state="frozenSplit"/>
      <selection pane="bottomRight" activeCell="E16" sqref="E16"/>
      <pageMargins left="0.7" right="0.7" top="0.75" bottom="0.75" header="0.3" footer="0.3"/>
      <pageSetup paperSize="17" scale="60" orientation="landscape"/>
    </customSheetView>
  </customSheetViews>
  <mergeCells count="1">
    <mergeCell ref="E3:M3"/>
  </mergeCells>
  <hyperlinks>
    <hyperlink ref="E7" location="'4) Detail_REM Sch 201 Elec '!A1" display="'4) Detail_REM Sch 201 Elec '!A1"/>
    <hyperlink ref="E8" location="'5a) Detail_214HomePrint Elec'!A1" display="'5a) Detail_214HomePrint Elec'!A1"/>
    <hyperlink ref="E9" location="'5b) Detail_214WaterHeat Elec'!A1" display="'5b) Detail_214WaterHeat Elec'!A1"/>
    <hyperlink ref="E11" location="'5d) Detail_214SpcHeat Elec'!A1" display="'5d) Detail_214SpcHeat Elec'!A1"/>
    <hyperlink ref="E10" location="'5c) Detail_214Wx Elec'!A1" display="'5c) Detail_214Wx Elec'!A1"/>
    <hyperlink ref="E12" location="'5e) Detail_214RefRepl Elec'!A1" display="'5e) Detail_214RefRepl Elec'!A1"/>
    <hyperlink ref="E13" location="'5f) Detail_214HmAppplc Elec'!A1" display="'5f) Detail_214HmAppplc Elec'!A1"/>
    <hyperlink ref="E14" location="'5g) Detail_214ShwrHead  Elec'!A1" display="'5g) Detail_214ShwrHead  Elec'!A1"/>
    <hyperlink ref="E15" location="'5h) Detail_214Lighting Elec'!A1" display="'5h) Detail_214Lighting Elec'!A1"/>
    <hyperlink ref="E19" location="'6) Detail_REM Sch 215 Elec'!A1" display="'6) Detail_REM Sch 215 Elec'!A1"/>
    <hyperlink ref="E20" location="'6a) Detail_215NCMfgHome Elec'!A1" display="'6a) Detail_215NCMfgHome Elec'!A1"/>
    <hyperlink ref="E21" location="'7) Detail_REM Sch 216 Elec'!A1" display="'7) Detail_REM Sch 216 Elec'!A1"/>
    <hyperlink ref="E22" location="'8) Detail_REM Sch 217 Elec'!A1" display="'8) Detail_REM Sch 217 Elec'!A1"/>
    <hyperlink ref="E23" location="'9) Detail_REM Sch 218 Elec'!A1" display="'9) Detail_REM Sch 218 Elec'!A1"/>
    <hyperlink ref="E18" location="'5k) Detail_REM Sch214 HER Elec'!A1" display="'5k) Detail_REM Sch214 HER Elec'!A1"/>
    <hyperlink ref="E24" location="'10) Detail_REM Sch 249 Elec'!A1" display="'10) Detail_REM Sch 249 Elec'!A1"/>
    <hyperlink ref="E30" location="'17) Detail_BEM Sch 250 Elec'!A1" display="'17) Detail_BEM Sch 250 Elec'!A1"/>
    <hyperlink ref="E31" location="'18) Detail_BEM Sch 251 Elec'!A1" display="'18) Detail_BEM Sch 251 Elec'!A1"/>
    <hyperlink ref="E32" location="'19) Detail_BEM Sch 253 Elec'!A1" display="'19) Detail_BEM Sch 253 Elec'!A1"/>
    <hyperlink ref="E33" location="'20) Detail_BEM Sch 255 Elec'!A1" display="'20) Detail_BEM Sch 255 Elec'!A1"/>
    <hyperlink ref="E35" location="'22) Detail_BEM Sch 258 Elec'!A1" display="'22) Detail_BEM Sch 258 Elec'!A1"/>
    <hyperlink ref="E36" location="'23) Detail_BEM Sch 261 Elec'!A1" display="'23) Detail_BEM Sch 261 Elec'!A1"/>
    <hyperlink ref="E37" location="'24) Detail_BEM Sch 262 Elec'!A1" display="'24) Detail_BEM Sch 262 Elec'!A1"/>
    <hyperlink ref="E54" location="'33a) Detail_PSWE_On Exp Elec'!A1" display="'33a) Detail_PSWE_On Exp Elec'!A1"/>
    <hyperlink ref="E55" location="'33b) Detail_PSWE_Mkt Int Elec'!A1" display="'33b) Detail_PSWE_Mkt Int Elec'!A1"/>
    <hyperlink ref="E56" location="'34) Detail_PS_EE Comm Elec'!A1" display="'34) Detail_PS_EE Comm Elec'!A1"/>
    <hyperlink ref="E57" location="'35) Detail_PS_ Trade Ally Elec'!A1" display="'35) Detail_PS_ Trade Ally Elec'!A1"/>
    <hyperlink ref="E58" location="'36) Detail_PS_Mktg Resch Elec'!A1" display="'36) Detail_PS_Mktg Resch Elec'!A1"/>
    <hyperlink ref="E64" location="'42) Detail_R&amp;C_Supp Crv Elec'!A1" display="'42) Detail_R&amp;C_Supp Crv Elec'!A1"/>
    <hyperlink ref="E65" location="'43) Detail_R&amp;C_Strat Pln Elec'!A1" display="TBD"/>
    <hyperlink ref="E66" location="'44) Detail_R&amp;C_Eval Elec'!A1" display="'44) Detail_R&amp;C_Eval Elec'!A1"/>
    <hyperlink ref="E74" location="'50) Details_Oth Elec_Net Mtr'!A1" display="'50) Details_Oth Elec_Net Mtr'!A1"/>
    <hyperlink ref="E75" location="'51) Details_Oth Elec_Renew Ed'!A1" display="'51) Details_Oth Elec_Renew Ed'!A1"/>
    <hyperlink ref="E76" location="'52) Details_Oth Elec_CI Load Cr'!A1" display="'52) Details_Oth Elec_CI Load Cr'!A1"/>
    <hyperlink ref="E77" location="'53) Details_Oth Elec_Res DR'!A1" display="'53) Details_Oth Elec_Res DR'!A1"/>
    <hyperlink ref="E49" location="'32a) Detail_PSCE_EAs Elec'!A1" display="'32a) Detail_PSCE_EAs Elec'!A1"/>
    <hyperlink ref="E51" location="'32c) Detail_PSCE_Broch Elec'!A1" display="'32c) Detail_PSCE_Broch Elec'!A1"/>
    <hyperlink ref="E52" location="'32d) Detail_PSCE_Edu Elec'!A1" display="'32d) Detail_PSCE_Edu Elec'!A1"/>
    <hyperlink ref="E50" location="'32b) Detail_PSCE_Events Elec'!A1" display="'32b) Detail_PSCE_Events Elec'!A1"/>
    <hyperlink ref="E44" location="'31) Detail_T&amp;D elec'!A1" display="TBD"/>
    <hyperlink ref="E43" location="'30) Detail_NEEA elec'!A1" display="'30) Detail_NEEA elec'!A1"/>
    <hyperlink ref="E68" location="'45) Detail_R&amp;C_Support Elec'!A1" display="'45) Detail_R&amp;C_Support Elec'!A1"/>
    <hyperlink ref="E67" location="'44a) Detail_R&amp;C_V-Team_Elec'!A1" display="'44a) Detail_R&amp;C_V-Team_Elec'!A1"/>
    <hyperlink ref="E16" location="'5i) Detail_214MHDS Elec'!A1" display="'5i) Detail_214MHDS Elec'!A1"/>
    <hyperlink ref="E17" location="'5j) Detail_214ARRAWx Elec'!A1" display="'5j) Detail_214ARRAWx Elec'!A1"/>
  </hyperlinks>
  <pageMargins left="0.57999999999999996" right="0.25" top="0.48" bottom="0.33" header="0.3" footer="0.3"/>
  <pageSetup paperSize="17" scale="55" orientation="landscape" r:id="rId2"/>
  <drawing r:id="rId3"/>
</worksheet>
</file>

<file path=xl/worksheets/sheet40.xml><?xml version="1.0" encoding="utf-8"?>
<worksheet xmlns="http://schemas.openxmlformats.org/spreadsheetml/2006/main" xmlns:r="http://schemas.openxmlformats.org/officeDocument/2006/relationships">
  <sheetPr enableFormatConditionsCalculation="0">
    <tabColor theme="8" tint="-0.249977111117893"/>
    <pageSetUpPr fitToPage="1"/>
  </sheetPr>
  <dimension ref="A1:X105"/>
  <sheetViews>
    <sheetView zoomScaleNormal="10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 style="3064" customWidth="1"/>
    <col min="2" max="2" width="18.140625" customWidth="1"/>
    <col min="3" max="3" width="36.42578125" customWidth="1"/>
    <col min="4" max="4" width="14.85546875" style="19" customWidth="1"/>
    <col min="5" max="5" width="14.85546875" customWidth="1"/>
    <col min="6" max="6" width="16.28515625"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19" width="15.42578125" bestFit="1" customWidth="1"/>
    <col min="20" max="20" width="20.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3.85546875" customWidth="1"/>
    <col min="260" max="260" width="19.7109375" bestFit="1" customWidth="1"/>
    <col min="261" max="261" width="11.42578125" bestFit="1" customWidth="1"/>
    <col min="262" max="262" width="14.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5" width="15.42578125" bestFit="1" customWidth="1"/>
    <col min="276" max="276" width="20.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3.85546875" customWidth="1"/>
    <col min="516" max="516" width="19.7109375" bestFit="1" customWidth="1"/>
    <col min="517" max="517" width="11.42578125" bestFit="1" customWidth="1"/>
    <col min="518" max="518" width="14.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1" width="15.42578125" bestFit="1" customWidth="1"/>
    <col min="532" max="532" width="20.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3.85546875" customWidth="1"/>
    <col min="772" max="772" width="19.7109375" bestFit="1" customWidth="1"/>
    <col min="773" max="773" width="11.42578125" bestFit="1" customWidth="1"/>
    <col min="774" max="774" width="14.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7" width="15.42578125" bestFit="1" customWidth="1"/>
    <col min="788" max="788" width="20.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3.85546875" customWidth="1"/>
    <col min="1028" max="1028" width="19.7109375" bestFit="1" customWidth="1"/>
    <col min="1029" max="1029" width="11.42578125" bestFit="1" customWidth="1"/>
    <col min="1030" max="1030" width="14.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3" width="15.42578125" bestFit="1" customWidth="1"/>
    <col min="1044" max="1044" width="20.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3.85546875" customWidth="1"/>
    <col min="1284" max="1284" width="19.7109375" bestFit="1" customWidth="1"/>
    <col min="1285" max="1285" width="11.42578125" bestFit="1" customWidth="1"/>
    <col min="1286" max="1286" width="14.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299" width="15.42578125" bestFit="1" customWidth="1"/>
    <col min="1300" max="1300" width="20.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3.85546875" customWidth="1"/>
    <col min="1540" max="1540" width="19.7109375" bestFit="1" customWidth="1"/>
    <col min="1541" max="1541" width="11.42578125" bestFit="1" customWidth="1"/>
    <col min="1542" max="1542" width="14.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5" width="15.42578125" bestFit="1" customWidth="1"/>
    <col min="1556" max="1556" width="20.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3.85546875" customWidth="1"/>
    <col min="1796" max="1796" width="19.7109375" bestFit="1" customWidth="1"/>
    <col min="1797" max="1797" width="11.42578125" bestFit="1" customWidth="1"/>
    <col min="1798" max="1798" width="14.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1" width="15.42578125" bestFit="1" customWidth="1"/>
    <col min="1812" max="1812" width="20.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3.85546875" customWidth="1"/>
    <col min="2052" max="2052" width="19.7109375" bestFit="1" customWidth="1"/>
    <col min="2053" max="2053" width="11.42578125" bestFit="1" customWidth="1"/>
    <col min="2054" max="2054" width="14.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7" width="15.42578125" bestFit="1" customWidth="1"/>
    <col min="2068" max="2068" width="20.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3.85546875" customWidth="1"/>
    <col min="2308" max="2308" width="19.7109375" bestFit="1" customWidth="1"/>
    <col min="2309" max="2309" width="11.42578125" bestFit="1" customWidth="1"/>
    <col min="2310" max="2310" width="14.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3" width="15.42578125" bestFit="1" customWidth="1"/>
    <col min="2324" max="2324" width="20.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3.85546875" customWidth="1"/>
    <col min="2564" max="2564" width="19.7109375" bestFit="1" customWidth="1"/>
    <col min="2565" max="2565" width="11.42578125" bestFit="1" customWidth="1"/>
    <col min="2566" max="2566" width="14.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79" width="15.42578125" bestFit="1" customWidth="1"/>
    <col min="2580" max="2580" width="20.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3.85546875" customWidth="1"/>
    <col min="2820" max="2820" width="19.7109375" bestFit="1" customWidth="1"/>
    <col min="2821" max="2821" width="11.42578125" bestFit="1" customWidth="1"/>
    <col min="2822" max="2822" width="14.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5" width="15.42578125" bestFit="1" customWidth="1"/>
    <col min="2836" max="2836" width="20.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3.85546875" customWidth="1"/>
    <col min="3076" max="3076" width="19.7109375" bestFit="1" customWidth="1"/>
    <col min="3077" max="3077" width="11.42578125" bestFit="1" customWidth="1"/>
    <col min="3078" max="3078" width="14.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1" width="15.42578125" bestFit="1" customWidth="1"/>
    <col min="3092" max="3092" width="20.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3.85546875" customWidth="1"/>
    <col min="3332" max="3332" width="19.7109375" bestFit="1" customWidth="1"/>
    <col min="3333" max="3333" width="11.42578125" bestFit="1" customWidth="1"/>
    <col min="3334" max="3334" width="14.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7" width="15.42578125" bestFit="1" customWidth="1"/>
    <col min="3348" max="3348" width="20.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3.85546875" customWidth="1"/>
    <col min="3588" max="3588" width="19.7109375" bestFit="1" customWidth="1"/>
    <col min="3589" max="3589" width="11.42578125" bestFit="1" customWidth="1"/>
    <col min="3590" max="3590" width="14.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3" width="15.42578125" bestFit="1" customWidth="1"/>
    <col min="3604" max="3604" width="20.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3.85546875" customWidth="1"/>
    <col min="3844" max="3844" width="19.7109375" bestFit="1" customWidth="1"/>
    <col min="3845" max="3845" width="11.42578125" bestFit="1" customWidth="1"/>
    <col min="3846" max="3846" width="14.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59" width="15.42578125" bestFit="1" customWidth="1"/>
    <col min="3860" max="3860" width="20.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3.85546875" customWidth="1"/>
    <col min="4100" max="4100" width="19.7109375" bestFit="1" customWidth="1"/>
    <col min="4101" max="4101" width="11.42578125" bestFit="1" customWidth="1"/>
    <col min="4102" max="4102" width="14.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5" width="15.42578125" bestFit="1" customWidth="1"/>
    <col min="4116" max="4116" width="20.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3.85546875" customWidth="1"/>
    <col min="4356" max="4356" width="19.7109375" bestFit="1" customWidth="1"/>
    <col min="4357" max="4357" width="11.42578125" bestFit="1" customWidth="1"/>
    <col min="4358" max="4358" width="14.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1" width="15.42578125" bestFit="1" customWidth="1"/>
    <col min="4372" max="4372" width="20.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3.85546875" customWidth="1"/>
    <col min="4612" max="4612" width="19.7109375" bestFit="1" customWidth="1"/>
    <col min="4613" max="4613" width="11.42578125" bestFit="1" customWidth="1"/>
    <col min="4614" max="4614" width="14.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7" width="15.42578125" bestFit="1" customWidth="1"/>
    <col min="4628" max="4628" width="20.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3.85546875" customWidth="1"/>
    <col min="4868" max="4868" width="19.7109375" bestFit="1" customWidth="1"/>
    <col min="4869" max="4869" width="11.42578125" bestFit="1" customWidth="1"/>
    <col min="4870" max="4870" width="14.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3" width="15.42578125" bestFit="1" customWidth="1"/>
    <col min="4884" max="4884" width="20.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3.85546875" customWidth="1"/>
    <col min="5124" max="5124" width="19.7109375" bestFit="1" customWidth="1"/>
    <col min="5125" max="5125" width="11.42578125" bestFit="1" customWidth="1"/>
    <col min="5126" max="5126" width="14.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39" width="15.42578125" bestFit="1" customWidth="1"/>
    <col min="5140" max="5140" width="20.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3.85546875" customWidth="1"/>
    <col min="5380" max="5380" width="19.7109375" bestFit="1" customWidth="1"/>
    <col min="5381" max="5381" width="11.42578125" bestFit="1" customWidth="1"/>
    <col min="5382" max="5382" width="14.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5" width="15.42578125" bestFit="1" customWidth="1"/>
    <col min="5396" max="5396" width="20.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3.85546875" customWidth="1"/>
    <col min="5636" max="5636" width="19.7109375" bestFit="1" customWidth="1"/>
    <col min="5637" max="5637" width="11.42578125" bestFit="1" customWidth="1"/>
    <col min="5638" max="5638" width="14.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1" width="15.42578125" bestFit="1" customWidth="1"/>
    <col min="5652" max="5652" width="20.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3.85546875" customWidth="1"/>
    <col min="5892" max="5892" width="19.7109375" bestFit="1" customWidth="1"/>
    <col min="5893" max="5893" width="11.42578125" bestFit="1" customWidth="1"/>
    <col min="5894" max="5894" width="14.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7" width="15.42578125" bestFit="1" customWidth="1"/>
    <col min="5908" max="5908" width="20.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3.85546875" customWidth="1"/>
    <col min="6148" max="6148" width="19.7109375" bestFit="1" customWidth="1"/>
    <col min="6149" max="6149" width="11.42578125" bestFit="1" customWidth="1"/>
    <col min="6150" max="6150" width="14.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3" width="15.42578125" bestFit="1" customWidth="1"/>
    <col min="6164" max="6164" width="20.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3.85546875" customWidth="1"/>
    <col min="6404" max="6404" width="19.7109375" bestFit="1" customWidth="1"/>
    <col min="6405" max="6405" width="11.42578125" bestFit="1" customWidth="1"/>
    <col min="6406" max="6406" width="14.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19" width="15.42578125" bestFit="1" customWidth="1"/>
    <col min="6420" max="6420" width="20.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3.85546875" customWidth="1"/>
    <col min="6660" max="6660" width="19.7109375" bestFit="1" customWidth="1"/>
    <col min="6661" max="6661" width="11.42578125" bestFit="1" customWidth="1"/>
    <col min="6662" max="6662" width="14.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5" width="15.42578125" bestFit="1" customWidth="1"/>
    <col min="6676" max="6676" width="20.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3.85546875" customWidth="1"/>
    <col min="6916" max="6916" width="19.7109375" bestFit="1" customWidth="1"/>
    <col min="6917" max="6917" width="11.42578125" bestFit="1" customWidth="1"/>
    <col min="6918" max="6918" width="14.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1" width="15.42578125" bestFit="1" customWidth="1"/>
    <col min="6932" max="6932" width="20.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3.85546875" customWidth="1"/>
    <col min="7172" max="7172" width="19.7109375" bestFit="1" customWidth="1"/>
    <col min="7173" max="7173" width="11.42578125" bestFit="1" customWidth="1"/>
    <col min="7174" max="7174" width="14.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7" width="15.42578125" bestFit="1" customWidth="1"/>
    <col min="7188" max="7188" width="20.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3.85546875" customWidth="1"/>
    <col min="7428" max="7428" width="19.7109375" bestFit="1" customWidth="1"/>
    <col min="7429" max="7429" width="11.42578125" bestFit="1" customWidth="1"/>
    <col min="7430" max="7430" width="14.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3" width="15.42578125" bestFit="1" customWidth="1"/>
    <col min="7444" max="7444" width="20.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3.85546875" customWidth="1"/>
    <col min="7684" max="7684" width="19.7109375" bestFit="1" customWidth="1"/>
    <col min="7685" max="7685" width="11.42578125" bestFit="1" customWidth="1"/>
    <col min="7686" max="7686" width="14.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699" width="15.42578125" bestFit="1" customWidth="1"/>
    <col min="7700" max="7700" width="20.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3.85546875" customWidth="1"/>
    <col min="7940" max="7940" width="19.7109375" bestFit="1" customWidth="1"/>
    <col min="7941" max="7941" width="11.42578125" bestFit="1" customWidth="1"/>
    <col min="7942" max="7942" width="14.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5" width="15.42578125" bestFit="1" customWidth="1"/>
    <col min="7956" max="7956" width="20.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3.85546875" customWidth="1"/>
    <col min="8196" max="8196" width="19.7109375" bestFit="1" customWidth="1"/>
    <col min="8197" max="8197" width="11.42578125" bestFit="1" customWidth="1"/>
    <col min="8198" max="8198" width="14.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1" width="15.42578125" bestFit="1" customWidth="1"/>
    <col min="8212" max="8212" width="20.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3.85546875" customWidth="1"/>
    <col min="8452" max="8452" width="19.7109375" bestFit="1" customWidth="1"/>
    <col min="8453" max="8453" width="11.42578125" bestFit="1" customWidth="1"/>
    <col min="8454" max="8454" width="14.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7" width="15.42578125" bestFit="1" customWidth="1"/>
    <col min="8468" max="8468" width="20.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3.85546875" customWidth="1"/>
    <col min="8708" max="8708" width="19.7109375" bestFit="1" customWidth="1"/>
    <col min="8709" max="8709" width="11.42578125" bestFit="1" customWidth="1"/>
    <col min="8710" max="8710" width="14.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3" width="15.42578125" bestFit="1" customWidth="1"/>
    <col min="8724" max="8724" width="20.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3.85546875" customWidth="1"/>
    <col min="8964" max="8964" width="19.7109375" bestFit="1" customWidth="1"/>
    <col min="8965" max="8965" width="11.42578125" bestFit="1" customWidth="1"/>
    <col min="8966" max="8966" width="14.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79" width="15.42578125" bestFit="1" customWidth="1"/>
    <col min="8980" max="8980" width="20.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3.85546875" customWidth="1"/>
    <col min="9220" max="9220" width="19.7109375" bestFit="1" customWidth="1"/>
    <col min="9221" max="9221" width="11.42578125" bestFit="1" customWidth="1"/>
    <col min="9222" max="9222" width="14.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5" width="15.42578125" bestFit="1" customWidth="1"/>
    <col min="9236" max="9236" width="20.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3.85546875" customWidth="1"/>
    <col min="9476" max="9476" width="19.7109375" bestFit="1" customWidth="1"/>
    <col min="9477" max="9477" width="11.42578125" bestFit="1" customWidth="1"/>
    <col min="9478" max="9478" width="14.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1" width="15.42578125" bestFit="1" customWidth="1"/>
    <col min="9492" max="9492" width="20.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3.85546875" customWidth="1"/>
    <col min="9732" max="9732" width="19.7109375" bestFit="1" customWidth="1"/>
    <col min="9733" max="9733" width="11.42578125" bestFit="1" customWidth="1"/>
    <col min="9734" max="9734" width="14.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7" width="15.42578125" bestFit="1" customWidth="1"/>
    <col min="9748" max="9748" width="20.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3.85546875" customWidth="1"/>
    <col min="9988" max="9988" width="19.7109375" bestFit="1" customWidth="1"/>
    <col min="9989" max="9989" width="11.42578125" bestFit="1" customWidth="1"/>
    <col min="9990" max="9990" width="14.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3" width="15.42578125" bestFit="1" customWidth="1"/>
    <col min="10004" max="10004" width="20.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3.85546875" customWidth="1"/>
    <col min="10244" max="10244" width="19.7109375" bestFit="1" customWidth="1"/>
    <col min="10245" max="10245" width="11.42578125" bestFit="1" customWidth="1"/>
    <col min="10246" max="10246" width="14.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59" width="15.42578125" bestFit="1" customWidth="1"/>
    <col min="10260" max="10260" width="20.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3.85546875" customWidth="1"/>
    <col min="10500" max="10500" width="19.7109375" bestFit="1" customWidth="1"/>
    <col min="10501" max="10501" width="11.42578125" bestFit="1" customWidth="1"/>
    <col min="10502" max="10502" width="14.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5" width="15.42578125" bestFit="1" customWidth="1"/>
    <col min="10516" max="10516" width="20.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3.85546875" customWidth="1"/>
    <col min="10756" max="10756" width="19.7109375" bestFit="1" customWidth="1"/>
    <col min="10757" max="10757" width="11.42578125" bestFit="1" customWidth="1"/>
    <col min="10758" max="10758" width="14.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1" width="15.42578125" bestFit="1" customWidth="1"/>
    <col min="10772" max="10772" width="20.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3.85546875" customWidth="1"/>
    <col min="11012" max="11012" width="19.7109375" bestFit="1" customWidth="1"/>
    <col min="11013" max="11013" width="11.42578125" bestFit="1" customWidth="1"/>
    <col min="11014" max="11014" width="14.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7" width="15.42578125" bestFit="1" customWidth="1"/>
    <col min="11028" max="11028" width="20.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3.85546875" customWidth="1"/>
    <col min="11268" max="11268" width="19.7109375" bestFit="1" customWidth="1"/>
    <col min="11269" max="11269" width="11.42578125" bestFit="1" customWidth="1"/>
    <col min="11270" max="11270" width="14.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3" width="15.42578125" bestFit="1" customWidth="1"/>
    <col min="11284" max="11284" width="20.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3.85546875" customWidth="1"/>
    <col min="11524" max="11524" width="19.7109375" bestFit="1" customWidth="1"/>
    <col min="11525" max="11525" width="11.42578125" bestFit="1" customWidth="1"/>
    <col min="11526" max="11526" width="14.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39" width="15.42578125" bestFit="1" customWidth="1"/>
    <col min="11540" max="11540" width="20.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3.85546875" customWidth="1"/>
    <col min="11780" max="11780" width="19.7109375" bestFit="1" customWidth="1"/>
    <col min="11781" max="11781" width="11.42578125" bestFit="1" customWidth="1"/>
    <col min="11782" max="11782" width="14.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5" width="15.42578125" bestFit="1" customWidth="1"/>
    <col min="11796" max="11796" width="20.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3.85546875" customWidth="1"/>
    <col min="12036" max="12036" width="19.7109375" bestFit="1" customWidth="1"/>
    <col min="12037" max="12037" width="11.42578125" bestFit="1" customWidth="1"/>
    <col min="12038" max="12038" width="14.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1" width="15.42578125" bestFit="1" customWidth="1"/>
    <col min="12052" max="12052" width="20.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3.85546875" customWidth="1"/>
    <col min="12292" max="12292" width="19.7109375" bestFit="1" customWidth="1"/>
    <col min="12293" max="12293" width="11.42578125" bestFit="1" customWidth="1"/>
    <col min="12294" max="12294" width="14.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7" width="15.42578125" bestFit="1" customWidth="1"/>
    <col min="12308" max="12308" width="20.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3.85546875" customWidth="1"/>
    <col min="12548" max="12548" width="19.7109375" bestFit="1" customWidth="1"/>
    <col min="12549" max="12549" width="11.42578125" bestFit="1" customWidth="1"/>
    <col min="12550" max="12550" width="14.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3" width="15.42578125" bestFit="1" customWidth="1"/>
    <col min="12564" max="12564" width="20.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3.85546875" customWidth="1"/>
    <col min="12804" max="12804" width="19.7109375" bestFit="1" customWidth="1"/>
    <col min="12805" max="12805" width="11.42578125" bestFit="1" customWidth="1"/>
    <col min="12806" max="12806" width="14.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19" width="15.42578125" bestFit="1" customWidth="1"/>
    <col min="12820" max="12820" width="20.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3.85546875" customWidth="1"/>
    <col min="13060" max="13060" width="19.7109375" bestFit="1" customWidth="1"/>
    <col min="13061" max="13061" width="11.42578125" bestFit="1" customWidth="1"/>
    <col min="13062" max="13062" width="14.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5" width="15.42578125" bestFit="1" customWidth="1"/>
    <col min="13076" max="13076" width="20.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3.85546875" customWidth="1"/>
    <col min="13316" max="13316" width="19.7109375" bestFit="1" customWidth="1"/>
    <col min="13317" max="13317" width="11.42578125" bestFit="1" customWidth="1"/>
    <col min="13318" max="13318" width="14.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1" width="15.42578125" bestFit="1" customWidth="1"/>
    <col min="13332" max="13332" width="20.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3.85546875" customWidth="1"/>
    <col min="13572" max="13572" width="19.7109375" bestFit="1" customWidth="1"/>
    <col min="13573" max="13573" width="11.42578125" bestFit="1" customWidth="1"/>
    <col min="13574" max="13574" width="14.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7" width="15.42578125" bestFit="1" customWidth="1"/>
    <col min="13588" max="13588" width="20.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3.85546875" customWidth="1"/>
    <col min="13828" max="13828" width="19.7109375" bestFit="1" customWidth="1"/>
    <col min="13829" max="13829" width="11.42578125" bestFit="1" customWidth="1"/>
    <col min="13830" max="13830" width="14.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3" width="15.42578125" bestFit="1" customWidth="1"/>
    <col min="13844" max="13844" width="20.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3.85546875" customWidth="1"/>
    <col min="14084" max="14084" width="19.7109375" bestFit="1" customWidth="1"/>
    <col min="14085" max="14085" width="11.42578125" bestFit="1" customWidth="1"/>
    <col min="14086" max="14086" width="14.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099" width="15.42578125" bestFit="1" customWidth="1"/>
    <col min="14100" max="14100" width="20.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3.85546875" customWidth="1"/>
    <col min="14340" max="14340" width="19.7109375" bestFit="1" customWidth="1"/>
    <col min="14341" max="14341" width="11.42578125" bestFit="1" customWidth="1"/>
    <col min="14342" max="14342" width="14.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5" width="15.42578125" bestFit="1" customWidth="1"/>
    <col min="14356" max="14356" width="20.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3.85546875" customWidth="1"/>
    <col min="14596" max="14596" width="19.7109375" bestFit="1" customWidth="1"/>
    <col min="14597" max="14597" width="11.42578125" bestFit="1" customWidth="1"/>
    <col min="14598" max="14598" width="14.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1" width="15.42578125" bestFit="1" customWidth="1"/>
    <col min="14612" max="14612" width="20.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3.85546875" customWidth="1"/>
    <col min="14852" max="14852" width="19.7109375" bestFit="1" customWidth="1"/>
    <col min="14853" max="14853" width="11.42578125" bestFit="1" customWidth="1"/>
    <col min="14854" max="14854" width="14.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7" width="15.42578125" bestFit="1" customWidth="1"/>
    <col min="14868" max="14868" width="20.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3.85546875" customWidth="1"/>
    <col min="15108" max="15108" width="19.7109375" bestFit="1" customWidth="1"/>
    <col min="15109" max="15109" width="11.42578125" bestFit="1" customWidth="1"/>
    <col min="15110" max="15110" width="14.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3" width="15.42578125" bestFit="1" customWidth="1"/>
    <col min="15124" max="15124" width="20.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3.85546875" customWidth="1"/>
    <col min="15364" max="15364" width="19.7109375" bestFit="1" customWidth="1"/>
    <col min="15365" max="15365" width="11.42578125" bestFit="1" customWidth="1"/>
    <col min="15366" max="15366" width="14.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79" width="15.42578125" bestFit="1" customWidth="1"/>
    <col min="15380" max="15380" width="20.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3.85546875" customWidth="1"/>
    <col min="15620" max="15620" width="19.7109375" bestFit="1" customWidth="1"/>
    <col min="15621" max="15621" width="11.42578125" bestFit="1" customWidth="1"/>
    <col min="15622" max="15622" width="14.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5" width="15.42578125" bestFit="1" customWidth="1"/>
    <col min="15636" max="15636" width="20.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3.85546875" customWidth="1"/>
    <col min="15876" max="15876" width="19.7109375" bestFit="1" customWidth="1"/>
    <col min="15877" max="15877" width="11.42578125" bestFit="1" customWidth="1"/>
    <col min="15878" max="15878" width="14.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1" width="15.42578125" bestFit="1" customWidth="1"/>
    <col min="15892" max="15892" width="20.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3.85546875" customWidth="1"/>
    <col min="16132" max="16132" width="19.7109375" bestFit="1" customWidth="1"/>
    <col min="16133" max="16133" width="11.42578125" bestFit="1" customWidth="1"/>
    <col min="16134" max="16134" width="14.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7" width="15.42578125" bestFit="1" customWidth="1"/>
    <col min="16148" max="16148" width="20.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1.25" customHeight="1" thickBot="1">
      <c r="B1" s="3461"/>
      <c r="F1" s="198"/>
      <c r="G1" s="198">
        <f>C3</f>
        <v>18230639</v>
      </c>
      <c r="H1" s="198" t="str">
        <f>C4</f>
        <v>SF Existing Pilots - Gas</v>
      </c>
      <c r="I1" s="198"/>
    </row>
    <row r="2" spans="2:22" ht="16.5" thickBot="1">
      <c r="B2" s="198" t="s">
        <v>109</v>
      </c>
      <c r="C2" s="199" t="s">
        <v>636</v>
      </c>
      <c r="G2" s="200" t="s">
        <v>8</v>
      </c>
      <c r="Q2" s="5133" t="s">
        <v>556</v>
      </c>
      <c r="R2" s="5133"/>
      <c r="S2" s="5124" t="s">
        <v>110</v>
      </c>
      <c r="T2" s="5125"/>
      <c r="U2" s="5126"/>
      <c r="V2" s="5118" t="s">
        <v>111</v>
      </c>
    </row>
    <row r="3" spans="2:22" ht="16.5" thickBot="1">
      <c r="B3" s="199" t="s">
        <v>6</v>
      </c>
      <c r="C3" s="199">
        <v>18230639</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637</v>
      </c>
      <c r="F4" s="198">
        <v>2011</v>
      </c>
      <c r="G4" s="206">
        <f>B13</f>
        <v>3459</v>
      </c>
      <c r="H4" s="207">
        <f>B18</f>
        <v>2306</v>
      </c>
      <c r="I4" s="207">
        <f>B23</f>
        <v>3632</v>
      </c>
      <c r="J4" s="207">
        <f>B28</f>
        <v>12000</v>
      </c>
      <c r="K4" s="207">
        <f>B33</f>
        <v>600</v>
      </c>
      <c r="L4" s="207">
        <f>B38</f>
        <v>18000</v>
      </c>
      <c r="M4" s="207">
        <f>B43</f>
        <v>1200</v>
      </c>
      <c r="N4" s="207">
        <f>B48</f>
        <v>1200</v>
      </c>
      <c r="O4" s="207">
        <f>B53</f>
        <v>70000</v>
      </c>
      <c r="P4" s="207">
        <f>B54</f>
        <v>0</v>
      </c>
      <c r="Q4" s="209">
        <f>B55</f>
        <v>112397</v>
      </c>
      <c r="R4" s="355">
        <f>T55</f>
        <v>0</v>
      </c>
      <c r="S4" s="316">
        <f>O4/Q4</f>
        <v>0.62279242328531903</v>
      </c>
      <c r="T4" s="316">
        <f>(J4+(H4*1.63))/Q4</f>
        <v>0.14020641120314598</v>
      </c>
      <c r="U4" s="316">
        <f>L4/Q4</f>
        <v>0.16014662313051059</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356">
        <f>P55</f>
        <v>0</v>
      </c>
      <c r="S5" s="317" t="e">
        <f>O5/Q5</f>
        <v>#DIV/0!</v>
      </c>
      <c r="T5" s="317" t="e">
        <f>(J5+(H5*1.63))/Q5</f>
        <v>#DIV/0!</v>
      </c>
      <c r="U5" s="317" t="e">
        <f>L5/Q5</f>
        <v>#DIV/0!</v>
      </c>
      <c r="V5" s="218" t="e">
        <f>Q5/R5</f>
        <v>#DIV/0!</v>
      </c>
    </row>
    <row r="6" spans="2:22" s="3532" customFormat="1" ht="16.5" thickBot="1">
      <c r="B6" s="3536"/>
      <c r="D6" s="3533"/>
      <c r="F6" s="3536" t="s">
        <v>1168</v>
      </c>
      <c r="G6" s="3547">
        <v>0</v>
      </c>
      <c r="H6" s="3548">
        <v>0</v>
      </c>
      <c r="I6" s="3548">
        <v>0</v>
      </c>
      <c r="J6" s="3548">
        <v>0</v>
      </c>
      <c r="K6" s="3548">
        <v>0</v>
      </c>
      <c r="L6" s="3548">
        <v>0</v>
      </c>
      <c r="M6" s="3548">
        <v>0</v>
      </c>
      <c r="N6" s="3548">
        <v>0</v>
      </c>
      <c r="O6" s="3548">
        <v>0</v>
      </c>
      <c r="P6" s="3548">
        <v>0</v>
      </c>
      <c r="Q6" s="3549">
        <v>0</v>
      </c>
      <c r="R6" s="3610">
        <v>0</v>
      </c>
      <c r="S6" s="3637" t="e">
        <v>#DIV/0!</v>
      </c>
      <c r="T6" s="3637" t="e">
        <v>#DIV/0!</v>
      </c>
      <c r="U6" s="3637" t="e">
        <v>#DIV/0!</v>
      </c>
      <c r="V6" s="3498" t="e">
        <v>#DIV/0!</v>
      </c>
    </row>
    <row r="7" spans="2:22" ht="16.5" thickBot="1">
      <c r="C7" s="198" t="s">
        <v>551</v>
      </c>
      <c r="F7" s="4191" t="s">
        <v>1169</v>
      </c>
      <c r="G7" s="4195">
        <f>E13</f>
        <v>0</v>
      </c>
      <c r="H7" s="4196">
        <f>E18</f>
        <v>0</v>
      </c>
      <c r="I7" s="4196">
        <f>E23</f>
        <v>0</v>
      </c>
      <c r="J7" s="4196">
        <f>E28</f>
        <v>0</v>
      </c>
      <c r="K7" s="4196">
        <f>E33</f>
        <v>0</v>
      </c>
      <c r="L7" s="4196">
        <f>E38</f>
        <v>0</v>
      </c>
      <c r="M7" s="4196">
        <f>E43</f>
        <v>0</v>
      </c>
      <c r="N7" s="4196">
        <f>E48</f>
        <v>0</v>
      </c>
      <c r="O7" s="4196">
        <f>E53</f>
        <v>0</v>
      </c>
      <c r="P7" s="4196">
        <f>E54</f>
        <v>0</v>
      </c>
      <c r="Q7" s="4197">
        <f>SUM(G7:P7)</f>
        <v>0</v>
      </c>
      <c r="R7" s="4198">
        <f>Q55</f>
        <v>0</v>
      </c>
      <c r="S7" s="317" t="e">
        <f>O7/Q7</f>
        <v>#DIV/0!</v>
      </c>
      <c r="T7" s="317" t="e">
        <f>(J7+(H7*1.63))/Q7</f>
        <v>#DIV/0!</v>
      </c>
      <c r="U7" s="317" t="e">
        <f>L7/Q7</f>
        <v>#DIV/0!</v>
      </c>
      <c r="V7" s="218" t="e">
        <f>Q7/R7</f>
        <v>#DIV/0!</v>
      </c>
    </row>
    <row r="8" spans="2:22" ht="16.5" thickBot="1">
      <c r="C8" s="220" t="s">
        <v>548</v>
      </c>
      <c r="F8" s="3611" t="s">
        <v>1175</v>
      </c>
      <c r="G8" s="357">
        <f>SUM(G5+G7)</f>
        <v>0</v>
      </c>
      <c r="H8" s="3612">
        <f t="shared" ref="H8:Q8" si="0">SUM(H5+H7)</f>
        <v>0</v>
      </c>
      <c r="I8" s="3612">
        <f t="shared" si="0"/>
        <v>0</v>
      </c>
      <c r="J8" s="3612">
        <f t="shared" si="0"/>
        <v>0</v>
      </c>
      <c r="K8" s="3612">
        <f t="shared" si="0"/>
        <v>0</v>
      </c>
      <c r="L8" s="3612">
        <f t="shared" si="0"/>
        <v>0</v>
      </c>
      <c r="M8" s="3612">
        <f t="shared" si="0"/>
        <v>0</v>
      </c>
      <c r="N8" s="3612">
        <f t="shared" si="0"/>
        <v>0</v>
      </c>
      <c r="O8" s="3612">
        <f t="shared" si="0"/>
        <v>0</v>
      </c>
      <c r="P8" s="3612">
        <f t="shared" si="0"/>
        <v>0</v>
      </c>
      <c r="Q8" s="3612">
        <f t="shared" si="0"/>
        <v>0</v>
      </c>
      <c r="R8" s="3610">
        <f>SUM(R5+R7)</f>
        <v>0</v>
      </c>
      <c r="S8" s="317" t="e">
        <f>O8/Q8</f>
        <v>#DIV/0!</v>
      </c>
      <c r="T8" s="317" t="e">
        <f>(J8+(H8*1.63))/Q8</f>
        <v>#DIV/0!</v>
      </c>
      <c r="U8" s="317" t="e">
        <f>L8/Q8</f>
        <v>#DIV/0!</v>
      </c>
      <c r="V8" s="218" t="e">
        <f>Q8/R8</f>
        <v>#DIV/0!</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3459</v>
      </c>
      <c r="C13" s="236" t="s">
        <v>138</v>
      </c>
      <c r="D13" s="237">
        <f>SUM(D14:D17)</f>
        <v>0</v>
      </c>
      <c r="E13" s="237">
        <f>SUM(E14:E17)</f>
        <v>0</v>
      </c>
      <c r="F13" s="238">
        <f>D13+E13</f>
        <v>0</v>
      </c>
      <c r="H13" s="132"/>
      <c r="I13" s="239" t="str">
        <f t="shared" ref="I13:I54" si="1">C63</f>
        <v>Measure 1</v>
      </c>
      <c r="J13" s="240"/>
      <c r="K13" s="241"/>
      <c r="L13" s="360">
        <f t="shared" ref="L13:L54" si="2">D63</f>
        <v>0</v>
      </c>
      <c r="M13" s="257">
        <v>0</v>
      </c>
      <c r="N13" s="257">
        <v>0</v>
      </c>
      <c r="O13" s="244">
        <f>M13+N13</f>
        <v>0</v>
      </c>
      <c r="P13" s="361">
        <f t="shared" ref="P13:R28" si="3">M13*$D63</f>
        <v>0</v>
      </c>
      <c r="Q13" s="361">
        <f t="shared" si="3"/>
        <v>0</v>
      </c>
      <c r="R13" s="362">
        <f t="shared" si="3"/>
        <v>0</v>
      </c>
      <c r="T13" s="3535"/>
    </row>
    <row r="14" spans="2:22">
      <c r="B14" s="247"/>
      <c r="C14" s="248" t="s">
        <v>139</v>
      </c>
      <c r="D14" s="249">
        <v>0</v>
      </c>
      <c r="E14" s="249">
        <v>0</v>
      </c>
      <c r="F14" s="249">
        <f>SUM(D14:E14)</f>
        <v>0</v>
      </c>
      <c r="H14" s="132"/>
      <c r="I14" s="250" t="str">
        <f t="shared" si="1"/>
        <v>Measure 2</v>
      </c>
      <c r="J14" s="251"/>
      <c r="K14" s="252"/>
      <c r="L14" s="360">
        <f t="shared" si="2"/>
        <v>0</v>
      </c>
      <c r="M14" s="257">
        <v>0</v>
      </c>
      <c r="N14" s="257">
        <v>0</v>
      </c>
      <c r="O14" s="244">
        <f t="shared" ref="O14:O54" si="4">M14+N14</f>
        <v>0</v>
      </c>
      <c r="P14" s="361">
        <f t="shared" si="3"/>
        <v>0</v>
      </c>
      <c r="Q14" s="361">
        <f t="shared" si="3"/>
        <v>0</v>
      </c>
      <c r="R14" s="362">
        <f t="shared" si="3"/>
        <v>0</v>
      </c>
      <c r="T14" s="3535"/>
    </row>
    <row r="15" spans="2:22">
      <c r="B15" s="254"/>
      <c r="C15" s="255" t="s">
        <v>140</v>
      </c>
      <c r="D15" s="256">
        <v>0</v>
      </c>
      <c r="E15" s="256"/>
      <c r="F15" s="249">
        <f t="shared" ref="F15:F25" si="5">SUM(D15:E15)</f>
        <v>0</v>
      </c>
      <c r="H15" s="132"/>
      <c r="I15" s="250" t="str">
        <f t="shared" si="1"/>
        <v>Measure 3</v>
      </c>
      <c r="J15" s="251"/>
      <c r="K15" s="252"/>
      <c r="L15" s="360">
        <f t="shared" si="2"/>
        <v>0</v>
      </c>
      <c r="M15" s="257">
        <v>0</v>
      </c>
      <c r="N15" s="257">
        <v>0</v>
      </c>
      <c r="O15" s="244">
        <f t="shared" si="4"/>
        <v>0</v>
      </c>
      <c r="P15" s="361">
        <f t="shared" si="3"/>
        <v>0</v>
      </c>
      <c r="Q15" s="361">
        <f t="shared" si="3"/>
        <v>0</v>
      </c>
      <c r="R15" s="362">
        <f t="shared" si="3"/>
        <v>0</v>
      </c>
      <c r="T15" s="3535"/>
    </row>
    <row r="16" spans="2:22">
      <c r="B16" s="254"/>
      <c r="C16" s="255" t="s">
        <v>141</v>
      </c>
      <c r="D16" s="258">
        <v>0</v>
      </c>
      <c r="E16" s="258"/>
      <c r="F16" s="249">
        <f t="shared" si="5"/>
        <v>0</v>
      </c>
      <c r="H16" s="132"/>
      <c r="I16" s="250" t="str">
        <f t="shared" si="1"/>
        <v>Measure 4</v>
      </c>
      <c r="J16" s="251"/>
      <c r="K16" s="252"/>
      <c r="L16" s="360">
        <f t="shared" si="2"/>
        <v>0</v>
      </c>
      <c r="M16" s="257">
        <v>0</v>
      </c>
      <c r="N16" s="257">
        <v>0</v>
      </c>
      <c r="O16" s="244">
        <f t="shared" si="4"/>
        <v>0</v>
      </c>
      <c r="P16" s="361">
        <f t="shared" si="3"/>
        <v>0</v>
      </c>
      <c r="Q16" s="361">
        <f t="shared" si="3"/>
        <v>0</v>
      </c>
      <c r="R16" s="362">
        <f t="shared" si="3"/>
        <v>0</v>
      </c>
      <c r="T16" s="3535"/>
    </row>
    <row r="17" spans="2:20" ht="13.5" thickBot="1">
      <c r="B17" s="254"/>
      <c r="C17" s="255" t="s">
        <v>142</v>
      </c>
      <c r="D17" s="258">
        <v>0</v>
      </c>
      <c r="E17" s="258"/>
      <c r="F17" s="249">
        <f t="shared" si="5"/>
        <v>0</v>
      </c>
      <c r="H17" s="132"/>
      <c r="I17" s="250" t="str">
        <f t="shared" si="1"/>
        <v>Measure 5</v>
      </c>
      <c r="J17" s="251"/>
      <c r="K17" s="252"/>
      <c r="L17" s="360">
        <f t="shared" si="2"/>
        <v>0</v>
      </c>
      <c r="M17" s="257">
        <v>0</v>
      </c>
      <c r="N17" s="257">
        <v>0</v>
      </c>
      <c r="O17" s="244">
        <f t="shared" si="4"/>
        <v>0</v>
      </c>
      <c r="P17" s="361">
        <f t="shared" si="3"/>
        <v>0</v>
      </c>
      <c r="Q17" s="361">
        <f t="shared" si="3"/>
        <v>0</v>
      </c>
      <c r="R17" s="362">
        <f t="shared" si="3"/>
        <v>0</v>
      </c>
      <c r="T17" s="3535"/>
    </row>
    <row r="18" spans="2:20" ht="13.5" thickBot="1">
      <c r="B18" s="262">
        <v>2306</v>
      </c>
      <c r="C18" s="236" t="s">
        <v>143</v>
      </c>
      <c r="D18" s="237">
        <f>SUM(D19:D22)</f>
        <v>0</v>
      </c>
      <c r="E18" s="237">
        <f>SUM(E19:E22)</f>
        <v>0</v>
      </c>
      <c r="F18" s="238">
        <f>D18+E18</f>
        <v>0</v>
      </c>
      <c r="H18" s="132"/>
      <c r="I18" s="250" t="str">
        <f t="shared" si="1"/>
        <v>Measure 6</v>
      </c>
      <c r="J18" s="251"/>
      <c r="K18" s="252"/>
      <c r="L18" s="360">
        <f t="shared" si="2"/>
        <v>0</v>
      </c>
      <c r="M18" s="257">
        <v>0</v>
      </c>
      <c r="N18" s="257">
        <v>0</v>
      </c>
      <c r="O18" s="244">
        <f t="shared" si="4"/>
        <v>0</v>
      </c>
      <c r="P18" s="361">
        <f t="shared" si="3"/>
        <v>0</v>
      </c>
      <c r="Q18" s="361">
        <f t="shared" si="3"/>
        <v>0</v>
      </c>
      <c r="R18" s="362">
        <f t="shared" si="3"/>
        <v>0</v>
      </c>
      <c r="T18" s="3535"/>
    </row>
    <row r="19" spans="2:20">
      <c r="B19" s="247"/>
      <c r="C19" s="248" t="s">
        <v>139</v>
      </c>
      <c r="D19" s="249">
        <v>0</v>
      </c>
      <c r="E19" s="249">
        <v>0</v>
      </c>
      <c r="F19" s="249">
        <f t="shared" si="5"/>
        <v>0</v>
      </c>
      <c r="H19" s="132"/>
      <c r="I19" s="250" t="str">
        <f t="shared" si="1"/>
        <v>Measure 7</v>
      </c>
      <c r="J19" s="251"/>
      <c r="K19" s="252"/>
      <c r="L19" s="360">
        <f t="shared" si="2"/>
        <v>0</v>
      </c>
      <c r="M19" s="257">
        <v>0</v>
      </c>
      <c r="N19" s="257">
        <v>0</v>
      </c>
      <c r="O19" s="244">
        <f t="shared" si="4"/>
        <v>0</v>
      </c>
      <c r="P19" s="361">
        <f t="shared" si="3"/>
        <v>0</v>
      </c>
      <c r="Q19" s="361">
        <f t="shared" si="3"/>
        <v>0</v>
      </c>
      <c r="R19" s="362">
        <f t="shared" si="3"/>
        <v>0</v>
      </c>
      <c r="T19" s="3535"/>
    </row>
    <row r="20" spans="2:20">
      <c r="B20" s="254"/>
      <c r="C20" s="255" t="s">
        <v>140</v>
      </c>
      <c r="D20" s="256">
        <v>0</v>
      </c>
      <c r="E20" s="256"/>
      <c r="F20" s="249">
        <f t="shared" si="5"/>
        <v>0</v>
      </c>
      <c r="H20" s="132"/>
      <c r="I20" s="250" t="str">
        <f t="shared" si="1"/>
        <v>Measure 8</v>
      </c>
      <c r="J20" s="251"/>
      <c r="K20" s="252"/>
      <c r="L20" s="360">
        <f t="shared" si="2"/>
        <v>0</v>
      </c>
      <c r="M20" s="257">
        <v>0</v>
      </c>
      <c r="N20" s="257">
        <v>0</v>
      </c>
      <c r="O20" s="244">
        <f t="shared" si="4"/>
        <v>0</v>
      </c>
      <c r="P20" s="361">
        <f t="shared" si="3"/>
        <v>0</v>
      </c>
      <c r="Q20" s="361">
        <f t="shared" si="3"/>
        <v>0</v>
      </c>
      <c r="R20" s="362">
        <f t="shared" si="3"/>
        <v>0</v>
      </c>
      <c r="T20" s="3535"/>
    </row>
    <row r="21" spans="2:20">
      <c r="B21" s="254"/>
      <c r="C21" s="255" t="s">
        <v>141</v>
      </c>
      <c r="D21" s="258">
        <v>0</v>
      </c>
      <c r="E21" s="258"/>
      <c r="F21" s="249">
        <f t="shared" si="5"/>
        <v>0</v>
      </c>
      <c r="H21" s="132"/>
      <c r="I21" s="250" t="str">
        <f t="shared" si="1"/>
        <v>Measure 9</v>
      </c>
      <c r="J21" s="251"/>
      <c r="K21" s="252"/>
      <c r="L21" s="360">
        <f t="shared" si="2"/>
        <v>0</v>
      </c>
      <c r="M21" s="257">
        <v>0</v>
      </c>
      <c r="N21" s="257">
        <v>0</v>
      </c>
      <c r="O21" s="244">
        <f t="shared" si="4"/>
        <v>0</v>
      </c>
      <c r="P21" s="361">
        <f t="shared" si="3"/>
        <v>0</v>
      </c>
      <c r="Q21" s="361">
        <f t="shared" si="3"/>
        <v>0</v>
      </c>
      <c r="R21" s="362">
        <f t="shared" si="3"/>
        <v>0</v>
      </c>
      <c r="T21" s="3535"/>
    </row>
    <row r="22" spans="2:20" ht="13.5" thickBot="1">
      <c r="B22" s="254"/>
      <c r="C22" s="255" t="s">
        <v>142</v>
      </c>
      <c r="D22" s="258">
        <v>0</v>
      </c>
      <c r="E22" s="258"/>
      <c r="F22" s="249">
        <f t="shared" si="5"/>
        <v>0</v>
      </c>
      <c r="H22" s="132"/>
      <c r="I22" s="250" t="str">
        <f t="shared" si="1"/>
        <v>Measure 10</v>
      </c>
      <c r="J22" s="251"/>
      <c r="K22" s="252"/>
      <c r="L22" s="360">
        <f t="shared" si="2"/>
        <v>0</v>
      </c>
      <c r="M22" s="257">
        <v>0</v>
      </c>
      <c r="N22" s="257">
        <v>0</v>
      </c>
      <c r="O22" s="244">
        <f t="shared" si="4"/>
        <v>0</v>
      </c>
      <c r="P22" s="361">
        <f t="shared" si="3"/>
        <v>0</v>
      </c>
      <c r="Q22" s="361">
        <f t="shared" si="3"/>
        <v>0</v>
      </c>
      <c r="R22" s="362">
        <f t="shared" si="3"/>
        <v>0</v>
      </c>
      <c r="T22" s="3535"/>
    </row>
    <row r="23" spans="2:20" ht="13.5" thickBot="1">
      <c r="B23" s="262">
        <v>3632</v>
      </c>
      <c r="C23" s="236" t="s">
        <v>144</v>
      </c>
      <c r="D23" s="237">
        <f>SUM(D24:D27)</f>
        <v>0</v>
      </c>
      <c r="E23" s="237">
        <f>SUM(E24:E27)</f>
        <v>0</v>
      </c>
      <c r="F23" s="238">
        <f>D23+E23</f>
        <v>0</v>
      </c>
      <c r="G23" s="53"/>
      <c r="H23" s="132"/>
      <c r="I23" s="250" t="str">
        <f t="shared" si="1"/>
        <v>Measure 11</v>
      </c>
      <c r="J23" s="251"/>
      <c r="K23" s="252"/>
      <c r="L23" s="360">
        <f t="shared" si="2"/>
        <v>0</v>
      </c>
      <c r="M23" s="257">
        <v>0</v>
      </c>
      <c r="N23" s="257">
        <v>0</v>
      </c>
      <c r="O23" s="244">
        <f t="shared" si="4"/>
        <v>0</v>
      </c>
      <c r="P23" s="361">
        <f t="shared" si="3"/>
        <v>0</v>
      </c>
      <c r="Q23" s="361">
        <f t="shared" si="3"/>
        <v>0</v>
      </c>
      <c r="R23" s="362">
        <f t="shared" si="3"/>
        <v>0</v>
      </c>
      <c r="T23" s="3535"/>
    </row>
    <row r="24" spans="2:20">
      <c r="B24" s="247"/>
      <c r="C24" s="3566" t="s">
        <v>1434</v>
      </c>
      <c r="D24" s="249">
        <f>0.63*D13</f>
        <v>0</v>
      </c>
      <c r="E24" s="249">
        <f>0.707*E13</f>
        <v>0</v>
      </c>
      <c r="F24" s="249">
        <f t="shared" si="5"/>
        <v>0</v>
      </c>
      <c r="H24" s="132"/>
      <c r="I24" s="250" t="str">
        <f t="shared" si="1"/>
        <v>Measure 12</v>
      </c>
      <c r="J24" s="251"/>
      <c r="K24" s="252"/>
      <c r="L24" s="360">
        <f t="shared" si="2"/>
        <v>0</v>
      </c>
      <c r="M24" s="257">
        <v>0</v>
      </c>
      <c r="N24" s="257">
        <v>0</v>
      </c>
      <c r="O24" s="244">
        <f t="shared" si="4"/>
        <v>0</v>
      </c>
      <c r="P24" s="361">
        <f t="shared" si="3"/>
        <v>0</v>
      </c>
      <c r="Q24" s="361">
        <f t="shared" si="3"/>
        <v>0</v>
      </c>
      <c r="R24" s="362">
        <f t="shared" si="3"/>
        <v>0</v>
      </c>
      <c r="T24" s="3535"/>
    </row>
    <row r="25" spans="2:20">
      <c r="B25" s="247"/>
      <c r="C25" s="3566" t="s">
        <v>1435</v>
      </c>
      <c r="D25" s="256">
        <f>0.63*D18</f>
        <v>0</v>
      </c>
      <c r="E25" s="256">
        <f>0.707*E18</f>
        <v>0</v>
      </c>
      <c r="F25" s="249">
        <f t="shared" si="5"/>
        <v>0</v>
      </c>
      <c r="H25" s="132"/>
      <c r="I25" s="250" t="str">
        <f t="shared" si="1"/>
        <v>Measure 13</v>
      </c>
      <c r="J25" s="251"/>
      <c r="K25" s="252"/>
      <c r="L25" s="360">
        <f t="shared" si="2"/>
        <v>0</v>
      </c>
      <c r="M25" s="257">
        <v>0</v>
      </c>
      <c r="N25" s="257">
        <v>0</v>
      </c>
      <c r="O25" s="244">
        <f t="shared" si="4"/>
        <v>0</v>
      </c>
      <c r="P25" s="361">
        <f t="shared" si="3"/>
        <v>0</v>
      </c>
      <c r="Q25" s="361">
        <f t="shared" si="3"/>
        <v>0</v>
      </c>
      <c r="R25" s="362">
        <f t="shared" si="3"/>
        <v>0</v>
      </c>
      <c r="T25" s="3535"/>
    </row>
    <row r="26" spans="2:20">
      <c r="B26" s="254"/>
      <c r="C26" s="255"/>
      <c r="D26" s="258"/>
      <c r="E26" s="258"/>
      <c r="F26" s="258"/>
      <c r="H26" s="132"/>
      <c r="I26" s="250" t="str">
        <f t="shared" si="1"/>
        <v>Measure 14</v>
      </c>
      <c r="J26" s="251"/>
      <c r="K26" s="252"/>
      <c r="L26" s="360">
        <f t="shared" si="2"/>
        <v>0</v>
      </c>
      <c r="M26" s="257">
        <v>0</v>
      </c>
      <c r="N26" s="257">
        <v>0</v>
      </c>
      <c r="O26" s="244">
        <f t="shared" si="4"/>
        <v>0</v>
      </c>
      <c r="P26" s="361">
        <f t="shared" si="3"/>
        <v>0</v>
      </c>
      <c r="Q26" s="361">
        <f t="shared" si="3"/>
        <v>0</v>
      </c>
      <c r="R26" s="362">
        <f t="shared" si="3"/>
        <v>0</v>
      </c>
      <c r="T26" s="3535"/>
    </row>
    <row r="27" spans="2:20" ht="13.5" thickBot="1">
      <c r="B27" s="254"/>
      <c r="C27" s="255"/>
      <c r="D27" s="258"/>
      <c r="E27" s="258"/>
      <c r="F27" s="258"/>
      <c r="H27" s="132"/>
      <c r="I27" s="250" t="str">
        <f t="shared" si="1"/>
        <v>Measure 15</v>
      </c>
      <c r="J27" s="251"/>
      <c r="K27" s="252"/>
      <c r="L27" s="360">
        <f t="shared" si="2"/>
        <v>0</v>
      </c>
      <c r="M27" s="257">
        <v>0</v>
      </c>
      <c r="N27" s="257">
        <v>0</v>
      </c>
      <c r="O27" s="244">
        <f t="shared" si="4"/>
        <v>0</v>
      </c>
      <c r="P27" s="361">
        <f t="shared" si="3"/>
        <v>0</v>
      </c>
      <c r="Q27" s="361">
        <f t="shared" si="3"/>
        <v>0</v>
      </c>
      <c r="R27" s="362">
        <f t="shared" si="3"/>
        <v>0</v>
      </c>
      <c r="T27" s="3535"/>
    </row>
    <row r="28" spans="2:20" ht="13.5" thickBot="1">
      <c r="B28" s="262">
        <v>12000</v>
      </c>
      <c r="C28" s="236" t="s">
        <v>145</v>
      </c>
      <c r="D28" s="237">
        <f>SUM(D29:D32)</f>
        <v>0</v>
      </c>
      <c r="E28" s="237">
        <f>SUM(E29:E32)</f>
        <v>0</v>
      </c>
      <c r="F28" s="238">
        <f>D28+E28</f>
        <v>0</v>
      </c>
      <c r="H28" s="132"/>
      <c r="I28" s="250" t="str">
        <f t="shared" si="1"/>
        <v>Measure 16</v>
      </c>
      <c r="J28" s="251"/>
      <c r="K28" s="252"/>
      <c r="L28" s="360">
        <f t="shared" si="2"/>
        <v>0</v>
      </c>
      <c r="M28" s="257">
        <v>0</v>
      </c>
      <c r="N28" s="257">
        <v>0</v>
      </c>
      <c r="O28" s="244">
        <f t="shared" si="4"/>
        <v>0</v>
      </c>
      <c r="P28" s="361">
        <f t="shared" si="3"/>
        <v>0</v>
      </c>
      <c r="Q28" s="361">
        <f t="shared" si="3"/>
        <v>0</v>
      </c>
      <c r="R28" s="362">
        <f t="shared" si="3"/>
        <v>0</v>
      </c>
      <c r="T28" s="3535"/>
    </row>
    <row r="29" spans="2:20">
      <c r="B29" s="247"/>
      <c r="C29" s="248" t="s">
        <v>139</v>
      </c>
      <c r="D29" s="249">
        <v>0</v>
      </c>
      <c r="E29" s="249">
        <v>0</v>
      </c>
      <c r="F29" s="249">
        <f t="shared" ref="F29:F37" si="6">SUM(D29:E29)</f>
        <v>0</v>
      </c>
      <c r="H29" s="132"/>
      <c r="I29" s="250" t="str">
        <f t="shared" si="1"/>
        <v>Measure 17</v>
      </c>
      <c r="J29" s="251"/>
      <c r="K29" s="252"/>
      <c r="L29" s="360">
        <f t="shared" si="2"/>
        <v>0</v>
      </c>
      <c r="M29" s="257">
        <v>0</v>
      </c>
      <c r="N29" s="257">
        <v>0</v>
      </c>
      <c r="O29" s="244">
        <f t="shared" si="4"/>
        <v>0</v>
      </c>
      <c r="P29" s="361">
        <f t="shared" ref="P29:R44" si="7">M29*$D79</f>
        <v>0</v>
      </c>
      <c r="Q29" s="361">
        <f t="shared" si="7"/>
        <v>0</v>
      </c>
      <c r="R29" s="362">
        <f t="shared" si="7"/>
        <v>0</v>
      </c>
      <c r="T29" s="3535"/>
    </row>
    <row r="30" spans="2:20">
      <c r="B30" s="254"/>
      <c r="C30" s="255" t="s">
        <v>140</v>
      </c>
      <c r="D30" s="256">
        <v>0</v>
      </c>
      <c r="E30" s="256"/>
      <c r="F30" s="249">
        <f t="shared" si="6"/>
        <v>0</v>
      </c>
      <c r="H30" s="132"/>
      <c r="I30" s="250" t="str">
        <f t="shared" si="1"/>
        <v>Measure 18</v>
      </c>
      <c r="J30" s="251"/>
      <c r="K30" s="252"/>
      <c r="L30" s="360">
        <f t="shared" si="2"/>
        <v>0</v>
      </c>
      <c r="M30" s="257">
        <v>0</v>
      </c>
      <c r="N30" s="257">
        <v>0</v>
      </c>
      <c r="O30" s="244">
        <f t="shared" si="4"/>
        <v>0</v>
      </c>
      <c r="P30" s="361">
        <f t="shared" si="7"/>
        <v>0</v>
      </c>
      <c r="Q30" s="361">
        <f t="shared" si="7"/>
        <v>0</v>
      </c>
      <c r="R30" s="362">
        <f t="shared" si="7"/>
        <v>0</v>
      </c>
      <c r="T30" s="3535"/>
    </row>
    <row r="31" spans="2:20">
      <c r="B31" s="254"/>
      <c r="C31" s="255" t="s">
        <v>141</v>
      </c>
      <c r="D31" s="256">
        <v>0</v>
      </c>
      <c r="E31" s="256"/>
      <c r="F31" s="249">
        <f t="shared" si="6"/>
        <v>0</v>
      </c>
      <c r="H31" s="132"/>
      <c r="I31" s="250" t="str">
        <f t="shared" si="1"/>
        <v>Measure 19</v>
      </c>
      <c r="J31" s="251"/>
      <c r="K31" s="252"/>
      <c r="L31" s="360">
        <f t="shared" si="2"/>
        <v>0</v>
      </c>
      <c r="M31" s="257">
        <v>0</v>
      </c>
      <c r="N31" s="257">
        <v>0</v>
      </c>
      <c r="O31" s="244">
        <f t="shared" si="4"/>
        <v>0</v>
      </c>
      <c r="P31" s="361">
        <f t="shared" si="7"/>
        <v>0</v>
      </c>
      <c r="Q31" s="361">
        <f t="shared" si="7"/>
        <v>0</v>
      </c>
      <c r="R31" s="362">
        <f t="shared" si="7"/>
        <v>0</v>
      </c>
      <c r="T31" s="3535"/>
    </row>
    <row r="32" spans="2:20" ht="13.5" thickBot="1">
      <c r="B32" s="254"/>
      <c r="C32" s="255" t="s">
        <v>142</v>
      </c>
      <c r="D32" s="256">
        <v>0</v>
      </c>
      <c r="E32" s="256"/>
      <c r="F32" s="249">
        <f t="shared" si="6"/>
        <v>0</v>
      </c>
      <c r="H32" s="132"/>
      <c r="I32" s="250" t="str">
        <f t="shared" si="1"/>
        <v>Measure 20</v>
      </c>
      <c r="J32" s="251"/>
      <c r="K32" s="252"/>
      <c r="L32" s="360">
        <f t="shared" si="2"/>
        <v>0</v>
      </c>
      <c r="M32" s="257">
        <v>0</v>
      </c>
      <c r="N32" s="257">
        <v>0</v>
      </c>
      <c r="O32" s="244">
        <f t="shared" si="4"/>
        <v>0</v>
      </c>
      <c r="P32" s="361">
        <f t="shared" si="7"/>
        <v>0</v>
      </c>
      <c r="Q32" s="361">
        <f t="shared" si="7"/>
        <v>0</v>
      </c>
      <c r="R32" s="362">
        <f t="shared" si="7"/>
        <v>0</v>
      </c>
      <c r="T32" s="3535"/>
    </row>
    <row r="33" spans="2:20" ht="13.5" thickBot="1">
      <c r="B33" s="262">
        <v>600</v>
      </c>
      <c r="C33" s="236" t="s">
        <v>146</v>
      </c>
      <c r="D33" s="237">
        <f>SUM(D34:D37)</f>
        <v>0</v>
      </c>
      <c r="E33" s="237">
        <f>SUM(E34:E37)</f>
        <v>0</v>
      </c>
      <c r="F33" s="238">
        <f>D33+E33</f>
        <v>0</v>
      </c>
      <c r="H33" s="132"/>
      <c r="I33" s="250" t="str">
        <f t="shared" si="1"/>
        <v>Measure 21</v>
      </c>
      <c r="J33" s="251"/>
      <c r="K33" s="252"/>
      <c r="L33" s="360">
        <f t="shared" si="2"/>
        <v>0</v>
      </c>
      <c r="M33" s="257">
        <v>0</v>
      </c>
      <c r="N33" s="257">
        <v>0</v>
      </c>
      <c r="O33" s="244">
        <f t="shared" si="4"/>
        <v>0</v>
      </c>
      <c r="P33" s="361">
        <f t="shared" si="7"/>
        <v>0</v>
      </c>
      <c r="Q33" s="361">
        <f t="shared" si="7"/>
        <v>0</v>
      </c>
      <c r="R33" s="362">
        <f t="shared" si="7"/>
        <v>0</v>
      </c>
      <c r="T33" s="3535"/>
    </row>
    <row r="34" spans="2:20">
      <c r="B34" s="254"/>
      <c r="C34" s="255" t="s">
        <v>139</v>
      </c>
      <c r="D34" s="249">
        <v>0</v>
      </c>
      <c r="E34" s="249">
        <v>0</v>
      </c>
      <c r="F34" s="249">
        <f t="shared" si="6"/>
        <v>0</v>
      </c>
      <c r="H34" s="132"/>
      <c r="I34" s="250" t="str">
        <f t="shared" si="1"/>
        <v>Measure 22</v>
      </c>
      <c r="J34" s="251"/>
      <c r="K34" s="252"/>
      <c r="L34" s="360">
        <f t="shared" si="2"/>
        <v>0</v>
      </c>
      <c r="M34" s="257">
        <v>0</v>
      </c>
      <c r="N34" s="257">
        <v>0</v>
      </c>
      <c r="O34" s="244">
        <f t="shared" si="4"/>
        <v>0</v>
      </c>
      <c r="P34" s="361">
        <f t="shared" si="7"/>
        <v>0</v>
      </c>
      <c r="Q34" s="361">
        <f t="shared" si="7"/>
        <v>0</v>
      </c>
      <c r="R34" s="362">
        <f t="shared" si="7"/>
        <v>0</v>
      </c>
      <c r="T34" s="3535"/>
    </row>
    <row r="35" spans="2:20">
      <c r="B35" s="254"/>
      <c r="C35" s="255" t="s">
        <v>140</v>
      </c>
      <c r="D35" s="256">
        <v>0</v>
      </c>
      <c r="E35" s="256"/>
      <c r="F35" s="249">
        <f t="shared" si="6"/>
        <v>0</v>
      </c>
      <c r="H35" s="132"/>
      <c r="I35" s="250" t="str">
        <f t="shared" si="1"/>
        <v>Measure 23</v>
      </c>
      <c r="J35" s="251"/>
      <c r="K35" s="252"/>
      <c r="L35" s="360">
        <f t="shared" si="2"/>
        <v>0</v>
      </c>
      <c r="M35" s="257">
        <v>0</v>
      </c>
      <c r="N35" s="257">
        <v>0</v>
      </c>
      <c r="O35" s="244">
        <f t="shared" si="4"/>
        <v>0</v>
      </c>
      <c r="P35" s="361">
        <f t="shared" si="7"/>
        <v>0</v>
      </c>
      <c r="Q35" s="361">
        <f t="shared" si="7"/>
        <v>0</v>
      </c>
      <c r="R35" s="362">
        <f t="shared" si="7"/>
        <v>0</v>
      </c>
      <c r="T35" s="3535"/>
    </row>
    <row r="36" spans="2:20">
      <c r="B36" s="254"/>
      <c r="C36" s="255" t="s">
        <v>141</v>
      </c>
      <c r="D36" s="256">
        <v>0</v>
      </c>
      <c r="E36" s="256"/>
      <c r="F36" s="249">
        <f t="shared" si="6"/>
        <v>0</v>
      </c>
      <c r="H36" s="132"/>
      <c r="I36" s="250" t="str">
        <f t="shared" si="1"/>
        <v>Measure 24</v>
      </c>
      <c r="J36" s="251"/>
      <c r="K36" s="252"/>
      <c r="L36" s="360">
        <f t="shared" si="2"/>
        <v>0</v>
      </c>
      <c r="M36" s="257">
        <v>0</v>
      </c>
      <c r="N36" s="257">
        <v>0</v>
      </c>
      <c r="O36" s="244">
        <f t="shared" si="4"/>
        <v>0</v>
      </c>
      <c r="P36" s="361">
        <f t="shared" si="7"/>
        <v>0</v>
      </c>
      <c r="Q36" s="361">
        <f t="shared" si="7"/>
        <v>0</v>
      </c>
      <c r="R36" s="362">
        <f t="shared" si="7"/>
        <v>0</v>
      </c>
      <c r="T36" s="3535"/>
    </row>
    <row r="37" spans="2:20" ht="13.5" thickBot="1">
      <c r="B37" s="254"/>
      <c r="C37" s="255" t="s">
        <v>142</v>
      </c>
      <c r="D37" s="256">
        <v>0</v>
      </c>
      <c r="E37" s="256"/>
      <c r="F37" s="249">
        <f t="shared" si="6"/>
        <v>0</v>
      </c>
      <c r="H37" s="132"/>
      <c r="I37" s="250" t="str">
        <f t="shared" si="1"/>
        <v>Measure 25</v>
      </c>
      <c r="J37" s="251"/>
      <c r="K37" s="252"/>
      <c r="L37" s="360">
        <f t="shared" si="2"/>
        <v>0</v>
      </c>
      <c r="M37" s="257">
        <v>0</v>
      </c>
      <c r="N37" s="257">
        <v>0</v>
      </c>
      <c r="O37" s="244">
        <f t="shared" si="4"/>
        <v>0</v>
      </c>
      <c r="P37" s="361">
        <f t="shared" si="7"/>
        <v>0</v>
      </c>
      <c r="Q37" s="361">
        <f t="shared" si="7"/>
        <v>0</v>
      </c>
      <c r="R37" s="362">
        <f t="shared" si="7"/>
        <v>0</v>
      </c>
      <c r="T37" s="3535"/>
    </row>
    <row r="38" spans="2:20" ht="13.5" thickBot="1">
      <c r="B38" s="262">
        <v>18000</v>
      </c>
      <c r="C38" s="236" t="s">
        <v>147</v>
      </c>
      <c r="D38" s="237">
        <f>SUM(D39:D42)</f>
        <v>0</v>
      </c>
      <c r="E38" s="237">
        <f>SUM(E39:E42)</f>
        <v>0</v>
      </c>
      <c r="F38" s="238">
        <f>D38+E38</f>
        <v>0</v>
      </c>
      <c r="H38" s="132"/>
      <c r="I38" s="250" t="str">
        <f t="shared" si="1"/>
        <v>Measure 26</v>
      </c>
      <c r="J38" s="251"/>
      <c r="K38" s="260"/>
      <c r="L38" s="360">
        <f t="shared" si="2"/>
        <v>0</v>
      </c>
      <c r="M38" s="257">
        <v>0</v>
      </c>
      <c r="N38" s="257">
        <v>0</v>
      </c>
      <c r="O38" s="244">
        <f t="shared" si="4"/>
        <v>0</v>
      </c>
      <c r="P38" s="361">
        <f t="shared" si="7"/>
        <v>0</v>
      </c>
      <c r="Q38" s="361">
        <f t="shared" si="7"/>
        <v>0</v>
      </c>
      <c r="R38" s="362">
        <f t="shared" si="7"/>
        <v>0</v>
      </c>
      <c r="T38" s="3535"/>
    </row>
    <row r="39" spans="2:20">
      <c r="B39" s="254"/>
      <c r="C39" s="255" t="s">
        <v>139</v>
      </c>
      <c r="D39" s="249">
        <v>0</v>
      </c>
      <c r="E39" s="249">
        <v>0</v>
      </c>
      <c r="F39" s="249">
        <f t="shared" ref="F39:F52" si="8">SUM(D39:E39)</f>
        <v>0</v>
      </c>
      <c r="H39" s="132"/>
      <c r="I39" s="250" t="str">
        <f t="shared" si="1"/>
        <v>Measure 27</v>
      </c>
      <c r="J39" s="251"/>
      <c r="K39" s="260"/>
      <c r="L39" s="360">
        <f t="shared" si="2"/>
        <v>0</v>
      </c>
      <c r="M39" s="257">
        <v>0</v>
      </c>
      <c r="N39" s="257">
        <v>0</v>
      </c>
      <c r="O39" s="244">
        <f t="shared" si="4"/>
        <v>0</v>
      </c>
      <c r="P39" s="361">
        <f t="shared" si="7"/>
        <v>0</v>
      </c>
      <c r="Q39" s="361">
        <f t="shared" si="7"/>
        <v>0</v>
      </c>
      <c r="R39" s="362">
        <f t="shared" si="7"/>
        <v>0</v>
      </c>
      <c r="T39" s="3535"/>
    </row>
    <row r="40" spans="2:20">
      <c r="B40" s="254"/>
      <c r="C40" s="255" t="s">
        <v>140</v>
      </c>
      <c r="D40" s="256">
        <v>0</v>
      </c>
      <c r="E40" s="256"/>
      <c r="F40" s="249">
        <f t="shared" si="8"/>
        <v>0</v>
      </c>
      <c r="H40" s="132"/>
      <c r="I40" s="250" t="str">
        <f t="shared" si="1"/>
        <v>Measure 28</v>
      </c>
      <c r="J40" s="251"/>
      <c r="K40" s="260"/>
      <c r="L40" s="360">
        <f t="shared" si="2"/>
        <v>0</v>
      </c>
      <c r="M40" s="257">
        <v>0</v>
      </c>
      <c r="N40" s="257">
        <v>0</v>
      </c>
      <c r="O40" s="244">
        <f t="shared" si="4"/>
        <v>0</v>
      </c>
      <c r="P40" s="361">
        <f t="shared" si="7"/>
        <v>0</v>
      </c>
      <c r="Q40" s="361">
        <f t="shared" si="7"/>
        <v>0</v>
      </c>
      <c r="R40" s="362">
        <f t="shared" si="7"/>
        <v>0</v>
      </c>
      <c r="T40" s="3535"/>
    </row>
    <row r="41" spans="2:20">
      <c r="B41" s="254"/>
      <c r="C41" s="255" t="s">
        <v>141</v>
      </c>
      <c r="D41" s="256">
        <v>0</v>
      </c>
      <c r="E41" s="256"/>
      <c r="F41" s="249">
        <f t="shared" si="8"/>
        <v>0</v>
      </c>
      <c r="H41" s="132"/>
      <c r="I41" s="250" t="str">
        <f t="shared" si="1"/>
        <v>Measure 29</v>
      </c>
      <c r="J41" s="251"/>
      <c r="K41" s="260"/>
      <c r="L41" s="360">
        <f t="shared" si="2"/>
        <v>0</v>
      </c>
      <c r="M41" s="257">
        <v>0</v>
      </c>
      <c r="N41" s="257">
        <v>0</v>
      </c>
      <c r="O41" s="244">
        <f t="shared" si="4"/>
        <v>0</v>
      </c>
      <c r="P41" s="361">
        <f t="shared" si="7"/>
        <v>0</v>
      </c>
      <c r="Q41" s="361">
        <f t="shared" si="7"/>
        <v>0</v>
      </c>
      <c r="R41" s="362">
        <f t="shared" si="7"/>
        <v>0</v>
      </c>
      <c r="T41" s="3535"/>
    </row>
    <row r="42" spans="2:20" ht="13.5" thickBot="1">
      <c r="B42" s="254"/>
      <c r="C42" s="255" t="s">
        <v>142</v>
      </c>
      <c r="D42" s="256">
        <v>0</v>
      </c>
      <c r="E42" s="256"/>
      <c r="F42" s="249">
        <f t="shared" si="8"/>
        <v>0</v>
      </c>
      <c r="H42" s="132"/>
      <c r="I42" s="250" t="str">
        <f t="shared" si="1"/>
        <v>Measure 30</v>
      </c>
      <c r="J42" s="251"/>
      <c r="K42" s="260"/>
      <c r="L42" s="360">
        <f t="shared" si="2"/>
        <v>0</v>
      </c>
      <c r="M42" s="257">
        <v>0</v>
      </c>
      <c r="N42" s="257">
        <v>0</v>
      </c>
      <c r="O42" s="244">
        <f t="shared" si="4"/>
        <v>0</v>
      </c>
      <c r="P42" s="361">
        <f t="shared" si="7"/>
        <v>0</v>
      </c>
      <c r="Q42" s="361">
        <f t="shared" si="7"/>
        <v>0</v>
      </c>
      <c r="R42" s="362">
        <f t="shared" si="7"/>
        <v>0</v>
      </c>
      <c r="T42" s="3535"/>
    </row>
    <row r="43" spans="2:20" ht="13.5" thickBot="1">
      <c r="B43" s="262">
        <v>1200</v>
      </c>
      <c r="C43" s="236" t="s">
        <v>148</v>
      </c>
      <c r="D43" s="237">
        <f>SUM(D44:D47)</f>
        <v>0</v>
      </c>
      <c r="E43" s="237">
        <f>SUM(E44:E47)</f>
        <v>0</v>
      </c>
      <c r="F43" s="238">
        <f>D43+E43</f>
        <v>0</v>
      </c>
      <c r="H43" s="132"/>
      <c r="I43" s="250" t="str">
        <f t="shared" si="1"/>
        <v>Measure 31</v>
      </c>
      <c r="J43" s="251"/>
      <c r="K43" s="260"/>
      <c r="L43" s="360">
        <f t="shared" si="2"/>
        <v>0</v>
      </c>
      <c r="M43" s="257">
        <v>0</v>
      </c>
      <c r="N43" s="257">
        <v>0</v>
      </c>
      <c r="O43" s="244">
        <f t="shared" si="4"/>
        <v>0</v>
      </c>
      <c r="P43" s="361">
        <f t="shared" si="7"/>
        <v>0</v>
      </c>
      <c r="Q43" s="361">
        <f t="shared" si="7"/>
        <v>0</v>
      </c>
      <c r="R43" s="362">
        <f t="shared" si="7"/>
        <v>0</v>
      </c>
      <c r="T43" s="3535"/>
    </row>
    <row r="44" spans="2:20">
      <c r="B44" s="254"/>
      <c r="C44" s="255" t="s">
        <v>139</v>
      </c>
      <c r="D44" s="249">
        <v>0</v>
      </c>
      <c r="E44" s="249">
        <v>0</v>
      </c>
      <c r="F44" s="249">
        <f t="shared" si="8"/>
        <v>0</v>
      </c>
      <c r="H44" s="132"/>
      <c r="I44" s="250" t="str">
        <f t="shared" si="1"/>
        <v>Measure 32</v>
      </c>
      <c r="J44" s="251"/>
      <c r="K44" s="260"/>
      <c r="L44" s="360">
        <f t="shared" si="2"/>
        <v>0</v>
      </c>
      <c r="M44" s="257">
        <v>0</v>
      </c>
      <c r="N44" s="257">
        <v>0</v>
      </c>
      <c r="O44" s="244">
        <f t="shared" si="4"/>
        <v>0</v>
      </c>
      <c r="P44" s="361">
        <f t="shared" si="7"/>
        <v>0</v>
      </c>
      <c r="Q44" s="361">
        <f t="shared" si="7"/>
        <v>0</v>
      </c>
      <c r="R44" s="362">
        <f t="shared" si="7"/>
        <v>0</v>
      </c>
      <c r="T44" s="3535"/>
    </row>
    <row r="45" spans="2:20">
      <c r="B45" s="254"/>
      <c r="C45" s="255" t="s">
        <v>140</v>
      </c>
      <c r="D45" s="256">
        <v>0</v>
      </c>
      <c r="E45" s="256"/>
      <c r="F45" s="249">
        <f t="shared" si="8"/>
        <v>0</v>
      </c>
      <c r="H45" s="132"/>
      <c r="I45" s="250" t="str">
        <f t="shared" si="1"/>
        <v>Measure 33</v>
      </c>
      <c r="J45" s="251"/>
      <c r="K45" s="260"/>
      <c r="L45" s="360">
        <f t="shared" si="2"/>
        <v>0</v>
      </c>
      <c r="M45" s="257">
        <v>0</v>
      </c>
      <c r="N45" s="257">
        <v>0</v>
      </c>
      <c r="O45" s="244">
        <f t="shared" si="4"/>
        <v>0</v>
      </c>
      <c r="P45" s="361">
        <f t="shared" ref="P45:R54" si="9">M45*$D95</f>
        <v>0</v>
      </c>
      <c r="Q45" s="361">
        <f t="shared" si="9"/>
        <v>0</v>
      </c>
      <c r="R45" s="362">
        <f t="shared" si="9"/>
        <v>0</v>
      </c>
      <c r="T45" s="3535"/>
    </row>
    <row r="46" spans="2:20">
      <c r="B46" s="254"/>
      <c r="C46" s="255" t="s">
        <v>141</v>
      </c>
      <c r="D46" s="256">
        <v>0</v>
      </c>
      <c r="E46" s="256"/>
      <c r="F46" s="249">
        <f t="shared" si="8"/>
        <v>0</v>
      </c>
      <c r="H46" s="132"/>
      <c r="I46" s="250" t="str">
        <f t="shared" si="1"/>
        <v>Measure 34</v>
      </c>
      <c r="J46" s="251"/>
      <c r="K46" s="260"/>
      <c r="L46" s="360">
        <f t="shared" si="2"/>
        <v>0</v>
      </c>
      <c r="M46" s="257">
        <v>0</v>
      </c>
      <c r="N46" s="257">
        <v>0</v>
      </c>
      <c r="O46" s="244">
        <f t="shared" si="4"/>
        <v>0</v>
      </c>
      <c r="P46" s="361">
        <f t="shared" si="9"/>
        <v>0</v>
      </c>
      <c r="Q46" s="361">
        <f t="shared" si="9"/>
        <v>0</v>
      </c>
      <c r="R46" s="362">
        <f t="shared" si="9"/>
        <v>0</v>
      </c>
      <c r="T46" s="3535"/>
    </row>
    <row r="47" spans="2:20" ht="13.5" thickBot="1">
      <c r="B47" s="254"/>
      <c r="C47" s="255" t="s">
        <v>142</v>
      </c>
      <c r="D47" s="256">
        <v>0</v>
      </c>
      <c r="E47" s="256"/>
      <c r="F47" s="249">
        <f t="shared" si="8"/>
        <v>0</v>
      </c>
      <c r="H47" s="132"/>
      <c r="I47" s="250" t="str">
        <f t="shared" si="1"/>
        <v>Measure 35</v>
      </c>
      <c r="J47" s="251"/>
      <c r="K47" s="260"/>
      <c r="L47" s="360">
        <f t="shared" si="2"/>
        <v>0</v>
      </c>
      <c r="M47" s="257">
        <v>0</v>
      </c>
      <c r="N47" s="257">
        <v>0</v>
      </c>
      <c r="O47" s="244">
        <f t="shared" si="4"/>
        <v>0</v>
      </c>
      <c r="P47" s="361">
        <f t="shared" si="9"/>
        <v>0</v>
      </c>
      <c r="Q47" s="361">
        <f t="shared" si="9"/>
        <v>0</v>
      </c>
      <c r="R47" s="362">
        <f t="shared" si="9"/>
        <v>0</v>
      </c>
      <c r="T47" s="3535"/>
    </row>
    <row r="48" spans="2:20" ht="13.5" thickBot="1">
      <c r="B48" s="262">
        <v>1200</v>
      </c>
      <c r="C48" s="236" t="s">
        <v>149</v>
      </c>
      <c r="D48" s="237">
        <f>SUM(D49:D52)</f>
        <v>0</v>
      </c>
      <c r="E48" s="237">
        <f>SUM(E49:E52)</f>
        <v>0</v>
      </c>
      <c r="F48" s="238">
        <f>D48+E48</f>
        <v>0</v>
      </c>
      <c r="H48" s="132"/>
      <c r="I48" s="250" t="str">
        <f t="shared" si="1"/>
        <v>Measure 36</v>
      </c>
      <c r="J48" s="251"/>
      <c r="K48" s="260"/>
      <c r="L48" s="360">
        <f t="shared" si="2"/>
        <v>0</v>
      </c>
      <c r="M48" s="257">
        <v>0</v>
      </c>
      <c r="N48" s="257">
        <v>0</v>
      </c>
      <c r="O48" s="244">
        <f t="shared" si="4"/>
        <v>0</v>
      </c>
      <c r="P48" s="361">
        <f t="shared" si="9"/>
        <v>0</v>
      </c>
      <c r="Q48" s="361">
        <f t="shared" si="9"/>
        <v>0</v>
      </c>
      <c r="R48" s="362">
        <f t="shared" si="9"/>
        <v>0</v>
      </c>
      <c r="T48" s="3535"/>
    </row>
    <row r="49" spans="2:24">
      <c r="B49" s="254"/>
      <c r="C49" s="255" t="s">
        <v>139</v>
      </c>
      <c r="D49" s="249">
        <v>0</v>
      </c>
      <c r="E49" s="249">
        <v>0</v>
      </c>
      <c r="F49" s="249">
        <f t="shared" si="8"/>
        <v>0</v>
      </c>
      <c r="H49" s="132"/>
      <c r="I49" s="250" t="str">
        <f t="shared" si="1"/>
        <v>Measure 37</v>
      </c>
      <c r="J49" s="251"/>
      <c r="K49" s="260"/>
      <c r="L49" s="360">
        <f t="shared" si="2"/>
        <v>0</v>
      </c>
      <c r="M49" s="257">
        <v>0</v>
      </c>
      <c r="N49" s="257">
        <v>0</v>
      </c>
      <c r="O49" s="244">
        <f t="shared" si="4"/>
        <v>0</v>
      </c>
      <c r="P49" s="361">
        <f t="shared" si="9"/>
        <v>0</v>
      </c>
      <c r="Q49" s="361">
        <f t="shared" si="9"/>
        <v>0</v>
      </c>
      <c r="R49" s="362">
        <f t="shared" si="9"/>
        <v>0</v>
      </c>
      <c r="T49" s="3535"/>
    </row>
    <row r="50" spans="2:24">
      <c r="B50" s="254"/>
      <c r="C50" s="255" t="s">
        <v>140</v>
      </c>
      <c r="D50" s="256">
        <v>0</v>
      </c>
      <c r="E50" s="256"/>
      <c r="F50" s="249">
        <f t="shared" si="8"/>
        <v>0</v>
      </c>
      <c r="I50" s="250" t="str">
        <f t="shared" si="1"/>
        <v>Measure 38</v>
      </c>
      <c r="J50" s="251"/>
      <c r="K50" s="252"/>
      <c r="L50" s="360">
        <f t="shared" si="2"/>
        <v>0</v>
      </c>
      <c r="M50" s="257">
        <v>0</v>
      </c>
      <c r="N50" s="257">
        <v>0</v>
      </c>
      <c r="O50" s="244">
        <f t="shared" si="4"/>
        <v>0</v>
      </c>
      <c r="P50" s="361">
        <f t="shared" si="9"/>
        <v>0</v>
      </c>
      <c r="Q50" s="361">
        <f t="shared" si="9"/>
        <v>0</v>
      </c>
      <c r="R50" s="362">
        <f t="shared" si="9"/>
        <v>0</v>
      </c>
      <c r="T50" s="3535"/>
    </row>
    <row r="51" spans="2:24">
      <c r="B51" s="254"/>
      <c r="C51" s="255" t="s">
        <v>141</v>
      </c>
      <c r="D51" s="256">
        <v>0</v>
      </c>
      <c r="E51" s="256"/>
      <c r="F51" s="249">
        <f t="shared" si="8"/>
        <v>0</v>
      </c>
      <c r="I51" s="250" t="str">
        <f t="shared" si="1"/>
        <v>Measure 39</v>
      </c>
      <c r="J51" s="251"/>
      <c r="K51" s="252"/>
      <c r="L51" s="360">
        <f t="shared" si="2"/>
        <v>0</v>
      </c>
      <c r="M51" s="257">
        <v>0</v>
      </c>
      <c r="N51" s="257">
        <v>0</v>
      </c>
      <c r="O51" s="244">
        <f t="shared" si="4"/>
        <v>0</v>
      </c>
      <c r="P51" s="361">
        <f t="shared" si="9"/>
        <v>0</v>
      </c>
      <c r="Q51" s="361">
        <f t="shared" si="9"/>
        <v>0</v>
      </c>
      <c r="R51" s="362">
        <f t="shared" si="9"/>
        <v>0</v>
      </c>
      <c r="T51" s="3535"/>
    </row>
    <row r="52" spans="2:24" ht="13.5" thickBot="1">
      <c r="B52" s="254"/>
      <c r="C52" s="255" t="s">
        <v>142</v>
      </c>
      <c r="D52" s="256">
        <v>0</v>
      </c>
      <c r="E52" s="256"/>
      <c r="F52" s="249">
        <f t="shared" si="8"/>
        <v>0</v>
      </c>
      <c r="I52" s="250" t="str">
        <f t="shared" si="1"/>
        <v>Measure 40</v>
      </c>
      <c r="J52" s="251"/>
      <c r="K52" s="252"/>
      <c r="L52" s="360">
        <f t="shared" si="2"/>
        <v>0</v>
      </c>
      <c r="M52" s="257">
        <v>0</v>
      </c>
      <c r="N52" s="257">
        <v>0</v>
      </c>
      <c r="O52" s="244">
        <f t="shared" si="4"/>
        <v>0</v>
      </c>
      <c r="P52" s="361">
        <f t="shared" si="9"/>
        <v>0</v>
      </c>
      <c r="Q52" s="361">
        <f t="shared" si="9"/>
        <v>0</v>
      </c>
      <c r="R52" s="362">
        <f t="shared" si="9"/>
        <v>0</v>
      </c>
      <c r="T52" s="3535"/>
    </row>
    <row r="53" spans="2:24" ht="13.5" thickBot="1">
      <c r="B53" s="262">
        <v>70000</v>
      </c>
      <c r="C53" s="236" t="s">
        <v>150</v>
      </c>
      <c r="D53" s="237">
        <f>S105</f>
        <v>0</v>
      </c>
      <c r="E53" s="237">
        <f>T105</f>
        <v>0</v>
      </c>
      <c r="F53" s="238">
        <f>U105</f>
        <v>0</v>
      </c>
      <c r="G53" s="261" t="s">
        <v>151</v>
      </c>
      <c r="I53" s="250" t="str">
        <f t="shared" si="1"/>
        <v>Measure 41</v>
      </c>
      <c r="J53" s="251"/>
      <c r="K53" s="252"/>
      <c r="L53" s="360">
        <f t="shared" si="2"/>
        <v>0</v>
      </c>
      <c r="M53" s="257">
        <v>0</v>
      </c>
      <c r="N53" s="257">
        <v>0</v>
      </c>
      <c r="O53" s="244">
        <f t="shared" si="4"/>
        <v>0</v>
      </c>
      <c r="P53" s="361">
        <f t="shared" si="9"/>
        <v>0</v>
      </c>
      <c r="Q53" s="361">
        <f t="shared" si="9"/>
        <v>0</v>
      </c>
      <c r="R53" s="362">
        <f t="shared" si="9"/>
        <v>0</v>
      </c>
      <c r="T53" s="3535"/>
    </row>
    <row r="54" spans="2:24" ht="13.5" thickBot="1">
      <c r="B54" s="262">
        <v>0</v>
      </c>
      <c r="C54" s="236" t="s">
        <v>152</v>
      </c>
      <c r="D54" s="237">
        <v>0</v>
      </c>
      <c r="E54" s="237">
        <v>0</v>
      </c>
      <c r="F54" s="238">
        <v>0</v>
      </c>
      <c r="I54" s="250" t="str">
        <f t="shared" si="1"/>
        <v>Measure 42</v>
      </c>
      <c r="J54" s="251"/>
      <c r="K54" s="252"/>
      <c r="L54" s="360">
        <f t="shared" si="2"/>
        <v>0</v>
      </c>
      <c r="M54" s="257">
        <v>0</v>
      </c>
      <c r="N54" s="257">
        <v>0</v>
      </c>
      <c r="O54" s="244">
        <f t="shared" si="4"/>
        <v>0</v>
      </c>
      <c r="P54" s="361">
        <f t="shared" si="9"/>
        <v>0</v>
      </c>
      <c r="Q54" s="361">
        <f t="shared" si="9"/>
        <v>0</v>
      </c>
      <c r="R54" s="362">
        <f t="shared" si="9"/>
        <v>0</v>
      </c>
      <c r="T54" s="3535"/>
    </row>
    <row r="55" spans="2:24">
      <c r="B55" s="263">
        <f>B13+B18+B23+B28+B33+B38+B43+B48+B53+B54</f>
        <v>112397</v>
      </c>
      <c r="C55" s="264" t="s">
        <v>153</v>
      </c>
      <c r="D55" s="263">
        <f>D13+D18+D23+D28+D33+D38+D43+D48+D53+D54</f>
        <v>0</v>
      </c>
      <c r="E55" s="263">
        <f>E13+E18+E23+E28+E33+E38+E43+E48+E53+E54</f>
        <v>0</v>
      </c>
      <c r="F55" s="263">
        <f>F13+F18+F23+F28+F33+F38+F43+F48+F53+F54</f>
        <v>0</v>
      </c>
      <c r="P55" s="365">
        <f>SUM(P13:P54)</f>
        <v>0</v>
      </c>
      <c r="Q55" s="365">
        <f>SUM(Q13:Q54)</f>
        <v>0</v>
      </c>
      <c r="R55" s="365">
        <f>SUM(R13:R54)</f>
        <v>0</v>
      </c>
      <c r="T55" s="4894"/>
    </row>
    <row r="56" spans="2:24">
      <c r="C56" s="264"/>
      <c r="D56" s="263"/>
      <c r="E56" s="263"/>
      <c r="F56" s="263"/>
    </row>
    <row r="57" spans="2:24">
      <c r="C57" s="264" t="s">
        <v>154</v>
      </c>
      <c r="D57" s="263">
        <f>D55-D53</f>
        <v>0</v>
      </c>
      <c r="E57" s="263">
        <f>E55-E53</f>
        <v>0</v>
      </c>
      <c r="F57" s="263">
        <f>F55-F53</f>
        <v>0</v>
      </c>
    </row>
    <row r="58" spans="2:24">
      <c r="C58" s="264" t="s">
        <v>155</v>
      </c>
      <c r="D58" s="266">
        <f>D53</f>
        <v>0</v>
      </c>
      <c r="E58" s="266">
        <f>E53</f>
        <v>0</v>
      </c>
      <c r="F58" s="266">
        <f>F53</f>
        <v>0</v>
      </c>
      <c r="G58" s="319" t="e">
        <f>F58/(F57+F58)</f>
        <v>#DIV/0!</v>
      </c>
      <c r="H58" s="268" t="s">
        <v>156</v>
      </c>
    </row>
    <row r="59" spans="2:24" ht="13.5" thickBot="1"/>
    <row r="60" spans="2:24" ht="16.5" thickBot="1">
      <c r="B60" s="269" t="s">
        <v>157</v>
      </c>
      <c r="C60" s="270"/>
      <c r="D60" s="5130" t="s">
        <v>158</v>
      </c>
      <c r="E60" s="5131"/>
      <c r="F60" s="5131"/>
      <c r="G60" s="5131"/>
      <c r="H60" s="5131"/>
      <c r="K60" s="271"/>
    </row>
    <row r="61" spans="2:24"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4" ht="13.5" thickBot="1">
      <c r="B62" s="272" t="s">
        <v>162</v>
      </c>
      <c r="C62" s="273" t="s">
        <v>129</v>
      </c>
      <c r="D62" s="273" t="s">
        <v>130</v>
      </c>
      <c r="E62" s="273" t="s">
        <v>163</v>
      </c>
      <c r="F62" s="273" t="s">
        <v>164</v>
      </c>
      <c r="G62" s="273" t="s">
        <v>165</v>
      </c>
      <c r="H62" s="273" t="s">
        <v>166</v>
      </c>
      <c r="I62" s="273" t="s">
        <v>167</v>
      </c>
      <c r="J62" s="273" t="s">
        <v>168</v>
      </c>
      <c r="K62" s="274" t="s">
        <v>169</v>
      </c>
      <c r="L62" s="275" t="s">
        <v>170</v>
      </c>
      <c r="M62" s="276" t="s">
        <v>171</v>
      </c>
      <c r="N62" s="276" t="s">
        <v>172</v>
      </c>
      <c r="O62" s="276" t="s">
        <v>173</v>
      </c>
      <c r="P62" s="277" t="s">
        <v>174</v>
      </c>
      <c r="Q62" s="277" t="s">
        <v>175</v>
      </c>
      <c r="R62" s="277" t="s">
        <v>176</v>
      </c>
      <c r="S62" s="204" t="s">
        <v>177</v>
      </c>
      <c r="T62" s="204" t="s">
        <v>178</v>
      </c>
      <c r="U62" s="205" t="s">
        <v>179</v>
      </c>
      <c r="V62" s="204" t="s">
        <v>115</v>
      </c>
      <c r="W62" s="204" t="s">
        <v>12</v>
      </c>
      <c r="X62" s="205" t="s">
        <v>116</v>
      </c>
    </row>
    <row r="63" spans="2:24">
      <c r="B63" s="257"/>
      <c r="C63" s="282" t="s">
        <v>368</v>
      </c>
      <c r="D63" s="257">
        <v>0</v>
      </c>
      <c r="E63" s="257" t="s">
        <v>559</v>
      </c>
      <c r="F63" s="282" t="s">
        <v>186</v>
      </c>
      <c r="G63" s="283">
        <v>0</v>
      </c>
      <c r="H63" s="283">
        <v>0</v>
      </c>
      <c r="I63" s="311">
        <v>0</v>
      </c>
      <c r="J63" s="257">
        <v>0</v>
      </c>
      <c r="K63" s="257"/>
      <c r="L63" s="3447" t="e">
        <f>P63/N63</f>
        <v>#DIV/0!</v>
      </c>
      <c r="M63" s="3447" t="e">
        <f>Q63/O63</f>
        <v>#DIV/0!</v>
      </c>
      <c r="N63" s="214">
        <f>(($I63*$F$57)+$U63)/$R63</f>
        <v>0</v>
      </c>
      <c r="O63" s="214">
        <f>(($I63*$F$57)+($G63*$O13))/$R63</f>
        <v>0</v>
      </c>
      <c r="P63" s="214">
        <f>IF(K63=0, 0, (HLOOKUP(K63,'[1]G-CESTDWO'!$A$5:$G$35,J63+1,FALSE)*R13))</f>
        <v>0</v>
      </c>
      <c r="Q63" s="214">
        <f>IF(K63=0, 0, (HLOOKUP(K63,'[1]G-CESTD'!$A$5:$G$35,J63+1,FALSE)*R13))</f>
        <v>0</v>
      </c>
      <c r="R63" s="279">
        <v>1.081</v>
      </c>
      <c r="S63" s="280">
        <f t="shared" ref="S63:U78" si="10">M13*$H63</f>
        <v>0</v>
      </c>
      <c r="T63" s="280">
        <f t="shared" si="10"/>
        <v>0</v>
      </c>
      <c r="U63" s="280">
        <f t="shared" si="10"/>
        <v>0</v>
      </c>
      <c r="V63" s="322" t="e">
        <f>U63/(U63+(I63*F$57))</f>
        <v>#DIV/0!</v>
      </c>
      <c r="W63" s="322" t="e">
        <f t="shared" ref="W63:W81" si="11">(I63*((F$18*1.63)+F$28))/(U63+(I63*F$57))</f>
        <v>#DIV/0!</v>
      </c>
      <c r="X63" s="322" t="e">
        <f>(I63*F$38)/(U63+(I63*F$57))</f>
        <v>#DIV/0!</v>
      </c>
    </row>
    <row r="64" spans="2:24">
      <c r="B64" s="282"/>
      <c r="C64" s="282" t="s">
        <v>369</v>
      </c>
      <c r="D64" s="282">
        <v>0</v>
      </c>
      <c r="E64" s="282" t="s">
        <v>559</v>
      </c>
      <c r="F64" s="282" t="s">
        <v>186</v>
      </c>
      <c r="G64" s="283">
        <v>0</v>
      </c>
      <c r="H64" s="283">
        <v>0</v>
      </c>
      <c r="I64" s="311">
        <v>0</v>
      </c>
      <c r="J64" s="257">
        <v>0</v>
      </c>
      <c r="K64" s="257"/>
      <c r="L64" s="3447" t="e">
        <f t="shared" ref="L64:M104" si="12">P64/N64</f>
        <v>#DIV/0!</v>
      </c>
      <c r="M64" s="3447" t="e">
        <f t="shared" si="12"/>
        <v>#DIV/0!</v>
      </c>
      <c r="N64" s="214">
        <f t="shared" ref="N64:N104" si="13">(($I64*$F$57)+$U64)/$R64</f>
        <v>0</v>
      </c>
      <c r="O64" s="214">
        <f t="shared" ref="O64:O104" si="14">(($I64*$F$57)+($G64*$O14))/$R64</f>
        <v>0</v>
      </c>
      <c r="P64" s="214">
        <f>IF(K64=0, 0, (HLOOKUP(K64,'[1]G-CESTDWO'!$A$5:$G$35,J64+1,FALSE)*R14))</f>
        <v>0</v>
      </c>
      <c r="Q64" s="214">
        <f>IF(K64=0, 0, (HLOOKUP(K64,'[1]G-CESTD'!$A$5:$G$35,J64+1,FALSE)*R14))</f>
        <v>0</v>
      </c>
      <c r="R64" s="279">
        <v>1.081</v>
      </c>
      <c r="S64" s="280">
        <f t="shared" si="10"/>
        <v>0</v>
      </c>
      <c r="T64" s="280">
        <f t="shared" si="10"/>
        <v>0</v>
      </c>
      <c r="U64" s="280">
        <f t="shared" si="10"/>
        <v>0</v>
      </c>
      <c r="V64" s="322" t="e">
        <f t="shared" ref="V64:V81" si="15">U64/(U64+(I64*F$57))</f>
        <v>#DIV/0!</v>
      </c>
      <c r="W64" s="322" t="e">
        <f t="shared" si="11"/>
        <v>#DIV/0!</v>
      </c>
      <c r="X64" s="322" t="e">
        <f t="shared" ref="X64:X81" si="16">(I64*F$38)/(U64+(I64*F$57))</f>
        <v>#DIV/0!</v>
      </c>
    </row>
    <row r="65" spans="2:24">
      <c r="B65" s="282"/>
      <c r="C65" s="282" t="s">
        <v>370</v>
      </c>
      <c r="D65" s="257">
        <v>0</v>
      </c>
      <c r="E65" s="282" t="s">
        <v>559</v>
      </c>
      <c r="F65" s="282" t="s">
        <v>186</v>
      </c>
      <c r="G65" s="283">
        <v>0</v>
      </c>
      <c r="H65" s="283">
        <v>0</v>
      </c>
      <c r="I65" s="311">
        <v>0</v>
      </c>
      <c r="J65" s="257">
        <v>0</v>
      </c>
      <c r="K65" s="257"/>
      <c r="L65" s="3447" t="e">
        <f t="shared" si="12"/>
        <v>#DIV/0!</v>
      </c>
      <c r="M65" s="3447" t="e">
        <f t="shared" si="12"/>
        <v>#DIV/0!</v>
      </c>
      <c r="N65" s="214">
        <f t="shared" si="13"/>
        <v>0</v>
      </c>
      <c r="O65" s="214">
        <f t="shared" si="14"/>
        <v>0</v>
      </c>
      <c r="P65" s="214">
        <f>IF(K65=0, 0, (HLOOKUP(K65,'[1]G-CESTDWO'!$A$5:$G$35,J65+1,FALSE)*R15))</f>
        <v>0</v>
      </c>
      <c r="Q65" s="214">
        <f>IF(K65=0, 0, (HLOOKUP(K65,'[1]G-CESTD'!$A$5:$G$35,J65+1,FALSE)*R15))</f>
        <v>0</v>
      </c>
      <c r="R65" s="279">
        <v>1.081</v>
      </c>
      <c r="S65" s="280">
        <f t="shared" si="10"/>
        <v>0</v>
      </c>
      <c r="T65" s="280">
        <f t="shared" si="10"/>
        <v>0</v>
      </c>
      <c r="U65" s="280">
        <f t="shared" si="10"/>
        <v>0</v>
      </c>
      <c r="V65" s="322" t="e">
        <f t="shared" si="15"/>
        <v>#DIV/0!</v>
      </c>
      <c r="W65" s="322" t="e">
        <f t="shared" si="11"/>
        <v>#DIV/0!</v>
      </c>
      <c r="X65" s="322" t="e">
        <f t="shared" si="16"/>
        <v>#DIV/0!</v>
      </c>
    </row>
    <row r="66" spans="2:24">
      <c r="B66" s="282"/>
      <c r="C66" s="282" t="s">
        <v>188</v>
      </c>
      <c r="D66" s="282">
        <v>0</v>
      </c>
      <c r="E66" s="282" t="s">
        <v>559</v>
      </c>
      <c r="F66" s="282" t="s">
        <v>186</v>
      </c>
      <c r="G66" s="283"/>
      <c r="H66" s="283"/>
      <c r="I66" s="311">
        <v>0</v>
      </c>
      <c r="J66" s="257"/>
      <c r="K66" s="257"/>
      <c r="L66" s="3447" t="e">
        <f t="shared" si="12"/>
        <v>#DIV/0!</v>
      </c>
      <c r="M66" s="3447" t="e">
        <f t="shared" si="12"/>
        <v>#DIV/0!</v>
      </c>
      <c r="N66" s="214">
        <f t="shared" si="13"/>
        <v>0</v>
      </c>
      <c r="O66" s="214">
        <f t="shared" si="14"/>
        <v>0</v>
      </c>
      <c r="P66" s="214">
        <f>IF(K66=0, 0, (HLOOKUP(K66,'[1]G-CESTDWO'!$A$5:$G$35,J66+1,FALSE)*R16))</f>
        <v>0</v>
      </c>
      <c r="Q66" s="214">
        <f>IF(K66=0, 0, (HLOOKUP(K66,'[1]G-CESTD'!$A$5:$G$35,J66+1,FALSE)*R16))</f>
        <v>0</v>
      </c>
      <c r="R66" s="279">
        <v>1.081</v>
      </c>
      <c r="S66" s="280">
        <f t="shared" si="10"/>
        <v>0</v>
      </c>
      <c r="T66" s="280">
        <f t="shared" si="10"/>
        <v>0</v>
      </c>
      <c r="U66" s="280">
        <f t="shared" si="10"/>
        <v>0</v>
      </c>
      <c r="V66" s="322" t="e">
        <f t="shared" si="15"/>
        <v>#DIV/0!</v>
      </c>
      <c r="W66" s="322" t="e">
        <f t="shared" si="11"/>
        <v>#DIV/0!</v>
      </c>
      <c r="X66" s="322" t="e">
        <f t="shared" si="16"/>
        <v>#DIV/0!</v>
      </c>
    </row>
    <row r="67" spans="2:24">
      <c r="B67" s="282"/>
      <c r="C67" s="282" t="s">
        <v>189</v>
      </c>
      <c r="D67" s="257">
        <v>0</v>
      </c>
      <c r="E67" s="282" t="s">
        <v>559</v>
      </c>
      <c r="F67" s="282" t="s">
        <v>186</v>
      </c>
      <c r="G67" s="283"/>
      <c r="H67" s="283"/>
      <c r="I67" s="311">
        <v>0</v>
      </c>
      <c r="J67" s="257"/>
      <c r="K67" s="257"/>
      <c r="L67" s="3447" t="e">
        <f t="shared" si="12"/>
        <v>#DIV/0!</v>
      </c>
      <c r="M67" s="3447" t="e">
        <f t="shared" si="12"/>
        <v>#DIV/0!</v>
      </c>
      <c r="N67" s="214">
        <f t="shared" si="13"/>
        <v>0</v>
      </c>
      <c r="O67" s="214">
        <f t="shared" si="14"/>
        <v>0</v>
      </c>
      <c r="P67" s="214">
        <f>IF(K67=0, 0, (HLOOKUP(K67,'[1]G-CESTDWO'!$A$5:$G$35,J67+1,FALSE)*R17))</f>
        <v>0</v>
      </c>
      <c r="Q67" s="214">
        <f>IF(K67=0, 0, (HLOOKUP(K67,'[1]G-CESTD'!$A$5:$G$35,J67+1,FALSE)*R17))</f>
        <v>0</v>
      </c>
      <c r="R67" s="279">
        <v>1.081</v>
      </c>
      <c r="S67" s="280">
        <f t="shared" si="10"/>
        <v>0</v>
      </c>
      <c r="T67" s="280">
        <f t="shared" si="10"/>
        <v>0</v>
      </c>
      <c r="U67" s="280">
        <f t="shared" si="10"/>
        <v>0</v>
      </c>
      <c r="V67" s="322" t="e">
        <f t="shared" si="15"/>
        <v>#DIV/0!</v>
      </c>
      <c r="W67" s="322" t="e">
        <f t="shared" si="11"/>
        <v>#DIV/0!</v>
      </c>
      <c r="X67" s="322" t="e">
        <f t="shared" si="16"/>
        <v>#DIV/0!</v>
      </c>
    </row>
    <row r="68" spans="2:24">
      <c r="B68" s="282"/>
      <c r="C68" s="282" t="s">
        <v>190</v>
      </c>
      <c r="D68" s="282">
        <v>0</v>
      </c>
      <c r="E68" s="282" t="s">
        <v>559</v>
      </c>
      <c r="F68" s="282" t="s">
        <v>186</v>
      </c>
      <c r="G68" s="283"/>
      <c r="H68" s="283"/>
      <c r="I68" s="311">
        <v>0</v>
      </c>
      <c r="J68" s="257"/>
      <c r="K68" s="257"/>
      <c r="L68" s="3447" t="e">
        <f t="shared" si="12"/>
        <v>#DIV/0!</v>
      </c>
      <c r="M68" s="3447" t="e">
        <f t="shared" si="12"/>
        <v>#DIV/0!</v>
      </c>
      <c r="N68" s="214">
        <f t="shared" si="13"/>
        <v>0</v>
      </c>
      <c r="O68" s="214">
        <f t="shared" si="14"/>
        <v>0</v>
      </c>
      <c r="P68" s="214">
        <f>IF(K68=0, 0, (HLOOKUP(K68,'[1]G-CESTDWO'!$A$5:$G$35,J68+1,FALSE)*R18))</f>
        <v>0</v>
      </c>
      <c r="Q68" s="214">
        <f>IF(K68=0, 0, (HLOOKUP(K68,'[1]G-CESTD'!$A$5:$G$35,J68+1,FALSE)*R18))</f>
        <v>0</v>
      </c>
      <c r="R68" s="279">
        <v>1.081</v>
      </c>
      <c r="S68" s="280">
        <f t="shared" si="10"/>
        <v>0</v>
      </c>
      <c r="T68" s="280">
        <f t="shared" si="10"/>
        <v>0</v>
      </c>
      <c r="U68" s="280">
        <f t="shared" si="10"/>
        <v>0</v>
      </c>
      <c r="V68" s="322" t="e">
        <f t="shared" si="15"/>
        <v>#DIV/0!</v>
      </c>
      <c r="W68" s="322" t="e">
        <f t="shared" si="11"/>
        <v>#DIV/0!</v>
      </c>
      <c r="X68" s="322" t="e">
        <f t="shared" si="16"/>
        <v>#DIV/0!</v>
      </c>
    </row>
    <row r="69" spans="2:24">
      <c r="B69" s="282"/>
      <c r="C69" s="282" t="s">
        <v>191</v>
      </c>
      <c r="D69" s="257">
        <v>0</v>
      </c>
      <c r="E69" s="282" t="s">
        <v>559</v>
      </c>
      <c r="F69" s="282" t="s">
        <v>186</v>
      </c>
      <c r="G69" s="283"/>
      <c r="H69" s="283"/>
      <c r="I69" s="311">
        <v>0</v>
      </c>
      <c r="J69" s="257"/>
      <c r="K69" s="257"/>
      <c r="L69" s="3447" t="e">
        <f t="shared" si="12"/>
        <v>#DIV/0!</v>
      </c>
      <c r="M69" s="3447" t="e">
        <f t="shared" si="12"/>
        <v>#DIV/0!</v>
      </c>
      <c r="N69" s="214">
        <f t="shared" si="13"/>
        <v>0</v>
      </c>
      <c r="O69" s="214">
        <f t="shared" si="14"/>
        <v>0</v>
      </c>
      <c r="P69" s="214">
        <f>IF(K69=0, 0, (HLOOKUP(K69,'[1]G-CESTDWO'!$A$5:$G$35,J69+1,FALSE)*R19))</f>
        <v>0</v>
      </c>
      <c r="Q69" s="214">
        <f>IF(K69=0, 0, (HLOOKUP(K69,'[1]G-CESTD'!$A$5:$G$35,J69+1,FALSE)*R19))</f>
        <v>0</v>
      </c>
      <c r="R69" s="279">
        <v>1.081</v>
      </c>
      <c r="S69" s="280">
        <f t="shared" si="10"/>
        <v>0</v>
      </c>
      <c r="T69" s="280">
        <f t="shared" si="10"/>
        <v>0</v>
      </c>
      <c r="U69" s="280">
        <f t="shared" si="10"/>
        <v>0</v>
      </c>
      <c r="V69" s="322" t="e">
        <f t="shared" si="15"/>
        <v>#DIV/0!</v>
      </c>
      <c r="W69" s="322" t="e">
        <f t="shared" si="11"/>
        <v>#DIV/0!</v>
      </c>
      <c r="X69" s="322" t="e">
        <f t="shared" si="16"/>
        <v>#DIV/0!</v>
      </c>
    </row>
    <row r="70" spans="2:24">
      <c r="B70" s="282"/>
      <c r="C70" s="282" t="s">
        <v>192</v>
      </c>
      <c r="D70" s="282">
        <v>0</v>
      </c>
      <c r="E70" s="282" t="s">
        <v>559</v>
      </c>
      <c r="F70" s="282" t="s">
        <v>186</v>
      </c>
      <c r="G70" s="283"/>
      <c r="H70" s="283"/>
      <c r="I70" s="311">
        <v>0</v>
      </c>
      <c r="J70" s="257"/>
      <c r="K70" s="257"/>
      <c r="L70" s="3447" t="e">
        <f t="shared" si="12"/>
        <v>#DIV/0!</v>
      </c>
      <c r="M70" s="3447" t="e">
        <f t="shared" si="12"/>
        <v>#DIV/0!</v>
      </c>
      <c r="N70" s="214">
        <f t="shared" si="13"/>
        <v>0</v>
      </c>
      <c r="O70" s="214">
        <f t="shared" si="14"/>
        <v>0</v>
      </c>
      <c r="P70" s="214">
        <f>IF(K70=0, 0, (HLOOKUP(K70,'[1]G-CESTDWO'!$A$5:$G$35,J70+1,FALSE)*R20))</f>
        <v>0</v>
      </c>
      <c r="Q70" s="214">
        <f>IF(K70=0, 0, (HLOOKUP(K70,'[1]G-CESTD'!$A$5:$G$35,J70+1,FALSE)*R20))</f>
        <v>0</v>
      </c>
      <c r="R70" s="279">
        <v>1.081</v>
      </c>
      <c r="S70" s="280">
        <f t="shared" si="10"/>
        <v>0</v>
      </c>
      <c r="T70" s="280">
        <f t="shared" si="10"/>
        <v>0</v>
      </c>
      <c r="U70" s="280">
        <f t="shared" si="10"/>
        <v>0</v>
      </c>
      <c r="V70" s="322" t="e">
        <f t="shared" si="15"/>
        <v>#DIV/0!</v>
      </c>
      <c r="W70" s="322" t="e">
        <f t="shared" si="11"/>
        <v>#DIV/0!</v>
      </c>
      <c r="X70" s="322" t="e">
        <f t="shared" si="16"/>
        <v>#DIV/0!</v>
      </c>
    </row>
    <row r="71" spans="2:24">
      <c r="B71" s="282"/>
      <c r="C71" s="282" t="s">
        <v>193</v>
      </c>
      <c r="D71" s="257">
        <v>0</v>
      </c>
      <c r="E71" s="282" t="s">
        <v>559</v>
      </c>
      <c r="F71" s="282" t="s">
        <v>186</v>
      </c>
      <c r="G71" s="283"/>
      <c r="H71" s="283"/>
      <c r="I71" s="311">
        <v>0</v>
      </c>
      <c r="J71" s="257"/>
      <c r="K71" s="257"/>
      <c r="L71" s="3447" t="e">
        <f t="shared" si="12"/>
        <v>#DIV/0!</v>
      </c>
      <c r="M71" s="3447" t="e">
        <f t="shared" si="12"/>
        <v>#DIV/0!</v>
      </c>
      <c r="N71" s="214">
        <f t="shared" si="13"/>
        <v>0</v>
      </c>
      <c r="O71" s="214">
        <f t="shared" si="14"/>
        <v>0</v>
      </c>
      <c r="P71" s="214">
        <f>IF(K71=0, 0, (HLOOKUP(K71,'[1]G-CESTDWO'!$A$5:$G$35,J71+1,FALSE)*R21))</f>
        <v>0</v>
      </c>
      <c r="Q71" s="214">
        <f>IF(K71=0, 0, (HLOOKUP(K71,'[1]G-CESTD'!$A$5:$G$35,J71+1,FALSE)*R21))</f>
        <v>0</v>
      </c>
      <c r="R71" s="279">
        <v>1.081</v>
      </c>
      <c r="S71" s="280">
        <f t="shared" si="10"/>
        <v>0</v>
      </c>
      <c r="T71" s="280">
        <f t="shared" si="10"/>
        <v>0</v>
      </c>
      <c r="U71" s="280">
        <f t="shared" si="10"/>
        <v>0</v>
      </c>
      <c r="V71" s="322" t="e">
        <f t="shared" si="15"/>
        <v>#DIV/0!</v>
      </c>
      <c r="W71" s="322" t="e">
        <f t="shared" si="11"/>
        <v>#DIV/0!</v>
      </c>
      <c r="X71" s="322" t="e">
        <f t="shared" si="16"/>
        <v>#DIV/0!</v>
      </c>
    </row>
    <row r="72" spans="2:24">
      <c r="B72" s="282"/>
      <c r="C72" s="282" t="s">
        <v>194</v>
      </c>
      <c r="D72" s="282">
        <v>0</v>
      </c>
      <c r="E72" s="282" t="s">
        <v>559</v>
      </c>
      <c r="F72" s="282" t="s">
        <v>186</v>
      </c>
      <c r="G72" s="283"/>
      <c r="H72" s="283"/>
      <c r="I72" s="311">
        <v>0</v>
      </c>
      <c r="J72" s="257"/>
      <c r="K72" s="257"/>
      <c r="L72" s="3447" t="e">
        <f t="shared" si="12"/>
        <v>#DIV/0!</v>
      </c>
      <c r="M72" s="3447" t="e">
        <f t="shared" si="12"/>
        <v>#DIV/0!</v>
      </c>
      <c r="N72" s="214">
        <f t="shared" si="13"/>
        <v>0</v>
      </c>
      <c r="O72" s="214">
        <f t="shared" si="14"/>
        <v>0</v>
      </c>
      <c r="P72" s="214">
        <f>IF(K72=0, 0, (HLOOKUP(K72,'[1]G-CESTDWO'!$A$5:$G$35,J72+1,FALSE)*R22))</f>
        <v>0</v>
      </c>
      <c r="Q72" s="214">
        <f>IF(K72=0, 0, (HLOOKUP(K72,'[1]G-CESTD'!$A$5:$G$35,J72+1,FALSE)*R22))</f>
        <v>0</v>
      </c>
      <c r="R72" s="279">
        <v>1.081</v>
      </c>
      <c r="S72" s="280">
        <f t="shared" si="10"/>
        <v>0</v>
      </c>
      <c r="T72" s="280">
        <f t="shared" si="10"/>
        <v>0</v>
      </c>
      <c r="U72" s="280">
        <f t="shared" si="10"/>
        <v>0</v>
      </c>
      <c r="V72" s="322" t="e">
        <f t="shared" si="15"/>
        <v>#DIV/0!</v>
      </c>
      <c r="W72" s="322" t="e">
        <f t="shared" si="11"/>
        <v>#DIV/0!</v>
      </c>
      <c r="X72" s="322" t="e">
        <f t="shared" si="16"/>
        <v>#DIV/0!</v>
      </c>
    </row>
    <row r="73" spans="2:24">
      <c r="B73" s="282"/>
      <c r="C73" s="282" t="s">
        <v>195</v>
      </c>
      <c r="D73" s="257">
        <v>0</v>
      </c>
      <c r="E73" s="282" t="s">
        <v>559</v>
      </c>
      <c r="F73" s="282" t="s">
        <v>186</v>
      </c>
      <c r="G73" s="283"/>
      <c r="H73" s="283"/>
      <c r="I73" s="311">
        <v>0</v>
      </c>
      <c r="J73" s="257"/>
      <c r="K73" s="257"/>
      <c r="L73" s="3447" t="e">
        <f t="shared" si="12"/>
        <v>#DIV/0!</v>
      </c>
      <c r="M73" s="3447" t="e">
        <f t="shared" si="12"/>
        <v>#DIV/0!</v>
      </c>
      <c r="N73" s="214">
        <f t="shared" si="13"/>
        <v>0</v>
      </c>
      <c r="O73" s="214">
        <f t="shared" si="14"/>
        <v>0</v>
      </c>
      <c r="P73" s="214">
        <f>IF(K73=0, 0, (HLOOKUP(K73,'[1]G-CESTDWO'!$A$5:$G$35,J73+1,FALSE)*R23))</f>
        <v>0</v>
      </c>
      <c r="Q73" s="214">
        <f>IF(K73=0, 0, (HLOOKUP(K73,'[1]G-CESTD'!$A$5:$G$35,J73+1,FALSE)*R23))</f>
        <v>0</v>
      </c>
      <c r="R73" s="279">
        <v>1.081</v>
      </c>
      <c r="S73" s="280">
        <f t="shared" si="10"/>
        <v>0</v>
      </c>
      <c r="T73" s="280">
        <f t="shared" si="10"/>
        <v>0</v>
      </c>
      <c r="U73" s="280">
        <f t="shared" si="10"/>
        <v>0</v>
      </c>
      <c r="V73" s="322" t="e">
        <f t="shared" si="15"/>
        <v>#DIV/0!</v>
      </c>
      <c r="W73" s="322" t="e">
        <f t="shared" si="11"/>
        <v>#DIV/0!</v>
      </c>
      <c r="X73" s="322" t="e">
        <f t="shared" si="16"/>
        <v>#DIV/0!</v>
      </c>
    </row>
    <row r="74" spans="2:24">
      <c r="B74" s="282"/>
      <c r="C74" s="282" t="s">
        <v>196</v>
      </c>
      <c r="D74" s="282">
        <v>0</v>
      </c>
      <c r="E74" s="282" t="s">
        <v>559</v>
      </c>
      <c r="F74" s="282" t="s">
        <v>186</v>
      </c>
      <c r="G74" s="283"/>
      <c r="H74" s="283"/>
      <c r="I74" s="311">
        <v>0</v>
      </c>
      <c r="J74" s="257"/>
      <c r="K74" s="257"/>
      <c r="L74" s="3447" t="e">
        <f t="shared" si="12"/>
        <v>#DIV/0!</v>
      </c>
      <c r="M74" s="3447" t="e">
        <f t="shared" si="12"/>
        <v>#DIV/0!</v>
      </c>
      <c r="N74" s="214">
        <f t="shared" si="13"/>
        <v>0</v>
      </c>
      <c r="O74" s="214">
        <f t="shared" si="14"/>
        <v>0</v>
      </c>
      <c r="P74" s="214">
        <f>IF(K74=0, 0, (HLOOKUP(K74,'[1]G-CESTDWO'!$A$5:$G$35,J74+1,FALSE)*R24))</f>
        <v>0</v>
      </c>
      <c r="Q74" s="214">
        <f>IF(K74=0, 0, (HLOOKUP(K74,'[1]G-CESTD'!$A$5:$G$35,J74+1,FALSE)*R24))</f>
        <v>0</v>
      </c>
      <c r="R74" s="279">
        <v>1.081</v>
      </c>
      <c r="S74" s="280">
        <f t="shared" si="10"/>
        <v>0</v>
      </c>
      <c r="T74" s="280">
        <f t="shared" si="10"/>
        <v>0</v>
      </c>
      <c r="U74" s="280">
        <f t="shared" si="10"/>
        <v>0</v>
      </c>
      <c r="V74" s="322" t="e">
        <f t="shared" si="15"/>
        <v>#DIV/0!</v>
      </c>
      <c r="W74" s="322" t="e">
        <f t="shared" si="11"/>
        <v>#DIV/0!</v>
      </c>
      <c r="X74" s="322" t="e">
        <f t="shared" si="16"/>
        <v>#DIV/0!</v>
      </c>
    </row>
    <row r="75" spans="2:24">
      <c r="B75" s="282"/>
      <c r="C75" s="282" t="s">
        <v>197</v>
      </c>
      <c r="D75" s="257">
        <v>0</v>
      </c>
      <c r="E75" s="282" t="s">
        <v>559</v>
      </c>
      <c r="F75" s="282" t="s">
        <v>186</v>
      </c>
      <c r="G75" s="283"/>
      <c r="H75" s="283"/>
      <c r="I75" s="311">
        <v>0</v>
      </c>
      <c r="J75" s="257"/>
      <c r="K75" s="257"/>
      <c r="L75" s="3447" t="e">
        <f t="shared" si="12"/>
        <v>#DIV/0!</v>
      </c>
      <c r="M75" s="3447" t="e">
        <f t="shared" si="12"/>
        <v>#DIV/0!</v>
      </c>
      <c r="N75" s="214">
        <f t="shared" si="13"/>
        <v>0</v>
      </c>
      <c r="O75" s="214">
        <f t="shared" si="14"/>
        <v>0</v>
      </c>
      <c r="P75" s="214">
        <f>IF(K75=0, 0, (HLOOKUP(K75,'[1]G-CESTDWO'!$A$5:$G$35,J75+1,FALSE)*R25))</f>
        <v>0</v>
      </c>
      <c r="Q75" s="214">
        <f>IF(K75=0, 0, (HLOOKUP(K75,'[1]G-CESTD'!$A$5:$G$35,J75+1,FALSE)*R25))</f>
        <v>0</v>
      </c>
      <c r="R75" s="279">
        <v>1.081</v>
      </c>
      <c r="S75" s="280">
        <f t="shared" si="10"/>
        <v>0</v>
      </c>
      <c r="T75" s="280">
        <f t="shared" si="10"/>
        <v>0</v>
      </c>
      <c r="U75" s="280">
        <f t="shared" si="10"/>
        <v>0</v>
      </c>
      <c r="V75" s="322" t="e">
        <f t="shared" si="15"/>
        <v>#DIV/0!</v>
      </c>
      <c r="W75" s="322" t="e">
        <f t="shared" si="11"/>
        <v>#DIV/0!</v>
      </c>
      <c r="X75" s="322" t="e">
        <f t="shared" si="16"/>
        <v>#DIV/0!</v>
      </c>
    </row>
    <row r="76" spans="2:24">
      <c r="B76" s="282"/>
      <c r="C76" s="282" t="s">
        <v>198</v>
      </c>
      <c r="D76" s="282">
        <v>0</v>
      </c>
      <c r="E76" s="282" t="s">
        <v>559</v>
      </c>
      <c r="F76" s="282" t="s">
        <v>186</v>
      </c>
      <c r="G76" s="283"/>
      <c r="H76" s="283"/>
      <c r="I76" s="311">
        <v>0</v>
      </c>
      <c r="J76" s="257"/>
      <c r="K76" s="257"/>
      <c r="L76" s="3447" t="e">
        <f t="shared" si="12"/>
        <v>#DIV/0!</v>
      </c>
      <c r="M76" s="3447" t="e">
        <f t="shared" si="12"/>
        <v>#DIV/0!</v>
      </c>
      <c r="N76" s="214">
        <f t="shared" si="13"/>
        <v>0</v>
      </c>
      <c r="O76" s="214">
        <f t="shared" si="14"/>
        <v>0</v>
      </c>
      <c r="P76" s="214">
        <f>IF(K76=0, 0, (HLOOKUP(K76,'[1]G-CESTDWO'!$A$5:$G$35,J76+1,FALSE)*R26))</f>
        <v>0</v>
      </c>
      <c r="Q76" s="214">
        <f>IF(K76=0, 0, (HLOOKUP(K76,'[1]G-CESTD'!$A$5:$G$35,J76+1,FALSE)*R26))</f>
        <v>0</v>
      </c>
      <c r="R76" s="279">
        <v>1.081</v>
      </c>
      <c r="S76" s="280">
        <f t="shared" si="10"/>
        <v>0</v>
      </c>
      <c r="T76" s="280">
        <f t="shared" si="10"/>
        <v>0</v>
      </c>
      <c r="U76" s="280">
        <f t="shared" si="10"/>
        <v>0</v>
      </c>
      <c r="V76" s="322" t="e">
        <f t="shared" si="15"/>
        <v>#DIV/0!</v>
      </c>
      <c r="W76" s="322" t="e">
        <f t="shared" si="11"/>
        <v>#DIV/0!</v>
      </c>
      <c r="X76" s="322" t="e">
        <f t="shared" si="16"/>
        <v>#DIV/0!</v>
      </c>
    </row>
    <row r="77" spans="2:24">
      <c r="B77" s="282"/>
      <c r="C77" s="282" t="s">
        <v>199</v>
      </c>
      <c r="D77" s="257">
        <v>0</v>
      </c>
      <c r="E77" s="282" t="s">
        <v>559</v>
      </c>
      <c r="F77" s="282" t="s">
        <v>186</v>
      </c>
      <c r="G77" s="283"/>
      <c r="H77" s="283"/>
      <c r="I77" s="311">
        <v>0</v>
      </c>
      <c r="J77" s="257"/>
      <c r="K77" s="257"/>
      <c r="L77" s="3447" t="e">
        <f t="shared" si="12"/>
        <v>#DIV/0!</v>
      </c>
      <c r="M77" s="3447" t="e">
        <f t="shared" si="12"/>
        <v>#DIV/0!</v>
      </c>
      <c r="N77" s="214">
        <f t="shared" si="13"/>
        <v>0</v>
      </c>
      <c r="O77" s="214">
        <f t="shared" si="14"/>
        <v>0</v>
      </c>
      <c r="P77" s="214">
        <f>IF(K77=0, 0, (HLOOKUP(K77,'[1]G-CESTDWO'!$A$5:$G$35,J77+1,FALSE)*R27))</f>
        <v>0</v>
      </c>
      <c r="Q77" s="214">
        <f>IF(K77=0, 0, (HLOOKUP(K77,'[1]G-CESTD'!$A$5:$G$35,J77+1,FALSE)*R27))</f>
        <v>0</v>
      </c>
      <c r="R77" s="279">
        <v>1.081</v>
      </c>
      <c r="S77" s="280">
        <f t="shared" si="10"/>
        <v>0</v>
      </c>
      <c r="T77" s="280">
        <f t="shared" si="10"/>
        <v>0</v>
      </c>
      <c r="U77" s="280">
        <f t="shared" si="10"/>
        <v>0</v>
      </c>
      <c r="V77" s="322" t="e">
        <f t="shared" si="15"/>
        <v>#DIV/0!</v>
      </c>
      <c r="W77" s="322" t="e">
        <f t="shared" si="11"/>
        <v>#DIV/0!</v>
      </c>
      <c r="X77" s="322" t="e">
        <f t="shared" si="16"/>
        <v>#DIV/0!</v>
      </c>
    </row>
    <row r="78" spans="2:24">
      <c r="B78" s="282"/>
      <c r="C78" s="282" t="s">
        <v>200</v>
      </c>
      <c r="D78" s="282">
        <v>0</v>
      </c>
      <c r="E78" s="282" t="s">
        <v>559</v>
      </c>
      <c r="F78" s="282" t="s">
        <v>186</v>
      </c>
      <c r="G78" s="283"/>
      <c r="H78" s="283"/>
      <c r="I78" s="311">
        <v>0</v>
      </c>
      <c r="J78" s="257"/>
      <c r="K78" s="257"/>
      <c r="L78" s="3447" t="e">
        <f t="shared" si="12"/>
        <v>#DIV/0!</v>
      </c>
      <c r="M78" s="3447" t="e">
        <f t="shared" si="12"/>
        <v>#DIV/0!</v>
      </c>
      <c r="N78" s="214">
        <f t="shared" si="13"/>
        <v>0</v>
      </c>
      <c r="O78" s="214">
        <f t="shared" si="14"/>
        <v>0</v>
      </c>
      <c r="P78" s="214">
        <f>IF(K78=0, 0, (HLOOKUP(K78,'[1]G-CESTDWO'!$A$5:$G$35,J78+1,FALSE)*R28))</f>
        <v>0</v>
      </c>
      <c r="Q78" s="214">
        <f>IF(K78=0, 0, (HLOOKUP(K78,'[1]G-CESTD'!$A$5:$G$35,J78+1,FALSE)*R28))</f>
        <v>0</v>
      </c>
      <c r="R78" s="279">
        <v>1.081</v>
      </c>
      <c r="S78" s="280">
        <f t="shared" si="10"/>
        <v>0</v>
      </c>
      <c r="T78" s="280">
        <f t="shared" si="10"/>
        <v>0</v>
      </c>
      <c r="U78" s="280">
        <f t="shared" si="10"/>
        <v>0</v>
      </c>
      <c r="V78" s="322" t="e">
        <f t="shared" si="15"/>
        <v>#DIV/0!</v>
      </c>
      <c r="W78" s="322" t="e">
        <f t="shared" si="11"/>
        <v>#DIV/0!</v>
      </c>
      <c r="X78" s="322" t="e">
        <f t="shared" si="16"/>
        <v>#DIV/0!</v>
      </c>
    </row>
    <row r="79" spans="2:24">
      <c r="B79" s="282"/>
      <c r="C79" s="282" t="s">
        <v>201</v>
      </c>
      <c r="D79" s="257">
        <v>0</v>
      </c>
      <c r="E79" s="282" t="s">
        <v>559</v>
      </c>
      <c r="F79" s="282" t="s">
        <v>186</v>
      </c>
      <c r="G79" s="283"/>
      <c r="H79" s="283"/>
      <c r="I79" s="311">
        <v>0</v>
      </c>
      <c r="J79" s="257"/>
      <c r="K79" s="257"/>
      <c r="L79" s="3447" t="e">
        <f t="shared" si="12"/>
        <v>#DIV/0!</v>
      </c>
      <c r="M79" s="3447" t="e">
        <f t="shared" si="12"/>
        <v>#DIV/0!</v>
      </c>
      <c r="N79" s="214">
        <f t="shared" si="13"/>
        <v>0</v>
      </c>
      <c r="O79" s="214">
        <f t="shared" si="14"/>
        <v>0</v>
      </c>
      <c r="P79" s="214">
        <f>IF(K79=0, 0, (HLOOKUP(K79,'[1]G-CESTDWO'!$A$5:$G$35,J79+1,FALSE)*R29))</f>
        <v>0</v>
      </c>
      <c r="Q79" s="214">
        <f>IF(K79=0, 0, (HLOOKUP(K79,'[1]G-CESTD'!$A$5:$G$35,J79+1,FALSE)*R29))</f>
        <v>0</v>
      </c>
      <c r="R79" s="279">
        <v>1.081</v>
      </c>
      <c r="S79" s="280">
        <f t="shared" ref="S79:U104" si="17">M29*$H79</f>
        <v>0</v>
      </c>
      <c r="T79" s="280">
        <f t="shared" si="17"/>
        <v>0</v>
      </c>
      <c r="U79" s="280">
        <f t="shared" si="17"/>
        <v>0</v>
      </c>
      <c r="V79" s="322" t="e">
        <f t="shared" si="15"/>
        <v>#DIV/0!</v>
      </c>
      <c r="W79" s="322" t="e">
        <f t="shared" si="11"/>
        <v>#DIV/0!</v>
      </c>
      <c r="X79" s="322" t="e">
        <f t="shared" si="16"/>
        <v>#DIV/0!</v>
      </c>
    </row>
    <row r="80" spans="2:24">
      <c r="B80" s="282"/>
      <c r="C80" s="282" t="s">
        <v>202</v>
      </c>
      <c r="D80" s="282">
        <v>0</v>
      </c>
      <c r="E80" s="282" t="s">
        <v>559</v>
      </c>
      <c r="F80" s="282" t="s">
        <v>186</v>
      </c>
      <c r="G80" s="283"/>
      <c r="H80" s="283"/>
      <c r="I80" s="311">
        <v>0</v>
      </c>
      <c r="J80" s="257"/>
      <c r="K80" s="257"/>
      <c r="L80" s="3447" t="e">
        <f t="shared" si="12"/>
        <v>#DIV/0!</v>
      </c>
      <c r="M80" s="3447" t="e">
        <f t="shared" si="12"/>
        <v>#DIV/0!</v>
      </c>
      <c r="N80" s="214">
        <f t="shared" si="13"/>
        <v>0</v>
      </c>
      <c r="O80" s="214">
        <f t="shared" si="14"/>
        <v>0</v>
      </c>
      <c r="P80" s="214">
        <f>IF(K80=0, 0, (HLOOKUP(K80,'[1]G-CESTDWO'!$A$5:$G$35,J80+1,FALSE)*R30))</f>
        <v>0</v>
      </c>
      <c r="Q80" s="214">
        <f>IF(K80=0, 0, (HLOOKUP(K80,'[1]G-CESTD'!$A$5:$G$35,J80+1,FALSE)*R30))</f>
        <v>0</v>
      </c>
      <c r="R80" s="279">
        <v>1.081</v>
      </c>
      <c r="S80" s="280">
        <f t="shared" si="17"/>
        <v>0</v>
      </c>
      <c r="T80" s="280">
        <f t="shared" si="17"/>
        <v>0</v>
      </c>
      <c r="U80" s="280">
        <f t="shared" si="17"/>
        <v>0</v>
      </c>
      <c r="V80" s="322" t="e">
        <f t="shared" si="15"/>
        <v>#DIV/0!</v>
      </c>
      <c r="W80" s="322" t="e">
        <f t="shared" si="11"/>
        <v>#DIV/0!</v>
      </c>
      <c r="X80" s="322" t="e">
        <f t="shared" si="16"/>
        <v>#DIV/0!</v>
      </c>
    </row>
    <row r="81" spans="2:24">
      <c r="B81" s="282"/>
      <c r="C81" s="282" t="s">
        <v>203</v>
      </c>
      <c r="D81" s="282">
        <v>0</v>
      </c>
      <c r="E81" s="282" t="s">
        <v>559</v>
      </c>
      <c r="F81" s="282" t="s">
        <v>186</v>
      </c>
      <c r="G81" s="283"/>
      <c r="H81" s="283"/>
      <c r="I81" s="311">
        <v>0</v>
      </c>
      <c r="J81" s="257"/>
      <c r="K81" s="257"/>
      <c r="L81" s="3447" t="e">
        <f t="shared" si="12"/>
        <v>#DIV/0!</v>
      </c>
      <c r="M81" s="3447" t="e">
        <f t="shared" si="12"/>
        <v>#DIV/0!</v>
      </c>
      <c r="N81" s="214">
        <f t="shared" si="13"/>
        <v>0</v>
      </c>
      <c r="O81" s="214">
        <f t="shared" si="14"/>
        <v>0</v>
      </c>
      <c r="P81" s="214">
        <f>IF(K81=0, 0, (HLOOKUP(K81,'[1]G-CESTDWO'!$A$5:$G$35,J81+1,FALSE)*R31))</f>
        <v>0</v>
      </c>
      <c r="Q81" s="214">
        <f>IF(K81=0, 0, (HLOOKUP(K81,'[1]G-CESTD'!$A$5:$G$35,J81+1,FALSE)*R31))</f>
        <v>0</v>
      </c>
      <c r="R81" s="279">
        <v>1.081</v>
      </c>
      <c r="S81" s="280">
        <f t="shared" si="17"/>
        <v>0</v>
      </c>
      <c r="T81" s="280">
        <f t="shared" si="17"/>
        <v>0</v>
      </c>
      <c r="U81" s="280">
        <f t="shared" si="17"/>
        <v>0</v>
      </c>
      <c r="V81" s="322" t="e">
        <f t="shared" si="15"/>
        <v>#DIV/0!</v>
      </c>
      <c r="W81" s="322" t="e">
        <f t="shared" si="11"/>
        <v>#DIV/0!</v>
      </c>
      <c r="X81" s="322" t="e">
        <f t="shared" si="16"/>
        <v>#DIV/0!</v>
      </c>
    </row>
    <row r="82" spans="2:24">
      <c r="B82" s="282"/>
      <c r="C82" s="282" t="s">
        <v>204</v>
      </c>
      <c r="D82" s="282">
        <v>0</v>
      </c>
      <c r="E82" s="282" t="s">
        <v>559</v>
      </c>
      <c r="F82" s="282" t="s">
        <v>186</v>
      </c>
      <c r="G82" s="283"/>
      <c r="H82" s="283"/>
      <c r="I82" s="311">
        <v>0</v>
      </c>
      <c r="J82" s="257"/>
      <c r="K82" s="257"/>
      <c r="L82" s="3447" t="e">
        <f t="shared" si="12"/>
        <v>#DIV/0!</v>
      </c>
      <c r="M82" s="3447" t="e">
        <f t="shared" si="12"/>
        <v>#DIV/0!</v>
      </c>
      <c r="N82" s="214">
        <f t="shared" si="13"/>
        <v>0</v>
      </c>
      <c r="O82" s="214">
        <f t="shared" si="14"/>
        <v>0</v>
      </c>
      <c r="P82" s="214">
        <f>IF(K82=0, 0, (HLOOKUP(K82,'[1]G-CESTDWO'!$A$5:$G$35,J82+1,FALSE)*R32))</f>
        <v>0</v>
      </c>
      <c r="Q82" s="214">
        <f>IF(K82=0, 0, (HLOOKUP(K82,'[1]G-CESTD'!$A$5:$G$35,J82+1,FALSE)*R32))</f>
        <v>0</v>
      </c>
      <c r="R82" s="279">
        <v>1.081</v>
      </c>
      <c r="S82" s="280">
        <f t="shared" si="17"/>
        <v>0</v>
      </c>
      <c r="T82" s="280">
        <f t="shared" si="17"/>
        <v>0</v>
      </c>
      <c r="U82" s="280">
        <f t="shared" si="17"/>
        <v>0</v>
      </c>
    </row>
    <row r="83" spans="2:24">
      <c r="B83" s="282"/>
      <c r="C83" s="282" t="s">
        <v>205</v>
      </c>
      <c r="D83" s="285">
        <v>0</v>
      </c>
      <c r="E83" s="282" t="s">
        <v>559</v>
      </c>
      <c r="F83" s="282" t="s">
        <v>186</v>
      </c>
      <c r="G83" s="283"/>
      <c r="H83" s="283"/>
      <c r="I83" s="311">
        <v>0</v>
      </c>
      <c r="J83" s="257"/>
      <c r="K83" s="257"/>
      <c r="L83" s="3447" t="e">
        <f t="shared" si="12"/>
        <v>#DIV/0!</v>
      </c>
      <c r="M83" s="3447" t="e">
        <f t="shared" si="12"/>
        <v>#DIV/0!</v>
      </c>
      <c r="N83" s="214">
        <f t="shared" si="13"/>
        <v>0</v>
      </c>
      <c r="O83" s="214">
        <f t="shared" si="14"/>
        <v>0</v>
      </c>
      <c r="P83" s="214">
        <f>IF(K83=0, 0, (HLOOKUP(K83,'[1]G-CESTDWO'!$A$5:$G$35,J83+1,FALSE)*R33))</f>
        <v>0</v>
      </c>
      <c r="Q83" s="214">
        <f>IF(K83=0, 0, (HLOOKUP(K83,'[1]G-CESTD'!$A$5:$G$35,J83+1,FALSE)*R33))</f>
        <v>0</v>
      </c>
      <c r="R83" s="279">
        <v>1.081</v>
      </c>
      <c r="S83" s="280">
        <f t="shared" si="17"/>
        <v>0</v>
      </c>
      <c r="T83" s="280">
        <f t="shared" si="17"/>
        <v>0</v>
      </c>
      <c r="U83" s="280">
        <f t="shared" si="17"/>
        <v>0</v>
      </c>
    </row>
    <row r="84" spans="2:24">
      <c r="B84" s="282"/>
      <c r="C84" s="282" t="s">
        <v>206</v>
      </c>
      <c r="D84" s="285">
        <v>0</v>
      </c>
      <c r="E84" s="282" t="s">
        <v>559</v>
      </c>
      <c r="F84" s="282" t="s">
        <v>186</v>
      </c>
      <c r="G84" s="283"/>
      <c r="H84" s="283"/>
      <c r="I84" s="311">
        <v>0</v>
      </c>
      <c r="J84" s="257"/>
      <c r="K84" s="257"/>
      <c r="L84" s="3447" t="e">
        <f t="shared" si="12"/>
        <v>#DIV/0!</v>
      </c>
      <c r="M84" s="3447" t="e">
        <f t="shared" si="12"/>
        <v>#DIV/0!</v>
      </c>
      <c r="N84" s="214">
        <f t="shared" si="13"/>
        <v>0</v>
      </c>
      <c r="O84" s="214">
        <f t="shared" si="14"/>
        <v>0</v>
      </c>
      <c r="P84" s="214">
        <f>IF(K84=0, 0, (HLOOKUP(K84,'[1]G-CESTDWO'!$A$5:$G$35,J84+1,FALSE)*R34))</f>
        <v>0</v>
      </c>
      <c r="Q84" s="214">
        <f>IF(K84=0, 0, (HLOOKUP(K84,'[1]G-CESTD'!$A$5:$G$35,J84+1,FALSE)*R34))</f>
        <v>0</v>
      </c>
      <c r="R84" s="279">
        <v>1.081</v>
      </c>
      <c r="S84" s="280">
        <f t="shared" si="17"/>
        <v>0</v>
      </c>
      <c r="T84" s="280">
        <f t="shared" si="17"/>
        <v>0</v>
      </c>
      <c r="U84" s="280">
        <f t="shared" si="17"/>
        <v>0</v>
      </c>
    </row>
    <row r="85" spans="2:24">
      <c r="B85" s="282"/>
      <c r="C85" s="282" t="s">
        <v>207</v>
      </c>
      <c r="D85" s="285">
        <v>0</v>
      </c>
      <c r="E85" s="282" t="s">
        <v>559</v>
      </c>
      <c r="F85" s="282" t="s">
        <v>186</v>
      </c>
      <c r="G85" s="283"/>
      <c r="H85" s="283"/>
      <c r="I85" s="311">
        <v>0</v>
      </c>
      <c r="J85" s="257"/>
      <c r="K85" s="257"/>
      <c r="L85" s="3447" t="e">
        <f t="shared" si="12"/>
        <v>#DIV/0!</v>
      </c>
      <c r="M85" s="3447" t="e">
        <f t="shared" si="12"/>
        <v>#DIV/0!</v>
      </c>
      <c r="N85" s="214">
        <f t="shared" si="13"/>
        <v>0</v>
      </c>
      <c r="O85" s="214">
        <f t="shared" si="14"/>
        <v>0</v>
      </c>
      <c r="P85" s="214">
        <f>IF(K85=0, 0, (HLOOKUP(K85,'[1]G-CESTDWO'!$A$5:$G$35,J85+1,FALSE)*R35))</f>
        <v>0</v>
      </c>
      <c r="Q85" s="214">
        <f>IF(K85=0, 0, (HLOOKUP(K85,'[1]G-CESTD'!$A$5:$G$35,J85+1,FALSE)*R35))</f>
        <v>0</v>
      </c>
      <c r="R85" s="279">
        <v>1.081</v>
      </c>
      <c r="S85" s="280">
        <f t="shared" si="17"/>
        <v>0</v>
      </c>
      <c r="T85" s="280">
        <f t="shared" si="17"/>
        <v>0</v>
      </c>
      <c r="U85" s="280">
        <f t="shared" si="17"/>
        <v>0</v>
      </c>
    </row>
    <row r="86" spans="2:24">
      <c r="B86" s="282"/>
      <c r="C86" s="282" t="s">
        <v>208</v>
      </c>
      <c r="D86" s="285">
        <v>0</v>
      </c>
      <c r="E86" s="282" t="s">
        <v>559</v>
      </c>
      <c r="F86" s="282" t="s">
        <v>186</v>
      </c>
      <c r="G86" s="283"/>
      <c r="H86" s="283"/>
      <c r="I86" s="311">
        <v>0</v>
      </c>
      <c r="J86" s="257"/>
      <c r="K86" s="257"/>
      <c r="L86" s="3447" t="e">
        <f t="shared" si="12"/>
        <v>#DIV/0!</v>
      </c>
      <c r="M86" s="3447" t="e">
        <f t="shared" si="12"/>
        <v>#DIV/0!</v>
      </c>
      <c r="N86" s="214">
        <f t="shared" si="13"/>
        <v>0</v>
      </c>
      <c r="O86" s="214">
        <f t="shared" si="14"/>
        <v>0</v>
      </c>
      <c r="P86" s="214">
        <f>IF(K86=0, 0, (HLOOKUP(K86,'[1]G-CESTDWO'!$A$5:$G$35,J86+1,FALSE)*R36))</f>
        <v>0</v>
      </c>
      <c r="Q86" s="214">
        <f>IF(K86=0, 0, (HLOOKUP(K86,'[1]G-CESTD'!$A$5:$G$35,J86+1,FALSE)*R36))</f>
        <v>0</v>
      </c>
      <c r="R86" s="279">
        <v>1.081</v>
      </c>
      <c r="S86" s="280">
        <f t="shared" si="17"/>
        <v>0</v>
      </c>
      <c r="T86" s="280">
        <f t="shared" si="17"/>
        <v>0</v>
      </c>
      <c r="U86" s="280">
        <f t="shared" si="17"/>
        <v>0</v>
      </c>
    </row>
    <row r="87" spans="2:24">
      <c r="B87" s="282"/>
      <c r="C87" s="282" t="s">
        <v>209</v>
      </c>
      <c r="D87" s="285">
        <v>0</v>
      </c>
      <c r="E87" s="282" t="s">
        <v>559</v>
      </c>
      <c r="F87" s="282" t="s">
        <v>186</v>
      </c>
      <c r="G87" s="283"/>
      <c r="H87" s="283"/>
      <c r="I87" s="311">
        <v>0</v>
      </c>
      <c r="J87" s="257"/>
      <c r="K87" s="257"/>
      <c r="L87" s="3447" t="e">
        <f t="shared" si="12"/>
        <v>#DIV/0!</v>
      </c>
      <c r="M87" s="3447" t="e">
        <f t="shared" si="12"/>
        <v>#DIV/0!</v>
      </c>
      <c r="N87" s="214">
        <f t="shared" si="13"/>
        <v>0</v>
      </c>
      <c r="O87" s="214">
        <f t="shared" si="14"/>
        <v>0</v>
      </c>
      <c r="P87" s="214">
        <f>IF(K87=0, 0, (HLOOKUP(K87,'[1]G-CESTDWO'!$A$5:$G$35,J87+1,FALSE)*R37))</f>
        <v>0</v>
      </c>
      <c r="Q87" s="214">
        <f>IF(K87=0, 0, (HLOOKUP(K87,'[1]G-CESTD'!$A$5:$G$35,J87+1,FALSE)*R37))</f>
        <v>0</v>
      </c>
      <c r="R87" s="279">
        <v>1.081</v>
      </c>
      <c r="S87" s="280">
        <f t="shared" si="17"/>
        <v>0</v>
      </c>
      <c r="T87" s="280">
        <f t="shared" si="17"/>
        <v>0</v>
      </c>
      <c r="U87" s="280">
        <f t="shared" si="17"/>
        <v>0</v>
      </c>
    </row>
    <row r="88" spans="2:24">
      <c r="B88" s="282"/>
      <c r="C88" s="282" t="s">
        <v>210</v>
      </c>
      <c r="D88" s="285">
        <v>0</v>
      </c>
      <c r="E88" s="282" t="s">
        <v>559</v>
      </c>
      <c r="F88" s="282" t="s">
        <v>186</v>
      </c>
      <c r="G88" s="283"/>
      <c r="H88" s="283"/>
      <c r="I88" s="311">
        <v>0</v>
      </c>
      <c r="J88" s="257"/>
      <c r="K88" s="257"/>
      <c r="L88" s="3447" t="e">
        <f t="shared" si="12"/>
        <v>#DIV/0!</v>
      </c>
      <c r="M88" s="3447" t="e">
        <f t="shared" si="12"/>
        <v>#DIV/0!</v>
      </c>
      <c r="N88" s="214">
        <f t="shared" si="13"/>
        <v>0</v>
      </c>
      <c r="O88" s="214">
        <f t="shared" si="14"/>
        <v>0</v>
      </c>
      <c r="P88" s="214">
        <f>IF(K88=0, 0, (HLOOKUP(K88,'[1]G-CESTDWO'!$A$5:$G$35,J88+1,FALSE)*R38))</f>
        <v>0</v>
      </c>
      <c r="Q88" s="214">
        <f>IF(K88=0, 0, (HLOOKUP(K88,'[1]G-CESTD'!$A$5:$G$35,J88+1,FALSE)*R38))</f>
        <v>0</v>
      </c>
      <c r="R88" s="279">
        <v>1.081</v>
      </c>
      <c r="S88" s="280">
        <f t="shared" si="17"/>
        <v>0</v>
      </c>
      <c r="T88" s="280">
        <f t="shared" si="17"/>
        <v>0</v>
      </c>
      <c r="U88" s="280">
        <f t="shared" si="17"/>
        <v>0</v>
      </c>
    </row>
    <row r="89" spans="2:24">
      <c r="B89" s="282"/>
      <c r="C89" s="282" t="s">
        <v>211</v>
      </c>
      <c r="D89" s="285">
        <v>0</v>
      </c>
      <c r="E89" s="282" t="s">
        <v>559</v>
      </c>
      <c r="F89" s="282" t="s">
        <v>186</v>
      </c>
      <c r="G89" s="283"/>
      <c r="H89" s="283"/>
      <c r="I89" s="311">
        <v>0</v>
      </c>
      <c r="J89" s="257"/>
      <c r="K89" s="257"/>
      <c r="L89" s="3447" t="e">
        <f t="shared" si="12"/>
        <v>#DIV/0!</v>
      </c>
      <c r="M89" s="3447" t="e">
        <f t="shared" si="12"/>
        <v>#DIV/0!</v>
      </c>
      <c r="N89" s="214">
        <f t="shared" si="13"/>
        <v>0</v>
      </c>
      <c r="O89" s="214">
        <f t="shared" si="14"/>
        <v>0</v>
      </c>
      <c r="P89" s="214">
        <f>IF(K89=0, 0, (HLOOKUP(K89,'[1]G-CESTDWO'!$A$5:$G$35,J89+1,FALSE)*R39))</f>
        <v>0</v>
      </c>
      <c r="Q89" s="214">
        <f>IF(K89=0, 0, (HLOOKUP(K89,'[1]G-CESTD'!$A$5:$G$35,J89+1,FALSE)*R39))</f>
        <v>0</v>
      </c>
      <c r="R89" s="279">
        <v>1.081</v>
      </c>
      <c r="S89" s="280">
        <f t="shared" si="17"/>
        <v>0</v>
      </c>
      <c r="T89" s="280">
        <f t="shared" si="17"/>
        <v>0</v>
      </c>
      <c r="U89" s="280">
        <f t="shared" si="17"/>
        <v>0</v>
      </c>
    </row>
    <row r="90" spans="2:24">
      <c r="B90" s="282"/>
      <c r="C90" s="282" t="s">
        <v>212</v>
      </c>
      <c r="D90" s="285">
        <v>0</v>
      </c>
      <c r="E90" s="282" t="s">
        <v>559</v>
      </c>
      <c r="F90" s="282" t="s">
        <v>186</v>
      </c>
      <c r="G90" s="283"/>
      <c r="H90" s="283"/>
      <c r="I90" s="311">
        <v>0</v>
      </c>
      <c r="J90" s="257"/>
      <c r="K90" s="257"/>
      <c r="L90" s="3447" t="e">
        <f t="shared" si="12"/>
        <v>#DIV/0!</v>
      </c>
      <c r="M90" s="3447" t="e">
        <f t="shared" si="12"/>
        <v>#DIV/0!</v>
      </c>
      <c r="N90" s="214">
        <f t="shared" si="13"/>
        <v>0</v>
      </c>
      <c r="O90" s="214">
        <f t="shared" si="14"/>
        <v>0</v>
      </c>
      <c r="P90" s="214">
        <f>IF(K90=0, 0, (HLOOKUP(K90,'[1]G-CESTDWO'!$A$5:$G$35,J90+1,FALSE)*R40))</f>
        <v>0</v>
      </c>
      <c r="Q90" s="214">
        <f>IF(K90=0, 0, (HLOOKUP(K90,'[1]G-CESTD'!$A$5:$G$35,J90+1,FALSE)*R40))</f>
        <v>0</v>
      </c>
      <c r="R90" s="279">
        <v>1.081</v>
      </c>
      <c r="S90" s="280">
        <f t="shared" si="17"/>
        <v>0</v>
      </c>
      <c r="T90" s="280">
        <f t="shared" si="17"/>
        <v>0</v>
      </c>
      <c r="U90" s="280">
        <f t="shared" si="17"/>
        <v>0</v>
      </c>
    </row>
    <row r="91" spans="2:24">
      <c r="B91" s="282"/>
      <c r="C91" s="282" t="s">
        <v>213</v>
      </c>
      <c r="D91" s="285">
        <v>0</v>
      </c>
      <c r="E91" s="282" t="s">
        <v>559</v>
      </c>
      <c r="F91" s="282" t="s">
        <v>186</v>
      </c>
      <c r="G91" s="283"/>
      <c r="H91" s="283"/>
      <c r="I91" s="311">
        <v>0</v>
      </c>
      <c r="J91" s="257"/>
      <c r="K91" s="257"/>
      <c r="L91" s="3447" t="e">
        <f t="shared" si="12"/>
        <v>#DIV/0!</v>
      </c>
      <c r="M91" s="3447" t="e">
        <f t="shared" si="12"/>
        <v>#DIV/0!</v>
      </c>
      <c r="N91" s="214">
        <f t="shared" si="13"/>
        <v>0</v>
      </c>
      <c r="O91" s="214">
        <f t="shared" si="14"/>
        <v>0</v>
      </c>
      <c r="P91" s="214">
        <f>IF(K91=0, 0, (HLOOKUP(K91,'[1]G-CESTDWO'!$A$5:$G$35,J91+1,FALSE)*R41))</f>
        <v>0</v>
      </c>
      <c r="Q91" s="214">
        <f>IF(K91=0, 0, (HLOOKUP(K91,'[1]G-CESTD'!$A$5:$G$35,J91+1,FALSE)*R41))</f>
        <v>0</v>
      </c>
      <c r="R91" s="279">
        <v>1.081</v>
      </c>
      <c r="S91" s="280">
        <f t="shared" si="17"/>
        <v>0</v>
      </c>
      <c r="T91" s="280">
        <f t="shared" si="17"/>
        <v>0</v>
      </c>
      <c r="U91" s="280">
        <f t="shared" si="17"/>
        <v>0</v>
      </c>
    </row>
    <row r="92" spans="2:24">
      <c r="B92" s="282"/>
      <c r="C92" s="282" t="s">
        <v>214</v>
      </c>
      <c r="D92" s="285">
        <v>0</v>
      </c>
      <c r="E92" s="282" t="s">
        <v>559</v>
      </c>
      <c r="F92" s="282" t="s">
        <v>186</v>
      </c>
      <c r="G92" s="283"/>
      <c r="H92" s="283"/>
      <c r="I92" s="311">
        <v>0</v>
      </c>
      <c r="J92" s="257"/>
      <c r="K92" s="257"/>
      <c r="L92" s="3447" t="e">
        <f t="shared" si="12"/>
        <v>#DIV/0!</v>
      </c>
      <c r="M92" s="3447" t="e">
        <f t="shared" si="12"/>
        <v>#DIV/0!</v>
      </c>
      <c r="N92" s="214">
        <f t="shared" si="13"/>
        <v>0</v>
      </c>
      <c r="O92" s="214">
        <f t="shared" si="14"/>
        <v>0</v>
      </c>
      <c r="P92" s="214">
        <f>IF(K92=0, 0, (HLOOKUP(K92,'[1]G-CESTDWO'!$A$5:$G$35,J92+1,FALSE)*R42))</f>
        <v>0</v>
      </c>
      <c r="Q92" s="214">
        <f>IF(K92=0, 0, (HLOOKUP(K92,'[1]G-CESTD'!$A$5:$G$35,J92+1,FALSE)*R42))</f>
        <v>0</v>
      </c>
      <c r="R92" s="279">
        <v>1.081</v>
      </c>
      <c r="S92" s="280">
        <f t="shared" si="17"/>
        <v>0</v>
      </c>
      <c r="T92" s="280">
        <f t="shared" si="17"/>
        <v>0</v>
      </c>
      <c r="U92" s="280">
        <f t="shared" si="17"/>
        <v>0</v>
      </c>
    </row>
    <row r="93" spans="2:24">
      <c r="B93" s="282"/>
      <c r="C93" s="282" t="s">
        <v>215</v>
      </c>
      <c r="D93" s="285">
        <v>0</v>
      </c>
      <c r="E93" s="282" t="s">
        <v>559</v>
      </c>
      <c r="F93" s="282" t="s">
        <v>186</v>
      </c>
      <c r="G93" s="283"/>
      <c r="H93" s="283"/>
      <c r="I93" s="311">
        <v>0</v>
      </c>
      <c r="J93" s="257"/>
      <c r="K93" s="257"/>
      <c r="L93" s="3447" t="e">
        <f t="shared" si="12"/>
        <v>#DIV/0!</v>
      </c>
      <c r="M93" s="3447" t="e">
        <f t="shared" si="12"/>
        <v>#DIV/0!</v>
      </c>
      <c r="N93" s="214">
        <f t="shared" si="13"/>
        <v>0</v>
      </c>
      <c r="O93" s="214">
        <f t="shared" si="14"/>
        <v>0</v>
      </c>
      <c r="P93" s="214">
        <f>IF(K93=0, 0, (HLOOKUP(K93,'[1]G-CESTDWO'!$A$5:$G$35,J93+1,FALSE)*R43))</f>
        <v>0</v>
      </c>
      <c r="Q93" s="214">
        <f>IF(K93=0, 0, (HLOOKUP(K93,'[1]G-CESTD'!$A$5:$G$35,J93+1,FALSE)*R43))</f>
        <v>0</v>
      </c>
      <c r="R93" s="279">
        <v>1.081</v>
      </c>
      <c r="S93" s="280">
        <f t="shared" si="17"/>
        <v>0</v>
      </c>
      <c r="T93" s="280">
        <f t="shared" si="17"/>
        <v>0</v>
      </c>
      <c r="U93" s="280">
        <f t="shared" si="17"/>
        <v>0</v>
      </c>
    </row>
    <row r="94" spans="2:24">
      <c r="B94" s="282"/>
      <c r="C94" s="282" t="s">
        <v>216</v>
      </c>
      <c r="D94" s="285">
        <v>0</v>
      </c>
      <c r="E94" s="282" t="s">
        <v>559</v>
      </c>
      <c r="F94" s="282" t="s">
        <v>186</v>
      </c>
      <c r="G94" s="283"/>
      <c r="H94" s="283"/>
      <c r="I94" s="311">
        <v>0</v>
      </c>
      <c r="J94" s="257"/>
      <c r="K94" s="257"/>
      <c r="L94" s="3447" t="e">
        <f t="shared" si="12"/>
        <v>#DIV/0!</v>
      </c>
      <c r="M94" s="3447" t="e">
        <f t="shared" si="12"/>
        <v>#DIV/0!</v>
      </c>
      <c r="N94" s="214">
        <f t="shared" si="13"/>
        <v>0</v>
      </c>
      <c r="O94" s="214">
        <f t="shared" si="14"/>
        <v>0</v>
      </c>
      <c r="P94" s="214">
        <f>IF(K94=0, 0, (HLOOKUP(K94,'[1]G-CESTDWO'!$A$5:$G$35,J94+1,FALSE)*R44))</f>
        <v>0</v>
      </c>
      <c r="Q94" s="214">
        <f>IF(K94=0, 0, (HLOOKUP(K94,'[1]G-CESTD'!$A$5:$G$35,J94+1,FALSE)*R44))</f>
        <v>0</v>
      </c>
      <c r="R94" s="279">
        <v>1.081</v>
      </c>
      <c r="S94" s="280">
        <f t="shared" si="17"/>
        <v>0</v>
      </c>
      <c r="T94" s="280">
        <f t="shared" si="17"/>
        <v>0</v>
      </c>
      <c r="U94" s="280">
        <f t="shared" si="17"/>
        <v>0</v>
      </c>
    </row>
    <row r="95" spans="2:24">
      <c r="B95" s="282"/>
      <c r="C95" s="282" t="s">
        <v>217</v>
      </c>
      <c r="D95" s="285">
        <v>0</v>
      </c>
      <c r="E95" s="282" t="s">
        <v>559</v>
      </c>
      <c r="F95" s="282" t="s">
        <v>186</v>
      </c>
      <c r="G95" s="283"/>
      <c r="H95" s="283"/>
      <c r="I95" s="311">
        <v>0</v>
      </c>
      <c r="J95" s="257"/>
      <c r="K95" s="257"/>
      <c r="L95" s="3447" t="e">
        <f t="shared" si="12"/>
        <v>#DIV/0!</v>
      </c>
      <c r="M95" s="3447" t="e">
        <f t="shared" si="12"/>
        <v>#DIV/0!</v>
      </c>
      <c r="N95" s="214">
        <f t="shared" si="13"/>
        <v>0</v>
      </c>
      <c r="O95" s="214">
        <f t="shared" si="14"/>
        <v>0</v>
      </c>
      <c r="P95" s="214">
        <f>IF(K95=0, 0, (HLOOKUP(K95,'[1]G-CESTDWO'!$A$5:$G$35,J95+1,FALSE)*R45))</f>
        <v>0</v>
      </c>
      <c r="Q95" s="214">
        <f>IF(K95=0, 0, (HLOOKUP(K95,'[1]G-CESTD'!$A$5:$G$35,J95+1,FALSE)*R45))</f>
        <v>0</v>
      </c>
      <c r="R95" s="279">
        <v>1.081</v>
      </c>
      <c r="S95" s="280">
        <f t="shared" si="17"/>
        <v>0</v>
      </c>
      <c r="T95" s="280">
        <f t="shared" si="17"/>
        <v>0</v>
      </c>
      <c r="U95" s="280">
        <f t="shared" si="17"/>
        <v>0</v>
      </c>
    </row>
    <row r="96" spans="2:24">
      <c r="B96" s="282"/>
      <c r="C96" s="282" t="s">
        <v>218</v>
      </c>
      <c r="D96" s="285">
        <v>0</v>
      </c>
      <c r="E96" s="282" t="s">
        <v>559</v>
      </c>
      <c r="F96" s="282" t="s">
        <v>186</v>
      </c>
      <c r="G96" s="283"/>
      <c r="H96" s="283"/>
      <c r="I96" s="311">
        <v>0</v>
      </c>
      <c r="J96" s="257"/>
      <c r="K96" s="257"/>
      <c r="L96" s="3447" t="e">
        <f t="shared" si="12"/>
        <v>#DIV/0!</v>
      </c>
      <c r="M96" s="3447" t="e">
        <f t="shared" si="12"/>
        <v>#DIV/0!</v>
      </c>
      <c r="N96" s="214">
        <f t="shared" si="13"/>
        <v>0</v>
      </c>
      <c r="O96" s="214">
        <f t="shared" si="14"/>
        <v>0</v>
      </c>
      <c r="P96" s="214">
        <f>IF(K96=0, 0, (HLOOKUP(K96,'[1]G-CESTDWO'!$A$5:$G$35,J96+1,FALSE)*R46))</f>
        <v>0</v>
      </c>
      <c r="Q96" s="214">
        <f>IF(K96=0, 0, (HLOOKUP(K96,'[1]G-CESTD'!$A$5:$G$35,J96+1,FALSE)*R46))</f>
        <v>0</v>
      </c>
      <c r="R96" s="279">
        <v>1.081</v>
      </c>
      <c r="S96" s="280">
        <f t="shared" si="17"/>
        <v>0</v>
      </c>
      <c r="T96" s="280">
        <f t="shared" si="17"/>
        <v>0</v>
      </c>
      <c r="U96" s="280">
        <f t="shared" si="17"/>
        <v>0</v>
      </c>
    </row>
    <row r="97" spans="2:21">
      <c r="B97" s="282"/>
      <c r="C97" s="282" t="s">
        <v>219</v>
      </c>
      <c r="D97" s="285">
        <v>0</v>
      </c>
      <c r="E97" s="282" t="s">
        <v>559</v>
      </c>
      <c r="F97" s="282" t="s">
        <v>186</v>
      </c>
      <c r="G97" s="283"/>
      <c r="H97" s="283"/>
      <c r="I97" s="311">
        <v>0</v>
      </c>
      <c r="J97" s="257"/>
      <c r="K97" s="257"/>
      <c r="L97" s="3447" t="e">
        <f t="shared" si="12"/>
        <v>#DIV/0!</v>
      </c>
      <c r="M97" s="3447" t="e">
        <f t="shared" si="12"/>
        <v>#DIV/0!</v>
      </c>
      <c r="N97" s="214">
        <f t="shared" si="13"/>
        <v>0</v>
      </c>
      <c r="O97" s="214">
        <f t="shared" si="14"/>
        <v>0</v>
      </c>
      <c r="P97" s="214">
        <f>IF(K97=0, 0, (HLOOKUP(K97,'[1]G-CESTDWO'!$A$5:$G$35,J97+1,FALSE)*R47))</f>
        <v>0</v>
      </c>
      <c r="Q97" s="214">
        <f>IF(K97=0, 0, (HLOOKUP(K97,'[1]G-CESTD'!$A$5:$G$35,J97+1,FALSE)*R47))</f>
        <v>0</v>
      </c>
      <c r="R97" s="279">
        <v>1.081</v>
      </c>
      <c r="S97" s="280">
        <f t="shared" si="17"/>
        <v>0</v>
      </c>
      <c r="T97" s="280">
        <f t="shared" si="17"/>
        <v>0</v>
      </c>
      <c r="U97" s="280">
        <f t="shared" si="17"/>
        <v>0</v>
      </c>
    </row>
    <row r="98" spans="2:21">
      <c r="B98" s="282"/>
      <c r="C98" s="282" t="s">
        <v>220</v>
      </c>
      <c r="D98" s="285">
        <v>0</v>
      </c>
      <c r="E98" s="282" t="s">
        <v>559</v>
      </c>
      <c r="F98" s="282" t="s">
        <v>186</v>
      </c>
      <c r="G98" s="283"/>
      <c r="H98" s="283"/>
      <c r="I98" s="311">
        <v>0</v>
      </c>
      <c r="J98" s="257"/>
      <c r="K98" s="257"/>
      <c r="L98" s="3447" t="e">
        <f t="shared" si="12"/>
        <v>#DIV/0!</v>
      </c>
      <c r="M98" s="3447" t="e">
        <f t="shared" si="12"/>
        <v>#DIV/0!</v>
      </c>
      <c r="N98" s="214">
        <f t="shared" si="13"/>
        <v>0</v>
      </c>
      <c r="O98" s="214">
        <f t="shared" si="14"/>
        <v>0</v>
      </c>
      <c r="P98" s="214">
        <f>IF(K98=0, 0, (HLOOKUP(K98,'[1]G-CESTDWO'!$A$5:$G$35,J98+1,FALSE)*R48))</f>
        <v>0</v>
      </c>
      <c r="Q98" s="214">
        <f>IF(K98=0, 0, (HLOOKUP(K98,'[1]G-CESTD'!$A$5:$G$35,J98+1,FALSE)*R48))</f>
        <v>0</v>
      </c>
      <c r="R98" s="279">
        <v>1.081</v>
      </c>
      <c r="S98" s="280">
        <f t="shared" si="17"/>
        <v>0</v>
      </c>
      <c r="T98" s="280">
        <f t="shared" si="17"/>
        <v>0</v>
      </c>
      <c r="U98" s="280">
        <f t="shared" si="17"/>
        <v>0</v>
      </c>
    </row>
    <row r="99" spans="2:21">
      <c r="B99" s="282"/>
      <c r="C99" s="282" t="s">
        <v>221</v>
      </c>
      <c r="D99" s="285">
        <v>0</v>
      </c>
      <c r="E99" s="282" t="s">
        <v>559</v>
      </c>
      <c r="F99" s="282" t="s">
        <v>186</v>
      </c>
      <c r="G99" s="283"/>
      <c r="H99" s="283"/>
      <c r="I99" s="311">
        <v>0</v>
      </c>
      <c r="J99" s="257"/>
      <c r="K99" s="257"/>
      <c r="L99" s="3447" t="e">
        <f t="shared" si="12"/>
        <v>#DIV/0!</v>
      </c>
      <c r="M99" s="3447" t="e">
        <f t="shared" si="12"/>
        <v>#DIV/0!</v>
      </c>
      <c r="N99" s="214">
        <f t="shared" si="13"/>
        <v>0</v>
      </c>
      <c r="O99" s="214">
        <f t="shared" si="14"/>
        <v>0</v>
      </c>
      <c r="P99" s="214">
        <f>IF(K99=0, 0, (HLOOKUP(K99,'[1]G-CESTDWO'!$A$5:$G$35,J99+1,FALSE)*R49))</f>
        <v>0</v>
      </c>
      <c r="Q99" s="214">
        <f>IF(K99=0, 0, (HLOOKUP(K99,'[1]G-CESTD'!$A$5:$G$35,J99+1,FALSE)*R49))</f>
        <v>0</v>
      </c>
      <c r="R99" s="279">
        <v>1.081</v>
      </c>
      <c r="S99" s="280">
        <f t="shared" si="17"/>
        <v>0</v>
      </c>
      <c r="T99" s="280">
        <f t="shared" si="17"/>
        <v>0</v>
      </c>
      <c r="U99" s="280">
        <f t="shared" si="17"/>
        <v>0</v>
      </c>
    </row>
    <row r="100" spans="2:21">
      <c r="B100" s="282"/>
      <c r="C100" s="282" t="s">
        <v>222</v>
      </c>
      <c r="D100" s="285">
        <v>0</v>
      </c>
      <c r="E100" s="282" t="s">
        <v>559</v>
      </c>
      <c r="F100" s="282" t="s">
        <v>186</v>
      </c>
      <c r="G100" s="283"/>
      <c r="H100" s="283"/>
      <c r="I100" s="311">
        <v>0</v>
      </c>
      <c r="J100" s="257"/>
      <c r="K100" s="257"/>
      <c r="L100" s="3447" t="e">
        <f t="shared" si="12"/>
        <v>#DIV/0!</v>
      </c>
      <c r="M100" s="3447" t="e">
        <f t="shared" si="12"/>
        <v>#DIV/0!</v>
      </c>
      <c r="N100" s="214">
        <f t="shared" si="13"/>
        <v>0</v>
      </c>
      <c r="O100" s="214">
        <f t="shared" si="14"/>
        <v>0</v>
      </c>
      <c r="P100" s="214">
        <f>IF(K100=0, 0, (HLOOKUP(K100,'[1]G-CESTDWO'!$A$5:$G$35,J100+1,FALSE)*R50))</f>
        <v>0</v>
      </c>
      <c r="Q100" s="214">
        <f>IF(K100=0, 0, (HLOOKUP(K100,'[1]G-CESTD'!$A$5:$G$35,J100+1,FALSE)*R50))</f>
        <v>0</v>
      </c>
      <c r="R100" s="279">
        <v>1.081</v>
      </c>
      <c r="S100" s="280">
        <f t="shared" si="17"/>
        <v>0</v>
      </c>
      <c r="T100" s="280">
        <f t="shared" si="17"/>
        <v>0</v>
      </c>
      <c r="U100" s="280">
        <f t="shared" si="17"/>
        <v>0</v>
      </c>
    </row>
    <row r="101" spans="2:21">
      <c r="B101" s="282"/>
      <c r="C101" s="282" t="s">
        <v>223</v>
      </c>
      <c r="D101" s="285">
        <v>0</v>
      </c>
      <c r="E101" s="282" t="s">
        <v>559</v>
      </c>
      <c r="F101" s="282" t="s">
        <v>186</v>
      </c>
      <c r="G101" s="283"/>
      <c r="H101" s="283"/>
      <c r="I101" s="311">
        <v>0</v>
      </c>
      <c r="J101" s="257"/>
      <c r="K101" s="257"/>
      <c r="L101" s="3447" t="e">
        <f t="shared" si="12"/>
        <v>#DIV/0!</v>
      </c>
      <c r="M101" s="3447" t="e">
        <f t="shared" si="12"/>
        <v>#DIV/0!</v>
      </c>
      <c r="N101" s="214">
        <f t="shared" si="13"/>
        <v>0</v>
      </c>
      <c r="O101" s="214">
        <f t="shared" si="14"/>
        <v>0</v>
      </c>
      <c r="P101" s="214">
        <f>IF(K101=0, 0, (HLOOKUP(K101,'[1]G-CESTDWO'!$A$5:$G$35,J101+1,FALSE)*R51))</f>
        <v>0</v>
      </c>
      <c r="Q101" s="214">
        <f>IF(K101=0, 0, (HLOOKUP(K101,'[1]G-CESTD'!$A$5:$G$35,J101+1,FALSE)*R51))</f>
        <v>0</v>
      </c>
      <c r="R101" s="279">
        <v>1.081</v>
      </c>
      <c r="S101" s="280">
        <f t="shared" si="17"/>
        <v>0</v>
      </c>
      <c r="T101" s="280">
        <f t="shared" si="17"/>
        <v>0</v>
      </c>
      <c r="U101" s="280">
        <f t="shared" si="17"/>
        <v>0</v>
      </c>
    </row>
    <row r="102" spans="2:21">
      <c r="B102" s="282"/>
      <c r="C102" s="282" t="s">
        <v>224</v>
      </c>
      <c r="D102" s="285">
        <v>0</v>
      </c>
      <c r="E102" s="282" t="s">
        <v>559</v>
      </c>
      <c r="F102" s="282" t="s">
        <v>186</v>
      </c>
      <c r="G102" s="283"/>
      <c r="H102" s="283"/>
      <c r="I102" s="311">
        <v>0</v>
      </c>
      <c r="J102" s="257"/>
      <c r="K102" s="257"/>
      <c r="L102" s="3447" t="e">
        <f t="shared" si="12"/>
        <v>#DIV/0!</v>
      </c>
      <c r="M102" s="3447" t="e">
        <f t="shared" si="12"/>
        <v>#DIV/0!</v>
      </c>
      <c r="N102" s="214">
        <f t="shared" si="13"/>
        <v>0</v>
      </c>
      <c r="O102" s="214">
        <f t="shared" si="14"/>
        <v>0</v>
      </c>
      <c r="P102" s="214">
        <f>IF(K102=0, 0, (HLOOKUP(K102,'[1]G-CESTDWO'!$A$5:$G$35,J102+1,FALSE)*R52))</f>
        <v>0</v>
      </c>
      <c r="Q102" s="214">
        <f>IF(K102=0, 0, (HLOOKUP(K102,'[1]G-CESTD'!$A$5:$G$35,J102+1,FALSE)*R52))</f>
        <v>0</v>
      </c>
      <c r="R102" s="279">
        <v>1.081</v>
      </c>
      <c r="S102" s="280">
        <f t="shared" si="17"/>
        <v>0</v>
      </c>
      <c r="T102" s="280">
        <f t="shared" si="17"/>
        <v>0</v>
      </c>
      <c r="U102" s="280">
        <f t="shared" si="17"/>
        <v>0</v>
      </c>
    </row>
    <row r="103" spans="2:21">
      <c r="B103" s="282"/>
      <c r="C103" s="282" t="s">
        <v>225</v>
      </c>
      <c r="D103" s="285">
        <v>0</v>
      </c>
      <c r="E103" s="282" t="s">
        <v>559</v>
      </c>
      <c r="F103" s="282" t="s">
        <v>186</v>
      </c>
      <c r="G103" s="283"/>
      <c r="H103" s="283"/>
      <c r="I103" s="311">
        <v>0</v>
      </c>
      <c r="J103" s="257"/>
      <c r="K103" s="257"/>
      <c r="L103" s="3447" t="e">
        <f t="shared" si="12"/>
        <v>#DIV/0!</v>
      </c>
      <c r="M103" s="3447" t="e">
        <f t="shared" si="12"/>
        <v>#DIV/0!</v>
      </c>
      <c r="N103" s="214">
        <f t="shared" si="13"/>
        <v>0</v>
      </c>
      <c r="O103" s="214">
        <f t="shared" si="14"/>
        <v>0</v>
      </c>
      <c r="P103" s="214">
        <f>IF(K103=0, 0, (HLOOKUP(K103,'[1]G-CESTDWO'!$A$5:$G$35,J103+1,FALSE)*R53))</f>
        <v>0</v>
      </c>
      <c r="Q103" s="214">
        <f>IF(K103=0, 0, (HLOOKUP(K103,'[1]G-CESTD'!$A$5:$G$35,J103+1,FALSE)*R53))</f>
        <v>0</v>
      </c>
      <c r="R103" s="279">
        <v>1.081</v>
      </c>
      <c r="S103" s="280">
        <f t="shared" si="17"/>
        <v>0</v>
      </c>
      <c r="T103" s="280">
        <f t="shared" si="17"/>
        <v>0</v>
      </c>
      <c r="U103" s="280">
        <f t="shared" si="17"/>
        <v>0</v>
      </c>
    </row>
    <row r="104" spans="2:21" ht="13.5" thickBot="1">
      <c r="B104" s="282"/>
      <c r="C104" s="282" t="s">
        <v>226</v>
      </c>
      <c r="D104" s="285">
        <v>0</v>
      </c>
      <c r="E104" s="282" t="s">
        <v>559</v>
      </c>
      <c r="F104" s="282" t="s">
        <v>186</v>
      </c>
      <c r="G104" s="283"/>
      <c r="H104" s="283"/>
      <c r="I104" s="311">
        <v>0</v>
      </c>
      <c r="J104" s="257"/>
      <c r="K104" s="257"/>
      <c r="L104" s="3447" t="e">
        <f t="shared" si="12"/>
        <v>#DIV/0!</v>
      </c>
      <c r="M104" s="3447" t="e">
        <f t="shared" si="12"/>
        <v>#DIV/0!</v>
      </c>
      <c r="N104" s="214">
        <f t="shared" si="13"/>
        <v>0</v>
      </c>
      <c r="O104" s="214">
        <f t="shared" si="14"/>
        <v>0</v>
      </c>
      <c r="P104" s="214">
        <f>IF(K104=0, 0, (HLOOKUP(K104,'[1]G-CESTDWO'!$A$5:$G$35,J104+1,FALSE)*R54))</f>
        <v>0</v>
      </c>
      <c r="Q104" s="214">
        <f>IF(K104=0, 0, (HLOOKUP(K104,'[1]G-CESTD'!$A$5:$G$35,J104+1,FALSE)*R54))</f>
        <v>0</v>
      </c>
      <c r="R104" s="279">
        <v>1.081</v>
      </c>
      <c r="S104" s="280">
        <f t="shared" si="17"/>
        <v>0</v>
      </c>
      <c r="T104" s="280">
        <f t="shared" si="17"/>
        <v>0</v>
      </c>
      <c r="U104" s="280">
        <f t="shared" si="17"/>
        <v>0</v>
      </c>
    </row>
    <row r="105" spans="2:21" ht="13.5" thickBot="1">
      <c r="G105" s="286">
        <f>SUMPRODUCT(G63:G104,O13:O54)</f>
        <v>0</v>
      </c>
      <c r="H105" s="287">
        <f>U105</f>
        <v>0</v>
      </c>
      <c r="I105" s="288">
        <f>SUM(I63:I104)</f>
        <v>0</v>
      </c>
      <c r="J105" s="289" t="e">
        <f>ROUND(SUMPRODUCT(J63:J104,R13:R54)/R55,0)</f>
        <v>#DIV/0!</v>
      </c>
      <c r="K105" s="264"/>
      <c r="L105" s="3448" t="e">
        <f>P105/N105</f>
        <v>#DIV/0!</v>
      </c>
      <c r="M105" s="3449" t="e">
        <f>Q105/O105</f>
        <v>#DIV/0!</v>
      </c>
      <c r="N105" s="297">
        <f>SUM(N63:N104)</f>
        <v>0</v>
      </c>
      <c r="O105" s="297">
        <f>SUM(O63:O104)</f>
        <v>0</v>
      </c>
      <c r="P105" s="297">
        <f>SUM(P63:P104)</f>
        <v>0</v>
      </c>
      <c r="Q105" s="297">
        <f>SUM(Q63:Q104)</f>
        <v>0</v>
      </c>
      <c r="R105" s="293">
        <v>1.081</v>
      </c>
      <c r="S105" s="294">
        <f>SUM(S63:S104)</f>
        <v>0</v>
      </c>
      <c r="T105" s="294">
        <f>SUM(T63:T104)</f>
        <v>0</v>
      </c>
      <c r="U105" s="294">
        <f>SUM(U63:U104)</f>
        <v>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17" right="0.25" top="0.34" bottom="0.37"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17" right="0.25" top="0.34" bottom="0.37" header="0.3" footer="0.3"/>
  <pageSetup paperSize="17" scale="52" orientation="landscape" r:id="rId2"/>
  <drawing r:id="rId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dimension ref="A1:N92"/>
  <sheetViews>
    <sheetView workbookViewId="0">
      <pane xSplit="1" ySplit="1" topLeftCell="B2" activePane="bottomRight" state="frozen"/>
      <selection pane="topRight" activeCell="B1" sqref="B1"/>
      <selection pane="bottomLeft" activeCell="A2" sqref="A2"/>
      <selection pane="bottomRight"/>
    </sheetView>
  </sheetViews>
  <sheetFormatPr defaultColWidth="20" defaultRowHeight="12.75"/>
  <cols>
    <col min="1" max="1" width="15.85546875" style="3064" customWidth="1"/>
    <col min="2" max="2" width="56" customWidth="1"/>
    <col min="3" max="3" width="17.28515625" customWidth="1"/>
    <col min="6" max="6" width="20" style="4383"/>
  </cols>
  <sheetData>
    <row r="1" spans="2:14" ht="46.5" customHeight="1">
      <c r="B1" s="384" t="s">
        <v>639</v>
      </c>
      <c r="C1" s="385"/>
      <c r="D1" s="385"/>
      <c r="E1" s="402"/>
      <c r="F1" s="4387"/>
      <c r="G1" s="386"/>
      <c r="H1" s="375"/>
      <c r="I1" s="375"/>
      <c r="J1" s="375"/>
      <c r="K1" s="375"/>
      <c r="L1" s="375"/>
      <c r="M1" s="375"/>
      <c r="N1" s="375"/>
    </row>
    <row r="2" spans="2:14" ht="20.25">
      <c r="B2" s="384"/>
      <c r="C2" s="385"/>
      <c r="D2" s="385"/>
      <c r="E2" s="402"/>
      <c r="F2" s="4387"/>
      <c r="G2" s="386"/>
      <c r="H2" s="375"/>
      <c r="I2" s="375"/>
      <c r="J2" s="375"/>
      <c r="K2" s="375"/>
      <c r="L2" s="375"/>
      <c r="M2" s="375"/>
      <c r="N2" s="375"/>
    </row>
    <row r="3" spans="2:14" ht="38.25">
      <c r="B3" s="3463"/>
      <c r="C3" s="412" t="s">
        <v>9</v>
      </c>
      <c r="D3" s="379" t="s">
        <v>10</v>
      </c>
      <c r="E3" s="379" t="s">
        <v>640</v>
      </c>
      <c r="F3" s="4388" t="s">
        <v>12</v>
      </c>
      <c r="G3" s="380" t="s">
        <v>13</v>
      </c>
      <c r="H3" s="380" t="s">
        <v>14</v>
      </c>
      <c r="I3" s="380" t="s">
        <v>15</v>
      </c>
      <c r="J3" s="380" t="s">
        <v>16</v>
      </c>
      <c r="K3" s="380" t="s">
        <v>641</v>
      </c>
      <c r="L3" s="380" t="s">
        <v>18</v>
      </c>
      <c r="M3" s="415" t="s">
        <v>114</v>
      </c>
      <c r="N3" s="381" t="s">
        <v>19</v>
      </c>
    </row>
    <row r="4" spans="2:14" ht="25.5">
      <c r="B4" s="417" t="s">
        <v>642</v>
      </c>
      <c r="C4" s="418"/>
      <c r="D4" s="418"/>
      <c r="E4" s="418"/>
      <c r="F4" s="4389"/>
      <c r="G4" s="418"/>
      <c r="H4" s="418"/>
      <c r="I4" s="418"/>
      <c r="J4" s="418"/>
      <c r="K4" s="419"/>
      <c r="L4" s="421">
        <v>21850000</v>
      </c>
      <c r="M4" s="420"/>
      <c r="N4" s="425" t="s">
        <v>21</v>
      </c>
    </row>
    <row r="5" spans="2:14">
      <c r="B5" s="410" t="s">
        <v>643</v>
      </c>
      <c r="C5" s="409">
        <v>1114504.8500000001</v>
      </c>
      <c r="D5" s="409">
        <v>9816</v>
      </c>
      <c r="E5" s="409">
        <v>708322.13550000009</v>
      </c>
      <c r="F5" s="4365">
        <v>11900</v>
      </c>
      <c r="G5" s="409">
        <v>51000</v>
      </c>
      <c r="H5" s="409">
        <v>1139750</v>
      </c>
      <c r="I5" s="409">
        <v>8800</v>
      </c>
      <c r="J5" s="409">
        <v>2394</v>
      </c>
      <c r="K5" s="411">
        <v>17025000</v>
      </c>
      <c r="L5" s="413">
        <v>20071486.9855</v>
      </c>
      <c r="M5" s="414">
        <v>78000000</v>
      </c>
      <c r="N5" s="422">
        <v>-8.1396476636155582E-2</v>
      </c>
    </row>
    <row r="6" spans="2:14">
      <c r="B6" s="377">
        <v>2012</v>
      </c>
      <c r="C6" s="403">
        <f>C21</f>
        <v>1422950</v>
      </c>
      <c r="D6" s="404">
        <f>C25</f>
        <v>32800</v>
      </c>
      <c r="E6" s="404">
        <f>C46</f>
        <v>917100</v>
      </c>
      <c r="F6" s="4390">
        <f>C42</f>
        <v>21000</v>
      </c>
      <c r="G6" s="404">
        <f>C32</f>
        <v>61800</v>
      </c>
      <c r="H6" s="404">
        <f>C61</f>
        <v>2180650</v>
      </c>
      <c r="I6" s="404">
        <f>C40</f>
        <v>10650</v>
      </c>
      <c r="J6" s="404">
        <f>C34</f>
        <v>2400</v>
      </c>
      <c r="K6" s="405">
        <f>C16</f>
        <v>15434900</v>
      </c>
      <c r="L6" s="405">
        <f>SUM(C6:K6)</f>
        <v>20084250</v>
      </c>
      <c r="M6" s="416">
        <f>C76</f>
        <v>69800000</v>
      </c>
      <c r="N6" s="422">
        <v>7.2952209049474373E-2</v>
      </c>
    </row>
    <row r="7" spans="2:14" s="3532" customFormat="1">
      <c r="B7" s="4253" t="s">
        <v>1168</v>
      </c>
      <c r="C7" s="682">
        <v>1422950</v>
      </c>
      <c r="D7" s="683">
        <v>32800</v>
      </c>
      <c r="E7" s="683">
        <v>917100</v>
      </c>
      <c r="F7" s="4390">
        <v>21000</v>
      </c>
      <c r="G7" s="683">
        <v>61800</v>
      </c>
      <c r="H7" s="4250">
        <v>2564750</v>
      </c>
      <c r="I7" s="683">
        <v>10650</v>
      </c>
      <c r="J7" s="683">
        <v>2400</v>
      </c>
      <c r="K7" s="4251">
        <v>13984300</v>
      </c>
      <c r="L7" s="684">
        <v>19017750</v>
      </c>
      <c r="M7" s="2480">
        <v>68540000</v>
      </c>
      <c r="N7" s="2486"/>
    </row>
    <row r="8" spans="2:14" ht="13.5" thickBot="1">
      <c r="B8" s="4256" t="s">
        <v>1169</v>
      </c>
      <c r="C8" s="4200">
        <f>D21</f>
        <v>1503050</v>
      </c>
      <c r="D8" s="4201">
        <f>D25</f>
        <v>32800</v>
      </c>
      <c r="E8" s="4201">
        <f>D46</f>
        <v>1085800</v>
      </c>
      <c r="F8" s="4391">
        <f>D42</f>
        <v>21000</v>
      </c>
      <c r="G8" s="4201">
        <f>D32</f>
        <v>61800</v>
      </c>
      <c r="H8" s="4202">
        <f>D61</f>
        <v>2564750</v>
      </c>
      <c r="I8" s="4201">
        <f>D40</f>
        <v>10650</v>
      </c>
      <c r="J8" s="4201">
        <f>D34</f>
        <v>2400</v>
      </c>
      <c r="K8" s="4203">
        <f>D16</f>
        <v>13703515</v>
      </c>
      <c r="L8" s="4204">
        <f>SUM(C8:K8)</f>
        <v>18985765</v>
      </c>
      <c r="M8" s="4255">
        <f>G76</f>
        <v>71375000</v>
      </c>
      <c r="N8" s="422">
        <v>0</v>
      </c>
    </row>
    <row r="9" spans="2:14" ht="13.5" thickBot="1">
      <c r="B9" s="4252" t="s">
        <v>1172</v>
      </c>
      <c r="C9" s="4199">
        <f>SUM(C6+C8)</f>
        <v>2926000</v>
      </c>
      <c r="D9" s="4199">
        <f t="shared" ref="D9:M9" si="0">SUM(D6+D8)</f>
        <v>65600</v>
      </c>
      <c r="E9" s="4199">
        <f t="shared" si="0"/>
        <v>2002900</v>
      </c>
      <c r="F9" s="4392">
        <f t="shared" si="0"/>
        <v>42000</v>
      </c>
      <c r="G9" s="4199">
        <f t="shared" si="0"/>
        <v>123600</v>
      </c>
      <c r="H9" s="4199">
        <f t="shared" si="0"/>
        <v>4745400</v>
      </c>
      <c r="I9" s="4199">
        <f t="shared" si="0"/>
        <v>21300</v>
      </c>
      <c r="J9" s="4199">
        <f t="shared" si="0"/>
        <v>4800</v>
      </c>
      <c r="K9" s="4199">
        <f t="shared" si="0"/>
        <v>29138415</v>
      </c>
      <c r="L9" s="4199">
        <f t="shared" si="0"/>
        <v>39070015</v>
      </c>
      <c r="M9" s="4254">
        <f t="shared" si="0"/>
        <v>141175000</v>
      </c>
      <c r="N9" s="375"/>
    </row>
    <row r="10" spans="2:14" ht="18">
      <c r="B10" s="399"/>
      <c r="C10" s="385"/>
      <c r="D10" s="385"/>
      <c r="E10" s="402"/>
      <c r="F10" s="4387"/>
      <c r="G10" s="386"/>
      <c r="H10" s="375"/>
      <c r="I10" s="375"/>
      <c r="J10" s="375"/>
      <c r="K10" s="375"/>
      <c r="L10" s="375"/>
      <c r="M10" s="375"/>
      <c r="N10" s="375"/>
    </row>
    <row r="11" spans="2:14" ht="18">
      <c r="B11" s="387" t="s">
        <v>644</v>
      </c>
      <c r="C11" s="407">
        <v>2012</v>
      </c>
      <c r="D11" s="408">
        <v>2013</v>
      </c>
      <c r="E11" s="408" t="s">
        <v>28</v>
      </c>
      <c r="F11" s="4393"/>
      <c r="G11" s="400"/>
      <c r="H11" s="400"/>
      <c r="I11" s="400"/>
      <c r="J11" s="375"/>
      <c r="K11" s="375"/>
      <c r="L11" s="375"/>
      <c r="M11" s="375"/>
      <c r="N11" s="375"/>
    </row>
    <row r="12" spans="2:14" ht="18">
      <c r="B12" s="406"/>
      <c r="C12" s="375"/>
      <c r="D12" s="375"/>
      <c r="E12" s="375"/>
      <c r="F12" s="4394"/>
      <c r="G12" s="393"/>
      <c r="H12" s="3675"/>
      <c r="I12" s="3683"/>
      <c r="J12" s="3671"/>
      <c r="K12" s="3671"/>
      <c r="L12" s="389"/>
      <c r="M12" s="375"/>
      <c r="N12" s="375"/>
    </row>
    <row r="13" spans="2:14">
      <c r="B13" s="2529" t="s">
        <v>645</v>
      </c>
      <c r="C13" s="2564"/>
      <c r="D13" s="2565"/>
      <c r="E13" s="2553"/>
      <c r="F13" s="4370"/>
      <c r="G13" s="393"/>
      <c r="H13" s="3675"/>
      <c r="I13" s="3675"/>
      <c r="J13" s="3676"/>
      <c r="K13" s="3671"/>
      <c r="L13" s="375"/>
      <c r="M13" s="375"/>
      <c r="N13" s="375"/>
    </row>
    <row r="14" spans="2:14" ht="30.75" customHeight="1">
      <c r="B14" s="3479"/>
      <c r="C14" s="3269">
        <v>13273600</v>
      </c>
      <c r="D14" s="4609">
        <v>10602000</v>
      </c>
      <c r="E14" s="2563">
        <f>SUM(C14:D14)</f>
        <v>23875600</v>
      </c>
      <c r="F14" s="4370" t="s">
        <v>1419</v>
      </c>
      <c r="G14" s="393"/>
      <c r="H14" s="3675"/>
      <c r="I14" s="3675"/>
      <c r="J14" s="3677"/>
      <c r="K14" s="3671"/>
      <c r="L14" s="375"/>
      <c r="M14" s="375"/>
      <c r="N14" s="375"/>
    </row>
    <row r="15" spans="2:14" ht="31.5" customHeight="1">
      <c r="B15" s="3479"/>
      <c r="C15" s="3269">
        <v>2161300</v>
      </c>
      <c r="D15" s="4609">
        <v>3101515</v>
      </c>
      <c r="E15" s="2563">
        <f>SUM(C15:D15)</f>
        <v>5262815</v>
      </c>
      <c r="F15" s="4370" t="s">
        <v>1419</v>
      </c>
      <c r="G15" s="393"/>
      <c r="H15" s="3675"/>
      <c r="I15" s="3675"/>
      <c r="J15" s="3677"/>
      <c r="K15" s="3668"/>
      <c r="L15" s="375"/>
      <c r="M15" s="375"/>
      <c r="N15" s="375"/>
    </row>
    <row r="16" spans="2:14">
      <c r="B16" s="3458"/>
      <c r="C16" s="2566">
        <f>SUM(C14:C15)</f>
        <v>15434900</v>
      </c>
      <c r="D16" s="4610">
        <f>SUM(D14:D15)</f>
        <v>13703515</v>
      </c>
      <c r="E16" s="2553">
        <f>SUM(C16:D16)</f>
        <v>29138415</v>
      </c>
      <c r="F16" s="4370"/>
      <c r="G16" s="393"/>
      <c r="H16" s="3675"/>
      <c r="I16" s="3675"/>
      <c r="J16" s="3670"/>
      <c r="K16" s="3668"/>
      <c r="L16" s="375"/>
      <c r="M16" s="375"/>
      <c r="N16" s="375"/>
    </row>
    <row r="17" spans="2:14" ht="18">
      <c r="B17" s="2530"/>
      <c r="C17" s="2537"/>
      <c r="D17" s="2524"/>
      <c r="E17" s="2538"/>
      <c r="F17" s="4370"/>
      <c r="G17" s="393"/>
      <c r="H17" s="3675"/>
      <c r="I17" s="3675"/>
      <c r="J17" s="3670"/>
      <c r="K17" s="3668"/>
      <c r="L17" s="375"/>
      <c r="M17" s="375"/>
      <c r="N17" s="375"/>
    </row>
    <row r="18" spans="2:14">
      <c r="B18" s="2529" t="s">
        <v>648</v>
      </c>
      <c r="C18" s="2539"/>
      <c r="D18" s="2524"/>
      <c r="E18" s="2538"/>
      <c r="F18" s="4395"/>
      <c r="G18" s="390"/>
      <c r="H18" s="3672"/>
      <c r="I18" s="3675"/>
      <c r="J18" s="3670"/>
      <c r="K18" s="3668"/>
    </row>
    <row r="19" spans="2:14">
      <c r="B19" s="2532" t="s">
        <v>650</v>
      </c>
      <c r="C19" s="3667">
        <v>1759500</v>
      </c>
      <c r="D19" s="4611">
        <v>1824400</v>
      </c>
      <c r="E19" s="2550">
        <f>SUM(C19:D19)</f>
        <v>3583900</v>
      </c>
      <c r="F19" s="4396">
        <v>19.420000000000002</v>
      </c>
      <c r="G19" s="394" t="s">
        <v>651</v>
      </c>
      <c r="H19" s="3673"/>
      <c r="I19" s="3675"/>
      <c r="J19" s="3670"/>
      <c r="K19" s="3668"/>
    </row>
    <row r="20" spans="2:14">
      <c r="B20" s="3386" t="s">
        <v>1050</v>
      </c>
      <c r="C20" s="3667">
        <v>-336550</v>
      </c>
      <c r="D20" s="4611">
        <f>-('22) Detail_BEM Sch 258 Elec'!D17)</f>
        <v>-321350</v>
      </c>
      <c r="E20" s="3388">
        <f>SUM(C20:D20)</f>
        <v>-657900</v>
      </c>
      <c r="F20" s="4397"/>
      <c r="G20" s="3384"/>
      <c r="H20" s="3673"/>
      <c r="I20" s="3675"/>
      <c r="J20" s="3670"/>
      <c r="K20" s="3668"/>
    </row>
    <row r="21" spans="2:14">
      <c r="B21" s="3386" t="s">
        <v>1051</v>
      </c>
      <c r="C21" s="3667">
        <v>1422950</v>
      </c>
      <c r="D21" s="4611">
        <f>SUM(D19:D20)</f>
        <v>1503050</v>
      </c>
      <c r="E21" s="3388">
        <f>SUM(E19:E20)</f>
        <v>2926000</v>
      </c>
      <c r="F21" s="4398"/>
      <c r="G21" s="3384"/>
      <c r="H21" s="3673"/>
      <c r="I21" s="3675"/>
      <c r="J21" s="3682"/>
      <c r="K21" s="3668"/>
    </row>
    <row r="22" spans="2:14">
      <c r="B22" s="3389" t="s">
        <v>1421</v>
      </c>
      <c r="C22" s="3385"/>
      <c r="D22" s="3387"/>
      <c r="E22" s="3388"/>
      <c r="F22" s="4398"/>
      <c r="G22" s="3384"/>
      <c r="H22" s="3673"/>
      <c r="I22" s="3668"/>
      <c r="J22" s="3669"/>
      <c r="K22" s="3668"/>
    </row>
    <row r="23" spans="2:14">
      <c r="B23" s="3389" t="s">
        <v>1052</v>
      </c>
      <c r="C23" s="3385"/>
      <c r="D23" s="3387"/>
      <c r="E23" s="3388"/>
      <c r="F23" s="4398"/>
      <c r="G23" s="3384"/>
      <c r="H23" s="3673"/>
      <c r="I23" s="3675"/>
      <c r="J23" s="3687"/>
      <c r="K23" s="3668"/>
    </row>
    <row r="24" spans="2:14">
      <c r="B24" s="3389"/>
      <c r="C24" s="3385"/>
      <c r="D24" s="3387"/>
      <c r="E24" s="3388"/>
      <c r="F24" s="4398"/>
      <c r="G24" s="3384"/>
      <c r="H24" s="3673"/>
      <c r="I24" s="3680"/>
      <c r="J24" s="3685"/>
      <c r="K24" s="3678"/>
    </row>
    <row r="25" spans="2:14">
      <c r="B25" s="2532" t="s">
        <v>655</v>
      </c>
      <c r="C25" s="3142">
        <v>32800</v>
      </c>
      <c r="D25" s="185">
        <f>C25</f>
        <v>32800</v>
      </c>
      <c r="E25" s="2550">
        <f>SUM(C25:D25)</f>
        <v>65600</v>
      </c>
      <c r="F25" s="4396">
        <v>0.27</v>
      </c>
      <c r="G25" s="394" t="s">
        <v>651</v>
      </c>
      <c r="H25" s="3673"/>
      <c r="I25" s="3680"/>
      <c r="J25" s="3684"/>
      <c r="K25" s="3681"/>
    </row>
    <row r="26" spans="2:14">
      <c r="B26" s="2532"/>
      <c r="C26" s="2540"/>
      <c r="D26" s="2524"/>
      <c r="E26" s="2538"/>
      <c r="F26" s="4373"/>
      <c r="G26" s="391"/>
      <c r="H26" s="3673"/>
      <c r="I26" s="3680"/>
      <c r="J26" s="3684"/>
      <c r="K26" s="3681"/>
    </row>
    <row r="27" spans="2:14">
      <c r="B27" s="2529" t="s">
        <v>481</v>
      </c>
      <c r="C27" s="2539"/>
      <c r="D27" s="2524"/>
      <c r="E27" s="2538"/>
      <c r="F27" s="4395"/>
      <c r="G27" s="390"/>
      <c r="H27" s="3673"/>
      <c r="I27" s="3679"/>
      <c r="J27" s="3686"/>
      <c r="K27" s="3668"/>
    </row>
    <row r="28" spans="2:14">
      <c r="B28" s="2523" t="s">
        <v>656</v>
      </c>
      <c r="C28" s="2541">
        <v>13600</v>
      </c>
      <c r="D28" s="2552">
        <v>13600</v>
      </c>
      <c r="E28" s="2550">
        <v>27200</v>
      </c>
      <c r="F28" s="4399"/>
      <c r="G28" s="392"/>
      <c r="H28" s="3673"/>
      <c r="I28" s="3668"/>
      <c r="J28" s="3668"/>
      <c r="K28" s="3668"/>
    </row>
    <row r="29" spans="2:14">
      <c r="B29" s="2532" t="s">
        <v>657</v>
      </c>
      <c r="C29" s="2542">
        <v>28400</v>
      </c>
      <c r="D29" s="2552">
        <v>28400</v>
      </c>
      <c r="E29" s="2550">
        <v>56800</v>
      </c>
      <c r="F29" s="4382"/>
      <c r="G29" s="390"/>
      <c r="H29" s="3672"/>
      <c r="I29" s="3668"/>
      <c r="J29" s="3668"/>
      <c r="K29" s="3668"/>
    </row>
    <row r="30" spans="2:14">
      <c r="B30" s="2532" t="s">
        <v>658</v>
      </c>
      <c r="C30" s="2541">
        <v>13600</v>
      </c>
      <c r="D30" s="2552">
        <v>13600</v>
      </c>
      <c r="E30" s="2550">
        <v>27200</v>
      </c>
      <c r="F30" s="4395"/>
      <c r="G30" s="390"/>
      <c r="H30" s="3674"/>
      <c r="I30" s="3668"/>
      <c r="J30" s="3668"/>
      <c r="K30" s="3668"/>
    </row>
    <row r="31" spans="2:14">
      <c r="B31" s="2532" t="s">
        <v>660</v>
      </c>
      <c r="C31" s="2541">
        <v>6200</v>
      </c>
      <c r="D31" s="2552">
        <v>6200</v>
      </c>
      <c r="E31" s="2550">
        <v>12400</v>
      </c>
      <c r="F31" s="4395"/>
      <c r="G31" s="390"/>
      <c r="H31" s="3672" t="s">
        <v>1055</v>
      </c>
      <c r="I31" s="3668"/>
      <c r="J31" s="3668"/>
      <c r="K31" s="3668"/>
    </row>
    <row r="32" spans="2:14">
      <c r="B32" s="2523"/>
      <c r="C32" s="2543">
        <f>SUM(C28:C31)</f>
        <v>61800</v>
      </c>
      <c r="D32" s="3029">
        <f>SUM(D28:D31)</f>
        <v>61800</v>
      </c>
      <c r="E32" s="2553">
        <f>SUM(C32:D32)</f>
        <v>123600</v>
      </c>
      <c r="F32" s="4395"/>
      <c r="G32" s="390"/>
      <c r="H32" s="3689"/>
      <c r="I32" s="3693" t="s">
        <v>1056</v>
      </c>
      <c r="J32" s="3690">
        <v>1097100</v>
      </c>
      <c r="K32" s="3668"/>
    </row>
    <row r="33" spans="2:11">
      <c r="B33" s="2524"/>
      <c r="C33" s="2544"/>
      <c r="D33" s="2524"/>
      <c r="E33" s="2538"/>
      <c r="F33" s="4395"/>
      <c r="G33" s="390"/>
      <c r="H33" s="3688"/>
      <c r="I33" s="3694" t="s">
        <v>1057</v>
      </c>
      <c r="J33" s="3691">
        <v>673100</v>
      </c>
      <c r="K33" s="3668"/>
    </row>
    <row r="34" spans="2:11">
      <c r="B34" s="2529" t="s">
        <v>649</v>
      </c>
      <c r="C34" s="2543">
        <v>2400</v>
      </c>
      <c r="D34" s="2536">
        <v>2400</v>
      </c>
      <c r="E34" s="2553">
        <f>SUM(C34:D34)</f>
        <v>4800</v>
      </c>
      <c r="F34" s="4395"/>
      <c r="G34" s="390"/>
      <c r="H34" s="3696"/>
      <c r="I34" s="3695" t="s">
        <v>1058</v>
      </c>
      <c r="J34" s="3692">
        <v>424000</v>
      </c>
    </row>
    <row r="35" spans="2:11">
      <c r="B35" s="2524"/>
      <c r="C35" s="2544"/>
      <c r="D35" s="2524"/>
      <c r="E35" s="2538"/>
      <c r="F35" s="4395"/>
      <c r="G35" s="390"/>
      <c r="H35" s="383"/>
      <c r="I35" s="393"/>
    </row>
    <row r="36" spans="2:11">
      <c r="B36" s="2528" t="s">
        <v>652</v>
      </c>
      <c r="C36" s="2544"/>
      <c r="D36" s="2524"/>
      <c r="E36" s="2538"/>
      <c r="F36" s="4400"/>
      <c r="G36" s="383"/>
      <c r="H36" s="383"/>
      <c r="I36" s="393"/>
    </row>
    <row r="37" spans="2:11">
      <c r="B37" s="2523" t="s">
        <v>661</v>
      </c>
      <c r="C37" s="2544">
        <v>9580</v>
      </c>
      <c r="D37" s="2552">
        <v>9580</v>
      </c>
      <c r="E37" s="2550">
        <v>19160</v>
      </c>
      <c r="F37" s="4400"/>
      <c r="G37" s="383"/>
      <c r="H37" s="383"/>
      <c r="I37" s="393"/>
    </row>
    <row r="38" spans="2:11">
      <c r="B38" s="2523" t="s">
        <v>662</v>
      </c>
      <c r="C38" s="2544">
        <v>530</v>
      </c>
      <c r="D38" s="2552">
        <v>530</v>
      </c>
      <c r="E38" s="2550">
        <v>1060</v>
      </c>
      <c r="F38" s="4400"/>
      <c r="G38" s="383"/>
      <c r="H38" s="383"/>
      <c r="I38" s="393"/>
    </row>
    <row r="39" spans="2:11">
      <c r="B39" s="2524" t="s">
        <v>663</v>
      </c>
      <c r="C39" s="2544">
        <v>540</v>
      </c>
      <c r="D39" s="2552">
        <v>540</v>
      </c>
      <c r="E39" s="2550">
        <v>1080</v>
      </c>
      <c r="F39" s="4400"/>
      <c r="G39" s="383"/>
      <c r="H39" s="383"/>
      <c r="I39" s="393"/>
    </row>
    <row r="40" spans="2:11">
      <c r="B40" s="2528" t="s">
        <v>664</v>
      </c>
      <c r="C40" s="2545">
        <f>SUM(C37:C39)</f>
        <v>10650</v>
      </c>
      <c r="D40" s="3030">
        <f>SUM(D37:D39)</f>
        <v>10650</v>
      </c>
      <c r="E40" s="2553">
        <f>SUM(C40:D40)</f>
        <v>21300</v>
      </c>
      <c r="F40" s="4400"/>
      <c r="G40" s="383"/>
      <c r="H40" s="383"/>
      <c r="I40" s="393"/>
    </row>
    <row r="41" spans="2:11">
      <c r="B41" s="2524"/>
      <c r="C41" s="2544"/>
      <c r="D41" s="2524"/>
      <c r="E41" s="2538"/>
      <c r="F41" s="4400"/>
      <c r="G41" s="383"/>
      <c r="H41" s="383"/>
      <c r="I41" s="388"/>
    </row>
    <row r="42" spans="2:11">
      <c r="B42" s="2528" t="s">
        <v>654</v>
      </c>
      <c r="C42" s="3270">
        <f>SUM('[6]Mktg-Non-Labor'!N27:N32)/2</f>
        <v>21000</v>
      </c>
      <c r="D42" s="3271">
        <f>C42</f>
        <v>21000</v>
      </c>
      <c r="E42" s="2553">
        <f>SUM(C42:D42)</f>
        <v>42000</v>
      </c>
      <c r="F42" s="4400"/>
      <c r="G42" s="383"/>
      <c r="H42" s="383"/>
      <c r="I42" s="388"/>
    </row>
    <row r="43" spans="2:11">
      <c r="B43" s="2524"/>
      <c r="C43" s="2544"/>
      <c r="D43" s="2524"/>
      <c r="E43" s="2538"/>
      <c r="F43" s="4400"/>
      <c r="G43" s="382"/>
      <c r="H43" s="383"/>
      <c r="I43" s="388"/>
    </row>
    <row r="44" spans="2:11">
      <c r="B44" s="4429" t="s">
        <v>1438</v>
      </c>
      <c r="C44" s="3106">
        <f>ROUND(SUM(C19,C25)*0.63, -2)</f>
        <v>1129100</v>
      </c>
      <c r="D44" s="4629">
        <f>ROUND(SUM(D19,D25)*0.707, -2)</f>
        <v>1313000</v>
      </c>
      <c r="E44" s="2553">
        <f>SUM(C44:D44)</f>
        <v>2442100</v>
      </c>
      <c r="F44" s="4400"/>
      <c r="G44" s="382"/>
      <c r="H44" s="383"/>
      <c r="I44" s="388"/>
    </row>
    <row r="45" spans="2:11">
      <c r="B45" s="3393" t="s">
        <v>1053</v>
      </c>
      <c r="C45" s="3392">
        <v>-212000</v>
      </c>
      <c r="D45" s="4630">
        <v>-227200</v>
      </c>
      <c r="E45" s="3394">
        <v>-424000</v>
      </c>
      <c r="F45" s="4400"/>
      <c r="G45" s="376"/>
      <c r="H45" s="383"/>
      <c r="I45" s="388"/>
    </row>
    <row r="46" spans="2:11">
      <c r="B46" s="3390" t="s">
        <v>1054</v>
      </c>
      <c r="C46" s="3400">
        <f>C44+C45</f>
        <v>917100</v>
      </c>
      <c r="D46" s="4629">
        <f>D44+D45</f>
        <v>1085800</v>
      </c>
      <c r="E46" s="3391">
        <f>E44+E45</f>
        <v>2018100</v>
      </c>
      <c r="F46" s="4400"/>
      <c r="G46" s="376"/>
      <c r="H46" s="383"/>
      <c r="I46" s="388"/>
    </row>
    <row r="47" spans="2:11">
      <c r="B47" s="2523"/>
      <c r="C47" s="2544"/>
      <c r="D47" s="2524"/>
      <c r="E47" s="2538"/>
      <c r="F47" s="4400"/>
      <c r="G47" s="376"/>
      <c r="H47" s="383"/>
      <c r="I47" s="388"/>
    </row>
    <row r="48" spans="2:11">
      <c r="B48" s="2525" t="s">
        <v>14</v>
      </c>
      <c r="C48" s="2544"/>
      <c r="D48" s="2524"/>
      <c r="E48" s="2538"/>
      <c r="F48" s="4400"/>
      <c r="G48" s="376"/>
      <c r="H48" s="383"/>
      <c r="I48" s="388"/>
    </row>
    <row r="49" spans="2:10">
      <c r="B49" s="2560" t="s">
        <v>646</v>
      </c>
      <c r="C49" s="2544"/>
      <c r="D49" s="2524"/>
      <c r="E49" s="2538"/>
      <c r="F49" s="4400"/>
      <c r="G49" s="376"/>
      <c r="H49" s="383"/>
      <c r="I49" s="388"/>
    </row>
    <row r="50" spans="2:10">
      <c r="B50" s="2561" t="s">
        <v>665</v>
      </c>
      <c r="C50" s="3144">
        <v>57749.999999999993</v>
      </c>
      <c r="D50" s="3145">
        <v>57749.999999999993</v>
      </c>
      <c r="E50" s="2550">
        <f>SUM(C50:D50)</f>
        <v>115499.99999999999</v>
      </c>
      <c r="F50" s="4400"/>
      <c r="G50" s="376"/>
      <c r="H50" s="383"/>
      <c r="I50" s="388"/>
      <c r="J50" s="375"/>
    </row>
    <row r="51" spans="2:10">
      <c r="B51" s="2561" t="s">
        <v>666</v>
      </c>
      <c r="C51" s="3144">
        <v>51000.000000000007</v>
      </c>
      <c r="D51" s="3145">
        <v>51000.000000000007</v>
      </c>
      <c r="E51" s="3159">
        <f t="shared" ref="E51:E60" si="1">SUM(C51:D51)</f>
        <v>102000.00000000001</v>
      </c>
      <c r="F51" s="4400"/>
      <c r="G51" s="376"/>
      <c r="H51" s="383"/>
      <c r="I51" s="388"/>
      <c r="J51" s="375"/>
    </row>
    <row r="52" spans="2:10">
      <c r="B52" s="2561" t="s">
        <v>667</v>
      </c>
      <c r="C52" s="3144">
        <v>179350</v>
      </c>
      <c r="D52" s="3145">
        <v>179350</v>
      </c>
      <c r="E52" s="3159">
        <f t="shared" si="1"/>
        <v>358700</v>
      </c>
      <c r="F52" s="4400"/>
      <c r="G52" s="376"/>
      <c r="H52" s="383"/>
      <c r="I52" s="388"/>
      <c r="J52" s="375"/>
    </row>
    <row r="53" spans="2:10">
      <c r="B53" s="2561" t="s">
        <v>668</v>
      </c>
      <c r="C53" s="3144">
        <v>12000</v>
      </c>
      <c r="D53" s="3145">
        <v>12000</v>
      </c>
      <c r="E53" s="3159">
        <f t="shared" si="1"/>
        <v>24000</v>
      </c>
      <c r="F53" s="4400"/>
      <c r="G53" s="376"/>
      <c r="H53" s="383"/>
      <c r="I53" s="388"/>
      <c r="J53" s="375"/>
    </row>
    <row r="54" spans="2:10">
      <c r="B54" s="2561" t="s">
        <v>669</v>
      </c>
      <c r="C54" s="3144">
        <v>50000</v>
      </c>
      <c r="D54" s="3145">
        <v>50000</v>
      </c>
      <c r="E54" s="3159">
        <f t="shared" si="1"/>
        <v>100000</v>
      </c>
      <c r="F54" s="4400"/>
      <c r="G54" s="376"/>
      <c r="H54" s="383"/>
      <c r="I54" s="388"/>
      <c r="J54" s="375"/>
    </row>
    <row r="55" spans="2:10">
      <c r="B55" s="2561" t="s">
        <v>670</v>
      </c>
      <c r="C55" s="3144">
        <v>18750</v>
      </c>
      <c r="D55" s="3145">
        <v>18750</v>
      </c>
      <c r="E55" s="3159">
        <f t="shared" si="1"/>
        <v>37500</v>
      </c>
      <c r="F55" s="4400"/>
      <c r="G55" s="376"/>
      <c r="H55" s="383"/>
      <c r="I55" s="388"/>
      <c r="J55" s="375"/>
    </row>
    <row r="56" spans="2:10">
      <c r="B56" s="2557" t="s">
        <v>647</v>
      </c>
      <c r="C56" s="3144"/>
      <c r="D56" s="3145"/>
      <c r="E56" s="3159"/>
      <c r="F56" s="5088" t="s">
        <v>1426</v>
      </c>
      <c r="G56" s="376"/>
      <c r="H56" s="383"/>
      <c r="I56" s="388"/>
      <c r="J56" s="375"/>
    </row>
    <row r="57" spans="2:10">
      <c r="B57" s="3147" t="s">
        <v>671</v>
      </c>
      <c r="C57" s="3144">
        <v>1296000</v>
      </c>
      <c r="D57" s="3146">
        <v>864000</v>
      </c>
      <c r="E57" s="3159">
        <f t="shared" si="1"/>
        <v>2160000</v>
      </c>
      <c r="F57" s="4426" t="s">
        <v>1196</v>
      </c>
      <c r="G57" s="376"/>
      <c r="H57" s="383"/>
      <c r="I57" s="388"/>
      <c r="J57" s="375"/>
    </row>
    <row r="58" spans="2:10">
      <c r="B58" s="3147" t="s">
        <v>1314</v>
      </c>
      <c r="C58" s="3144">
        <v>66200</v>
      </c>
      <c r="D58" s="3146">
        <v>106600</v>
      </c>
      <c r="E58" s="3159">
        <f t="shared" si="1"/>
        <v>172800</v>
      </c>
      <c r="F58" s="4426" t="s">
        <v>1198</v>
      </c>
      <c r="G58" s="382"/>
      <c r="H58" s="383"/>
      <c r="I58" s="388"/>
      <c r="J58" s="375"/>
    </row>
    <row r="59" spans="2:10">
      <c r="B59" s="3147" t="s">
        <v>1313</v>
      </c>
      <c r="C59" s="3144">
        <v>182200</v>
      </c>
      <c r="D59" s="3146">
        <v>728600</v>
      </c>
      <c r="E59" s="3159">
        <f t="shared" si="1"/>
        <v>910800</v>
      </c>
      <c r="F59" s="4426" t="s">
        <v>1199</v>
      </c>
      <c r="G59" s="382"/>
      <c r="H59" s="383"/>
      <c r="I59" s="388"/>
      <c r="J59" s="375"/>
    </row>
    <row r="60" spans="2:10">
      <c r="B60" s="3147" t="s">
        <v>1315</v>
      </c>
      <c r="C60" s="3144">
        <v>267400</v>
      </c>
      <c r="D60" s="3146">
        <v>496700</v>
      </c>
      <c r="E60" s="3159">
        <f t="shared" si="1"/>
        <v>764100</v>
      </c>
      <c r="F60" s="4426">
        <v>18231132</v>
      </c>
      <c r="G60" s="382"/>
      <c r="H60" s="395"/>
      <c r="I60" s="396"/>
      <c r="J60" s="378"/>
    </row>
    <row r="61" spans="2:10">
      <c r="B61" s="2562" t="s">
        <v>672</v>
      </c>
      <c r="C61" s="3143">
        <f>SUM(C50:C60)</f>
        <v>2180650</v>
      </c>
      <c r="D61" s="3143">
        <f>SUM(D50:D60)</f>
        <v>2564750</v>
      </c>
      <c r="E61" s="2553">
        <f>SUM(C61:D61)</f>
        <v>4745400</v>
      </c>
      <c r="F61" s="4400"/>
      <c r="G61" s="382"/>
      <c r="H61" s="397"/>
      <c r="I61" s="397"/>
      <c r="J61" s="378"/>
    </row>
    <row r="62" spans="2:10" ht="13.5" thickBot="1">
      <c r="B62" s="2531"/>
      <c r="C62" s="2541"/>
      <c r="D62" s="2524"/>
      <c r="E62" s="2538"/>
      <c r="F62" s="4400"/>
      <c r="G62" s="382"/>
      <c r="H62" s="397"/>
      <c r="I62" s="397"/>
      <c r="J62" s="378"/>
    </row>
    <row r="63" spans="2:10" ht="13.5" thickBot="1">
      <c r="B63" s="2534" t="s">
        <v>673</v>
      </c>
      <c r="C63" s="2547">
        <f>C16+C21+C25+C32+C34+C40+C42+C46+C61</f>
        <v>20084250</v>
      </c>
      <c r="D63" s="3031">
        <f>D16+D21+D25+D32+D34+D40+D42+D46+D61</f>
        <v>18985765</v>
      </c>
      <c r="E63" s="3031">
        <f>E16+E21+E25+E32+E34+E40+E42+E46+E61</f>
        <v>39085215</v>
      </c>
      <c r="F63" s="4400"/>
      <c r="G63" s="382"/>
      <c r="H63" s="397"/>
      <c r="I63" s="397"/>
      <c r="J63" s="378"/>
    </row>
    <row r="64" spans="2:10">
      <c r="B64" s="2526"/>
      <c r="C64" s="2555"/>
      <c r="D64" s="2527"/>
      <c r="E64" s="2527"/>
      <c r="F64" s="4400"/>
      <c r="G64" s="382"/>
      <c r="H64" s="397"/>
      <c r="I64" s="397"/>
      <c r="J64" s="378"/>
    </row>
    <row r="65" spans="2:10">
      <c r="B65" s="2528" t="s">
        <v>674</v>
      </c>
      <c r="C65" s="2551">
        <v>2012</v>
      </c>
      <c r="D65" s="2551">
        <v>2013</v>
      </c>
      <c r="E65" s="2551" t="s">
        <v>28</v>
      </c>
      <c r="F65" s="4400"/>
      <c r="G65" s="4638" t="s">
        <v>1316</v>
      </c>
      <c r="H65" s="397"/>
      <c r="I65" s="397"/>
      <c r="J65" s="378"/>
    </row>
    <row r="66" spans="2:10" s="3064" customFormat="1" ht="27.75" customHeight="1">
      <c r="B66" s="3479"/>
      <c r="C66" s="2548"/>
      <c r="D66" s="2549"/>
      <c r="E66" s="2549"/>
      <c r="F66" s="4401"/>
      <c r="G66" s="4370" t="s">
        <v>1419</v>
      </c>
      <c r="H66" s="2442"/>
      <c r="I66" s="2442"/>
      <c r="J66" s="2414"/>
    </row>
    <row r="67" spans="2:10">
      <c r="B67" s="2558" t="s">
        <v>413</v>
      </c>
      <c r="C67" s="3272">
        <v>31800000</v>
      </c>
      <c r="D67" s="4632">
        <v>21200000</v>
      </c>
      <c r="E67" s="2554">
        <f>C67+D67</f>
        <v>53000000</v>
      </c>
      <c r="F67" s="4402" t="s">
        <v>675</v>
      </c>
      <c r="G67" s="4636">
        <v>26000000</v>
      </c>
      <c r="H67" s="397"/>
      <c r="I67" s="397"/>
      <c r="J67" s="378"/>
    </row>
    <row r="68" spans="2:10">
      <c r="B68" s="2558" t="s">
        <v>676</v>
      </c>
      <c r="C68" s="3272">
        <v>5000000</v>
      </c>
      <c r="D68" s="4632">
        <v>5000000</v>
      </c>
      <c r="E68" s="3148">
        <f t="shared" ref="E68:E75" si="2">C68+D68</f>
        <v>10000000</v>
      </c>
      <c r="F68" s="4402" t="s">
        <v>675</v>
      </c>
      <c r="G68" s="4636">
        <v>4000000</v>
      </c>
      <c r="H68" s="397"/>
      <c r="I68" s="397"/>
      <c r="J68" s="378"/>
    </row>
    <row r="69" spans="2:10">
      <c r="B69" s="2558" t="s">
        <v>677</v>
      </c>
      <c r="C69" s="3272">
        <v>3600000</v>
      </c>
      <c r="D69" s="4632">
        <v>5400000</v>
      </c>
      <c r="E69" s="3148">
        <f t="shared" si="2"/>
        <v>9000000</v>
      </c>
      <c r="F69" s="4402" t="s">
        <v>675</v>
      </c>
      <c r="G69" s="4636">
        <v>5400000</v>
      </c>
      <c r="H69" s="397"/>
      <c r="I69" s="397"/>
      <c r="J69" s="378"/>
    </row>
    <row r="70" spans="2:10">
      <c r="B70" s="2558" t="s">
        <v>678</v>
      </c>
      <c r="C70" s="3272">
        <v>14000000</v>
      </c>
      <c r="D70" s="4632">
        <v>14000000</v>
      </c>
      <c r="E70" s="3148">
        <f t="shared" si="2"/>
        <v>28000000</v>
      </c>
      <c r="F70" s="4402" t="s">
        <v>675</v>
      </c>
      <c r="G70" s="4636">
        <v>13400000</v>
      </c>
      <c r="H70" s="397"/>
      <c r="I70" s="397"/>
      <c r="J70" s="378"/>
    </row>
    <row r="71" spans="2:10" ht="30" customHeight="1">
      <c r="B71" s="3479"/>
      <c r="C71" s="3273"/>
      <c r="D71" s="4633"/>
      <c r="E71" s="3148">
        <f t="shared" si="2"/>
        <v>0</v>
      </c>
      <c r="F71" s="4402"/>
      <c r="G71" s="4370" t="s">
        <v>1419</v>
      </c>
      <c r="H71" s="397"/>
      <c r="I71" s="397"/>
      <c r="J71" s="378"/>
    </row>
    <row r="72" spans="2:10">
      <c r="B72" s="2556" t="s">
        <v>671</v>
      </c>
      <c r="C72" s="3272">
        <v>10800000</v>
      </c>
      <c r="D72" s="4632">
        <v>7200000</v>
      </c>
      <c r="E72" s="3148">
        <f t="shared" si="2"/>
        <v>18000000</v>
      </c>
      <c r="F72" s="4402" t="s">
        <v>675</v>
      </c>
      <c r="G72" s="4637">
        <v>10200000</v>
      </c>
      <c r="H72" s="397"/>
      <c r="I72" s="397"/>
      <c r="J72" s="378"/>
    </row>
    <row r="73" spans="2:10">
      <c r="B73" s="4427" t="s">
        <v>1197</v>
      </c>
      <c r="C73" s="3272">
        <v>0</v>
      </c>
      <c r="D73" s="4632">
        <v>3350000</v>
      </c>
      <c r="E73" s="3148">
        <f t="shared" si="2"/>
        <v>3350000</v>
      </c>
      <c r="F73" s="4402"/>
      <c r="G73" s="4637">
        <v>1675000</v>
      </c>
      <c r="H73" s="397"/>
      <c r="I73" s="397"/>
      <c r="J73" s="378"/>
    </row>
    <row r="74" spans="2:10">
      <c r="B74" s="2559" t="s">
        <v>1313</v>
      </c>
      <c r="C74" s="3272">
        <v>1800000</v>
      </c>
      <c r="D74" s="4632">
        <v>7200000</v>
      </c>
      <c r="E74" s="3148">
        <f t="shared" si="2"/>
        <v>9000000</v>
      </c>
      <c r="F74" s="4402" t="s">
        <v>675</v>
      </c>
      <c r="G74" s="4637">
        <v>7200000</v>
      </c>
      <c r="H74" s="395"/>
      <c r="I74" s="397"/>
      <c r="J74" s="378"/>
    </row>
    <row r="75" spans="2:10">
      <c r="B75" s="2559" t="s">
        <v>1317</v>
      </c>
      <c r="C75" s="3274">
        <v>2800000</v>
      </c>
      <c r="D75" s="4634">
        <v>5200000</v>
      </c>
      <c r="E75" s="3148">
        <f t="shared" si="2"/>
        <v>8000000</v>
      </c>
      <c r="F75" s="4403" t="s">
        <v>675</v>
      </c>
      <c r="G75" s="4637">
        <v>3500000</v>
      </c>
      <c r="H75" s="395"/>
      <c r="I75" s="397"/>
      <c r="J75" s="378"/>
    </row>
    <row r="76" spans="2:10">
      <c r="B76" s="2525" t="s">
        <v>679</v>
      </c>
      <c r="C76" s="2546">
        <f>SUM(C67:C75)</f>
        <v>69800000</v>
      </c>
      <c r="D76" s="4631">
        <f>SUM(D67:D75)</f>
        <v>68550000</v>
      </c>
      <c r="E76" s="4635">
        <f>SUM(E67:E75)</f>
        <v>138350000</v>
      </c>
      <c r="F76" s="4404" t="s">
        <v>675</v>
      </c>
      <c r="G76" s="4639">
        <f>SUM(G67:G75)</f>
        <v>71375000</v>
      </c>
      <c r="H76" s="395"/>
      <c r="I76" s="396"/>
      <c r="J76" s="378"/>
    </row>
    <row r="77" spans="2:10">
      <c r="B77" s="2523"/>
      <c r="C77" s="2533"/>
      <c r="D77" s="2523"/>
      <c r="E77" s="2523"/>
      <c r="F77" s="4405"/>
      <c r="G77" s="395"/>
      <c r="H77" s="395"/>
      <c r="I77" s="396"/>
      <c r="J77" s="378"/>
    </row>
    <row r="78" spans="2:10">
      <c r="B78" s="2535" t="s">
        <v>680</v>
      </c>
      <c r="C78" s="2567">
        <v>0.50743054059875081</v>
      </c>
      <c r="D78" s="2567">
        <v>0.49256945940124919</v>
      </c>
      <c r="E78" s="2523"/>
      <c r="F78" s="4405"/>
      <c r="G78" s="397"/>
      <c r="H78" s="395"/>
      <c r="I78" s="396"/>
      <c r="J78" s="378"/>
    </row>
    <row r="79" spans="2:10">
      <c r="B79" s="424"/>
      <c r="C79" s="2495"/>
      <c r="D79" s="2454"/>
      <c r="E79" s="2493"/>
      <c r="F79" s="4406"/>
      <c r="G79" s="397"/>
      <c r="H79" s="395"/>
      <c r="I79" s="396"/>
      <c r="J79" s="378"/>
    </row>
    <row r="80" spans="2:10">
      <c r="B80" s="424"/>
      <c r="C80" s="2495"/>
      <c r="D80" s="2454"/>
      <c r="E80" s="2512"/>
      <c r="F80" s="4406"/>
      <c r="G80" s="397"/>
      <c r="H80" s="395"/>
      <c r="I80" s="396"/>
      <c r="J80" s="378"/>
    </row>
    <row r="81" spans="2:10">
      <c r="B81" s="424"/>
      <c r="C81" s="2512"/>
      <c r="D81" s="2522"/>
      <c r="E81" s="2493"/>
      <c r="F81" s="4407"/>
      <c r="G81" s="397"/>
      <c r="H81" s="375"/>
      <c r="I81" s="375"/>
      <c r="J81" s="378"/>
    </row>
    <row r="82" spans="2:10">
      <c r="B82" s="377"/>
      <c r="C82" s="2445"/>
      <c r="D82" s="2445"/>
      <c r="E82" s="2518"/>
      <c r="F82" s="4408"/>
      <c r="G82" s="397"/>
      <c r="H82" s="375"/>
      <c r="I82" s="375"/>
      <c r="J82" s="378"/>
    </row>
    <row r="83" spans="2:10">
      <c r="B83" s="375"/>
      <c r="C83" s="395"/>
      <c r="D83" s="375"/>
      <c r="E83" s="375"/>
      <c r="F83" s="4409"/>
      <c r="G83" s="397"/>
      <c r="J83" s="378"/>
    </row>
    <row r="84" spans="2:10">
      <c r="B84" s="401"/>
      <c r="C84" s="423"/>
      <c r="D84" s="423"/>
      <c r="E84" s="375"/>
      <c r="F84" s="4409"/>
      <c r="G84" s="397"/>
      <c r="J84" s="378"/>
    </row>
    <row r="85" spans="2:10">
      <c r="B85" s="375"/>
      <c r="C85" s="397"/>
      <c r="D85" s="375"/>
      <c r="E85" s="375"/>
      <c r="F85" s="4406"/>
      <c r="G85" s="375"/>
      <c r="J85" s="378"/>
    </row>
    <row r="86" spans="2:10" ht="20.25">
      <c r="B86" s="384"/>
      <c r="C86" s="398"/>
      <c r="D86" s="375"/>
      <c r="E86" s="375"/>
      <c r="F86" s="4406"/>
      <c r="G86" s="375"/>
      <c r="J86" s="378"/>
    </row>
    <row r="87" spans="2:10">
      <c r="B87" s="378"/>
      <c r="C87" s="378"/>
      <c r="D87" s="375"/>
      <c r="E87" s="375"/>
      <c r="F87" s="4406"/>
      <c r="J87" s="378"/>
    </row>
    <row r="88" spans="2:10">
      <c r="B88" s="375"/>
      <c r="C88" s="375"/>
      <c r="D88" s="375"/>
      <c r="E88" s="375"/>
      <c r="F88" s="4410"/>
      <c r="J88" s="378"/>
    </row>
    <row r="89" spans="2:10">
      <c r="B89" s="375"/>
      <c r="C89" s="375"/>
      <c r="D89" s="375"/>
      <c r="E89" s="375"/>
      <c r="F89" s="4410"/>
      <c r="J89" s="378"/>
    </row>
    <row r="90" spans="2:10">
      <c r="J90" s="378"/>
    </row>
    <row r="91" spans="2:10">
      <c r="J91" s="378"/>
    </row>
    <row r="92" spans="2:10">
      <c r="J92" s="378"/>
    </row>
  </sheetData>
  <sheetProtection password="9E1F" sheet="1" objects="1" scenarios="1"/>
  <customSheetViews>
    <customSheetView guid="{074EB09C-6289-46D7-9513-012B68BCA7BF}">
      <pane xSplit="1" ySplit="1" topLeftCell="B2" activePane="bottomRight" state="frozen"/>
      <selection pane="bottomRight"/>
      <pageMargins left="0.28000000000000003" right="0.3" top="0.44" bottom="0.45" header="0.3" footer="0.3"/>
      <pageSetup paperSize="17" scale="65" orientation="landscape" r:id="rId1"/>
    </customSheetView>
    <customSheetView guid="{AF9F1D33-B8C2-423F-86A1-47612B8F532C}" scale="70" fitToPage="1">
      <pane xSplit="1" ySplit="1" topLeftCell="B8" activePane="bottomRight" state="frozenSplit"/>
      <selection pane="bottomRight" activeCell="B44" sqref="B44"/>
      <pageMargins left="0.7" right="0.7" top="0.75" bottom="0.75" header="0.3" footer="0.3"/>
      <pageSetup paperSize="17" scale="64" orientation="landscape"/>
    </customSheetView>
  </customSheetViews>
  <pageMargins left="0.56000000000000005" right="0.3" top="0.31" bottom="0.26" header="0.3" footer="0.3"/>
  <pageSetup paperSize="3" scale="65" orientation="landscape" r:id="rId2"/>
  <ignoredErrors>
    <ignoredError sqref="F57" numberStoredAsText="1"/>
  </ignoredErrors>
  <drawing r:id="rId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sheetPr enableFormatConditionsCalculation="0">
    <pageSetUpPr fitToPage="1"/>
  </sheetPr>
  <dimension ref="A1:N78"/>
  <sheetViews>
    <sheetView workbookViewId="0">
      <pane xSplit="1" ySplit="1" topLeftCell="B2" activePane="bottomRight" state="frozen"/>
      <selection pane="topRight" activeCell="B1" sqref="B1"/>
      <selection pane="bottomLeft" activeCell="A2" sqref="A2"/>
      <selection pane="bottomRight" activeCell="B3" sqref="B3"/>
    </sheetView>
  </sheetViews>
  <sheetFormatPr defaultColWidth="34.85546875" defaultRowHeight="12.75"/>
  <cols>
    <col min="1" max="1" width="17.140625" style="3064" customWidth="1"/>
    <col min="2" max="2" width="58.42578125" customWidth="1"/>
    <col min="3" max="3" width="17.7109375" customWidth="1"/>
    <col min="4" max="4" width="18" customWidth="1"/>
    <col min="5" max="5" width="19" customWidth="1"/>
    <col min="6" max="6" width="22.7109375" customWidth="1"/>
    <col min="7" max="7" width="24.28515625" customWidth="1"/>
    <col min="8" max="8" width="23.42578125" customWidth="1"/>
    <col min="9" max="9" width="21.7109375" customWidth="1"/>
    <col min="10" max="10" width="20" customWidth="1"/>
    <col min="11" max="11" width="25.85546875" customWidth="1"/>
    <col min="12" max="12" width="21.7109375" customWidth="1"/>
    <col min="13" max="13" width="25.28515625" customWidth="1"/>
  </cols>
  <sheetData>
    <row r="1" spans="2:14" ht="41.25" customHeight="1">
      <c r="B1" s="437" t="s">
        <v>682</v>
      </c>
      <c r="C1" s="457"/>
      <c r="D1" s="457"/>
      <c r="E1" s="457"/>
      <c r="F1" s="457"/>
      <c r="G1" s="466"/>
      <c r="H1" s="458"/>
      <c r="I1" s="458"/>
      <c r="J1" s="427"/>
      <c r="K1" s="427"/>
      <c r="L1" s="427"/>
      <c r="M1" s="427"/>
      <c r="N1" s="427"/>
    </row>
    <row r="2" spans="2:14" ht="20.25">
      <c r="B2" s="437"/>
      <c r="C2" s="457"/>
      <c r="D2" s="457"/>
      <c r="E2" s="457"/>
      <c r="F2" s="457"/>
      <c r="G2" s="466"/>
      <c r="H2" s="458"/>
      <c r="I2" s="458"/>
      <c r="J2" s="427"/>
      <c r="K2" s="427"/>
      <c r="L2" s="427"/>
      <c r="M2" s="427"/>
      <c r="N2" s="427"/>
    </row>
    <row r="3" spans="2:14" ht="25.5">
      <c r="B3" s="3463"/>
      <c r="C3" s="433" t="s">
        <v>9</v>
      </c>
      <c r="D3" s="433" t="s">
        <v>10</v>
      </c>
      <c r="E3" s="433" t="s">
        <v>640</v>
      </c>
      <c r="F3" s="434" t="s">
        <v>12</v>
      </c>
      <c r="G3" s="434" t="s">
        <v>13</v>
      </c>
      <c r="H3" s="434" t="s">
        <v>14</v>
      </c>
      <c r="I3" s="434" t="s">
        <v>15</v>
      </c>
      <c r="J3" s="434" t="s">
        <v>16</v>
      </c>
      <c r="K3" s="434" t="s">
        <v>641</v>
      </c>
      <c r="L3" s="434" t="s">
        <v>18</v>
      </c>
      <c r="M3" s="493" t="s">
        <v>114</v>
      </c>
      <c r="N3" s="435" t="s">
        <v>19</v>
      </c>
    </row>
    <row r="4" spans="2:14" ht="25.5">
      <c r="B4" s="500" t="s">
        <v>642</v>
      </c>
      <c r="C4" s="498"/>
      <c r="D4" s="498"/>
      <c r="E4" s="498"/>
      <c r="F4" s="498"/>
      <c r="G4" s="498"/>
      <c r="H4" s="498"/>
      <c r="I4" s="498"/>
      <c r="J4" s="498"/>
      <c r="K4" s="499"/>
      <c r="L4" s="499">
        <v>2153846</v>
      </c>
      <c r="M4" s="499"/>
      <c r="N4" s="501" t="s">
        <v>21</v>
      </c>
    </row>
    <row r="5" spans="2:14">
      <c r="B5" s="490" t="s">
        <v>643</v>
      </c>
      <c r="C5" s="489">
        <v>243364.1</v>
      </c>
      <c r="D5" s="489">
        <v>6135</v>
      </c>
      <c r="E5" s="489">
        <v>157184.43299999996</v>
      </c>
      <c r="F5" s="489">
        <v>17500</v>
      </c>
      <c r="G5" s="489">
        <v>3400</v>
      </c>
      <c r="H5" s="489">
        <v>71750</v>
      </c>
      <c r="I5" s="489">
        <v>400</v>
      </c>
      <c r="J5" s="489">
        <v>0</v>
      </c>
      <c r="K5" s="491">
        <v>7750000</v>
      </c>
      <c r="L5" s="492">
        <v>8249733.5329999998</v>
      </c>
      <c r="M5" s="495">
        <v>15500000</v>
      </c>
      <c r="N5" s="502">
        <v>2.8302336996238355</v>
      </c>
    </row>
    <row r="6" spans="2:14">
      <c r="B6" s="430">
        <v>2012</v>
      </c>
      <c r="C6" s="476">
        <f>C16</f>
        <v>225000</v>
      </c>
      <c r="D6" s="477">
        <f>C17</f>
        <v>19400</v>
      </c>
      <c r="E6" s="477">
        <f>C36</f>
        <v>154000</v>
      </c>
      <c r="F6" s="477">
        <f>C34</f>
        <v>10500</v>
      </c>
      <c r="G6" s="477">
        <f>C24</f>
        <v>4000</v>
      </c>
      <c r="H6" s="477">
        <f>C47</f>
        <v>50300</v>
      </c>
      <c r="I6" s="477">
        <f>C32</f>
        <v>470</v>
      </c>
      <c r="J6" s="477">
        <f>C26</f>
        <v>500</v>
      </c>
      <c r="K6" s="478">
        <f>C13</f>
        <v>1750000</v>
      </c>
      <c r="L6" s="478">
        <f>SUM(C6:K6)</f>
        <v>2214170</v>
      </c>
      <c r="M6" s="494">
        <f>C52</f>
        <v>3500000</v>
      </c>
      <c r="N6" s="502">
        <v>-0.7343660457354072</v>
      </c>
    </row>
    <row r="7" spans="2:14" s="3532" customFormat="1">
      <c r="B7" s="4253" t="s">
        <v>1168</v>
      </c>
      <c r="C7" s="682">
        <v>225000</v>
      </c>
      <c r="D7" s="683">
        <v>19400</v>
      </c>
      <c r="E7" s="683">
        <v>154000</v>
      </c>
      <c r="F7" s="683">
        <v>10500</v>
      </c>
      <c r="G7" s="683">
        <v>4000</v>
      </c>
      <c r="H7" s="4257">
        <v>50200</v>
      </c>
      <c r="I7" s="4257">
        <v>470</v>
      </c>
      <c r="J7" s="4257">
        <v>500</v>
      </c>
      <c r="K7" s="4251">
        <v>1750000</v>
      </c>
      <c r="L7" s="684">
        <v>2214070</v>
      </c>
      <c r="M7" s="2480">
        <v>3500000</v>
      </c>
      <c r="N7" s="2486"/>
    </row>
    <row r="8" spans="2:14" ht="13.5" thickBot="1">
      <c r="B8" s="4256" t="s">
        <v>1169</v>
      </c>
      <c r="C8" s="4200">
        <f>D16</f>
        <v>217700</v>
      </c>
      <c r="D8" s="4201">
        <f>D17</f>
        <v>19400</v>
      </c>
      <c r="E8" s="4201">
        <f>D36</f>
        <v>167600</v>
      </c>
      <c r="F8" s="4201">
        <f>D34</f>
        <v>10500</v>
      </c>
      <c r="G8" s="4201">
        <f>D24</f>
        <v>4000</v>
      </c>
      <c r="H8" s="4206">
        <f>D47</f>
        <v>50200</v>
      </c>
      <c r="I8" s="4207">
        <f>D32</f>
        <v>470</v>
      </c>
      <c r="J8" s="4207">
        <f>D26</f>
        <v>500</v>
      </c>
      <c r="K8" s="4203">
        <f>D13</f>
        <v>1000000</v>
      </c>
      <c r="L8" s="4204">
        <f>SUM(C8:K8)</f>
        <v>1470370</v>
      </c>
      <c r="M8" s="4205">
        <f>G52</f>
        <v>3500000</v>
      </c>
      <c r="N8" s="502">
        <v>0</v>
      </c>
    </row>
    <row r="9" spans="2:14" ht="13.5" thickBot="1">
      <c r="B9" s="4252" t="s">
        <v>1172</v>
      </c>
      <c r="C9" s="4199">
        <f>SUM(C6+C8)</f>
        <v>442700</v>
      </c>
      <c r="D9" s="4199">
        <f t="shared" ref="D9:M9" si="0">SUM(D6+D8)</f>
        <v>38800</v>
      </c>
      <c r="E9" s="4199">
        <f t="shared" si="0"/>
        <v>321600</v>
      </c>
      <c r="F9" s="4199">
        <f t="shared" si="0"/>
        <v>21000</v>
      </c>
      <c r="G9" s="4199">
        <f t="shared" si="0"/>
        <v>8000</v>
      </c>
      <c r="H9" s="4199">
        <f t="shared" si="0"/>
        <v>100500</v>
      </c>
      <c r="I9" s="4199">
        <f t="shared" si="0"/>
        <v>940</v>
      </c>
      <c r="J9" s="4199">
        <f t="shared" si="0"/>
        <v>1000</v>
      </c>
      <c r="K9" s="4199">
        <f t="shared" si="0"/>
        <v>2750000</v>
      </c>
      <c r="L9" s="4199">
        <f t="shared" si="0"/>
        <v>3684540</v>
      </c>
      <c r="M9" s="2480">
        <f t="shared" si="0"/>
        <v>7000000</v>
      </c>
      <c r="N9" s="427"/>
    </row>
    <row r="10" spans="2:14" ht="20.25">
      <c r="B10" s="437"/>
      <c r="C10" s="457"/>
      <c r="D10" s="457"/>
      <c r="E10" s="457"/>
      <c r="F10" s="457"/>
      <c r="G10" s="466"/>
      <c r="H10" s="458"/>
      <c r="I10" s="458"/>
      <c r="J10" s="427"/>
      <c r="K10" s="427"/>
      <c r="L10" s="427"/>
      <c r="M10" s="427"/>
      <c r="N10" s="441"/>
    </row>
    <row r="11" spans="2:14" ht="18">
      <c r="B11" s="438" t="s">
        <v>683</v>
      </c>
      <c r="C11" s="485">
        <v>2012</v>
      </c>
      <c r="D11" s="486">
        <v>2013</v>
      </c>
      <c r="E11" s="487" t="s">
        <v>28</v>
      </c>
      <c r="F11" s="456"/>
      <c r="G11" s="456"/>
      <c r="H11" s="456"/>
      <c r="I11" s="456"/>
      <c r="J11" s="427"/>
      <c r="K11" s="427"/>
      <c r="L11" s="427"/>
      <c r="M11" s="427"/>
      <c r="N11" s="427"/>
    </row>
    <row r="12" spans="2:14" ht="18">
      <c r="B12" s="439"/>
      <c r="C12" s="512"/>
      <c r="D12" s="445"/>
      <c r="E12" s="479"/>
      <c r="F12" s="445"/>
      <c r="G12" s="445"/>
      <c r="H12" s="445"/>
      <c r="I12" s="3709"/>
      <c r="J12" s="3700"/>
      <c r="K12" s="3700"/>
      <c r="L12" s="441"/>
      <c r="M12" s="496"/>
      <c r="N12" s="427"/>
    </row>
    <row r="13" spans="2:14" ht="25.5" customHeight="1">
      <c r="B13" s="3480"/>
      <c r="C13" s="512">
        <v>1750000</v>
      </c>
      <c r="D13" s="4613">
        <v>1000000</v>
      </c>
      <c r="E13" s="506">
        <v>3500000</v>
      </c>
      <c r="F13" s="4370" t="s">
        <v>1419</v>
      </c>
      <c r="G13" s="445"/>
      <c r="H13" s="445"/>
      <c r="I13" s="3701"/>
      <c r="J13" s="3702"/>
      <c r="K13" s="3700"/>
      <c r="L13" s="427"/>
      <c r="M13" s="427"/>
      <c r="N13" s="427"/>
    </row>
    <row r="14" spans="2:14" ht="18">
      <c r="B14" s="439"/>
      <c r="C14" s="468"/>
      <c r="D14" s="429"/>
      <c r="E14" s="469"/>
      <c r="F14" s="445"/>
      <c r="G14" s="445"/>
      <c r="H14" s="445"/>
      <c r="I14" s="3701"/>
      <c r="J14" s="3703"/>
      <c r="K14" s="3700"/>
      <c r="L14" s="427"/>
      <c r="M14" s="427"/>
      <c r="N14" s="427"/>
    </row>
    <row r="15" spans="2:14">
      <c r="B15" s="436" t="s">
        <v>648</v>
      </c>
      <c r="C15" s="470"/>
      <c r="D15" s="429"/>
      <c r="E15" s="469"/>
      <c r="F15" s="442"/>
      <c r="G15" s="442"/>
      <c r="H15" s="442"/>
      <c r="I15" s="3701"/>
      <c r="J15" s="3703"/>
      <c r="K15" s="3697"/>
      <c r="L15" s="427"/>
      <c r="M15" s="427"/>
      <c r="N15" s="427"/>
    </row>
    <row r="16" spans="2:14">
      <c r="B16" s="444" t="s">
        <v>650</v>
      </c>
      <c r="C16" s="2514">
        <v>225000</v>
      </c>
      <c r="D16" s="4614">
        <v>217700</v>
      </c>
      <c r="E16" s="488">
        <f>SUM(C16:D16)</f>
        <v>442700</v>
      </c>
      <c r="F16" s="455">
        <v>2.48</v>
      </c>
      <c r="G16" s="446" t="s">
        <v>651</v>
      </c>
      <c r="H16" s="443"/>
      <c r="I16" s="3701"/>
      <c r="J16" s="3699"/>
      <c r="K16" s="3697"/>
      <c r="L16" s="427"/>
      <c r="M16" s="427"/>
      <c r="N16" s="427"/>
    </row>
    <row r="17" spans="2:14">
      <c r="B17" s="444" t="s">
        <v>655</v>
      </c>
      <c r="C17" s="2514">
        <v>19400</v>
      </c>
      <c r="D17" s="503">
        <v>19400</v>
      </c>
      <c r="E17" s="2472">
        <f>SUM(C17:D17)</f>
        <v>38800</v>
      </c>
      <c r="F17" s="455">
        <v>0.16</v>
      </c>
      <c r="G17" s="446" t="s">
        <v>651</v>
      </c>
      <c r="H17" s="443"/>
      <c r="I17" s="3701"/>
      <c r="J17" s="3699"/>
      <c r="K17" s="3697"/>
      <c r="L17" s="427"/>
      <c r="M17" s="427"/>
      <c r="N17" s="427"/>
    </row>
    <row r="18" spans="2:14">
      <c r="B18" s="444"/>
      <c r="C18" s="471"/>
      <c r="D18" s="429"/>
      <c r="E18" s="469"/>
      <c r="F18" s="443"/>
      <c r="G18" s="443"/>
      <c r="H18" s="443"/>
      <c r="I18" s="3701"/>
      <c r="J18" s="3699"/>
      <c r="K18" s="3697"/>
      <c r="L18" s="427"/>
      <c r="M18" s="497"/>
    </row>
    <row r="19" spans="2:14">
      <c r="B19" s="436" t="s">
        <v>481</v>
      </c>
      <c r="C19" s="470"/>
      <c r="D19" s="429"/>
      <c r="E19" s="469"/>
      <c r="F19" s="442"/>
      <c r="G19" s="442"/>
      <c r="H19" s="443"/>
      <c r="I19" s="3701"/>
      <c r="J19" s="3699"/>
      <c r="K19" s="3697"/>
      <c r="L19" s="427"/>
      <c r="M19" s="427"/>
    </row>
    <row r="20" spans="2:14">
      <c r="B20" s="427" t="s">
        <v>656</v>
      </c>
      <c r="C20" s="480">
        <v>900</v>
      </c>
      <c r="D20" s="503">
        <v>900</v>
      </c>
      <c r="E20" s="488">
        <f>SUM(C20:D20)</f>
        <v>1800</v>
      </c>
      <c r="F20" s="459"/>
      <c r="G20" s="459"/>
      <c r="H20" s="442"/>
      <c r="I20" s="3701"/>
      <c r="J20" s="3699"/>
      <c r="K20" s="3697"/>
      <c r="L20" s="427"/>
      <c r="M20" s="427"/>
    </row>
    <row r="21" spans="2:14">
      <c r="B21" s="444" t="s">
        <v>657</v>
      </c>
      <c r="C21" s="472">
        <v>1800</v>
      </c>
      <c r="D21" s="503">
        <v>1800</v>
      </c>
      <c r="E21" s="2472">
        <f>SUM(C21:D21)</f>
        <v>3600</v>
      </c>
      <c r="F21" s="427"/>
      <c r="G21" s="442"/>
      <c r="H21" s="459"/>
      <c r="I21" s="3701"/>
      <c r="J21" s="3708"/>
      <c r="K21" s="3697"/>
      <c r="L21" s="427"/>
      <c r="M21" s="427"/>
    </row>
    <row r="22" spans="2:14">
      <c r="B22" s="444" t="s">
        <v>658</v>
      </c>
      <c r="C22" s="480">
        <v>900</v>
      </c>
      <c r="D22" s="503">
        <v>900</v>
      </c>
      <c r="E22" s="2472">
        <f>SUM(C22:D22)</f>
        <v>1800</v>
      </c>
      <c r="F22" s="442"/>
      <c r="G22" s="442"/>
      <c r="H22" s="442"/>
      <c r="I22" s="3697"/>
      <c r="J22" s="3698"/>
      <c r="K22" s="3697"/>
      <c r="L22" s="427"/>
      <c r="M22" s="427"/>
    </row>
    <row r="23" spans="2:14">
      <c r="B23" s="444" t="s">
        <v>660</v>
      </c>
      <c r="C23" s="480">
        <v>400</v>
      </c>
      <c r="D23" s="503">
        <v>400</v>
      </c>
      <c r="E23" s="2472">
        <f>SUM(C23:D23)</f>
        <v>800</v>
      </c>
      <c r="F23" s="442"/>
      <c r="G23" s="442"/>
      <c r="H23" s="460"/>
      <c r="I23" s="3701"/>
      <c r="J23" s="3713"/>
      <c r="K23" s="3697"/>
      <c r="L23" s="427"/>
      <c r="M23" s="427"/>
    </row>
    <row r="24" spans="2:14">
      <c r="B24" s="427"/>
      <c r="C24" s="473">
        <f>SUM(C20:C23)</f>
        <v>4000</v>
      </c>
      <c r="D24" s="453">
        <f>SUM(D20:D23)</f>
        <v>4000</v>
      </c>
      <c r="E24" s="507">
        <f>SUM(E20:E23)</f>
        <v>8000</v>
      </c>
      <c r="F24" s="442"/>
      <c r="G24" s="442"/>
      <c r="H24" s="460"/>
      <c r="I24" s="3706"/>
      <c r="J24" s="3711"/>
      <c r="K24" s="3704"/>
      <c r="L24" s="427"/>
      <c r="M24" s="427"/>
    </row>
    <row r="25" spans="2:14">
      <c r="B25" s="429"/>
      <c r="C25" s="483"/>
      <c r="D25" s="429"/>
      <c r="E25" s="469"/>
      <c r="F25" s="442"/>
      <c r="G25" s="442"/>
      <c r="H25" s="460"/>
      <c r="I25" s="3706"/>
      <c r="J25" s="3710"/>
      <c r="K25" s="3707"/>
      <c r="L25" s="427"/>
      <c r="M25" s="427"/>
    </row>
    <row r="26" spans="2:14">
      <c r="B26" s="436" t="s">
        <v>649</v>
      </c>
      <c r="C26" s="473">
        <v>500</v>
      </c>
      <c r="D26" s="467">
        <v>500</v>
      </c>
      <c r="E26" s="507">
        <f>SUM(C26:D26)</f>
        <v>1000</v>
      </c>
      <c r="F26" s="442"/>
      <c r="G26" s="442"/>
      <c r="H26" s="460"/>
      <c r="I26" s="3706"/>
      <c r="J26" s="3710"/>
      <c r="K26" s="3707"/>
      <c r="L26" s="427"/>
      <c r="M26" s="427"/>
    </row>
    <row r="27" spans="2:14">
      <c r="B27" s="429"/>
      <c r="C27" s="483"/>
      <c r="D27" s="429"/>
      <c r="E27" s="469"/>
      <c r="F27" s="442"/>
      <c r="G27" s="442"/>
      <c r="H27" s="460"/>
      <c r="I27" s="3705"/>
      <c r="J27" s="3712"/>
      <c r="K27" s="3697"/>
      <c r="L27" s="427"/>
      <c r="M27" s="427"/>
    </row>
    <row r="28" spans="2:14">
      <c r="B28" s="432" t="s">
        <v>652</v>
      </c>
      <c r="C28" s="483"/>
      <c r="D28" s="429"/>
      <c r="E28" s="469"/>
      <c r="F28" s="460"/>
      <c r="G28" s="460"/>
      <c r="H28" s="460"/>
      <c r="I28" s="454"/>
      <c r="J28" s="464"/>
      <c r="K28" s="427"/>
      <c r="L28" s="427"/>
      <c r="M28" s="427"/>
    </row>
    <row r="29" spans="2:14">
      <c r="B29" s="427" t="s">
        <v>661</v>
      </c>
      <c r="C29" s="483">
        <v>440</v>
      </c>
      <c r="D29" s="503">
        <v>440</v>
      </c>
      <c r="E29" s="488">
        <f>SUM(C29:D29)</f>
        <v>880</v>
      </c>
      <c r="F29" s="460"/>
      <c r="G29" s="460"/>
      <c r="H29" s="460"/>
      <c r="I29" s="445"/>
      <c r="J29" s="427"/>
      <c r="K29" s="427"/>
      <c r="L29" s="427"/>
      <c r="M29" s="427"/>
    </row>
    <row r="30" spans="2:14">
      <c r="B30" s="427" t="s">
        <v>662</v>
      </c>
      <c r="C30" s="483">
        <v>20</v>
      </c>
      <c r="D30" s="503">
        <v>20</v>
      </c>
      <c r="E30" s="2472">
        <f>SUM(C30:D30)</f>
        <v>40</v>
      </c>
      <c r="F30" s="460"/>
      <c r="G30" s="460"/>
      <c r="H30" s="460"/>
      <c r="I30" s="445"/>
      <c r="J30" s="427"/>
      <c r="K30" s="427"/>
      <c r="L30" s="427"/>
      <c r="M30" s="427"/>
    </row>
    <row r="31" spans="2:14">
      <c r="B31" s="429" t="s">
        <v>663</v>
      </c>
      <c r="C31" s="483">
        <v>10</v>
      </c>
      <c r="D31" s="503">
        <v>10</v>
      </c>
      <c r="E31" s="2472">
        <f>SUM(C31:D31)</f>
        <v>20</v>
      </c>
      <c r="F31" s="460"/>
      <c r="G31" s="460"/>
      <c r="H31" s="460"/>
      <c r="I31" s="445"/>
      <c r="J31" s="427"/>
      <c r="K31" s="427"/>
      <c r="L31" s="427"/>
      <c r="M31" s="427"/>
    </row>
    <row r="32" spans="2:14">
      <c r="B32" s="432" t="s">
        <v>664</v>
      </c>
      <c r="C32" s="474">
        <f>SUM(C29:C31)</f>
        <v>470</v>
      </c>
      <c r="D32" s="447">
        <f>SUM(D29:D31)</f>
        <v>470</v>
      </c>
      <c r="E32" s="507">
        <f>SUM(E29:E31)</f>
        <v>940</v>
      </c>
      <c r="F32" s="460"/>
      <c r="G32" s="460"/>
      <c r="H32" s="460"/>
      <c r="I32" s="445"/>
      <c r="J32" s="427"/>
      <c r="K32" s="427"/>
      <c r="L32" s="427"/>
      <c r="M32" s="427"/>
    </row>
    <row r="33" spans="2:13">
      <c r="B33" s="429"/>
      <c r="C33" s="483"/>
      <c r="D33" s="429"/>
      <c r="E33" s="469"/>
      <c r="F33" s="460"/>
      <c r="G33" s="460"/>
      <c r="H33" s="460"/>
      <c r="I33" s="445"/>
      <c r="J33" s="427"/>
      <c r="K33" s="427"/>
      <c r="L33" s="427"/>
      <c r="M33" s="427"/>
    </row>
    <row r="34" spans="2:13">
      <c r="B34" s="432" t="s">
        <v>654</v>
      </c>
      <c r="C34" s="474">
        <v>10500</v>
      </c>
      <c r="D34" s="504">
        <v>10500</v>
      </c>
      <c r="E34" s="507">
        <f>SUM(C34:D34)</f>
        <v>21000</v>
      </c>
      <c r="F34" s="460"/>
      <c r="G34" s="460"/>
      <c r="H34" s="460"/>
      <c r="I34" s="445"/>
    </row>
    <row r="35" spans="2:13">
      <c r="B35" s="429"/>
      <c r="C35" s="483"/>
      <c r="D35" s="429"/>
      <c r="E35" s="469"/>
      <c r="F35" s="460"/>
      <c r="G35" s="461"/>
      <c r="H35" s="460"/>
      <c r="I35" s="445"/>
    </row>
    <row r="36" spans="2:13">
      <c r="B36" s="4429" t="s">
        <v>1438</v>
      </c>
      <c r="C36" s="3106">
        <f>ROUND(SUM(C16:C17)*0.63, -2)</f>
        <v>154000</v>
      </c>
      <c r="D36" s="4629">
        <f>ROUND(SUM(D16:D17)*0.707, -2)</f>
        <v>167600</v>
      </c>
      <c r="E36" s="507">
        <f>SUM(C36:D36)</f>
        <v>321600</v>
      </c>
      <c r="F36" s="460"/>
      <c r="G36" s="461"/>
      <c r="H36" s="460"/>
      <c r="I36" s="445"/>
    </row>
    <row r="37" spans="2:13">
      <c r="B37" s="429"/>
      <c r="C37" s="483"/>
      <c r="D37" s="461"/>
      <c r="E37" s="484"/>
      <c r="F37" s="460"/>
      <c r="G37" s="428"/>
      <c r="H37" s="460"/>
      <c r="I37" s="445"/>
    </row>
    <row r="38" spans="2:13">
      <c r="B38" s="430" t="s">
        <v>14</v>
      </c>
      <c r="C38" s="483"/>
      <c r="D38" s="461"/>
      <c r="E38" s="484"/>
      <c r="F38" s="460"/>
      <c r="G38" s="428"/>
      <c r="H38" s="460"/>
      <c r="I38" s="440"/>
    </row>
    <row r="39" spans="2:13">
      <c r="B39" s="452"/>
      <c r="C39" s="480"/>
      <c r="D39" s="462"/>
      <c r="E39" s="481"/>
      <c r="F39" s="460"/>
      <c r="G39" s="428"/>
      <c r="H39" s="460"/>
      <c r="I39" s="440"/>
    </row>
    <row r="40" spans="2:13">
      <c r="B40" s="427" t="s">
        <v>685</v>
      </c>
      <c r="C40" s="480">
        <v>14000</v>
      </c>
      <c r="D40" s="462">
        <v>14000</v>
      </c>
      <c r="E40" s="481">
        <f>SUM(C40:D40)</f>
        <v>28000</v>
      </c>
      <c r="F40" s="460"/>
      <c r="G40" s="428"/>
      <c r="H40" s="460"/>
      <c r="I40" s="440"/>
    </row>
    <row r="41" spans="2:13">
      <c r="B41" s="452" t="s">
        <v>686</v>
      </c>
      <c r="C41" s="480">
        <v>8300</v>
      </c>
      <c r="D41" s="462">
        <v>8200</v>
      </c>
      <c r="E41" s="2468">
        <f t="shared" ref="E41:E46" si="1">SUM(C41:D41)</f>
        <v>16500</v>
      </c>
      <c r="F41" s="460"/>
      <c r="G41" s="428"/>
      <c r="H41" s="460"/>
      <c r="I41" s="440"/>
    </row>
    <row r="42" spans="2:13">
      <c r="B42" s="452" t="s">
        <v>687</v>
      </c>
      <c r="C42" s="480">
        <v>0</v>
      </c>
      <c r="D42" s="462">
        <v>0</v>
      </c>
      <c r="E42" s="2468">
        <f t="shared" si="1"/>
        <v>0</v>
      </c>
      <c r="F42" s="460"/>
      <c r="G42" s="428"/>
      <c r="H42" s="460"/>
      <c r="I42" s="440"/>
    </row>
    <row r="43" spans="2:13">
      <c r="B43" s="452" t="s">
        <v>688</v>
      </c>
      <c r="C43" s="480">
        <v>0</v>
      </c>
      <c r="D43" s="462">
        <v>0</v>
      </c>
      <c r="E43" s="2468">
        <f t="shared" si="1"/>
        <v>0</v>
      </c>
      <c r="F43" s="460"/>
      <c r="G43" s="428"/>
      <c r="H43" s="460"/>
      <c r="I43" s="440"/>
    </row>
    <row r="44" spans="2:13">
      <c r="B44" s="452" t="s">
        <v>689</v>
      </c>
      <c r="C44" s="480">
        <v>28000</v>
      </c>
      <c r="D44" s="462">
        <v>28000</v>
      </c>
      <c r="E44" s="2468">
        <f t="shared" si="1"/>
        <v>56000</v>
      </c>
      <c r="F44" s="460"/>
      <c r="G44" s="428"/>
      <c r="H44" s="460"/>
      <c r="I44" s="440"/>
    </row>
    <row r="45" spans="2:13">
      <c r="B45" s="510"/>
      <c r="C45" s="480">
        <v>0</v>
      </c>
      <c r="D45" s="462">
        <v>0</v>
      </c>
      <c r="E45" s="2468">
        <f t="shared" si="1"/>
        <v>0</v>
      </c>
      <c r="F45" s="460"/>
      <c r="G45" s="461"/>
      <c r="H45" s="460"/>
      <c r="I45" s="440"/>
    </row>
    <row r="46" spans="2:13">
      <c r="B46" s="510"/>
      <c r="C46" s="480">
        <v>0</v>
      </c>
      <c r="D46" s="462">
        <v>0</v>
      </c>
      <c r="E46" s="2468">
        <f t="shared" si="1"/>
        <v>0</v>
      </c>
      <c r="F46" s="460"/>
      <c r="G46" s="461"/>
      <c r="H46" s="460"/>
      <c r="I46" s="440"/>
    </row>
    <row r="47" spans="2:13">
      <c r="B47" s="510"/>
      <c r="C47" s="473">
        <f>SUM(C40:C46)</f>
        <v>50300</v>
      </c>
      <c r="D47" s="473">
        <f>SUM(D40:D46)</f>
        <v>50200</v>
      </c>
      <c r="E47" s="482">
        <f>SUM(E40:E46)</f>
        <v>100500</v>
      </c>
      <c r="F47" s="460"/>
      <c r="G47" s="461"/>
      <c r="H47" s="460"/>
      <c r="I47" s="440"/>
    </row>
    <row r="48" spans="2:13" ht="13.5" thickBot="1">
      <c r="B48" s="511"/>
      <c r="C48" s="480"/>
      <c r="D48" s="462"/>
      <c r="E48" s="481"/>
      <c r="F48" s="460"/>
      <c r="G48" s="461"/>
      <c r="H48" s="460"/>
      <c r="I48" s="440"/>
    </row>
    <row r="49" spans="2:10" ht="13.5" thickBot="1">
      <c r="B49" s="510"/>
      <c r="C49" s="475">
        <f>C13+C16+C17+C24+C26+C32+C34+C36+C47</f>
        <v>2214170</v>
      </c>
      <c r="D49" s="2466">
        <f>D13+D16+D17+D24+D26+D32+D34+D36+D47</f>
        <v>1470370</v>
      </c>
      <c r="E49" s="2466">
        <f>SUM(C49:D49)</f>
        <v>3684540</v>
      </c>
      <c r="F49" s="460"/>
      <c r="G49" s="461"/>
      <c r="H49" s="460"/>
      <c r="I49" s="440"/>
    </row>
    <row r="50" spans="2:10">
      <c r="B50" s="510"/>
      <c r="C50" s="462"/>
      <c r="D50" s="462"/>
      <c r="E50" s="462"/>
      <c r="F50" s="460"/>
      <c r="G50" s="461"/>
      <c r="H50" s="460"/>
      <c r="I50" s="440"/>
      <c r="J50" s="427"/>
    </row>
    <row r="51" spans="2:10">
      <c r="B51" s="429"/>
      <c r="C51" s="509">
        <v>2012</v>
      </c>
      <c r="D51" s="509">
        <v>2013</v>
      </c>
      <c r="E51" s="509" t="s">
        <v>28</v>
      </c>
      <c r="F51" s="427"/>
      <c r="G51" s="4640" t="s">
        <v>1316</v>
      </c>
      <c r="H51" s="462"/>
      <c r="I51" s="449"/>
      <c r="J51" s="431"/>
    </row>
    <row r="52" spans="2:10" ht="33" customHeight="1">
      <c r="B52" s="3481"/>
      <c r="C52" s="2568">
        <v>3500000</v>
      </c>
      <c r="D52" s="2520">
        <v>3500000</v>
      </c>
      <c r="E52" s="2520">
        <v>7000000</v>
      </c>
      <c r="F52" s="2519" t="s">
        <v>675</v>
      </c>
      <c r="G52" s="4641">
        <f>D52</f>
        <v>3500000</v>
      </c>
      <c r="H52" s="4370" t="s">
        <v>1419</v>
      </c>
      <c r="I52" s="450"/>
      <c r="J52" s="431"/>
    </row>
    <row r="53" spans="2:10">
      <c r="B53" s="427"/>
      <c r="C53" s="463"/>
      <c r="D53" s="463"/>
      <c r="E53" s="463"/>
      <c r="F53" s="448"/>
      <c r="G53" s="460"/>
      <c r="H53" s="450"/>
      <c r="I53" s="450"/>
      <c r="J53" s="431"/>
    </row>
    <row r="54" spans="2:10">
      <c r="B54" s="465" t="s">
        <v>680</v>
      </c>
      <c r="C54" s="505">
        <v>0.5</v>
      </c>
      <c r="D54" s="505">
        <v>0.5</v>
      </c>
      <c r="E54" s="463"/>
      <c r="F54" s="448"/>
      <c r="G54" s="460"/>
      <c r="H54" s="450"/>
      <c r="I54" s="450"/>
      <c r="J54" s="431"/>
    </row>
    <row r="55" spans="2:10">
      <c r="B55" s="427"/>
      <c r="C55" s="463"/>
      <c r="D55" s="463"/>
      <c r="E55" s="463"/>
      <c r="F55" s="448"/>
      <c r="G55" s="460"/>
      <c r="H55" s="450"/>
      <c r="I55" s="450"/>
      <c r="J55" s="431"/>
    </row>
    <row r="56" spans="2:10">
      <c r="B56" s="427"/>
      <c r="C56" s="463"/>
      <c r="D56" s="463"/>
      <c r="E56" s="463"/>
      <c r="F56" s="448"/>
      <c r="G56" s="462"/>
      <c r="H56" s="450"/>
      <c r="I56" s="450"/>
      <c r="J56" s="431"/>
    </row>
    <row r="57" spans="2:10">
      <c r="B57" s="430"/>
      <c r="C57" s="429"/>
      <c r="D57" s="429"/>
      <c r="E57" s="429"/>
      <c r="F57" s="427"/>
      <c r="G57" s="450"/>
      <c r="H57" s="450"/>
      <c r="I57" s="450"/>
      <c r="J57" s="431"/>
    </row>
    <row r="58" spans="2:10" ht="20.25">
      <c r="B58" s="437"/>
      <c r="C58" s="462"/>
      <c r="D58" s="462"/>
      <c r="E58" s="462"/>
      <c r="F58" s="450"/>
      <c r="G58" s="450"/>
      <c r="H58" s="462"/>
      <c r="I58" s="450"/>
      <c r="J58" s="431"/>
    </row>
    <row r="59" spans="2:10">
      <c r="B59" s="508"/>
      <c r="C59" s="450"/>
      <c r="D59" s="450"/>
      <c r="E59" s="450"/>
      <c r="F59" s="450"/>
      <c r="G59" s="450"/>
      <c r="H59" s="462"/>
      <c r="I59" s="449"/>
      <c r="J59" s="431"/>
    </row>
    <row r="60" spans="2:10">
      <c r="B60" s="508"/>
      <c r="C60" s="450"/>
      <c r="D60" s="450"/>
      <c r="E60" s="450"/>
      <c r="F60" s="462"/>
      <c r="G60" s="450"/>
      <c r="H60" s="462"/>
      <c r="I60" s="449"/>
      <c r="J60" s="431"/>
    </row>
    <row r="61" spans="2:10" ht="15.75">
      <c r="B61" s="508"/>
      <c r="C61" s="451"/>
      <c r="D61" s="451"/>
      <c r="E61" s="451"/>
      <c r="F61" s="462"/>
      <c r="G61" s="450"/>
      <c r="H61" s="462"/>
      <c r="I61" s="449"/>
      <c r="J61" s="431"/>
    </row>
    <row r="62" spans="2:10">
      <c r="B62" s="508"/>
      <c r="C62" s="431"/>
      <c r="D62" s="431"/>
      <c r="E62" s="431"/>
      <c r="F62" s="462"/>
      <c r="G62" s="450"/>
      <c r="H62" s="462"/>
      <c r="I62" s="449"/>
      <c r="J62" s="431"/>
    </row>
    <row r="63" spans="2:10">
      <c r="B63" s="508"/>
      <c r="C63" s="429"/>
      <c r="D63" s="429"/>
      <c r="E63" s="429"/>
      <c r="F63" s="462"/>
      <c r="G63" s="462"/>
      <c r="H63" s="462"/>
      <c r="I63" s="449"/>
      <c r="J63" s="431"/>
    </row>
    <row r="64" spans="2:10">
      <c r="B64" s="427"/>
      <c r="C64" s="429"/>
      <c r="D64" s="429"/>
      <c r="E64" s="429"/>
      <c r="F64" s="427"/>
      <c r="G64" s="462"/>
      <c r="H64" s="462"/>
      <c r="I64" s="449"/>
      <c r="J64" s="431"/>
    </row>
    <row r="65" spans="6:10">
      <c r="F65" s="427"/>
      <c r="G65" s="462"/>
      <c r="H65" s="450"/>
      <c r="I65" s="450"/>
      <c r="J65" s="431"/>
    </row>
    <row r="66" spans="6:10">
      <c r="F66" s="427"/>
      <c r="G66" s="462"/>
      <c r="H66" s="450"/>
      <c r="I66" s="450"/>
      <c r="J66" s="431"/>
    </row>
    <row r="67" spans="6:10">
      <c r="F67" s="427"/>
      <c r="G67" s="462"/>
      <c r="H67" s="450"/>
      <c r="I67" s="450"/>
      <c r="J67" s="431"/>
    </row>
    <row r="68" spans="6:10">
      <c r="F68" s="427"/>
      <c r="G68" s="462"/>
      <c r="H68" s="450"/>
      <c r="I68" s="450"/>
      <c r="J68" s="431"/>
    </row>
    <row r="69" spans="6:10">
      <c r="F69" s="427"/>
      <c r="G69" s="462"/>
      <c r="H69" s="450"/>
      <c r="I69" s="450"/>
      <c r="J69" s="431"/>
    </row>
    <row r="70" spans="6:10">
      <c r="F70" s="450"/>
      <c r="G70" s="450"/>
      <c r="H70" s="450"/>
      <c r="I70" s="450"/>
      <c r="J70" s="431"/>
    </row>
    <row r="71" spans="6:10" ht="15.75">
      <c r="F71" s="450"/>
      <c r="G71" s="450"/>
      <c r="H71" s="451"/>
      <c r="I71" s="451"/>
      <c r="J71" s="431"/>
    </row>
    <row r="72" spans="6:10">
      <c r="F72" s="450"/>
      <c r="G72" s="450"/>
      <c r="H72" s="431"/>
      <c r="I72" s="431"/>
      <c r="J72" s="431"/>
    </row>
    <row r="73" spans="6:10" ht="15.75">
      <c r="F73" s="451"/>
      <c r="G73" s="450"/>
      <c r="H73" s="427"/>
      <c r="I73" s="427"/>
      <c r="J73" s="427"/>
    </row>
    <row r="74" spans="6:10">
      <c r="F74" s="431"/>
      <c r="G74" s="450"/>
      <c r="H74" s="427"/>
      <c r="I74" s="427"/>
      <c r="J74" s="427"/>
    </row>
    <row r="75" spans="6:10">
      <c r="F75" s="427"/>
      <c r="G75" s="450"/>
      <c r="H75" s="427"/>
      <c r="I75" s="427"/>
      <c r="J75" s="427"/>
    </row>
    <row r="76" spans="6:10" ht="15.75">
      <c r="F76" s="427"/>
      <c r="G76" s="451"/>
      <c r="H76" s="427"/>
      <c r="I76" s="427"/>
      <c r="J76" s="427"/>
    </row>
    <row r="77" spans="6:10">
      <c r="F77" s="427"/>
      <c r="G77" s="431"/>
      <c r="H77" s="427"/>
      <c r="I77" s="427"/>
      <c r="J77" s="427"/>
    </row>
    <row r="78" spans="6:10">
      <c r="H78" s="427"/>
      <c r="I78" s="427"/>
      <c r="J78" s="427"/>
    </row>
  </sheetData>
  <sheetProtection password="9E1F" sheet="1" objects="1" scenarios="1"/>
  <customSheetViews>
    <customSheetView guid="{074EB09C-6289-46D7-9513-012B68BCA7BF}" fitToPage="1">
      <pane xSplit="1" ySplit="1" topLeftCell="B2" activePane="bottomRight" state="frozen"/>
      <selection pane="bottomRight" activeCell="B3" sqref="B3"/>
      <pageMargins left="0.38" right="0.7" top="0.5" bottom="0.75" header="0.3" footer="0.3"/>
      <pageSetup paperSize="17" scale="59" orientation="landscape" r:id="rId1"/>
    </customSheetView>
    <customSheetView guid="{AF9F1D33-B8C2-423F-86A1-47612B8F532C}" scale="60" fitToPage="1">
      <pane xSplit="1" ySplit="1" topLeftCell="B2" activePane="bottomRight" state="frozenSplit"/>
      <selection pane="bottomRight" activeCell="B36" sqref="B36"/>
      <pageMargins left="0.7" right="0.7" top="0.75" bottom="0.75" header="0.3" footer="0.3"/>
      <pageSetup paperSize="17" scale="58" orientation="landscape"/>
    </customSheetView>
  </customSheetViews>
  <pageMargins left="0.38" right="0.7" top="0.5" bottom="0.75" header="0.3" footer="0.3"/>
  <pageSetup paperSize="17" scale="59" orientation="landscape" r:id="rId2"/>
  <drawing r:id="rId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sheetPr enableFormatConditionsCalculation="0">
    <pageSetUpPr fitToPage="1"/>
  </sheetPr>
  <dimension ref="A1:N80"/>
  <sheetViews>
    <sheetView workbookViewId="0">
      <pane xSplit="1" ySplit="1" topLeftCell="B2" activePane="bottomRight" state="frozen"/>
      <selection pane="topRight" activeCell="B1" sqref="B1"/>
      <selection pane="bottomLeft" activeCell="A2" sqref="A2"/>
      <selection pane="bottomRight" activeCell="B3" sqref="B3"/>
    </sheetView>
  </sheetViews>
  <sheetFormatPr defaultColWidth="8.85546875" defaultRowHeight="12.75"/>
  <cols>
    <col min="1" max="1" width="16.140625" style="3064" customWidth="1"/>
    <col min="2" max="2" width="61.42578125" customWidth="1"/>
    <col min="3" max="3" width="18.42578125" customWidth="1"/>
    <col min="4" max="4" width="17.42578125" customWidth="1"/>
    <col min="5" max="5" width="15.42578125" customWidth="1"/>
    <col min="6" max="6" width="14.28515625" customWidth="1"/>
    <col min="7" max="7" width="23" customWidth="1"/>
    <col min="8" max="8" width="18.28515625" customWidth="1"/>
    <col min="9" max="9" width="20.7109375" customWidth="1"/>
    <col min="10" max="10" width="18.85546875" customWidth="1"/>
    <col min="11" max="11" width="21" customWidth="1"/>
    <col min="12" max="12" width="18.7109375" customWidth="1"/>
    <col min="13" max="13" width="16.7109375" customWidth="1"/>
    <col min="14" max="14" width="15.42578125" customWidth="1"/>
  </cols>
  <sheetData>
    <row r="1" spans="2:14" ht="43.5" customHeight="1">
      <c r="B1" s="520" t="s">
        <v>690</v>
      </c>
      <c r="C1" s="535"/>
      <c r="D1" s="535"/>
      <c r="E1" s="535"/>
      <c r="F1" s="535"/>
      <c r="G1" s="542"/>
      <c r="H1" s="536"/>
      <c r="I1" s="536"/>
      <c r="J1" s="513"/>
      <c r="K1" s="513"/>
      <c r="L1" s="513"/>
      <c r="M1" s="513"/>
      <c r="N1" s="513"/>
    </row>
    <row r="2" spans="2:14" ht="20.25">
      <c r="B2" s="520"/>
      <c r="C2" s="535"/>
      <c r="D2" s="535"/>
      <c r="E2" s="535"/>
      <c r="F2" s="535"/>
      <c r="G2" s="542"/>
      <c r="H2" s="536"/>
      <c r="I2" s="536"/>
      <c r="J2" s="513"/>
      <c r="K2" s="513"/>
      <c r="L2" s="513"/>
      <c r="M2" s="513"/>
      <c r="N2" s="513"/>
    </row>
    <row r="3" spans="2:14" ht="38.25">
      <c r="B3" s="3463"/>
      <c r="C3" s="517" t="s">
        <v>9</v>
      </c>
      <c r="D3" s="517" t="s">
        <v>10</v>
      </c>
      <c r="E3" s="517" t="s">
        <v>640</v>
      </c>
      <c r="F3" s="518" t="s">
        <v>12</v>
      </c>
      <c r="G3" s="518" t="s">
        <v>13</v>
      </c>
      <c r="H3" s="518" t="s">
        <v>14</v>
      </c>
      <c r="I3" s="518" t="s">
        <v>15</v>
      </c>
      <c r="J3" s="518" t="s">
        <v>16</v>
      </c>
      <c r="K3" s="518" t="s">
        <v>641</v>
      </c>
      <c r="L3" s="518" t="s">
        <v>18</v>
      </c>
      <c r="M3" s="556" t="s">
        <v>114</v>
      </c>
      <c r="N3" s="519" t="s">
        <v>19</v>
      </c>
    </row>
    <row r="4" spans="2:14" ht="25.5">
      <c r="B4" s="563" t="s">
        <v>642</v>
      </c>
      <c r="C4" s="561"/>
      <c r="D4" s="561"/>
      <c r="E4" s="561"/>
      <c r="F4" s="561"/>
      <c r="G4" s="561"/>
      <c r="H4" s="561"/>
      <c r="I4" s="561"/>
      <c r="J4" s="561"/>
      <c r="K4" s="562"/>
      <c r="L4" s="562">
        <v>1200000</v>
      </c>
      <c r="M4" s="562"/>
      <c r="N4" s="564" t="s">
        <v>21</v>
      </c>
    </row>
    <row r="5" spans="2:14">
      <c r="B5" s="553" t="s">
        <v>643</v>
      </c>
      <c r="C5" s="552">
        <v>451071.6</v>
      </c>
      <c r="D5" s="552">
        <v>6135</v>
      </c>
      <c r="E5" s="552">
        <v>288040.15800000005</v>
      </c>
      <c r="F5" s="552">
        <v>9450</v>
      </c>
      <c r="G5" s="552">
        <v>12750</v>
      </c>
      <c r="H5" s="552">
        <v>373250</v>
      </c>
      <c r="I5" s="552">
        <v>3600</v>
      </c>
      <c r="J5" s="552">
        <v>3600</v>
      </c>
      <c r="K5" s="554">
        <v>650000</v>
      </c>
      <c r="L5" s="555">
        <v>1797896.7579999999</v>
      </c>
      <c r="M5" s="558">
        <v>32500000</v>
      </c>
      <c r="N5" s="565">
        <v>0.49824729833333326</v>
      </c>
    </row>
    <row r="6" spans="2:14">
      <c r="B6" s="515">
        <v>2012</v>
      </c>
      <c r="C6" s="545">
        <f>C16</f>
        <v>385300</v>
      </c>
      <c r="D6" s="546">
        <f>C17</f>
        <v>19400</v>
      </c>
      <c r="E6" s="546">
        <f>C36</f>
        <v>255000</v>
      </c>
      <c r="F6" s="546">
        <f>C34</f>
        <v>8750</v>
      </c>
      <c r="G6" s="546">
        <f>C24</f>
        <v>15500</v>
      </c>
      <c r="H6" s="546">
        <f>C44</f>
        <v>413600</v>
      </c>
      <c r="I6" s="546">
        <f>C32</f>
        <v>19350</v>
      </c>
      <c r="J6" s="546">
        <f>C26</f>
        <v>2000</v>
      </c>
      <c r="K6" s="547">
        <f>C13</f>
        <v>875000</v>
      </c>
      <c r="L6" s="547">
        <f>SUM(C6:K6)</f>
        <v>1993900</v>
      </c>
      <c r="M6" s="557">
        <f>C49</f>
        <v>19999999.999999996</v>
      </c>
      <c r="N6" s="565">
        <v>-7.1790856413569415E-2</v>
      </c>
    </row>
    <row r="7" spans="2:14" s="3532" customFormat="1">
      <c r="B7" s="4253" t="s">
        <v>1168</v>
      </c>
      <c r="C7" s="682">
        <v>385300</v>
      </c>
      <c r="D7" s="683">
        <v>19400</v>
      </c>
      <c r="E7" s="683">
        <v>255000</v>
      </c>
      <c r="F7" s="683">
        <v>8750</v>
      </c>
      <c r="G7" s="683">
        <v>15500</v>
      </c>
      <c r="H7" s="4257">
        <v>413600</v>
      </c>
      <c r="I7" s="4257">
        <v>19350</v>
      </c>
      <c r="J7" s="4257">
        <v>2000</v>
      </c>
      <c r="K7" s="4251">
        <v>820300</v>
      </c>
      <c r="L7" s="684">
        <v>1939200</v>
      </c>
      <c r="M7" s="2480">
        <v>18750000</v>
      </c>
      <c r="N7" s="2486"/>
    </row>
    <row r="8" spans="2:14" ht="13.5" thickBot="1">
      <c r="B8" s="4256" t="s">
        <v>1169</v>
      </c>
      <c r="C8" s="4200">
        <f>D16</f>
        <v>389800</v>
      </c>
      <c r="D8" s="4201">
        <f>D17</f>
        <v>19400</v>
      </c>
      <c r="E8" s="4201">
        <f>D36</f>
        <v>289300</v>
      </c>
      <c r="F8" s="4201">
        <f>D34</f>
        <v>8750</v>
      </c>
      <c r="G8" s="4201">
        <f>D24</f>
        <v>15500</v>
      </c>
      <c r="H8" s="4206">
        <f>D44</f>
        <v>413600</v>
      </c>
      <c r="I8" s="4207">
        <f>D32</f>
        <v>19350</v>
      </c>
      <c r="J8" s="4207">
        <f>D26</f>
        <v>2000</v>
      </c>
      <c r="K8" s="4203">
        <f>D13</f>
        <v>400000</v>
      </c>
      <c r="L8" s="4204">
        <f>SUM(C8:K8)</f>
        <v>1557700</v>
      </c>
      <c r="M8" s="4205">
        <f>G49</f>
        <v>18750000</v>
      </c>
      <c r="N8" s="565">
        <v>0</v>
      </c>
    </row>
    <row r="9" spans="2:14" ht="13.5" thickBot="1">
      <c r="B9" s="4252" t="s">
        <v>1172</v>
      </c>
      <c r="C9" s="4199">
        <f>SUM(C6+C8)</f>
        <v>775100</v>
      </c>
      <c r="D9" s="4199">
        <f t="shared" ref="D9:M9" si="0">SUM(D6+D8)</f>
        <v>38800</v>
      </c>
      <c r="E9" s="4199">
        <f t="shared" si="0"/>
        <v>544300</v>
      </c>
      <c r="F9" s="4199">
        <f t="shared" si="0"/>
        <v>17500</v>
      </c>
      <c r="G9" s="4199">
        <f t="shared" si="0"/>
        <v>31000</v>
      </c>
      <c r="H9" s="4199">
        <f t="shared" si="0"/>
        <v>827200</v>
      </c>
      <c r="I9" s="4199">
        <f t="shared" si="0"/>
        <v>38700</v>
      </c>
      <c r="J9" s="4199">
        <f t="shared" si="0"/>
        <v>4000</v>
      </c>
      <c r="K9" s="4199">
        <f t="shared" si="0"/>
        <v>1275000</v>
      </c>
      <c r="L9" s="4199">
        <f t="shared" si="0"/>
        <v>3551600</v>
      </c>
      <c r="M9" s="2480">
        <f t="shared" si="0"/>
        <v>38750000</v>
      </c>
      <c r="N9" s="513"/>
    </row>
    <row r="10" spans="2:14" ht="20.25">
      <c r="B10" s="520"/>
      <c r="C10" s="535"/>
      <c r="D10" s="535"/>
      <c r="E10" s="535"/>
      <c r="F10" s="535"/>
      <c r="G10" s="542"/>
      <c r="H10" s="536"/>
      <c r="I10" s="536"/>
      <c r="J10" s="513"/>
      <c r="K10" s="513"/>
      <c r="L10" s="513"/>
      <c r="M10" s="513"/>
      <c r="N10" s="524"/>
    </row>
    <row r="11" spans="2:14" ht="18">
      <c r="B11" s="521" t="s">
        <v>691</v>
      </c>
      <c r="C11" s="549">
        <v>2012</v>
      </c>
      <c r="D11" s="550">
        <v>2013</v>
      </c>
      <c r="E11" s="551" t="s">
        <v>28</v>
      </c>
      <c r="F11" s="534"/>
      <c r="G11" s="534"/>
      <c r="H11" s="534"/>
      <c r="I11" s="534"/>
      <c r="J11" s="513"/>
      <c r="K11" s="513"/>
      <c r="L11" s="513"/>
      <c r="M11" s="513"/>
      <c r="N11" s="513"/>
    </row>
    <row r="12" spans="2:14" ht="18">
      <c r="B12" s="522"/>
      <c r="C12" s="544"/>
      <c r="D12" s="527"/>
      <c r="E12" s="548"/>
      <c r="F12" s="527"/>
      <c r="G12" s="527"/>
      <c r="H12" s="527"/>
      <c r="I12" s="3726"/>
      <c r="J12" s="3717"/>
      <c r="K12" s="3717"/>
      <c r="L12" s="524"/>
      <c r="M12" s="559"/>
      <c r="N12" s="513"/>
    </row>
    <row r="13" spans="2:14" ht="28.5" customHeight="1">
      <c r="B13" s="3480"/>
      <c r="C13" s="2618">
        <v>875000</v>
      </c>
      <c r="D13" s="4615">
        <v>400000</v>
      </c>
      <c r="E13" s="2616">
        <f>SUM(C13:D13)</f>
        <v>1275000</v>
      </c>
      <c r="F13" s="4370" t="s">
        <v>1419</v>
      </c>
      <c r="G13" s="527"/>
      <c r="H13" s="527"/>
      <c r="I13" s="3718"/>
      <c r="J13" s="3719"/>
      <c r="K13" s="3717"/>
      <c r="L13" s="513"/>
      <c r="M13" s="513"/>
      <c r="N13" s="513"/>
    </row>
    <row r="14" spans="2:14" ht="18">
      <c r="B14" s="2576"/>
      <c r="C14" s="2594"/>
      <c r="D14" s="2571"/>
      <c r="E14" s="2595"/>
      <c r="F14" s="2581"/>
      <c r="G14" s="527"/>
      <c r="H14" s="527"/>
      <c r="I14" s="3718"/>
      <c r="J14" s="3720"/>
      <c r="K14" s="3717"/>
      <c r="L14" s="513"/>
      <c r="M14" s="513"/>
      <c r="N14" s="513"/>
    </row>
    <row r="15" spans="2:14">
      <c r="B15" s="2575" t="s">
        <v>648</v>
      </c>
      <c r="C15" s="2596"/>
      <c r="D15" s="2571"/>
      <c r="E15" s="2595"/>
      <c r="F15" s="2578"/>
      <c r="G15" s="525"/>
      <c r="H15" s="525"/>
      <c r="I15" s="3718"/>
      <c r="J15" s="3720"/>
      <c r="K15" s="3714"/>
      <c r="L15" s="513"/>
      <c r="M15" s="513"/>
      <c r="N15" s="513"/>
    </row>
    <row r="16" spans="2:14">
      <c r="B16" s="2580" t="s">
        <v>650</v>
      </c>
      <c r="C16" s="2620">
        <v>385300</v>
      </c>
      <c r="D16" s="4425">
        <v>389800</v>
      </c>
      <c r="E16" s="2611">
        <f>SUM(C16:D16)</f>
        <v>775100</v>
      </c>
      <c r="F16" s="2586">
        <v>4.25</v>
      </c>
      <c r="G16" s="528" t="s">
        <v>651</v>
      </c>
      <c r="H16" s="526"/>
      <c r="I16" s="3718"/>
      <c r="J16" s="3716"/>
      <c r="K16" s="3714"/>
      <c r="L16" s="513"/>
      <c r="M16" s="513"/>
      <c r="N16" s="513"/>
    </row>
    <row r="17" spans="2:14">
      <c r="B17" s="2580" t="s">
        <v>655</v>
      </c>
      <c r="C17" s="2621">
        <v>19400</v>
      </c>
      <c r="D17" s="2613">
        <v>19400</v>
      </c>
      <c r="E17" s="2611">
        <f>SUM(C17:D17)</f>
        <v>38800</v>
      </c>
      <c r="F17" s="2586">
        <v>0.16</v>
      </c>
      <c r="G17" s="528" t="s">
        <v>651</v>
      </c>
      <c r="H17" s="526"/>
      <c r="I17" s="3718"/>
      <c r="J17" s="3716"/>
      <c r="K17" s="3714"/>
      <c r="L17" s="513"/>
      <c r="M17" s="513"/>
      <c r="N17" s="513"/>
    </row>
    <row r="18" spans="2:14">
      <c r="B18" s="2580"/>
      <c r="C18" s="2597"/>
      <c r="D18" s="2571"/>
      <c r="E18" s="2595"/>
      <c r="F18" s="2579"/>
      <c r="G18" s="526"/>
      <c r="H18" s="526"/>
      <c r="I18" s="3718"/>
      <c r="J18" s="3716"/>
      <c r="K18" s="3714"/>
      <c r="L18" s="513"/>
      <c r="M18" s="560"/>
    </row>
    <row r="19" spans="2:14">
      <c r="B19" s="2575" t="s">
        <v>481</v>
      </c>
      <c r="C19" s="2596"/>
      <c r="D19" s="2571"/>
      <c r="E19" s="2595"/>
      <c r="F19" s="2578"/>
      <c r="G19" s="525"/>
      <c r="H19" s="526"/>
      <c r="I19" s="3718"/>
      <c r="J19" s="3716"/>
      <c r="K19" s="3714"/>
      <c r="L19" s="513"/>
      <c r="M19" s="513"/>
    </row>
    <row r="20" spans="2:14">
      <c r="B20" s="2570" t="s">
        <v>656</v>
      </c>
      <c r="C20" s="2602">
        <v>3400</v>
      </c>
      <c r="D20" s="2613">
        <v>3400</v>
      </c>
      <c r="E20" s="2611">
        <v>6800</v>
      </c>
      <c r="F20" s="2587"/>
      <c r="G20" s="537"/>
      <c r="H20" s="525"/>
      <c r="I20" s="3718"/>
      <c r="J20" s="3716"/>
      <c r="K20" s="3714"/>
      <c r="L20" s="513"/>
      <c r="M20" s="513"/>
    </row>
    <row r="21" spans="2:14">
      <c r="B21" s="2580" t="s">
        <v>657</v>
      </c>
      <c r="C21" s="2598">
        <v>7100</v>
      </c>
      <c r="D21" s="2613">
        <v>7100</v>
      </c>
      <c r="E21" s="2611">
        <v>14200</v>
      </c>
      <c r="F21" s="2570"/>
      <c r="G21" s="525"/>
      <c r="H21" s="537"/>
      <c r="I21" s="3718"/>
      <c r="J21" s="3725"/>
      <c r="K21" s="3714"/>
      <c r="L21" s="513"/>
      <c r="M21" s="513"/>
    </row>
    <row r="22" spans="2:14">
      <c r="B22" s="2580" t="s">
        <v>658</v>
      </c>
      <c r="C22" s="2602">
        <v>3500</v>
      </c>
      <c r="D22" s="2613">
        <v>3500</v>
      </c>
      <c r="E22" s="2611">
        <v>7000</v>
      </c>
      <c r="F22" s="2578"/>
      <c r="G22" s="525"/>
      <c r="H22" s="525"/>
      <c r="I22" s="3714"/>
      <c r="J22" s="3715"/>
      <c r="K22" s="3714"/>
      <c r="L22" s="513"/>
      <c r="M22" s="513"/>
    </row>
    <row r="23" spans="2:14">
      <c r="B23" s="2580" t="s">
        <v>660</v>
      </c>
      <c r="C23" s="2602">
        <v>1500</v>
      </c>
      <c r="D23" s="2613">
        <v>1500</v>
      </c>
      <c r="E23" s="2611">
        <v>3000</v>
      </c>
      <c r="F23" s="2578"/>
      <c r="G23" s="525"/>
      <c r="H23" s="538"/>
      <c r="I23" s="3718"/>
      <c r="J23" s="3730"/>
      <c r="K23" s="3714"/>
      <c r="L23" s="513"/>
      <c r="M23" s="513"/>
    </row>
    <row r="24" spans="2:14">
      <c r="B24" s="2570"/>
      <c r="C24" s="3029">
        <f>SUM(C20:C23)</f>
        <v>15500</v>
      </c>
      <c r="D24" s="3014">
        <f>SUM(D20:D23)</f>
        <v>15500</v>
      </c>
      <c r="E24" s="2617">
        <f>SUM(C24:D24)</f>
        <v>31000</v>
      </c>
      <c r="F24" s="2578"/>
      <c r="G24" s="525"/>
      <c r="H24" s="538"/>
      <c r="I24" s="3723"/>
      <c r="J24" s="3728"/>
      <c r="K24" s="3721"/>
      <c r="L24" s="513"/>
      <c r="M24" s="513"/>
    </row>
    <row r="25" spans="2:14">
      <c r="B25" s="2571"/>
      <c r="C25" s="2604"/>
      <c r="D25" s="2571"/>
      <c r="E25" s="2595"/>
      <c r="F25" s="2578"/>
      <c r="G25" s="525"/>
      <c r="H25" s="538"/>
      <c r="I25" s="3723"/>
      <c r="J25" s="3727"/>
      <c r="K25" s="3724"/>
      <c r="L25" s="513"/>
      <c r="M25" s="513"/>
    </row>
    <row r="26" spans="2:14">
      <c r="B26" s="2575" t="s">
        <v>649</v>
      </c>
      <c r="C26" s="2599">
        <v>2000</v>
      </c>
      <c r="D26" s="2593">
        <v>2000</v>
      </c>
      <c r="E26" s="2617">
        <f>SUM(C26:D26)</f>
        <v>4000</v>
      </c>
      <c r="F26" s="2578"/>
      <c r="G26" s="525"/>
      <c r="H26" s="538"/>
      <c r="I26" s="3723"/>
      <c r="J26" s="3727"/>
      <c r="K26" s="3724"/>
      <c r="L26" s="513"/>
      <c r="M26" s="513"/>
    </row>
    <row r="27" spans="2:14">
      <c r="B27" s="2571"/>
      <c r="C27" s="2604"/>
      <c r="D27" s="2571"/>
      <c r="E27" s="2595"/>
      <c r="F27" s="2578"/>
      <c r="G27" s="525"/>
      <c r="H27" s="538"/>
      <c r="I27" s="3722"/>
      <c r="J27" s="3729"/>
      <c r="K27" s="3714"/>
      <c r="L27" s="513"/>
      <c r="M27" s="513"/>
    </row>
    <row r="28" spans="2:14">
      <c r="B28" s="2574" t="s">
        <v>652</v>
      </c>
      <c r="C28" s="2604"/>
      <c r="D28" s="2571"/>
      <c r="E28" s="2595"/>
      <c r="F28" s="2588"/>
      <c r="H28" s="538"/>
      <c r="I28" s="2622"/>
      <c r="J28" s="2623"/>
      <c r="K28" s="513"/>
      <c r="L28" s="513"/>
      <c r="M28" s="513"/>
    </row>
    <row r="29" spans="2:14">
      <c r="B29" s="2570" t="s">
        <v>661</v>
      </c>
      <c r="C29" s="2604">
        <v>17420</v>
      </c>
      <c r="D29" s="2613">
        <v>17420</v>
      </c>
      <c r="E29" s="2611">
        <v>34840</v>
      </c>
      <c r="F29" s="2588"/>
      <c r="H29" s="538"/>
      <c r="I29" s="527"/>
      <c r="J29" s="513"/>
      <c r="K29" s="513"/>
      <c r="L29" s="513"/>
      <c r="M29" s="513"/>
    </row>
    <row r="30" spans="2:14">
      <c r="B30" s="2570" t="s">
        <v>662</v>
      </c>
      <c r="C30" s="2604">
        <v>970</v>
      </c>
      <c r="D30" s="2613">
        <v>970</v>
      </c>
      <c r="E30" s="2611">
        <v>1940</v>
      </c>
      <c r="F30" s="2588"/>
      <c r="G30" s="543" t="s">
        <v>692</v>
      </c>
      <c r="H30" s="538"/>
      <c r="I30" s="527"/>
      <c r="J30" s="513"/>
      <c r="K30" s="513"/>
      <c r="L30" s="513"/>
      <c r="M30" s="513"/>
    </row>
    <row r="31" spans="2:14">
      <c r="B31" s="2571" t="s">
        <v>663</v>
      </c>
      <c r="C31" s="2604">
        <v>960</v>
      </c>
      <c r="D31" s="2613">
        <v>960</v>
      </c>
      <c r="E31" s="2611">
        <v>1920</v>
      </c>
      <c r="F31" s="2588"/>
      <c r="G31" s="543" t="s">
        <v>693</v>
      </c>
      <c r="H31" s="538"/>
      <c r="I31" s="527"/>
      <c r="J31" s="513"/>
      <c r="K31" s="513"/>
      <c r="L31" s="513"/>
      <c r="M31" s="513"/>
    </row>
    <row r="32" spans="2:14">
      <c r="B32" s="2574" t="s">
        <v>664</v>
      </c>
      <c r="C32" s="2600">
        <f>SUM(C29:C31)</f>
        <v>19350</v>
      </c>
      <c r="D32" s="2582">
        <f>SUM(D29:D31)</f>
        <v>19350</v>
      </c>
      <c r="E32" s="2617">
        <f>SUM(C32:D32)</f>
        <v>38700</v>
      </c>
      <c r="F32" s="2588"/>
      <c r="G32" s="538"/>
      <c r="H32" s="538"/>
      <c r="I32" s="527"/>
      <c r="J32" s="513"/>
      <c r="K32" s="513"/>
      <c r="L32" s="513"/>
      <c r="M32" s="513"/>
    </row>
    <row r="33" spans="2:13">
      <c r="B33" s="2571"/>
      <c r="C33" s="2604"/>
      <c r="D33" s="2571"/>
      <c r="E33" s="2595"/>
      <c r="F33" s="2588"/>
      <c r="G33" s="538"/>
      <c r="H33" s="538"/>
      <c r="I33" s="527"/>
      <c r="J33" s="513"/>
      <c r="K33" s="513"/>
      <c r="L33" s="513"/>
      <c r="M33" s="513"/>
    </row>
    <row r="34" spans="2:13">
      <c r="B34" s="2574" t="s">
        <v>654</v>
      </c>
      <c r="C34" s="2600">
        <v>8750</v>
      </c>
      <c r="D34" s="2614">
        <v>8750</v>
      </c>
      <c r="E34" s="2617">
        <f>SUM(C34:D34)</f>
        <v>17500</v>
      </c>
      <c r="F34" s="2588"/>
      <c r="G34" s="538"/>
      <c r="H34" s="538"/>
      <c r="I34" s="527"/>
    </row>
    <row r="35" spans="2:13">
      <c r="B35" s="2571"/>
      <c r="C35" s="2604"/>
      <c r="D35" s="2571"/>
      <c r="E35" s="2595"/>
      <c r="F35" s="2588"/>
      <c r="G35" s="539"/>
      <c r="H35" s="538"/>
      <c r="I35" s="527"/>
    </row>
    <row r="36" spans="2:13">
      <c r="B36" s="4429" t="s">
        <v>1438</v>
      </c>
      <c r="C36" s="3106">
        <f>ROUND(SUM(C16:C17)*0.63, -2)</f>
        <v>255000</v>
      </c>
      <c r="D36" s="4629">
        <f>ROUND(SUM(D16:D17)*0.707, -2)</f>
        <v>289300</v>
      </c>
      <c r="E36" s="2617">
        <f>SUM(C36:D36)</f>
        <v>544300</v>
      </c>
      <c r="F36" s="2588"/>
      <c r="G36" s="539"/>
      <c r="H36" s="538"/>
      <c r="I36" s="527"/>
    </row>
    <row r="37" spans="2:13">
      <c r="B37" s="2571"/>
      <c r="C37" s="2604"/>
      <c r="D37" s="2589"/>
      <c r="E37" s="2605"/>
      <c r="F37" s="2588"/>
      <c r="G37" s="514"/>
      <c r="H37" s="538"/>
      <c r="I37" s="527"/>
    </row>
    <row r="38" spans="2:13">
      <c r="B38" s="2572" t="s">
        <v>14</v>
      </c>
      <c r="C38" s="2604"/>
      <c r="D38" s="2589"/>
      <c r="E38" s="2605"/>
      <c r="F38" s="2588"/>
      <c r="G38" s="514"/>
      <c r="H38" s="538"/>
      <c r="I38" s="523"/>
    </row>
    <row r="39" spans="2:13">
      <c r="B39" s="2585" t="s">
        <v>686</v>
      </c>
      <c r="C39" s="3153">
        <v>8250</v>
      </c>
      <c r="D39" s="3151">
        <v>8250</v>
      </c>
      <c r="E39" s="2603">
        <v>16500</v>
      </c>
      <c r="F39" s="2588"/>
      <c r="G39" s="514"/>
      <c r="H39" s="538"/>
      <c r="I39" s="523"/>
    </row>
    <row r="40" spans="2:13">
      <c r="B40" s="2570" t="s">
        <v>694</v>
      </c>
      <c r="C40" s="3153">
        <v>70000</v>
      </c>
      <c r="D40" s="3151">
        <v>70000</v>
      </c>
      <c r="E40" s="2603">
        <v>140000</v>
      </c>
      <c r="F40" s="2588"/>
      <c r="G40" s="514"/>
      <c r="H40" s="538"/>
      <c r="I40" s="523"/>
    </row>
    <row r="41" spans="2:13">
      <c r="B41" s="2585" t="s">
        <v>687</v>
      </c>
      <c r="C41" s="3153">
        <v>64500</v>
      </c>
      <c r="D41" s="3151">
        <v>64500</v>
      </c>
      <c r="E41" s="2603">
        <v>216000</v>
      </c>
      <c r="F41" s="2588"/>
      <c r="G41" s="514"/>
      <c r="H41" s="538"/>
      <c r="I41" s="523"/>
    </row>
    <row r="42" spans="2:13">
      <c r="B42" s="2585" t="s">
        <v>688</v>
      </c>
      <c r="C42" s="3153">
        <v>226850</v>
      </c>
      <c r="D42" s="3151">
        <v>226850</v>
      </c>
      <c r="E42" s="2603">
        <v>144000</v>
      </c>
      <c r="F42" s="2588"/>
      <c r="G42" s="514"/>
      <c r="H42" s="538"/>
      <c r="I42" s="523"/>
    </row>
    <row r="43" spans="2:13">
      <c r="B43" s="2585" t="s">
        <v>695</v>
      </c>
      <c r="C43" s="3153">
        <v>44000</v>
      </c>
      <c r="D43" s="3151">
        <v>44000</v>
      </c>
      <c r="E43" s="2603">
        <v>88000</v>
      </c>
      <c r="F43" s="2588"/>
      <c r="G43" s="514"/>
      <c r="H43" s="538"/>
      <c r="I43" s="523"/>
    </row>
    <row r="44" spans="2:13">
      <c r="B44" s="2584" t="s">
        <v>672</v>
      </c>
      <c r="C44" s="3029">
        <f>SUM(C39:C43)</f>
        <v>413600</v>
      </c>
      <c r="D44" s="3014">
        <f>SUM(D39:D43)</f>
        <v>413600</v>
      </c>
      <c r="E44" s="2606">
        <f>SUM(C44:D44)</f>
        <v>827200</v>
      </c>
      <c r="F44" s="2588"/>
      <c r="G44" s="514"/>
      <c r="H44" s="538"/>
      <c r="I44" s="523"/>
    </row>
    <row r="45" spans="2:13" ht="13.5" thickBot="1">
      <c r="B45" s="2577"/>
      <c r="C45" s="2602"/>
      <c r="D45" s="2590"/>
      <c r="E45" s="2603"/>
      <c r="F45" s="2588"/>
      <c r="G45" s="539"/>
      <c r="H45" s="538"/>
      <c r="I45" s="523"/>
    </row>
    <row r="46" spans="2:13" ht="13.5" thickBot="1">
      <c r="B46" s="2584" t="s">
        <v>673</v>
      </c>
      <c r="C46" s="2601">
        <f>C13+C16+C17+C24+C26+C32+C34+C36+C44</f>
        <v>1993900</v>
      </c>
      <c r="D46" s="2607">
        <f>D13+D16+D17+D24+D26+D32+D34+D36+D44</f>
        <v>1557700</v>
      </c>
      <c r="E46" s="2608">
        <f>SUM(C46:D46)</f>
        <v>3551600</v>
      </c>
      <c r="F46" s="2588"/>
      <c r="G46" s="539"/>
      <c r="H46" s="538"/>
      <c r="I46" s="523"/>
    </row>
    <row r="47" spans="2:13">
      <c r="B47" s="2573"/>
      <c r="C47" s="2590"/>
      <c r="D47" s="2590"/>
      <c r="E47" s="2590"/>
      <c r="F47" s="2588"/>
      <c r="G47" s="539"/>
      <c r="H47" s="538"/>
      <c r="I47" s="523"/>
    </row>
    <row r="48" spans="2:13">
      <c r="B48" s="2570"/>
      <c r="C48" s="2612">
        <v>2012</v>
      </c>
      <c r="D48" s="2612">
        <v>2013</v>
      </c>
      <c r="E48" s="2612" t="s">
        <v>28</v>
      </c>
      <c r="F48" s="2570"/>
      <c r="G48" s="4646" t="s">
        <v>1319</v>
      </c>
      <c r="H48" s="538"/>
      <c r="I48" s="523"/>
    </row>
    <row r="49" spans="2:10" ht="31.5" customHeight="1">
      <c r="B49" s="3481"/>
      <c r="C49" s="2609">
        <v>19999999.999999996</v>
      </c>
      <c r="D49" s="2610">
        <v>18750000</v>
      </c>
      <c r="E49" s="2610">
        <f>SUM(C49:D49)</f>
        <v>38750000</v>
      </c>
      <c r="F49" s="2619" t="s">
        <v>675</v>
      </c>
      <c r="G49" s="5089">
        <v>18750000</v>
      </c>
      <c r="H49" s="4370" t="s">
        <v>1419</v>
      </c>
      <c r="I49" s="523"/>
    </row>
    <row r="50" spans="2:10">
      <c r="B50" s="2570"/>
      <c r="C50" s="2591"/>
      <c r="D50" s="2591"/>
      <c r="E50" s="2591"/>
      <c r="F50" s="2583"/>
      <c r="G50" s="539"/>
      <c r="H50" s="538"/>
      <c r="I50" s="523"/>
      <c r="J50" s="513"/>
    </row>
    <row r="51" spans="2:10">
      <c r="B51" s="2592" t="s">
        <v>680</v>
      </c>
      <c r="C51" s="2615">
        <v>0.51948051948051943</v>
      </c>
      <c r="D51" s="2615">
        <v>0.48051948051948062</v>
      </c>
      <c r="E51" s="2591"/>
      <c r="F51" s="2583"/>
      <c r="G51" s="539"/>
      <c r="H51" s="540"/>
      <c r="I51" s="530"/>
      <c r="J51" s="516"/>
    </row>
    <row r="52" spans="2:10">
      <c r="B52" s="513"/>
      <c r="C52" s="541"/>
      <c r="D52" s="541"/>
      <c r="E52" s="541"/>
      <c r="F52" s="529"/>
      <c r="G52" s="538"/>
      <c r="H52" s="531"/>
      <c r="I52" s="531"/>
      <c r="J52" s="516"/>
    </row>
    <row r="53" spans="2:10">
      <c r="B53" s="513"/>
      <c r="C53" s="541"/>
      <c r="D53" s="541"/>
      <c r="E53" s="541"/>
      <c r="F53" s="529"/>
      <c r="G53" s="538"/>
      <c r="H53" s="531"/>
      <c r="I53" s="531"/>
      <c r="J53" s="516"/>
    </row>
    <row r="54" spans="2:10">
      <c r="B54" s="515"/>
      <c r="C54" s="513"/>
      <c r="D54" s="513"/>
      <c r="E54" s="513"/>
      <c r="F54" s="513"/>
      <c r="G54" s="538"/>
      <c r="H54" s="531"/>
      <c r="I54" s="531"/>
      <c r="J54" s="516"/>
    </row>
    <row r="55" spans="2:10" ht="20.25">
      <c r="B55" s="520"/>
      <c r="C55" s="540"/>
      <c r="D55" s="540"/>
      <c r="E55" s="540"/>
      <c r="F55" s="531"/>
      <c r="G55" s="538"/>
      <c r="H55" s="531"/>
      <c r="I55" s="531"/>
      <c r="J55" s="516"/>
    </row>
    <row r="56" spans="2:10">
      <c r="B56" s="513"/>
      <c r="C56" s="531"/>
      <c r="D56" s="531"/>
      <c r="E56" s="531"/>
      <c r="F56" s="531"/>
      <c r="G56" s="540"/>
      <c r="H56" s="531"/>
      <c r="I56" s="531"/>
      <c r="J56" s="516"/>
    </row>
    <row r="57" spans="2:10">
      <c r="B57" s="513"/>
      <c r="C57" s="531"/>
      <c r="D57" s="531"/>
      <c r="E57" s="531"/>
      <c r="F57" s="540"/>
      <c r="G57" s="531"/>
      <c r="H57" s="531"/>
      <c r="I57" s="531"/>
      <c r="J57" s="516"/>
    </row>
    <row r="58" spans="2:10" ht="15.75">
      <c r="B58" s="532"/>
      <c r="C58" s="533"/>
      <c r="D58" s="533"/>
      <c r="E58" s="533"/>
      <c r="F58" s="540"/>
      <c r="G58" s="531"/>
      <c r="H58" s="540"/>
      <c r="I58" s="531"/>
      <c r="J58" s="516"/>
    </row>
    <row r="59" spans="2:10">
      <c r="B59" s="516"/>
      <c r="C59" s="516"/>
      <c r="D59" s="516"/>
      <c r="E59" s="516"/>
      <c r="F59" s="540"/>
      <c r="G59" s="531"/>
      <c r="H59" s="540"/>
      <c r="I59" s="530"/>
      <c r="J59" s="516"/>
    </row>
    <row r="60" spans="2:10">
      <c r="B60" s="513"/>
      <c r="C60" s="513"/>
      <c r="D60" s="513"/>
      <c r="E60" s="513"/>
      <c r="F60" s="540"/>
      <c r="G60" s="531"/>
      <c r="H60" s="540"/>
      <c r="I60" s="530"/>
      <c r="J60" s="516"/>
    </row>
    <row r="61" spans="2:10">
      <c r="B61" s="513"/>
      <c r="C61" s="513"/>
      <c r="D61" s="513"/>
      <c r="E61" s="513"/>
      <c r="F61" s="540"/>
      <c r="G61" s="531"/>
      <c r="H61" s="540"/>
      <c r="I61" s="530"/>
      <c r="J61" s="516"/>
    </row>
    <row r="62" spans="2:10">
      <c r="F62" s="540"/>
      <c r="G62" s="531"/>
      <c r="H62" s="540"/>
      <c r="I62" s="530"/>
      <c r="J62" s="516"/>
    </row>
    <row r="63" spans="2:10">
      <c r="F63" s="513"/>
      <c r="G63" s="540"/>
      <c r="H63" s="540"/>
      <c r="I63" s="530"/>
      <c r="J63" s="516"/>
    </row>
    <row r="64" spans="2:10">
      <c r="F64" s="513"/>
      <c r="G64" s="540"/>
      <c r="H64" s="540"/>
      <c r="I64" s="530"/>
      <c r="J64" s="516"/>
    </row>
    <row r="65" spans="6:10">
      <c r="F65" s="513"/>
      <c r="G65" s="540"/>
      <c r="H65" s="540"/>
      <c r="I65" s="530"/>
      <c r="J65" s="516"/>
    </row>
    <row r="66" spans="6:10">
      <c r="F66" s="513"/>
      <c r="G66" s="540"/>
      <c r="H66" s="540"/>
      <c r="I66" s="530"/>
      <c r="J66" s="516"/>
    </row>
    <row r="67" spans="6:10">
      <c r="F67" s="513"/>
      <c r="G67" s="540"/>
      <c r="H67" s="531"/>
      <c r="I67" s="531"/>
      <c r="J67" s="516"/>
    </row>
    <row r="68" spans="6:10">
      <c r="F68" s="513"/>
      <c r="G68" s="540"/>
      <c r="H68" s="531"/>
      <c r="I68" s="531"/>
      <c r="J68" s="516"/>
    </row>
    <row r="69" spans="6:10">
      <c r="F69" s="531"/>
      <c r="G69" s="540"/>
      <c r="H69" s="531"/>
      <c r="I69" s="531"/>
      <c r="J69" s="516"/>
    </row>
    <row r="70" spans="6:10">
      <c r="F70" s="531"/>
      <c r="G70" s="540"/>
      <c r="H70" s="531"/>
      <c r="I70" s="531"/>
      <c r="J70" s="516"/>
    </row>
    <row r="71" spans="6:10">
      <c r="F71" s="531"/>
      <c r="G71" s="540"/>
      <c r="H71" s="531"/>
      <c r="I71" s="531"/>
      <c r="J71" s="516"/>
    </row>
    <row r="72" spans="6:10" ht="15.75">
      <c r="F72" s="533"/>
      <c r="G72" s="531"/>
      <c r="H72" s="531"/>
      <c r="I72" s="531"/>
      <c r="J72" s="516"/>
    </row>
    <row r="73" spans="6:10" ht="15.75">
      <c r="F73" s="516"/>
      <c r="G73" s="531"/>
      <c r="H73" s="533"/>
      <c r="I73" s="533"/>
      <c r="J73" s="516"/>
    </row>
    <row r="74" spans="6:10">
      <c r="F74" s="513"/>
      <c r="G74" s="531"/>
      <c r="H74" s="516"/>
      <c r="I74" s="516"/>
      <c r="J74" s="516"/>
    </row>
    <row r="75" spans="6:10">
      <c r="F75" s="513"/>
      <c r="G75" s="531"/>
      <c r="H75" s="513"/>
      <c r="I75" s="513"/>
      <c r="J75" s="513"/>
    </row>
    <row r="76" spans="6:10">
      <c r="F76" s="513"/>
      <c r="G76" s="531"/>
      <c r="H76" s="513"/>
      <c r="I76" s="513"/>
      <c r="J76" s="513"/>
    </row>
    <row r="77" spans="6:10">
      <c r="G77" s="531"/>
      <c r="H77" s="513"/>
      <c r="I77" s="513"/>
      <c r="J77" s="513"/>
    </row>
    <row r="78" spans="6:10" ht="15.75">
      <c r="G78" s="533"/>
      <c r="H78" s="513"/>
      <c r="I78" s="513"/>
      <c r="J78" s="513"/>
    </row>
    <row r="79" spans="6:10">
      <c r="G79" s="516"/>
      <c r="H79" s="513"/>
      <c r="I79" s="513"/>
      <c r="J79" s="513"/>
    </row>
    <row r="80" spans="6:10">
      <c r="H80" s="513"/>
      <c r="I80" s="513"/>
      <c r="J80" s="513"/>
    </row>
  </sheetData>
  <sheetProtection password="9E1F" sheet="1" objects="1" scenarios="1"/>
  <customSheetViews>
    <customSheetView guid="{074EB09C-6289-46D7-9513-012B68BCA7BF}" fitToPage="1">
      <pane xSplit="1" ySplit="1" topLeftCell="B2" activePane="bottomRight" state="frozen"/>
      <selection pane="bottomRight" activeCell="B3" sqref="B3"/>
      <pageMargins left="0.31" right="0.34" top="0.4" bottom="0.75" header="0.3" footer="0.3"/>
      <pageSetup paperSize="17" scale="72" orientation="landscape" r:id="rId1"/>
    </customSheetView>
    <customSheetView guid="{AF9F1D33-B8C2-423F-86A1-47612B8F532C}" fitToPage="1">
      <pane xSplit="1" ySplit="1" topLeftCell="B14" activePane="bottomRight" state="frozenSplit"/>
      <selection pane="bottomRight" activeCell="B36" sqref="B36"/>
      <pageMargins left="0.7" right="0.7" top="0.75" bottom="0.75" header="0.3" footer="0.3"/>
      <pageSetup paperSize="17" scale="71" orientation="landscape"/>
    </customSheetView>
  </customSheetViews>
  <pageMargins left="0.31" right="0.34" top="0.4" bottom="0.75" header="0.3" footer="0.3"/>
  <pageSetup paperSize="3" scale="72" orientation="landscape" r:id="rId2"/>
  <drawing r:id="rId3"/>
</worksheet>
</file>

<file path=xl/worksheets/sheet44.xml><?xml version="1.0" encoding="utf-8"?>
<worksheet xmlns="http://schemas.openxmlformats.org/spreadsheetml/2006/main" xmlns:r="http://schemas.openxmlformats.org/officeDocument/2006/relationships">
  <sheetPr enableFormatConditionsCalculation="0">
    <pageSetUpPr fitToPage="1"/>
  </sheetPr>
  <dimension ref="A1:N80"/>
  <sheetViews>
    <sheetView workbookViewId="0">
      <pane xSplit="1" ySplit="1" topLeftCell="B2" activePane="bottomRight" state="frozen"/>
      <selection pane="topRight" activeCell="B1" sqref="B1"/>
      <selection pane="bottomLeft" activeCell="A2" sqref="A2"/>
      <selection pane="bottomRight" activeCell="B3" sqref="B3"/>
    </sheetView>
  </sheetViews>
  <sheetFormatPr defaultColWidth="61.42578125" defaultRowHeight="12.75"/>
  <cols>
    <col min="1" max="1" width="15.7109375" style="3064" customWidth="1"/>
    <col min="2" max="2" width="55.85546875" customWidth="1"/>
    <col min="3" max="4" width="19.140625" customWidth="1"/>
    <col min="5" max="5" width="20.85546875" customWidth="1"/>
    <col min="6" max="6" width="21.28515625" customWidth="1"/>
    <col min="7" max="8" width="22.42578125" customWidth="1"/>
    <col min="9" max="9" width="23.85546875" customWidth="1"/>
    <col min="10" max="10" width="24.85546875" customWidth="1"/>
    <col min="11" max="11" width="24.28515625" customWidth="1"/>
    <col min="12" max="12" width="20.7109375" customWidth="1"/>
    <col min="13" max="13" width="24.28515625" customWidth="1"/>
    <col min="14" max="14" width="21.42578125" customWidth="1"/>
  </cols>
  <sheetData>
    <row r="1" spans="2:14" ht="45" customHeight="1">
      <c r="B1" s="573" t="s">
        <v>696</v>
      </c>
      <c r="C1" s="588"/>
      <c r="D1" s="588"/>
      <c r="E1" s="588"/>
      <c r="F1" s="588"/>
      <c r="G1" s="595"/>
      <c r="H1" s="589"/>
      <c r="I1" s="589"/>
      <c r="J1" s="566"/>
      <c r="K1" s="566"/>
      <c r="L1" s="566"/>
      <c r="M1" s="566"/>
      <c r="N1" s="566"/>
    </row>
    <row r="2" spans="2:14" ht="20.25">
      <c r="B2" s="573"/>
      <c r="C2" s="588"/>
      <c r="D2" s="588"/>
      <c r="E2" s="588"/>
      <c r="F2" s="588"/>
      <c r="G2" s="595"/>
      <c r="H2" s="589"/>
      <c r="I2" s="589"/>
      <c r="J2" s="566"/>
      <c r="K2" s="566"/>
      <c r="L2" s="566"/>
      <c r="M2" s="566"/>
      <c r="N2" s="566"/>
    </row>
    <row r="3" spans="2:14" ht="38.25">
      <c r="B3" s="3464"/>
      <c r="C3" s="570" t="s">
        <v>9</v>
      </c>
      <c r="D3" s="570" t="s">
        <v>10</v>
      </c>
      <c r="E3" s="570" t="s">
        <v>640</v>
      </c>
      <c r="F3" s="571" t="s">
        <v>12</v>
      </c>
      <c r="G3" s="571" t="s">
        <v>13</v>
      </c>
      <c r="H3" s="571" t="s">
        <v>14</v>
      </c>
      <c r="I3" s="571" t="s">
        <v>15</v>
      </c>
      <c r="J3" s="571" t="s">
        <v>16</v>
      </c>
      <c r="K3" s="571" t="s">
        <v>641</v>
      </c>
      <c r="L3" s="571" t="s">
        <v>18</v>
      </c>
      <c r="M3" s="604" t="s">
        <v>114</v>
      </c>
      <c r="N3" s="572" t="s">
        <v>19</v>
      </c>
    </row>
    <row r="4" spans="2:14" ht="25.5">
      <c r="B4" s="613" t="s">
        <v>642</v>
      </c>
      <c r="C4" s="611"/>
      <c r="D4" s="611"/>
      <c r="E4" s="611"/>
      <c r="F4" s="611"/>
      <c r="G4" s="611"/>
      <c r="H4" s="611"/>
      <c r="I4" s="611"/>
      <c r="J4" s="611"/>
      <c r="K4" s="612"/>
      <c r="L4" s="612">
        <v>3822222</v>
      </c>
      <c r="M4" s="612"/>
      <c r="N4" s="614" t="s">
        <v>21</v>
      </c>
    </row>
    <row r="5" spans="2:14">
      <c r="B5" s="603" t="s">
        <v>643</v>
      </c>
      <c r="C5" s="602">
        <v>348948.6</v>
      </c>
      <c r="D5" s="602">
        <v>1840.5</v>
      </c>
      <c r="E5" s="602">
        <v>220997.13299999997</v>
      </c>
      <c r="F5" s="602">
        <v>28500</v>
      </c>
      <c r="G5" s="602">
        <v>8500</v>
      </c>
      <c r="H5" s="602">
        <v>89250</v>
      </c>
      <c r="I5" s="602">
        <v>2800.0000000000009</v>
      </c>
      <c r="J5" s="602">
        <v>0</v>
      </c>
      <c r="K5" s="610">
        <v>6210000</v>
      </c>
      <c r="L5" s="609">
        <v>6910836.233</v>
      </c>
      <c r="M5" s="608">
        <v>23000000</v>
      </c>
      <c r="N5" s="615">
        <v>0.80806772421905371</v>
      </c>
    </row>
    <row r="6" spans="2:14">
      <c r="B6" s="568">
        <v>2012</v>
      </c>
      <c r="C6" s="596">
        <f>C16</f>
        <v>493900</v>
      </c>
      <c r="D6" s="597">
        <f>C17</f>
        <v>19400</v>
      </c>
      <c r="E6" s="597">
        <f>C36</f>
        <v>323400</v>
      </c>
      <c r="F6" s="597">
        <f>C34</f>
        <v>12500</v>
      </c>
      <c r="G6" s="597">
        <f>C24</f>
        <v>10200</v>
      </c>
      <c r="H6" s="597">
        <f>C42</f>
        <v>68250</v>
      </c>
      <c r="I6" s="597">
        <f>C32</f>
        <v>3380</v>
      </c>
      <c r="J6" s="597">
        <f>C26</f>
        <v>500</v>
      </c>
      <c r="K6" s="598">
        <f>C13</f>
        <v>6616500</v>
      </c>
      <c r="L6" s="598">
        <f>SUM(C6:K6)</f>
        <v>7548030</v>
      </c>
      <c r="M6" s="605">
        <f>C47</f>
        <v>24060000</v>
      </c>
      <c r="N6" s="615">
        <v>-1.01445875197025E-2</v>
      </c>
    </row>
    <row r="7" spans="2:14" s="3532" customFormat="1">
      <c r="B7" s="4253" t="s">
        <v>1168</v>
      </c>
      <c r="C7" s="682">
        <v>493900</v>
      </c>
      <c r="D7" s="683">
        <v>19400</v>
      </c>
      <c r="E7" s="683">
        <v>323400</v>
      </c>
      <c r="F7" s="683">
        <v>12500</v>
      </c>
      <c r="G7" s="683">
        <v>10200</v>
      </c>
      <c r="H7" s="4257">
        <v>68250</v>
      </c>
      <c r="I7" s="4257">
        <v>3380</v>
      </c>
      <c r="J7" s="4257">
        <v>500</v>
      </c>
      <c r="K7" s="4251">
        <v>4411000</v>
      </c>
      <c r="L7" s="684">
        <v>5342530</v>
      </c>
      <c r="M7" s="2480">
        <v>16040000</v>
      </c>
      <c r="N7" s="2486"/>
    </row>
    <row r="8" spans="2:14" ht="13.5" thickBot="1">
      <c r="B8" s="4256" t="s">
        <v>1169</v>
      </c>
      <c r="C8" s="4200">
        <f>D16</f>
        <v>645100</v>
      </c>
      <c r="D8" s="4201">
        <f>D17</f>
        <v>19400</v>
      </c>
      <c r="E8" s="4201">
        <f>D36</f>
        <v>469800</v>
      </c>
      <c r="F8" s="4201">
        <f>D34</f>
        <v>12500</v>
      </c>
      <c r="G8" s="4201">
        <f>D24</f>
        <v>10200</v>
      </c>
      <c r="H8" s="4206">
        <f>D42</f>
        <v>68250</v>
      </c>
      <c r="I8" s="4207">
        <f>D32</f>
        <v>3380</v>
      </c>
      <c r="J8" s="4207">
        <f>D26</f>
        <v>500</v>
      </c>
      <c r="K8" s="4203">
        <f>D13</f>
        <v>4411000</v>
      </c>
      <c r="L8" s="4204">
        <f>SUM(C8:K8)</f>
        <v>5640130</v>
      </c>
      <c r="M8" s="4205">
        <f>G47</f>
        <v>16040000</v>
      </c>
      <c r="N8" s="615">
        <v>0</v>
      </c>
    </row>
    <row r="9" spans="2:14" ht="13.5" thickBot="1">
      <c r="B9" s="4252" t="s">
        <v>1172</v>
      </c>
      <c r="C9" s="4199">
        <f>SUM(C6+C8)</f>
        <v>1139000</v>
      </c>
      <c r="D9" s="4199">
        <f t="shared" ref="D9:M9" si="0">SUM(D6+D8)</f>
        <v>38800</v>
      </c>
      <c r="E9" s="4199">
        <f t="shared" si="0"/>
        <v>793200</v>
      </c>
      <c r="F9" s="4199">
        <f t="shared" si="0"/>
        <v>25000</v>
      </c>
      <c r="G9" s="4199">
        <f t="shared" si="0"/>
        <v>20400</v>
      </c>
      <c r="H9" s="4199">
        <f t="shared" si="0"/>
        <v>136500</v>
      </c>
      <c r="I9" s="4199">
        <f t="shared" si="0"/>
        <v>6760</v>
      </c>
      <c r="J9" s="4199">
        <f t="shared" si="0"/>
        <v>1000</v>
      </c>
      <c r="K9" s="4199">
        <f t="shared" si="0"/>
        <v>11027500</v>
      </c>
      <c r="L9" s="4199">
        <f t="shared" si="0"/>
        <v>13188160</v>
      </c>
      <c r="M9" s="2480">
        <f t="shared" si="0"/>
        <v>40100000</v>
      </c>
      <c r="N9" s="566"/>
    </row>
    <row r="10" spans="2:14" ht="20.25">
      <c r="B10" s="573"/>
      <c r="C10" s="588"/>
      <c r="D10" s="588"/>
      <c r="E10" s="588"/>
      <c r="F10" s="588"/>
      <c r="G10" s="595"/>
      <c r="H10" s="589"/>
      <c r="I10" s="589"/>
      <c r="J10" s="566"/>
      <c r="K10" s="566"/>
      <c r="L10" s="566"/>
      <c r="M10" s="566"/>
      <c r="N10" s="577"/>
    </row>
    <row r="11" spans="2:14" ht="18">
      <c r="B11" s="574" t="s">
        <v>697</v>
      </c>
      <c r="C11" s="595"/>
      <c r="D11" s="595"/>
      <c r="E11" s="595"/>
      <c r="F11" s="587"/>
      <c r="G11" s="587"/>
      <c r="H11" s="587"/>
      <c r="I11" s="587"/>
      <c r="J11" s="566"/>
      <c r="K11" s="566"/>
      <c r="L11" s="566"/>
      <c r="M11" s="566"/>
      <c r="N11" s="566"/>
    </row>
    <row r="12" spans="2:14" ht="18">
      <c r="B12" s="575"/>
      <c r="C12" s="599">
        <v>2012</v>
      </c>
      <c r="D12" s="600">
        <v>2013</v>
      </c>
      <c r="E12" s="601" t="s">
        <v>28</v>
      </c>
      <c r="F12" s="580"/>
      <c r="G12" s="580"/>
      <c r="H12" s="580"/>
      <c r="I12" s="3743"/>
      <c r="J12" s="3734"/>
      <c r="K12" s="3734"/>
      <c r="L12" s="577"/>
      <c r="M12" s="606"/>
      <c r="N12" s="566"/>
    </row>
    <row r="13" spans="2:14" ht="28.5" customHeight="1">
      <c r="B13" s="3480"/>
      <c r="C13" s="2672">
        <v>6616500</v>
      </c>
      <c r="D13" s="2668">
        <v>4411000</v>
      </c>
      <c r="E13" s="2669">
        <f>SUM(C13:D13)</f>
        <v>11027500</v>
      </c>
      <c r="F13" s="4370" t="s">
        <v>1419</v>
      </c>
      <c r="G13" s="580"/>
      <c r="H13" s="580"/>
      <c r="I13" s="3735"/>
      <c r="J13" s="3736"/>
      <c r="K13" s="3734"/>
      <c r="L13" s="566"/>
      <c r="M13" s="566"/>
      <c r="N13" s="566"/>
    </row>
    <row r="14" spans="2:14" ht="18">
      <c r="B14" s="2630"/>
      <c r="C14" s="2649"/>
      <c r="D14" s="2625"/>
      <c r="E14" s="2650"/>
      <c r="F14" s="2635"/>
      <c r="G14" s="580"/>
      <c r="H14" s="580"/>
      <c r="I14" s="3735"/>
      <c r="J14" s="3737"/>
      <c r="K14" s="3734"/>
      <c r="L14" s="566"/>
      <c r="M14" s="566"/>
      <c r="N14" s="566"/>
    </row>
    <row r="15" spans="2:14">
      <c r="B15" s="2629" t="s">
        <v>648</v>
      </c>
      <c r="C15" s="2651"/>
      <c r="D15" s="2625"/>
      <c r="E15" s="2650"/>
      <c r="F15" s="2632"/>
      <c r="G15" s="578"/>
      <c r="H15" s="578"/>
      <c r="I15" s="3735"/>
      <c r="J15" s="3737"/>
      <c r="K15" s="3731"/>
      <c r="L15" s="566"/>
      <c r="M15" s="566"/>
      <c r="N15" s="566"/>
    </row>
    <row r="16" spans="2:14">
      <c r="B16" s="2634" t="s">
        <v>650</v>
      </c>
      <c r="C16" s="2675">
        <v>493900</v>
      </c>
      <c r="D16" s="4425">
        <v>645100</v>
      </c>
      <c r="E16" s="2673">
        <f>SUM(C16:D16)</f>
        <v>1139000</v>
      </c>
      <c r="F16" s="2641">
        <v>5.68</v>
      </c>
      <c r="G16" s="581" t="s">
        <v>651</v>
      </c>
      <c r="H16" s="579"/>
      <c r="I16" s="3735"/>
      <c r="J16" s="3733"/>
      <c r="K16" s="3731"/>
      <c r="L16" s="566"/>
      <c r="M16" s="566"/>
      <c r="N16" s="566"/>
    </row>
    <row r="17" spans="2:14">
      <c r="B17" s="2634" t="s">
        <v>655</v>
      </c>
      <c r="C17" s="2675">
        <v>19400</v>
      </c>
      <c r="D17" s="2671">
        <v>19400</v>
      </c>
      <c r="E17" s="2673">
        <f>SUM(C17:D17)</f>
        <v>38800</v>
      </c>
      <c r="F17" s="2641">
        <v>0.16</v>
      </c>
      <c r="G17" s="581" t="s">
        <v>651</v>
      </c>
      <c r="H17" s="579"/>
      <c r="I17" s="3735"/>
      <c r="J17" s="3733"/>
      <c r="K17" s="3731"/>
      <c r="L17" s="566"/>
      <c r="M17" s="566"/>
      <c r="N17" s="566"/>
    </row>
    <row r="18" spans="2:14">
      <c r="B18" s="2634"/>
      <c r="C18" s="2652"/>
      <c r="D18" s="2625"/>
      <c r="E18" s="2650"/>
      <c r="F18" s="2633"/>
      <c r="G18" s="579"/>
      <c r="H18" s="579"/>
      <c r="I18" s="3735"/>
      <c r="J18" s="3733"/>
      <c r="K18" s="3731"/>
      <c r="L18" s="566"/>
      <c r="M18" s="607"/>
    </row>
    <row r="19" spans="2:14">
      <c r="B19" s="2629" t="s">
        <v>481</v>
      </c>
      <c r="C19" s="2651"/>
      <c r="D19" s="2625"/>
      <c r="E19" s="2650"/>
      <c r="F19" s="2632"/>
      <c r="G19" s="578"/>
      <c r="H19" s="579"/>
      <c r="I19" s="3735"/>
      <c r="J19" s="3733"/>
      <c r="K19" s="3731"/>
      <c r="L19" s="566"/>
      <c r="M19" s="566"/>
    </row>
    <row r="20" spans="2:14">
      <c r="B20" s="2624" t="s">
        <v>656</v>
      </c>
      <c r="C20" s="2656">
        <v>2300</v>
      </c>
      <c r="D20" s="2665">
        <v>2300</v>
      </c>
      <c r="E20" s="2663">
        <f>SUM(C20:D20)</f>
        <v>4600</v>
      </c>
      <c r="F20" s="2642"/>
      <c r="G20" s="590"/>
      <c r="H20" s="578"/>
      <c r="I20" s="3735"/>
      <c r="J20" s="3733"/>
      <c r="K20" s="3731"/>
      <c r="L20" s="566"/>
      <c r="M20" s="566"/>
    </row>
    <row r="21" spans="2:14">
      <c r="B21" s="2634" t="s">
        <v>657</v>
      </c>
      <c r="C21" s="2653">
        <v>4700</v>
      </c>
      <c r="D21" s="2665">
        <v>4700</v>
      </c>
      <c r="E21" s="3159">
        <f t="shared" ref="E21:E23" si="1">SUM(C21:D21)</f>
        <v>9400</v>
      </c>
      <c r="F21" s="2624"/>
      <c r="G21" s="578"/>
      <c r="H21" s="590"/>
      <c r="I21" s="3735"/>
      <c r="J21" s="3742"/>
      <c r="K21" s="3731"/>
      <c r="L21" s="566"/>
      <c r="M21" s="566"/>
    </row>
    <row r="22" spans="2:14">
      <c r="B22" s="2634" t="s">
        <v>658</v>
      </c>
      <c r="C22" s="2656">
        <v>2200</v>
      </c>
      <c r="D22" s="2665">
        <v>2200</v>
      </c>
      <c r="E22" s="3159">
        <f t="shared" si="1"/>
        <v>4400</v>
      </c>
      <c r="F22" s="2632"/>
      <c r="G22" s="578"/>
      <c r="H22" s="578"/>
      <c r="I22" s="3731"/>
      <c r="J22" s="3732"/>
      <c r="K22" s="3731"/>
      <c r="L22" s="566"/>
      <c r="M22" s="566"/>
    </row>
    <row r="23" spans="2:14">
      <c r="B23" s="2634" t="s">
        <v>660</v>
      </c>
      <c r="C23" s="2656">
        <v>1000</v>
      </c>
      <c r="D23" s="2665">
        <v>1000</v>
      </c>
      <c r="E23" s="3159">
        <f t="shared" si="1"/>
        <v>2000</v>
      </c>
      <c r="F23" s="2632"/>
      <c r="G23" s="578"/>
      <c r="H23" s="591"/>
      <c r="I23" s="3735"/>
      <c r="J23" s="3747"/>
      <c r="K23" s="3731"/>
      <c r="L23" s="566"/>
      <c r="M23" s="566"/>
    </row>
    <row r="24" spans="2:14">
      <c r="B24" s="2624"/>
      <c r="C24" s="2654">
        <f>SUM(C20:C23)</f>
        <v>10200</v>
      </c>
      <c r="D24" s="2640">
        <f>SUM(D20:D23)</f>
        <v>10200</v>
      </c>
      <c r="E24" s="2670">
        <f>SUM(E20:E23)</f>
        <v>20400</v>
      </c>
      <c r="F24" s="2632"/>
      <c r="G24" s="578"/>
      <c r="H24" s="591"/>
      <c r="I24" s="3740"/>
      <c r="J24" s="3745"/>
      <c r="K24" s="3738"/>
      <c r="L24" s="566"/>
      <c r="M24" s="566"/>
    </row>
    <row r="25" spans="2:14">
      <c r="B25" s="2625"/>
      <c r="C25" s="2658"/>
      <c r="D25" s="2625"/>
      <c r="E25" s="2650"/>
      <c r="F25" s="2632"/>
      <c r="G25" s="578"/>
      <c r="H25" s="591"/>
      <c r="I25" s="3740"/>
      <c r="J25" s="3744"/>
      <c r="K25" s="3741"/>
      <c r="L25" s="566"/>
      <c r="M25" s="566"/>
    </row>
    <row r="26" spans="2:14">
      <c r="B26" s="2629" t="s">
        <v>649</v>
      </c>
      <c r="C26" s="2654">
        <v>500</v>
      </c>
      <c r="D26" s="2648">
        <v>500</v>
      </c>
      <c r="E26" s="2670">
        <v>1000</v>
      </c>
      <c r="F26" s="2632"/>
      <c r="G26" s="578"/>
      <c r="H26" s="591"/>
      <c r="I26" s="3740"/>
      <c r="J26" s="3744"/>
      <c r="K26" s="3741"/>
      <c r="L26" s="566"/>
      <c r="M26" s="566"/>
    </row>
    <row r="27" spans="2:14">
      <c r="B27" s="2625"/>
      <c r="C27" s="2658"/>
      <c r="D27" s="2625"/>
      <c r="E27" s="2650"/>
      <c r="F27" s="2632"/>
      <c r="G27" s="578"/>
      <c r="H27" s="591"/>
      <c r="I27" s="3739"/>
      <c r="J27" s="3746"/>
      <c r="K27" s="3731"/>
      <c r="L27" s="566"/>
      <c r="M27" s="566"/>
    </row>
    <row r="28" spans="2:14">
      <c r="B28" s="2628" t="s">
        <v>652</v>
      </c>
      <c r="C28" s="2658"/>
      <c r="D28" s="2625"/>
      <c r="E28" s="2650"/>
      <c r="F28" s="2643"/>
      <c r="G28" s="591"/>
      <c r="H28" s="591"/>
      <c r="I28" s="586"/>
      <c r="J28" s="594"/>
      <c r="K28" s="566"/>
      <c r="L28" s="566"/>
      <c r="M28" s="566"/>
    </row>
    <row r="29" spans="2:14">
      <c r="B29" s="2624" t="s">
        <v>661</v>
      </c>
      <c r="C29" s="2658">
        <v>3050</v>
      </c>
      <c r="D29" s="2665">
        <v>3050</v>
      </c>
      <c r="E29" s="2663">
        <f>SUM(C29:D29)</f>
        <v>6100</v>
      </c>
      <c r="F29" s="2643"/>
      <c r="G29" s="591"/>
      <c r="H29" s="591"/>
      <c r="I29" s="580"/>
      <c r="J29" s="566"/>
      <c r="K29" s="566"/>
      <c r="L29" s="566"/>
      <c r="M29" s="566"/>
    </row>
    <row r="30" spans="2:14">
      <c r="B30" s="2624" t="s">
        <v>662</v>
      </c>
      <c r="C30" s="2658">
        <v>170</v>
      </c>
      <c r="D30" s="2665">
        <v>170</v>
      </c>
      <c r="E30" s="3159">
        <f t="shared" ref="E30:E31" si="2">SUM(C30:D30)</f>
        <v>340</v>
      </c>
      <c r="F30" s="2643"/>
      <c r="G30" s="591"/>
      <c r="H30" s="591"/>
      <c r="I30" s="580"/>
      <c r="J30" s="566"/>
      <c r="K30" s="566"/>
      <c r="L30" s="566"/>
      <c r="M30" s="566"/>
    </row>
    <row r="31" spans="2:14">
      <c r="B31" s="2625" t="s">
        <v>663</v>
      </c>
      <c r="C31" s="2658">
        <v>160</v>
      </c>
      <c r="D31" s="2665">
        <v>160</v>
      </c>
      <c r="E31" s="3159">
        <f t="shared" si="2"/>
        <v>320</v>
      </c>
      <c r="F31" s="2643"/>
      <c r="G31" s="591"/>
      <c r="H31" s="591"/>
      <c r="I31" s="580"/>
      <c r="J31" s="566"/>
      <c r="K31" s="566"/>
      <c r="L31" s="566"/>
      <c r="M31" s="566"/>
    </row>
    <row r="32" spans="2:14">
      <c r="B32" s="2628" t="s">
        <v>664</v>
      </c>
      <c r="C32" s="2655">
        <f>SUM(C29:C31)</f>
        <v>3380</v>
      </c>
      <c r="D32" s="2636">
        <f>SUM(D29:D31)</f>
        <v>3380</v>
      </c>
      <c r="E32" s="2670">
        <f>SUM(E29:E31)</f>
        <v>6760</v>
      </c>
      <c r="F32" s="2643"/>
      <c r="G32" s="591"/>
      <c r="H32" s="591"/>
      <c r="I32" s="580"/>
      <c r="J32" s="566"/>
      <c r="K32" s="566"/>
      <c r="L32" s="566"/>
      <c r="M32" s="566"/>
    </row>
    <row r="33" spans="2:13">
      <c r="B33" s="2625"/>
      <c r="C33" s="2658"/>
      <c r="D33" s="2625"/>
      <c r="E33" s="2650"/>
      <c r="F33" s="2643"/>
      <c r="G33" s="591"/>
      <c r="H33" s="591"/>
      <c r="I33" s="580"/>
      <c r="J33" s="566"/>
      <c r="K33" s="566"/>
      <c r="L33" s="566"/>
      <c r="M33" s="566"/>
    </row>
    <row r="34" spans="2:13">
      <c r="B34" s="2628" t="s">
        <v>654</v>
      </c>
      <c r="C34" s="2655">
        <v>12500</v>
      </c>
      <c r="D34" s="2666">
        <v>12500</v>
      </c>
      <c r="E34" s="2670">
        <f>SUM(C34:D34)</f>
        <v>25000</v>
      </c>
      <c r="F34" s="2643"/>
      <c r="G34" s="591"/>
      <c r="H34" s="591"/>
      <c r="I34" s="580"/>
    </row>
    <row r="35" spans="2:13">
      <c r="B35" s="2625"/>
      <c r="C35" s="2658"/>
      <c r="D35" s="2625"/>
      <c r="E35" s="2650"/>
      <c r="F35" s="2643"/>
      <c r="G35" s="592"/>
      <c r="H35" s="591"/>
      <c r="I35" s="580"/>
    </row>
    <row r="36" spans="2:13">
      <c r="B36" s="4429" t="s">
        <v>1438</v>
      </c>
      <c r="C36" s="3106">
        <f>ROUND(SUM(C16:C17)*0.63, -2)</f>
        <v>323400</v>
      </c>
      <c r="D36" s="3084">
        <f>ROUND(SUM(D16:D17)*0.707, -2)</f>
        <v>469800</v>
      </c>
      <c r="E36" s="2670">
        <f>SUM(C36:D36)</f>
        <v>793200</v>
      </c>
      <c r="F36" s="2643"/>
      <c r="G36" s="592"/>
      <c r="H36" s="591"/>
      <c r="I36" s="580"/>
    </row>
    <row r="37" spans="2:13">
      <c r="B37" s="2625"/>
      <c r="C37" s="2658"/>
      <c r="D37" s="2644"/>
      <c r="E37" s="2659"/>
      <c r="F37" s="2643"/>
      <c r="G37" s="567"/>
      <c r="H37" s="591"/>
      <c r="I37" s="580"/>
    </row>
    <row r="38" spans="2:13">
      <c r="B38" s="2626" t="s">
        <v>14</v>
      </c>
      <c r="C38" s="2658"/>
      <c r="D38" s="2644"/>
      <c r="E38" s="2659"/>
      <c r="F38" s="2643"/>
      <c r="G38" s="567"/>
      <c r="H38" s="591"/>
      <c r="I38" s="576"/>
    </row>
    <row r="39" spans="2:13">
      <c r="B39" s="2639" t="s">
        <v>686</v>
      </c>
      <c r="C39" s="2656">
        <v>8250</v>
      </c>
      <c r="D39" s="2645">
        <v>8250</v>
      </c>
      <c r="E39" s="2657">
        <f>SUM(C39:D39)</f>
        <v>16500</v>
      </c>
      <c r="F39" s="2643"/>
      <c r="G39" s="567"/>
      <c r="H39" s="591"/>
      <c r="I39" s="576"/>
    </row>
    <row r="40" spans="2:13">
      <c r="B40" s="2639" t="s">
        <v>698</v>
      </c>
      <c r="C40" s="2656">
        <v>60000</v>
      </c>
      <c r="D40" s="2645">
        <v>60000</v>
      </c>
      <c r="E40" s="3158">
        <f t="shared" ref="E40:E41" si="3">SUM(C40:D40)</f>
        <v>120000</v>
      </c>
      <c r="F40" s="2624"/>
      <c r="G40" s="566"/>
      <c r="H40" s="591"/>
      <c r="I40" s="576"/>
    </row>
    <row r="41" spans="2:13">
      <c r="B41" s="2639" t="s">
        <v>699</v>
      </c>
      <c r="C41" s="2656">
        <v>0</v>
      </c>
      <c r="D41" s="2645">
        <v>0</v>
      </c>
      <c r="E41" s="3158">
        <f t="shared" si="3"/>
        <v>0</v>
      </c>
      <c r="F41" s="2624"/>
      <c r="G41" s="566"/>
      <c r="H41" s="591"/>
      <c r="I41" s="576"/>
    </row>
    <row r="42" spans="2:13">
      <c r="B42" s="2638" t="s">
        <v>672</v>
      </c>
      <c r="C42" s="3030">
        <f>SUM(C39:C41)</f>
        <v>68250</v>
      </c>
      <c r="D42" s="3010">
        <f>SUM(D39:D41)</f>
        <v>68250</v>
      </c>
      <c r="E42" s="2670">
        <f>SUM(E39:E41)</f>
        <v>136500</v>
      </c>
      <c r="F42" s="2643"/>
      <c r="G42" s="567"/>
      <c r="H42" s="591"/>
      <c r="I42" s="576"/>
    </row>
    <row r="43" spans="2:13" ht="13.5" thickBot="1">
      <c r="B43" s="2631"/>
      <c r="C43" s="2656"/>
      <c r="D43" s="2645"/>
      <c r="E43" s="2657"/>
      <c r="F43" s="2643"/>
      <c r="G43" s="567"/>
      <c r="H43" s="591"/>
      <c r="I43" s="576"/>
    </row>
    <row r="44" spans="2:13" ht="13.5" thickBot="1">
      <c r="B44" s="2638" t="s">
        <v>673</v>
      </c>
      <c r="C44" s="3031">
        <f>C13+C16+C17+C24+C26+C32+C34+C36+C42</f>
        <v>7548030</v>
      </c>
      <c r="D44" s="3037">
        <f>D13+D16+D17+D24+D26+D32+D34+D36+D42</f>
        <v>5640130</v>
      </c>
      <c r="E44" s="2660">
        <f>SUM(C44:D44)</f>
        <v>13188160</v>
      </c>
      <c r="F44" s="2643"/>
      <c r="G44" s="567"/>
      <c r="H44" s="591"/>
      <c r="I44" s="576"/>
    </row>
    <row r="45" spans="2:13">
      <c r="B45" s="2627"/>
      <c r="C45" s="2645"/>
      <c r="D45" s="2645"/>
      <c r="E45" s="2645"/>
      <c r="F45" s="2643"/>
      <c r="G45" s="567"/>
      <c r="H45" s="591"/>
      <c r="I45" s="576"/>
    </row>
    <row r="46" spans="2:13">
      <c r="B46" s="2624"/>
      <c r="C46" s="2664">
        <v>2012</v>
      </c>
      <c r="D46" s="2664">
        <v>2013</v>
      </c>
      <c r="E46" s="2664" t="s">
        <v>28</v>
      </c>
      <c r="F46" s="2624"/>
      <c r="G46" s="4650" t="s">
        <v>1319</v>
      </c>
      <c r="H46" s="591"/>
      <c r="I46" s="576"/>
    </row>
    <row r="47" spans="2:13" ht="30.75" customHeight="1">
      <c r="B47" s="3481"/>
      <c r="C47" s="2661">
        <v>24060000</v>
      </c>
      <c r="D47" s="2662">
        <v>16040000</v>
      </c>
      <c r="E47" s="2662">
        <f>SUM(C47:D47)</f>
        <v>40100000</v>
      </c>
      <c r="F47" s="2674" t="s">
        <v>675</v>
      </c>
      <c r="G47" s="5090">
        <v>16040000</v>
      </c>
      <c r="H47" s="591"/>
      <c r="I47" s="576"/>
    </row>
    <row r="48" spans="2:13">
      <c r="B48" s="2624"/>
      <c r="C48" s="2646"/>
      <c r="D48" s="2646"/>
      <c r="E48" s="2646"/>
      <c r="F48" s="2637"/>
      <c r="G48" s="592"/>
      <c r="H48" s="591"/>
      <c r="I48" s="576"/>
    </row>
    <row r="49" spans="2:10">
      <c r="B49" s="2647" t="s">
        <v>680</v>
      </c>
      <c r="C49" s="2667">
        <v>0.5</v>
      </c>
      <c r="D49" s="2667">
        <v>0.5</v>
      </c>
      <c r="E49" s="2646"/>
      <c r="F49" s="2637"/>
      <c r="G49" s="592"/>
      <c r="H49" s="591"/>
      <c r="I49" s="576"/>
    </row>
    <row r="50" spans="2:10">
      <c r="B50" s="568"/>
      <c r="C50" s="566"/>
      <c r="D50" s="566"/>
      <c r="E50" s="566"/>
      <c r="F50" s="566"/>
      <c r="G50" s="592"/>
      <c r="H50" s="591"/>
      <c r="I50" s="576"/>
      <c r="J50" s="566"/>
    </row>
    <row r="51" spans="2:10">
      <c r="B51" s="566"/>
      <c r="C51" s="593"/>
      <c r="D51" s="593"/>
      <c r="E51" s="593"/>
      <c r="F51" s="583"/>
      <c r="G51" s="592"/>
      <c r="H51" s="593"/>
      <c r="I51" s="582"/>
      <c r="J51" s="569"/>
    </row>
    <row r="52" spans="2:10">
      <c r="B52" s="566"/>
      <c r="C52" s="583"/>
      <c r="D52" s="583"/>
      <c r="E52" s="583"/>
      <c r="F52" s="583"/>
      <c r="G52" s="591"/>
      <c r="H52" s="583"/>
      <c r="I52" s="583"/>
      <c r="J52" s="569"/>
    </row>
    <row r="53" spans="2:10" ht="20.25">
      <c r="B53" s="573"/>
      <c r="C53" s="583"/>
      <c r="D53" s="583"/>
      <c r="E53" s="583"/>
      <c r="F53" s="593"/>
      <c r="G53" s="591"/>
      <c r="H53" s="583"/>
      <c r="I53" s="583"/>
      <c r="J53" s="569"/>
    </row>
    <row r="54" spans="2:10" ht="15.75">
      <c r="B54" s="584"/>
      <c r="C54" s="585"/>
      <c r="D54" s="585"/>
      <c r="E54" s="585"/>
      <c r="F54" s="593"/>
      <c r="G54" s="591"/>
      <c r="H54" s="583"/>
      <c r="I54" s="583"/>
      <c r="J54" s="569"/>
    </row>
    <row r="55" spans="2:10">
      <c r="B55" s="569"/>
      <c r="C55" s="569"/>
      <c r="D55" s="569"/>
      <c r="E55" s="569"/>
      <c r="F55" s="593"/>
      <c r="G55" s="591"/>
      <c r="H55" s="583"/>
      <c r="I55" s="583"/>
      <c r="J55" s="569"/>
    </row>
    <row r="56" spans="2:10">
      <c r="B56" s="566"/>
      <c r="C56" s="566"/>
      <c r="D56" s="566"/>
      <c r="E56" s="566"/>
      <c r="F56" s="593"/>
      <c r="G56" s="593"/>
      <c r="H56" s="583"/>
      <c r="I56" s="583"/>
      <c r="J56" s="569"/>
    </row>
    <row r="57" spans="2:10">
      <c r="B57" s="566"/>
      <c r="C57" s="566"/>
      <c r="D57" s="566"/>
      <c r="E57" s="566"/>
      <c r="F57" s="593"/>
      <c r="G57" s="583"/>
      <c r="H57" s="583"/>
      <c r="I57" s="583"/>
      <c r="J57" s="569"/>
    </row>
    <row r="58" spans="2:10">
      <c r="B58" s="566"/>
      <c r="C58" s="566"/>
      <c r="D58" s="566"/>
      <c r="E58" s="566"/>
      <c r="F58" s="593"/>
      <c r="G58" s="583"/>
      <c r="H58" s="593"/>
      <c r="I58" s="583"/>
      <c r="J58" s="569"/>
    </row>
    <row r="59" spans="2:10">
      <c r="B59" s="566"/>
      <c r="C59" s="566"/>
      <c r="D59" s="566"/>
      <c r="E59" s="566"/>
      <c r="F59" s="566"/>
      <c r="G59" s="583"/>
      <c r="H59" s="593"/>
      <c r="I59" s="582"/>
      <c r="J59" s="569"/>
    </row>
    <row r="60" spans="2:10">
      <c r="B60" s="566"/>
      <c r="C60" s="566"/>
      <c r="D60" s="566"/>
      <c r="E60" s="566"/>
      <c r="F60" s="566"/>
      <c r="G60" s="583"/>
      <c r="H60" s="593"/>
      <c r="I60" s="582"/>
      <c r="J60" s="569"/>
    </row>
    <row r="61" spans="2:10">
      <c r="B61" s="566"/>
      <c r="C61" s="566"/>
      <c r="D61" s="566"/>
      <c r="E61" s="566"/>
      <c r="F61" s="566"/>
      <c r="G61" s="583"/>
      <c r="H61" s="593"/>
      <c r="I61" s="582"/>
      <c r="J61" s="569"/>
    </row>
    <row r="62" spans="2:10">
      <c r="B62" s="566"/>
      <c r="C62" s="566"/>
      <c r="D62" s="566"/>
      <c r="E62" s="566"/>
      <c r="F62" s="566"/>
      <c r="G62" s="583"/>
      <c r="H62" s="593"/>
      <c r="I62" s="582"/>
      <c r="J62" s="569"/>
    </row>
    <row r="63" spans="2:10">
      <c r="B63" s="566"/>
      <c r="C63" s="566"/>
      <c r="D63" s="566"/>
      <c r="E63" s="566"/>
      <c r="F63" s="566"/>
      <c r="G63" s="593"/>
      <c r="H63" s="593"/>
      <c r="I63" s="582"/>
      <c r="J63" s="569"/>
    </row>
    <row r="64" spans="2:10">
      <c r="B64" s="566"/>
      <c r="C64" s="566"/>
      <c r="D64" s="566"/>
      <c r="E64" s="566"/>
      <c r="F64" s="566"/>
      <c r="G64" s="593"/>
      <c r="H64" s="593"/>
      <c r="I64" s="582"/>
      <c r="J64" s="569"/>
    </row>
    <row r="65" spans="6:10">
      <c r="F65" s="583"/>
      <c r="G65" s="593"/>
      <c r="H65" s="593"/>
      <c r="I65" s="582"/>
      <c r="J65" s="569"/>
    </row>
    <row r="66" spans="6:10">
      <c r="F66" s="583"/>
      <c r="G66" s="593"/>
      <c r="H66" s="593"/>
      <c r="I66" s="582"/>
      <c r="J66" s="569"/>
    </row>
    <row r="67" spans="6:10">
      <c r="F67" s="583"/>
      <c r="G67" s="593"/>
      <c r="H67" s="583"/>
      <c r="I67" s="583"/>
      <c r="J67" s="569"/>
    </row>
    <row r="68" spans="6:10" ht="15.75">
      <c r="F68" s="585"/>
      <c r="G68" s="593"/>
      <c r="H68" s="583"/>
      <c r="I68" s="583"/>
      <c r="J68" s="569"/>
    </row>
    <row r="69" spans="6:10">
      <c r="F69" s="569"/>
      <c r="G69" s="593"/>
      <c r="H69" s="583"/>
      <c r="I69" s="583"/>
      <c r="J69" s="569"/>
    </row>
    <row r="70" spans="6:10">
      <c r="F70" s="566"/>
      <c r="G70" s="593"/>
      <c r="H70" s="583"/>
      <c r="I70" s="583"/>
      <c r="J70" s="569"/>
    </row>
    <row r="71" spans="6:10">
      <c r="F71" s="566"/>
      <c r="G71" s="593"/>
      <c r="H71" s="583"/>
      <c r="I71" s="583"/>
      <c r="J71" s="569"/>
    </row>
    <row r="72" spans="6:10">
      <c r="F72" s="566"/>
      <c r="G72" s="583"/>
      <c r="H72" s="583"/>
      <c r="I72" s="583"/>
      <c r="J72" s="569"/>
    </row>
    <row r="73" spans="6:10" ht="15.75">
      <c r="F73" s="566"/>
      <c r="G73" s="583"/>
      <c r="H73" s="585"/>
      <c r="I73" s="585"/>
      <c r="J73" s="569"/>
    </row>
    <row r="74" spans="6:10">
      <c r="F74" s="566"/>
      <c r="G74" s="583"/>
      <c r="H74" s="569"/>
      <c r="I74" s="569"/>
      <c r="J74" s="569"/>
    </row>
    <row r="75" spans="6:10">
      <c r="F75" s="566"/>
      <c r="G75" s="583"/>
      <c r="H75" s="566"/>
      <c r="I75" s="566"/>
      <c r="J75" s="566"/>
    </row>
    <row r="76" spans="6:10">
      <c r="F76" s="566"/>
      <c r="G76" s="583"/>
      <c r="H76" s="566"/>
      <c r="I76" s="566"/>
      <c r="J76" s="566"/>
    </row>
    <row r="77" spans="6:10">
      <c r="F77" s="566"/>
      <c r="G77" s="583"/>
      <c r="H77" s="566"/>
      <c r="I77" s="566"/>
      <c r="J77" s="566"/>
    </row>
    <row r="78" spans="6:10" ht="15.75">
      <c r="F78" s="566"/>
      <c r="G78" s="585"/>
      <c r="H78" s="566"/>
      <c r="I78" s="566"/>
      <c r="J78" s="566"/>
    </row>
    <row r="79" spans="6:10">
      <c r="F79" s="566"/>
      <c r="G79" s="569"/>
      <c r="H79" s="566"/>
      <c r="I79" s="566"/>
      <c r="J79" s="566"/>
    </row>
    <row r="80" spans="6:10">
      <c r="H80" s="566"/>
      <c r="I80" s="566"/>
      <c r="J80" s="566"/>
    </row>
  </sheetData>
  <sheetProtection password="9E1F" sheet="1" objects="1" scenarios="1"/>
  <customSheetViews>
    <customSheetView guid="{074EB09C-6289-46D7-9513-012B68BCA7BF}" fitToPage="1">
      <pane xSplit="1" ySplit="1" topLeftCell="B2" activePane="bottomRight" state="frozen"/>
      <selection pane="bottomRight" activeCell="B3" sqref="B3"/>
      <pageMargins left="0.21" right="0.24" top="0.41" bottom="0.75" header="0.3" footer="0.3"/>
      <pageSetup paperSize="17" scale="64" orientation="landscape" r:id="rId1"/>
    </customSheetView>
    <customSheetView guid="{AF9F1D33-B8C2-423F-86A1-47612B8F532C}" fitToPage="1">
      <pane xSplit="1" ySplit="1" topLeftCell="B20" activePane="bottomRight" state="frozenSplit"/>
      <selection pane="bottomRight" activeCell="C36" sqref="C36"/>
      <pageMargins left="0.7" right="0.7" top="0.75" bottom="0.75" header="0.3" footer="0.3"/>
      <pageSetup paperSize="17" scale="64" orientation="landscape"/>
    </customSheetView>
  </customSheetViews>
  <pageMargins left="0.21" right="0.24" top="0.41" bottom="0.75" header="0.3" footer="0.3"/>
  <pageSetup paperSize="17" scale="64" orientation="landscape" r:id="rId2"/>
  <drawing r:id="rId3"/>
</worksheet>
</file>

<file path=xl/worksheets/sheet45.xml><?xml version="1.0" encoding="utf-8"?>
<worksheet xmlns="http://schemas.openxmlformats.org/spreadsheetml/2006/main" xmlns:r="http://schemas.openxmlformats.org/officeDocument/2006/relationships">
  <sheetPr enableFormatConditionsCalculation="0">
    <pageSetUpPr fitToPage="1"/>
  </sheetPr>
  <dimension ref="A1:M79"/>
  <sheetViews>
    <sheetView zoomScaleNormal="100" workbookViewId="0">
      <selection activeCell="A3" sqref="A3"/>
    </sheetView>
  </sheetViews>
  <sheetFormatPr defaultColWidth="8.85546875" defaultRowHeight="12.75"/>
  <cols>
    <col min="1" max="1" width="56.140625" bestFit="1" customWidth="1"/>
    <col min="2" max="2" width="20.42578125" customWidth="1"/>
    <col min="3" max="3" width="18.28515625" customWidth="1"/>
    <col min="4" max="4" width="16" customWidth="1"/>
    <col min="5" max="5" width="16.42578125" customWidth="1"/>
    <col min="6" max="6" width="17.85546875" bestFit="1" customWidth="1"/>
    <col min="7" max="7" width="14.42578125" customWidth="1"/>
    <col min="8" max="8" width="19.42578125" customWidth="1"/>
    <col min="9" max="9" width="17.7109375" customWidth="1"/>
    <col min="10" max="10" width="19.42578125" customWidth="1"/>
    <col min="11" max="11" width="14" customWidth="1"/>
    <col min="12" max="12" width="14.28515625" customWidth="1"/>
    <col min="13" max="13" width="20.7109375" customWidth="1"/>
  </cols>
  <sheetData>
    <row r="1" spans="1:13" ht="20.25">
      <c r="A1" s="4947" t="s">
        <v>700</v>
      </c>
      <c r="B1" s="426" t="s">
        <v>702</v>
      </c>
      <c r="C1" s="660"/>
      <c r="D1" s="660"/>
      <c r="E1" s="660"/>
      <c r="F1" s="671"/>
      <c r="G1" s="661"/>
      <c r="H1" s="661"/>
      <c r="I1" s="616"/>
      <c r="J1" s="616"/>
      <c r="K1" s="616"/>
      <c r="L1" s="616"/>
      <c r="M1" s="616"/>
    </row>
    <row r="2" spans="1:13" ht="20.25">
      <c r="A2" s="628"/>
      <c r="B2" s="660"/>
      <c r="C2" s="660"/>
      <c r="D2" s="660"/>
      <c r="E2" s="660"/>
      <c r="F2" s="671"/>
      <c r="G2" s="661"/>
      <c r="H2" s="661"/>
      <c r="I2" s="616"/>
      <c r="J2" s="616"/>
      <c r="K2" s="616"/>
      <c r="L2" s="616"/>
      <c r="M2" s="616"/>
    </row>
    <row r="3" spans="1:13" ht="38.25">
      <c r="A3" s="354" t="s">
        <v>108</v>
      </c>
      <c r="B3" s="622" t="s">
        <v>9</v>
      </c>
      <c r="C3" s="622" t="s">
        <v>10</v>
      </c>
      <c r="D3" s="622" t="s">
        <v>640</v>
      </c>
      <c r="E3" s="623" t="s">
        <v>12</v>
      </c>
      <c r="F3" s="623" t="s">
        <v>13</v>
      </c>
      <c r="G3" s="623" t="s">
        <v>14</v>
      </c>
      <c r="H3" s="623" t="s">
        <v>15</v>
      </c>
      <c r="I3" s="623" t="s">
        <v>16</v>
      </c>
      <c r="J3" s="623" t="s">
        <v>641</v>
      </c>
      <c r="K3" s="623" t="s">
        <v>18</v>
      </c>
      <c r="L3" s="702" t="s">
        <v>114</v>
      </c>
      <c r="M3" s="624" t="s">
        <v>19</v>
      </c>
    </row>
    <row r="4" spans="1:13" ht="25.5">
      <c r="A4" s="712" t="s">
        <v>642</v>
      </c>
      <c r="B4" s="710"/>
      <c r="C4" s="710"/>
      <c r="D4" s="710"/>
      <c r="E4" s="710"/>
      <c r="F4" s="710"/>
      <c r="G4" s="710"/>
      <c r="H4" s="710"/>
      <c r="I4" s="710"/>
      <c r="J4" s="711"/>
      <c r="K4" s="711">
        <v>25000</v>
      </c>
      <c r="L4" s="711"/>
      <c r="M4" s="713" t="s">
        <v>21</v>
      </c>
    </row>
    <row r="5" spans="1:13">
      <c r="A5" s="701" t="s">
        <v>643</v>
      </c>
      <c r="B5" s="700">
        <v>8308.3000000000011</v>
      </c>
      <c r="C5" s="700">
        <v>0</v>
      </c>
      <c r="D5" s="700">
        <v>5234.2290000000012</v>
      </c>
      <c r="E5" s="700">
        <v>0</v>
      </c>
      <c r="F5" s="700">
        <v>0</v>
      </c>
      <c r="G5" s="700">
        <v>0</v>
      </c>
      <c r="H5" s="700">
        <v>0</v>
      </c>
      <c r="I5" s="700">
        <v>0</v>
      </c>
      <c r="J5" s="709">
        <v>20000</v>
      </c>
      <c r="K5" s="708">
        <v>33542.529000000002</v>
      </c>
      <c r="L5" s="707">
        <v>500000</v>
      </c>
      <c r="M5" s="714">
        <v>0.34170116000000011</v>
      </c>
    </row>
    <row r="6" spans="1:13">
      <c r="A6" s="619">
        <v>2012</v>
      </c>
      <c r="B6" s="682">
        <v>0</v>
      </c>
      <c r="C6" s="683">
        <v>0</v>
      </c>
      <c r="D6" s="683">
        <v>0</v>
      </c>
      <c r="E6" s="683">
        <v>0</v>
      </c>
      <c r="F6" s="683">
        <v>0</v>
      </c>
      <c r="G6" s="683">
        <v>0</v>
      </c>
      <c r="H6" s="683">
        <v>0</v>
      </c>
      <c r="I6" s="683">
        <v>0</v>
      </c>
      <c r="J6" s="684">
        <v>0</v>
      </c>
      <c r="K6" s="684">
        <v>0</v>
      </c>
      <c r="L6" s="703">
        <v>0</v>
      </c>
      <c r="M6" s="714">
        <v>-1</v>
      </c>
    </row>
    <row r="7" spans="1:13" ht="13.5" thickBot="1">
      <c r="A7" s="695">
        <v>2013</v>
      </c>
      <c r="B7" s="682">
        <v>0</v>
      </c>
      <c r="C7" s="683">
        <v>0</v>
      </c>
      <c r="D7" s="683">
        <v>0</v>
      </c>
      <c r="E7" s="683">
        <v>0</v>
      </c>
      <c r="F7" s="683">
        <v>0</v>
      </c>
      <c r="G7" s="683">
        <v>0</v>
      </c>
      <c r="H7" s="680">
        <v>0</v>
      </c>
      <c r="I7" s="680">
        <v>0</v>
      </c>
      <c r="J7" s="698">
        <v>0</v>
      </c>
      <c r="K7" s="684">
        <v>0</v>
      </c>
      <c r="L7" s="703">
        <v>0</v>
      </c>
      <c r="M7" s="714" t="e">
        <v>#DIV/0!</v>
      </c>
    </row>
    <row r="8" spans="1:13" ht="13.5" thickBot="1">
      <c r="A8" s="653" t="s">
        <v>153</v>
      </c>
      <c r="B8" s="696">
        <v>0</v>
      </c>
      <c r="C8" s="697">
        <v>0</v>
      </c>
      <c r="D8" s="697">
        <v>0</v>
      </c>
      <c r="E8" s="697">
        <v>0</v>
      </c>
      <c r="F8" s="697">
        <v>0</v>
      </c>
      <c r="G8" s="697">
        <v>0</v>
      </c>
      <c r="H8" s="697">
        <v>0</v>
      </c>
      <c r="I8" s="697">
        <v>0</v>
      </c>
      <c r="J8" s="699">
        <v>0</v>
      </c>
      <c r="K8" s="699">
        <v>0</v>
      </c>
      <c r="L8" s="706">
        <v>0</v>
      </c>
      <c r="M8" s="616"/>
    </row>
    <row r="9" spans="1:13" ht="20.25">
      <c r="A9" s="628"/>
      <c r="B9" s="660"/>
      <c r="C9" s="660"/>
      <c r="D9" s="660"/>
      <c r="E9" s="660"/>
      <c r="F9" s="671"/>
      <c r="G9" s="661"/>
      <c r="H9" s="661"/>
      <c r="I9" s="616"/>
      <c r="J9" s="616"/>
      <c r="K9" s="616"/>
      <c r="L9" s="616"/>
      <c r="M9" s="633"/>
    </row>
    <row r="10" spans="1:13" ht="18">
      <c r="A10" s="629" t="s">
        <v>701</v>
      </c>
      <c r="B10" s="671"/>
      <c r="C10" s="671"/>
      <c r="D10" s="671"/>
      <c r="E10" s="659"/>
      <c r="F10" s="659"/>
      <c r="G10" s="659"/>
      <c r="H10" s="659"/>
      <c r="I10" s="616"/>
      <c r="J10" s="616"/>
      <c r="K10" s="616"/>
      <c r="L10" s="616"/>
      <c r="M10" s="616"/>
    </row>
    <row r="11" spans="1:13" ht="18">
      <c r="A11" s="630"/>
      <c r="B11" s="691">
        <v>2012</v>
      </c>
      <c r="C11" s="692">
        <v>2013</v>
      </c>
      <c r="D11" s="693" t="s">
        <v>28</v>
      </c>
      <c r="E11" s="637"/>
      <c r="F11" s="637"/>
      <c r="G11" s="637"/>
      <c r="H11" s="656"/>
      <c r="I11" s="633"/>
      <c r="J11" s="633"/>
      <c r="K11" s="633"/>
      <c r="L11" s="704"/>
      <c r="M11" s="616"/>
    </row>
    <row r="12" spans="1:13">
      <c r="A12" s="627" t="s">
        <v>684</v>
      </c>
      <c r="B12" s="721">
        <v>0</v>
      </c>
      <c r="C12" s="718">
        <v>0</v>
      </c>
      <c r="D12" s="719">
        <v>0</v>
      </c>
      <c r="E12" s="637"/>
      <c r="F12" s="637"/>
      <c r="G12" s="637"/>
      <c r="H12" s="637"/>
      <c r="I12" s="649"/>
      <c r="J12" s="633"/>
      <c r="K12" s="616"/>
      <c r="L12" s="616"/>
      <c r="M12" s="616"/>
    </row>
    <row r="13" spans="1:13" ht="18">
      <c r="A13" s="630"/>
      <c r="B13" s="673"/>
      <c r="C13" s="618"/>
      <c r="D13" s="674"/>
      <c r="E13" s="637"/>
      <c r="F13" s="637"/>
      <c r="G13" s="637"/>
      <c r="H13" s="637"/>
      <c r="I13" s="650"/>
      <c r="J13" s="633"/>
      <c r="K13" s="616"/>
      <c r="L13" s="616"/>
      <c r="M13" s="616"/>
    </row>
    <row r="14" spans="1:13">
      <c r="A14" s="627" t="s">
        <v>648</v>
      </c>
      <c r="B14" s="675"/>
      <c r="C14" s="618"/>
      <c r="D14" s="674"/>
      <c r="E14" s="634"/>
      <c r="F14" s="634"/>
      <c r="G14" s="634"/>
      <c r="H14" s="637"/>
      <c r="I14" s="650"/>
      <c r="J14" s="616"/>
      <c r="K14" s="616"/>
      <c r="L14" s="616"/>
      <c r="M14" s="616"/>
    </row>
    <row r="15" spans="1:13">
      <c r="A15" s="636" t="s">
        <v>650</v>
      </c>
      <c r="B15" s="676">
        <v>0</v>
      </c>
      <c r="C15" s="715">
        <v>0</v>
      </c>
      <c r="D15" s="694">
        <v>0</v>
      </c>
      <c r="E15" s="657">
        <v>0</v>
      </c>
      <c r="F15" s="638" t="s">
        <v>651</v>
      </c>
      <c r="G15" s="635"/>
      <c r="H15" s="637"/>
      <c r="I15" s="650"/>
      <c r="J15" s="616"/>
      <c r="K15" s="616"/>
      <c r="L15" s="616"/>
      <c r="M15" s="616"/>
    </row>
    <row r="16" spans="1:13">
      <c r="A16" s="636" t="s">
        <v>653</v>
      </c>
      <c r="B16" s="676">
        <v>0</v>
      </c>
      <c r="C16" s="715">
        <v>0</v>
      </c>
      <c r="D16" s="694">
        <v>0</v>
      </c>
      <c r="E16" s="657">
        <v>0</v>
      </c>
      <c r="F16" s="638" t="s">
        <v>651</v>
      </c>
      <c r="G16" s="635"/>
      <c r="H16" s="637"/>
      <c r="I16" s="626"/>
      <c r="J16" s="616"/>
      <c r="K16" s="616"/>
      <c r="L16" s="616"/>
      <c r="M16" s="616"/>
    </row>
    <row r="17" spans="1:12">
      <c r="A17" s="636" t="s">
        <v>655</v>
      </c>
      <c r="B17" s="676">
        <v>0</v>
      </c>
      <c r="C17" s="715">
        <v>0</v>
      </c>
      <c r="D17" s="694">
        <v>0</v>
      </c>
      <c r="E17" s="657">
        <v>0</v>
      </c>
      <c r="F17" s="638" t="s">
        <v>651</v>
      </c>
      <c r="G17" s="635"/>
      <c r="H17" s="637"/>
      <c r="I17" s="626"/>
      <c r="J17" s="616"/>
      <c r="K17" s="616"/>
      <c r="L17" s="705"/>
    </row>
    <row r="18" spans="1:12">
      <c r="A18" s="636"/>
      <c r="B18" s="677"/>
      <c r="C18" s="618"/>
      <c r="D18" s="674"/>
      <c r="E18" s="635"/>
      <c r="F18" s="635"/>
      <c r="G18" s="635"/>
      <c r="H18" s="637"/>
      <c r="I18" s="626"/>
      <c r="J18" s="616"/>
      <c r="K18" s="616"/>
      <c r="L18" s="616"/>
    </row>
    <row r="19" spans="1:12">
      <c r="A19" s="627" t="s">
        <v>481</v>
      </c>
      <c r="B19" s="675"/>
      <c r="C19" s="618"/>
      <c r="D19" s="674"/>
      <c r="E19" s="634"/>
      <c r="F19" s="634"/>
      <c r="G19" s="634"/>
      <c r="H19" s="637"/>
      <c r="I19" s="626"/>
      <c r="J19" s="616"/>
      <c r="K19" s="616"/>
      <c r="L19" s="616"/>
    </row>
    <row r="20" spans="1:12">
      <c r="A20" s="616" t="s">
        <v>656</v>
      </c>
      <c r="B20" s="685">
        <v>0</v>
      </c>
      <c r="C20" s="715">
        <v>0</v>
      </c>
      <c r="D20" s="694">
        <v>0</v>
      </c>
      <c r="E20" s="662"/>
      <c r="F20" s="662"/>
      <c r="G20" s="662"/>
      <c r="H20" s="637"/>
      <c r="I20" s="626"/>
      <c r="J20" s="616"/>
      <c r="K20" s="616"/>
      <c r="L20" s="616"/>
    </row>
    <row r="21" spans="1:12">
      <c r="A21" s="636" t="s">
        <v>657</v>
      </c>
      <c r="B21" s="685">
        <v>0</v>
      </c>
      <c r="C21" s="715">
        <v>0</v>
      </c>
      <c r="D21" s="694">
        <v>0</v>
      </c>
      <c r="E21" s="616"/>
      <c r="F21" s="634"/>
      <c r="G21" s="634"/>
      <c r="H21" s="637"/>
      <c r="I21" s="655"/>
      <c r="J21" s="616"/>
      <c r="K21" s="616"/>
      <c r="L21" s="616"/>
    </row>
    <row r="22" spans="1:12">
      <c r="A22" s="636" t="s">
        <v>658</v>
      </c>
      <c r="B22" s="685">
        <v>0</v>
      </c>
      <c r="C22" s="715">
        <v>0</v>
      </c>
      <c r="D22" s="694">
        <v>0</v>
      </c>
      <c r="E22" s="634"/>
      <c r="F22" s="634"/>
      <c r="G22" s="663"/>
      <c r="H22" s="616"/>
      <c r="I22" s="625"/>
      <c r="J22" s="616"/>
      <c r="K22" s="616"/>
      <c r="L22" s="616"/>
    </row>
    <row r="23" spans="1:12">
      <c r="A23" s="636" t="s">
        <v>660</v>
      </c>
      <c r="B23" s="685">
        <v>0</v>
      </c>
      <c r="C23" s="715">
        <v>0</v>
      </c>
      <c r="D23" s="694">
        <v>0</v>
      </c>
      <c r="E23" s="634"/>
      <c r="F23" s="634"/>
      <c r="G23" s="663"/>
      <c r="H23" s="637"/>
      <c r="I23" s="669"/>
      <c r="J23" s="616"/>
      <c r="K23" s="616"/>
      <c r="L23" s="616"/>
    </row>
    <row r="24" spans="1:12">
      <c r="A24" s="616"/>
      <c r="B24" s="678">
        <v>0</v>
      </c>
      <c r="C24" s="647">
        <v>0</v>
      </c>
      <c r="D24" s="720">
        <v>0</v>
      </c>
      <c r="E24" s="634"/>
      <c r="F24" s="634"/>
      <c r="G24" s="663"/>
      <c r="H24" s="653"/>
      <c r="I24" s="667"/>
      <c r="J24" s="651"/>
      <c r="K24" s="616"/>
      <c r="L24" s="616"/>
    </row>
    <row r="25" spans="1:12">
      <c r="A25" s="618"/>
      <c r="B25" s="687"/>
      <c r="C25" s="618"/>
      <c r="D25" s="674"/>
      <c r="E25" s="634"/>
      <c r="F25" s="634"/>
      <c r="G25" s="663"/>
      <c r="H25" s="653"/>
      <c r="I25" s="658"/>
      <c r="J25" s="654"/>
      <c r="K25" s="616"/>
      <c r="L25" s="616"/>
    </row>
    <row r="26" spans="1:12">
      <c r="A26" s="627" t="s">
        <v>649</v>
      </c>
      <c r="B26" s="678">
        <v>0</v>
      </c>
      <c r="C26" s="672">
        <v>0</v>
      </c>
      <c r="D26" s="720">
        <v>0</v>
      </c>
      <c r="E26" s="634"/>
      <c r="F26" s="634"/>
      <c r="G26" s="663"/>
      <c r="H26" s="653"/>
      <c r="I26" s="658"/>
      <c r="J26" s="654"/>
      <c r="K26" s="616"/>
      <c r="L26" s="616"/>
    </row>
    <row r="27" spans="1:12">
      <c r="A27" s="618"/>
      <c r="B27" s="687"/>
      <c r="C27" s="618"/>
      <c r="D27" s="674"/>
      <c r="E27" s="634"/>
      <c r="F27" s="634"/>
      <c r="G27" s="663"/>
      <c r="H27" s="652"/>
      <c r="I27" s="668"/>
      <c r="J27" s="616"/>
      <c r="K27" s="616"/>
      <c r="L27" s="616"/>
    </row>
    <row r="28" spans="1:12">
      <c r="A28" s="621" t="s">
        <v>652</v>
      </c>
      <c r="B28" s="687"/>
      <c r="C28" s="618"/>
      <c r="D28" s="674"/>
      <c r="E28" s="663"/>
      <c r="F28" s="663"/>
      <c r="G28" s="663"/>
      <c r="H28" s="637"/>
      <c r="I28" s="616"/>
      <c r="J28" s="616"/>
      <c r="K28" s="616"/>
      <c r="L28" s="616"/>
    </row>
    <row r="29" spans="1:12">
      <c r="A29" s="616" t="s">
        <v>661</v>
      </c>
      <c r="B29" s="687">
        <v>0</v>
      </c>
      <c r="C29" s="715">
        <v>0</v>
      </c>
      <c r="D29" s="694">
        <v>0</v>
      </c>
      <c r="E29" s="663"/>
      <c r="F29" s="663"/>
      <c r="G29" s="663"/>
      <c r="H29" s="637"/>
      <c r="I29" s="616"/>
      <c r="J29" s="616"/>
      <c r="K29" s="616"/>
      <c r="L29" s="616"/>
    </row>
    <row r="30" spans="1:12">
      <c r="A30" s="616" t="s">
        <v>662</v>
      </c>
      <c r="B30" s="687">
        <v>0</v>
      </c>
      <c r="C30" s="715">
        <v>0</v>
      </c>
      <c r="D30" s="694">
        <v>0</v>
      </c>
      <c r="E30" s="663"/>
      <c r="F30" s="663"/>
      <c r="G30" s="663"/>
      <c r="H30" s="637"/>
      <c r="I30" s="616"/>
      <c r="J30" s="616"/>
      <c r="K30" s="616"/>
      <c r="L30" s="616"/>
    </row>
    <row r="31" spans="1:12">
      <c r="A31" s="618" t="s">
        <v>663</v>
      </c>
      <c r="B31" s="687">
        <v>0</v>
      </c>
      <c r="C31" s="715">
        <v>0</v>
      </c>
      <c r="D31" s="694">
        <v>0</v>
      </c>
      <c r="E31" s="663"/>
      <c r="F31" s="663"/>
      <c r="G31" s="663"/>
      <c r="H31" s="637"/>
      <c r="I31" s="616"/>
      <c r="J31" s="616"/>
      <c r="K31" s="616"/>
      <c r="L31" s="616"/>
    </row>
    <row r="32" spans="1:12">
      <c r="A32" s="621" t="s">
        <v>664</v>
      </c>
      <c r="B32" s="679">
        <v>0</v>
      </c>
      <c r="C32" s="639">
        <v>0</v>
      </c>
      <c r="D32" s="720">
        <v>0</v>
      </c>
      <c r="E32" s="663"/>
      <c r="F32" s="663"/>
      <c r="G32" s="663"/>
      <c r="H32" s="637"/>
      <c r="I32" s="616"/>
      <c r="J32" s="616"/>
      <c r="K32" s="616"/>
      <c r="L32" s="616"/>
    </row>
    <row r="33" spans="1:8">
      <c r="A33" s="618"/>
      <c r="B33" s="687"/>
      <c r="C33" s="618"/>
      <c r="D33" s="674"/>
      <c r="E33" s="663"/>
      <c r="F33" s="663"/>
      <c r="G33" s="663"/>
      <c r="H33" s="637"/>
    </row>
    <row r="34" spans="1:8">
      <c r="A34" s="621" t="s">
        <v>654</v>
      </c>
      <c r="B34" s="679">
        <v>0</v>
      </c>
      <c r="C34" s="716">
        <v>0</v>
      </c>
      <c r="D34" s="720">
        <v>0</v>
      </c>
      <c r="E34" s="663"/>
      <c r="F34" s="663"/>
      <c r="G34" s="663"/>
      <c r="H34" s="637"/>
    </row>
    <row r="35" spans="1:8">
      <c r="A35" s="618"/>
      <c r="B35" s="687"/>
      <c r="C35" s="618"/>
      <c r="D35" s="674"/>
      <c r="E35" s="663"/>
      <c r="F35" s="664"/>
      <c r="G35" s="663"/>
      <c r="H35" s="637"/>
    </row>
    <row r="36" spans="1:8">
      <c r="A36" s="4429" t="s">
        <v>1438</v>
      </c>
      <c r="B36" s="679">
        <v>0</v>
      </c>
      <c r="C36" s="639">
        <v>0</v>
      </c>
      <c r="D36" s="720">
        <v>0</v>
      </c>
      <c r="E36" s="663"/>
      <c r="F36" s="664"/>
      <c r="G36" s="663"/>
      <c r="H36" s="637"/>
    </row>
    <row r="37" spans="1:8">
      <c r="A37" s="618"/>
      <c r="B37" s="687"/>
      <c r="C37" s="664"/>
      <c r="D37" s="688"/>
      <c r="E37" s="663"/>
      <c r="F37" s="617"/>
      <c r="G37" s="663"/>
      <c r="H37" s="631"/>
    </row>
    <row r="38" spans="1:8">
      <c r="A38" s="619" t="s">
        <v>14</v>
      </c>
      <c r="B38" s="687"/>
      <c r="C38" s="664"/>
      <c r="D38" s="688"/>
      <c r="E38" s="663"/>
      <c r="F38" s="617"/>
      <c r="G38" s="663"/>
      <c r="H38" s="631"/>
    </row>
    <row r="39" spans="1:8">
      <c r="A39" s="646" t="s">
        <v>699</v>
      </c>
      <c r="B39" s="685">
        <v>0</v>
      </c>
      <c r="C39" s="665"/>
      <c r="D39" s="686">
        <v>0</v>
      </c>
      <c r="E39" s="663"/>
      <c r="F39" s="617"/>
      <c r="G39" s="663"/>
      <c r="H39" s="631"/>
    </row>
    <row r="40" spans="1:8">
      <c r="A40" s="642" t="s">
        <v>672</v>
      </c>
      <c r="B40" s="678">
        <v>0</v>
      </c>
      <c r="C40" s="647"/>
      <c r="D40" s="686">
        <v>0</v>
      </c>
      <c r="E40" s="663"/>
      <c r="F40" s="617"/>
      <c r="G40" s="663"/>
      <c r="H40" s="631"/>
    </row>
    <row r="41" spans="1:8" ht="13.5" thickBot="1">
      <c r="A41" s="632"/>
      <c r="B41" s="685"/>
      <c r="C41" s="665"/>
      <c r="D41" s="686"/>
      <c r="E41" s="663"/>
      <c r="F41" s="617"/>
      <c r="G41" s="663"/>
      <c r="H41" s="631"/>
    </row>
    <row r="42" spans="1:8" ht="13.5" thickBot="1">
      <c r="A42" s="642" t="s">
        <v>673</v>
      </c>
      <c r="B42" s="681">
        <v>0</v>
      </c>
      <c r="C42" s="689">
        <v>0</v>
      </c>
      <c r="D42" s="690">
        <v>0</v>
      </c>
      <c r="E42" s="663"/>
      <c r="F42" s="617"/>
      <c r="G42" s="663"/>
      <c r="H42" s="631"/>
    </row>
    <row r="43" spans="1:8">
      <c r="A43" s="620"/>
      <c r="B43" s="665"/>
      <c r="C43" s="665"/>
      <c r="D43" s="665"/>
      <c r="E43" s="663"/>
      <c r="F43" s="617"/>
      <c r="G43" s="663"/>
      <c r="H43" s="631"/>
    </row>
    <row r="44" spans="1:8">
      <c r="A44" s="616"/>
      <c r="B44" s="670">
        <v>2012</v>
      </c>
      <c r="C44" s="670">
        <v>2013</v>
      </c>
      <c r="D44" s="670" t="s">
        <v>28</v>
      </c>
      <c r="E44" s="616"/>
      <c r="F44" s="617"/>
      <c r="G44" s="663"/>
      <c r="H44" s="631"/>
    </row>
    <row r="45" spans="1:8">
      <c r="A45" s="621" t="s">
        <v>674</v>
      </c>
      <c r="B45" s="648">
        <v>0</v>
      </c>
      <c r="C45" s="648">
        <v>0</v>
      </c>
      <c r="D45" s="648">
        <v>0</v>
      </c>
      <c r="E45" s="647" t="s">
        <v>675</v>
      </c>
      <c r="F45" s="664"/>
      <c r="G45" s="663"/>
      <c r="H45" s="631"/>
    </row>
    <row r="46" spans="1:8">
      <c r="A46" s="616"/>
      <c r="B46" s="666"/>
      <c r="C46" s="666"/>
      <c r="D46" s="666"/>
      <c r="E46" s="640"/>
      <c r="F46" s="664"/>
      <c r="G46" s="663"/>
      <c r="H46" s="631"/>
    </row>
    <row r="47" spans="1:8">
      <c r="A47" s="669" t="s">
        <v>680</v>
      </c>
      <c r="B47" s="717" t="e">
        <v>#DIV/0!</v>
      </c>
      <c r="C47" s="717" t="e">
        <v>#DIV/0!</v>
      </c>
      <c r="D47" s="666"/>
      <c r="E47" s="640"/>
      <c r="F47" s="664"/>
      <c r="G47" s="663"/>
      <c r="H47" s="631"/>
    </row>
    <row r="48" spans="1:8">
      <c r="A48" s="616"/>
      <c r="B48" s="666"/>
      <c r="C48" s="666"/>
      <c r="D48" s="666"/>
      <c r="E48" s="640"/>
      <c r="F48" s="664"/>
      <c r="G48" s="663"/>
      <c r="H48" s="631"/>
    </row>
    <row r="49" spans="1:9">
      <c r="A49" s="616"/>
      <c r="B49" s="666"/>
      <c r="C49" s="666"/>
      <c r="D49" s="666"/>
      <c r="E49" s="640"/>
      <c r="F49" s="664"/>
      <c r="G49" s="663"/>
      <c r="H49" s="631"/>
      <c r="I49" s="616"/>
    </row>
    <row r="50" spans="1:9">
      <c r="A50" s="619"/>
      <c r="B50" s="616"/>
      <c r="C50" s="616"/>
      <c r="D50" s="616"/>
      <c r="E50" s="616"/>
      <c r="F50" s="664"/>
      <c r="G50" s="665"/>
      <c r="H50" s="641"/>
      <c r="I50" s="620"/>
    </row>
    <row r="51" spans="1:9" ht="20.25">
      <c r="A51" s="628"/>
      <c r="B51" s="665"/>
      <c r="C51" s="665"/>
      <c r="D51" s="665"/>
      <c r="E51" s="643"/>
      <c r="F51" s="664"/>
      <c r="G51" s="643"/>
      <c r="H51" s="643"/>
      <c r="I51" s="620"/>
    </row>
    <row r="52" spans="1:9">
      <c r="A52" s="616"/>
      <c r="B52" s="643"/>
      <c r="C52" s="643"/>
      <c r="D52" s="643"/>
      <c r="E52" s="643"/>
      <c r="F52" s="663"/>
      <c r="G52" s="643"/>
      <c r="H52" s="643"/>
      <c r="I52" s="620"/>
    </row>
    <row r="53" spans="1:9">
      <c r="A53" s="616"/>
      <c r="B53" s="643"/>
      <c r="C53" s="643"/>
      <c r="D53" s="643"/>
      <c r="E53" s="665"/>
      <c r="F53" s="663"/>
      <c r="G53" s="643"/>
      <c r="H53" s="643"/>
      <c r="I53" s="620"/>
    </row>
    <row r="54" spans="1:9" ht="15.75">
      <c r="A54" s="644"/>
      <c r="B54" s="645"/>
      <c r="C54" s="645"/>
      <c r="D54" s="645"/>
      <c r="E54" s="665"/>
      <c r="F54" s="663"/>
      <c r="G54" s="643"/>
      <c r="H54" s="643"/>
      <c r="I54" s="620"/>
    </row>
    <row r="55" spans="1:9">
      <c r="A55" s="620"/>
      <c r="B55" s="620"/>
      <c r="C55" s="620"/>
      <c r="D55" s="620"/>
      <c r="E55" s="665"/>
      <c r="F55" s="663"/>
      <c r="G55" s="643"/>
      <c r="H55" s="643"/>
      <c r="I55" s="620"/>
    </row>
    <row r="56" spans="1:9">
      <c r="A56" s="616"/>
      <c r="B56" s="616"/>
      <c r="C56" s="616"/>
      <c r="D56" s="616"/>
      <c r="E56" s="665"/>
      <c r="F56" s="665"/>
      <c r="G56" s="643"/>
      <c r="H56" s="643"/>
      <c r="I56" s="620"/>
    </row>
    <row r="57" spans="1:9">
      <c r="A57" s="616"/>
      <c r="B57" s="616"/>
      <c r="C57" s="616"/>
      <c r="D57" s="616"/>
      <c r="E57" s="665"/>
      <c r="F57" s="643"/>
      <c r="G57" s="665"/>
      <c r="H57" s="643"/>
      <c r="I57" s="620"/>
    </row>
    <row r="58" spans="1:9">
      <c r="A58" s="616"/>
      <c r="B58" s="616"/>
      <c r="C58" s="616"/>
      <c r="D58" s="616"/>
      <c r="E58" s="665"/>
      <c r="F58" s="643"/>
      <c r="G58" s="665"/>
      <c r="H58" s="641"/>
      <c r="I58" s="620"/>
    </row>
    <row r="59" spans="1:9">
      <c r="A59" s="616"/>
      <c r="B59" s="616"/>
      <c r="C59" s="616"/>
      <c r="D59" s="616"/>
      <c r="E59" s="616"/>
      <c r="F59" s="643"/>
      <c r="G59" s="665"/>
      <c r="H59" s="641"/>
      <c r="I59" s="620"/>
    </row>
    <row r="60" spans="1:9">
      <c r="A60" s="616"/>
      <c r="B60" s="616"/>
      <c r="C60" s="616"/>
      <c r="D60" s="616"/>
      <c r="E60" s="616"/>
      <c r="F60" s="643"/>
      <c r="G60" s="665"/>
      <c r="H60" s="641"/>
      <c r="I60" s="620"/>
    </row>
    <row r="61" spans="1:9">
      <c r="A61" s="616"/>
      <c r="B61" s="616"/>
      <c r="C61" s="616"/>
      <c r="D61" s="616"/>
      <c r="E61" s="616"/>
      <c r="F61" s="643"/>
      <c r="G61" s="665"/>
      <c r="H61" s="641"/>
      <c r="I61" s="620"/>
    </row>
    <row r="62" spans="1:9">
      <c r="A62" s="616"/>
      <c r="B62" s="616"/>
      <c r="C62" s="616"/>
      <c r="D62" s="616"/>
      <c r="E62" s="616"/>
      <c r="F62" s="643"/>
      <c r="G62" s="665"/>
      <c r="H62" s="641"/>
      <c r="I62" s="620"/>
    </row>
    <row r="63" spans="1:9">
      <c r="A63" s="616"/>
      <c r="B63" s="616"/>
      <c r="C63" s="616"/>
      <c r="D63" s="616"/>
      <c r="E63" s="616"/>
      <c r="F63" s="665"/>
      <c r="G63" s="665"/>
      <c r="H63" s="641"/>
      <c r="I63" s="620"/>
    </row>
    <row r="64" spans="1:9">
      <c r="A64" s="616"/>
      <c r="B64" s="616"/>
      <c r="C64" s="616"/>
      <c r="D64" s="616"/>
      <c r="E64" s="616"/>
      <c r="F64" s="665"/>
      <c r="G64" s="665"/>
      <c r="H64" s="641"/>
      <c r="I64" s="620"/>
    </row>
    <row r="65" spans="5:9">
      <c r="E65" s="643"/>
      <c r="F65" s="665"/>
      <c r="G65" s="665"/>
      <c r="H65" s="641"/>
      <c r="I65" s="620"/>
    </row>
    <row r="66" spans="5:9">
      <c r="E66" s="643"/>
      <c r="F66" s="665"/>
      <c r="G66" s="643"/>
      <c r="H66" s="643"/>
      <c r="I66" s="620"/>
    </row>
    <row r="67" spans="5:9">
      <c r="E67" s="643"/>
      <c r="F67" s="665"/>
      <c r="G67" s="643"/>
      <c r="H67" s="643"/>
      <c r="I67" s="620"/>
    </row>
    <row r="68" spans="5:9" ht="15.75">
      <c r="E68" s="645"/>
      <c r="F68" s="665"/>
      <c r="G68" s="643"/>
      <c r="H68" s="643"/>
      <c r="I68" s="620"/>
    </row>
    <row r="69" spans="5:9">
      <c r="E69" s="620"/>
      <c r="F69" s="665"/>
      <c r="G69" s="643"/>
      <c r="H69" s="643"/>
      <c r="I69" s="620"/>
    </row>
    <row r="70" spans="5:9">
      <c r="E70" s="616"/>
      <c r="F70" s="665"/>
      <c r="G70" s="643"/>
      <c r="H70" s="643"/>
      <c r="I70" s="620"/>
    </row>
    <row r="71" spans="5:9">
      <c r="E71" s="616"/>
      <c r="F71" s="665"/>
      <c r="G71" s="643"/>
      <c r="H71" s="643"/>
      <c r="I71" s="620"/>
    </row>
    <row r="72" spans="5:9" ht="15.75">
      <c r="E72" s="616"/>
      <c r="F72" s="643"/>
      <c r="G72" s="645"/>
      <c r="H72" s="645"/>
      <c r="I72" s="620"/>
    </row>
    <row r="73" spans="5:9">
      <c r="E73" s="616"/>
      <c r="F73" s="643"/>
      <c r="G73" s="620"/>
      <c r="H73" s="620"/>
      <c r="I73" s="620"/>
    </row>
    <row r="74" spans="5:9">
      <c r="E74" s="616"/>
      <c r="F74" s="643"/>
      <c r="G74" s="616"/>
      <c r="H74" s="616"/>
      <c r="I74" s="616"/>
    </row>
    <row r="75" spans="5:9">
      <c r="E75" s="616"/>
      <c r="F75" s="643"/>
      <c r="G75" s="616"/>
      <c r="H75" s="616"/>
      <c r="I75" s="616"/>
    </row>
    <row r="76" spans="5:9">
      <c r="E76" s="616"/>
      <c r="F76" s="643"/>
      <c r="G76" s="616"/>
      <c r="H76" s="616"/>
      <c r="I76" s="616"/>
    </row>
    <row r="77" spans="5:9">
      <c r="E77" s="616"/>
      <c r="F77" s="643"/>
      <c r="G77" s="616"/>
      <c r="H77" s="616"/>
      <c r="I77" s="616"/>
    </row>
    <row r="78" spans="5:9" ht="15.75">
      <c r="E78" s="616"/>
      <c r="F78" s="645"/>
      <c r="G78" s="616"/>
      <c r="H78" s="616"/>
      <c r="I78" s="616"/>
    </row>
    <row r="79" spans="5:9">
      <c r="E79" s="616"/>
      <c r="F79" s="620"/>
      <c r="G79" s="616"/>
      <c r="H79" s="616"/>
      <c r="I79" s="616"/>
    </row>
  </sheetData>
  <customSheetViews>
    <customSheetView guid="{074EB09C-6289-46D7-9513-012B68BCA7BF}" fitToPage="1">
      <selection activeCell="A3" sqref="A3"/>
      <pageMargins left="0.25" right="0.35" top="0.32" bottom="0.75" header="0.3" footer="0.3"/>
      <pageSetup paperSize="17" scale="80" orientation="landscape" r:id="rId1"/>
    </customSheetView>
    <customSheetView guid="{AF9F1D33-B8C2-423F-86A1-47612B8F532C}" fitToPage="1" topLeftCell="A13">
      <selection activeCell="B36" sqref="B36"/>
      <pageMargins left="0.7" right="0.7" top="0.75" bottom="0.75" header="0.3" footer="0.3"/>
      <pageSetup paperSize="17" scale="80" orientation="landscape"/>
    </customSheetView>
  </customSheetViews>
  <hyperlinks>
    <hyperlink ref="A3" location="'2) Sector View Electric'!A1" display="Back to Rollup"/>
  </hyperlinks>
  <pageMargins left="0.25" right="0.35" top="0.32" bottom="0.75" header="0.3" footer="0.3"/>
  <pageSetup paperSize="17" scale="79" orientation="landscape" r:id="rId2"/>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sheetPr enableFormatConditionsCalculation="0">
    <pageSetUpPr fitToPage="1"/>
  </sheetPr>
  <dimension ref="A1:N82"/>
  <sheetViews>
    <sheetView zoomScaleNormal="100" workbookViewId="0">
      <pane xSplit="1" ySplit="1" topLeftCell="B2" activePane="bottomRight" state="frozen"/>
      <selection pane="topRight" activeCell="B1" sqref="B1"/>
      <selection pane="bottomLeft" activeCell="A2" sqref="A2"/>
      <selection pane="bottomRight" activeCell="B4" sqref="B4"/>
    </sheetView>
  </sheetViews>
  <sheetFormatPr defaultColWidth="98" defaultRowHeight="12.75"/>
  <cols>
    <col min="1" max="1" width="15.28515625" style="3064" customWidth="1"/>
    <col min="2" max="2" width="59.42578125" customWidth="1"/>
    <col min="3" max="3" width="19.42578125" customWidth="1"/>
    <col min="4" max="4" width="18.85546875" customWidth="1"/>
    <col min="5" max="5" width="22" customWidth="1"/>
    <col min="6" max="6" width="23" customWidth="1"/>
    <col min="7" max="7" width="20.42578125" customWidth="1"/>
    <col min="8" max="8" width="21.85546875" customWidth="1"/>
    <col min="9" max="9" width="23.140625" customWidth="1"/>
    <col min="10" max="10" width="24.140625" customWidth="1"/>
    <col min="11" max="11" width="23.42578125" customWidth="1"/>
    <col min="12" max="12" width="21.42578125" customWidth="1"/>
    <col min="13" max="13" width="19.42578125" customWidth="1"/>
    <col min="14" max="14" width="24.7109375" customWidth="1"/>
  </cols>
  <sheetData>
    <row r="1" spans="2:14" ht="45" customHeight="1">
      <c r="B1" s="728" t="s">
        <v>703</v>
      </c>
      <c r="C1" s="740"/>
      <c r="D1" s="740"/>
      <c r="E1" s="740"/>
      <c r="F1" s="740"/>
      <c r="G1" s="748"/>
      <c r="H1" s="741"/>
      <c r="I1" s="741"/>
      <c r="J1" s="722"/>
      <c r="K1" s="722"/>
      <c r="L1" s="722"/>
      <c r="M1" s="722"/>
      <c r="N1" s="722"/>
    </row>
    <row r="2" spans="2:14" ht="20.25">
      <c r="B2" s="728"/>
      <c r="C2" s="740"/>
      <c r="D2" s="740"/>
      <c r="E2" s="740"/>
      <c r="F2" s="740"/>
      <c r="G2" s="748"/>
      <c r="H2" s="741"/>
      <c r="I2" s="741"/>
      <c r="J2" s="722"/>
      <c r="K2" s="722"/>
      <c r="L2" s="722"/>
      <c r="M2" s="722"/>
      <c r="N2" s="722"/>
    </row>
    <row r="3" spans="2:14" ht="25.5">
      <c r="B3" s="3464"/>
      <c r="C3" s="726" t="s">
        <v>9</v>
      </c>
      <c r="D3" s="726" t="s">
        <v>10</v>
      </c>
      <c r="E3" s="726" t="s">
        <v>640</v>
      </c>
      <c r="F3" s="726" t="s">
        <v>12</v>
      </c>
      <c r="G3" s="726" t="s">
        <v>13</v>
      </c>
      <c r="H3" s="726" t="s">
        <v>14</v>
      </c>
      <c r="I3" s="726" t="s">
        <v>15</v>
      </c>
      <c r="J3" s="726" t="s">
        <v>16</v>
      </c>
      <c r="K3" s="726" t="s">
        <v>641</v>
      </c>
      <c r="L3" s="726" t="s">
        <v>18</v>
      </c>
      <c r="M3" s="758" t="s">
        <v>114</v>
      </c>
      <c r="N3" s="727" t="s">
        <v>19</v>
      </c>
    </row>
    <row r="4" spans="2:14" ht="25.5">
      <c r="B4" s="767" t="s">
        <v>642</v>
      </c>
      <c r="C4" s="765"/>
      <c r="D4" s="765"/>
      <c r="E4" s="765"/>
      <c r="F4" s="765"/>
      <c r="G4" s="765"/>
      <c r="H4" s="765"/>
      <c r="I4" s="765"/>
      <c r="J4" s="765"/>
      <c r="K4" s="766"/>
      <c r="L4" s="766">
        <v>416667</v>
      </c>
      <c r="M4" s="766"/>
      <c r="N4" s="768" t="s">
        <v>21</v>
      </c>
    </row>
    <row r="5" spans="2:14">
      <c r="B5" s="757" t="s">
        <v>643</v>
      </c>
      <c r="C5" s="756">
        <v>83083</v>
      </c>
      <c r="D5" s="756">
        <v>0</v>
      </c>
      <c r="E5" s="756">
        <v>52342.29</v>
      </c>
      <c r="F5" s="756">
        <v>0</v>
      </c>
      <c r="G5" s="756">
        <v>0</v>
      </c>
      <c r="H5" s="756">
        <v>178300</v>
      </c>
      <c r="I5" s="756">
        <v>0</v>
      </c>
      <c r="J5" s="756">
        <v>0</v>
      </c>
      <c r="K5" s="764">
        <v>6255000</v>
      </c>
      <c r="L5" s="763">
        <v>6568725.29</v>
      </c>
      <c r="M5" s="762">
        <v>13900000</v>
      </c>
      <c r="N5" s="769">
        <v>14.764928084057534</v>
      </c>
    </row>
    <row r="6" spans="2:14">
      <c r="B6" s="724">
        <v>2012</v>
      </c>
      <c r="C6" s="750">
        <f>C17</f>
        <v>336550</v>
      </c>
      <c r="D6" s="751">
        <f>C21</f>
        <v>0</v>
      </c>
      <c r="E6" s="751">
        <f>C39</f>
        <v>212000</v>
      </c>
      <c r="F6" s="751">
        <f>C37</f>
        <v>0</v>
      </c>
      <c r="G6" s="751">
        <f>C27</f>
        <v>0</v>
      </c>
      <c r="H6" s="751">
        <f>C44</f>
        <v>0</v>
      </c>
      <c r="I6" s="751">
        <f>C35</f>
        <v>0</v>
      </c>
      <c r="J6" s="751">
        <f>C29</f>
        <v>0</v>
      </c>
      <c r="K6" s="752">
        <f>C13</f>
        <v>4620000</v>
      </c>
      <c r="L6" s="752">
        <f>SUM(C6:K6)</f>
        <v>5168550</v>
      </c>
      <c r="M6" s="759">
        <f>C52</f>
        <v>16500000</v>
      </c>
      <c r="N6" s="769">
        <v>-0.1853198659187649</v>
      </c>
    </row>
    <row r="7" spans="2:14" s="3532" customFormat="1">
      <c r="B7" s="4262" t="s">
        <v>1168</v>
      </c>
      <c r="C7" s="1193">
        <v>336550</v>
      </c>
      <c r="D7" s="1194">
        <v>0</v>
      </c>
      <c r="E7" s="1194">
        <v>212000</v>
      </c>
      <c r="F7" s="1194">
        <v>0</v>
      </c>
      <c r="G7" s="1194">
        <v>0</v>
      </c>
      <c r="H7" s="1194">
        <v>0</v>
      </c>
      <c r="I7" s="4258">
        <v>0</v>
      </c>
      <c r="J7" s="4258">
        <v>0</v>
      </c>
      <c r="K7" s="4259">
        <v>4620000</v>
      </c>
      <c r="L7" s="1195">
        <v>5168550</v>
      </c>
      <c r="M7" s="2933">
        <v>16500000</v>
      </c>
      <c r="N7" s="1214"/>
    </row>
    <row r="8" spans="2:14" ht="13.5" thickBot="1">
      <c r="B8" s="4261" t="s">
        <v>1169</v>
      </c>
      <c r="C8" s="4208">
        <f>D17</f>
        <v>321350</v>
      </c>
      <c r="D8" s="4209">
        <f>D21</f>
        <v>0</v>
      </c>
      <c r="E8" s="4209">
        <f>D39</f>
        <v>227200</v>
      </c>
      <c r="F8" s="4209">
        <f>D37</f>
        <v>0</v>
      </c>
      <c r="G8" s="4209">
        <f>D27</f>
        <v>0</v>
      </c>
      <c r="H8" s="4209">
        <f>D44</f>
        <v>0</v>
      </c>
      <c r="I8" s="4210">
        <f>D35</f>
        <v>0</v>
      </c>
      <c r="J8" s="4210">
        <f>D29</f>
        <v>0</v>
      </c>
      <c r="K8" s="4211">
        <f>D13</f>
        <v>3640000</v>
      </c>
      <c r="L8" s="4212">
        <f>SUM(C8:K8)</f>
        <v>4188550</v>
      </c>
      <c r="M8" s="4213">
        <f>G52</f>
        <v>13000000</v>
      </c>
      <c r="N8" s="769">
        <v>0</v>
      </c>
    </row>
    <row r="9" spans="2:14" ht="13.5" thickBot="1">
      <c r="B9" s="4260" t="s">
        <v>1172</v>
      </c>
      <c r="C9" s="4214">
        <f>SUM(C6+C8)</f>
        <v>657900</v>
      </c>
      <c r="D9" s="4214">
        <f t="shared" ref="D9:M9" si="0">SUM(D6+D8)</f>
        <v>0</v>
      </c>
      <c r="E9" s="4214">
        <f t="shared" si="0"/>
        <v>439200</v>
      </c>
      <c r="F9" s="4214">
        <f t="shared" si="0"/>
        <v>0</v>
      </c>
      <c r="G9" s="4214">
        <f t="shared" si="0"/>
        <v>0</v>
      </c>
      <c r="H9" s="4214">
        <f t="shared" si="0"/>
        <v>0</v>
      </c>
      <c r="I9" s="4214">
        <f t="shared" si="0"/>
        <v>0</v>
      </c>
      <c r="J9" s="4214">
        <f t="shared" si="0"/>
        <v>0</v>
      </c>
      <c r="K9" s="4214">
        <f t="shared" si="0"/>
        <v>8260000</v>
      </c>
      <c r="L9" s="4214">
        <f t="shared" si="0"/>
        <v>9357100</v>
      </c>
      <c r="M9" s="2933">
        <f t="shared" si="0"/>
        <v>29500000</v>
      </c>
      <c r="N9" s="722"/>
    </row>
    <row r="10" spans="2:14" ht="20.25">
      <c r="B10" s="728"/>
      <c r="C10" s="740"/>
      <c r="D10" s="740"/>
      <c r="E10" s="740"/>
      <c r="F10" s="740"/>
      <c r="G10" s="748"/>
      <c r="H10" s="741"/>
      <c r="I10" s="741"/>
      <c r="J10" s="722"/>
      <c r="K10" s="722"/>
      <c r="L10" s="722"/>
      <c r="M10" s="722"/>
      <c r="N10" s="730"/>
    </row>
    <row r="11" spans="2:14" ht="18">
      <c r="B11" s="1167" t="s">
        <v>1194</v>
      </c>
      <c r="C11" s="748"/>
      <c r="D11" s="748"/>
      <c r="E11" s="748"/>
      <c r="F11" s="739"/>
      <c r="G11" s="739"/>
      <c r="H11" s="739"/>
      <c r="I11" s="739"/>
      <c r="J11" s="722"/>
      <c r="K11" s="722"/>
      <c r="L11" s="722"/>
      <c r="M11" s="722"/>
      <c r="N11" s="722"/>
    </row>
    <row r="12" spans="2:14" ht="15.75">
      <c r="B12" s="4385" t="s">
        <v>1195</v>
      </c>
      <c r="C12" s="753">
        <v>2012</v>
      </c>
      <c r="D12" s="754">
        <v>2013</v>
      </c>
      <c r="E12" s="755" t="s">
        <v>28</v>
      </c>
      <c r="F12" s="733"/>
      <c r="G12" s="733"/>
      <c r="H12" s="4081"/>
      <c r="I12" s="4088"/>
      <c r="J12" s="4078"/>
      <c r="K12" s="4078"/>
      <c r="L12" s="730"/>
      <c r="M12" s="760"/>
      <c r="N12" s="722"/>
    </row>
    <row r="13" spans="2:14" ht="33.75" customHeight="1">
      <c r="B13" s="3480"/>
      <c r="C13" s="2702">
        <v>4620000</v>
      </c>
      <c r="D13" s="4616">
        <v>3640000</v>
      </c>
      <c r="E13" s="2712">
        <v>9240000</v>
      </c>
      <c r="F13" s="4370" t="s">
        <v>1419</v>
      </c>
      <c r="G13" s="733"/>
      <c r="H13" s="4081"/>
      <c r="I13" s="4081"/>
      <c r="J13" s="4082"/>
      <c r="K13" s="4078"/>
      <c r="L13" s="722"/>
      <c r="M13" s="722"/>
      <c r="N13" s="722"/>
    </row>
    <row r="14" spans="2:14" ht="18">
      <c r="B14" s="2682"/>
      <c r="C14" s="2703"/>
      <c r="D14" s="2687"/>
      <c r="E14" s="2711"/>
      <c r="F14" s="2687"/>
      <c r="G14" s="733"/>
      <c r="H14" s="4081"/>
      <c r="I14" s="4081"/>
      <c r="J14" s="4083"/>
      <c r="K14" s="4078"/>
      <c r="L14" s="722"/>
      <c r="M14" s="722"/>
      <c r="N14" s="722"/>
    </row>
    <row r="15" spans="2:14">
      <c r="B15" s="2680" t="s">
        <v>648</v>
      </c>
      <c r="C15" s="2705"/>
      <c r="D15" s="2691"/>
      <c r="E15" s="2713"/>
      <c r="F15" s="2684"/>
      <c r="G15" s="731"/>
      <c r="H15" s="4079"/>
      <c r="I15" s="4081"/>
      <c r="J15" s="4077"/>
      <c r="K15" s="4074"/>
      <c r="L15" s="722"/>
      <c r="M15" s="722"/>
      <c r="N15" s="722"/>
    </row>
    <row r="16" spans="2:14">
      <c r="B16" s="2686" t="s">
        <v>650</v>
      </c>
      <c r="C16" s="2731">
        <v>0</v>
      </c>
      <c r="D16" s="2727">
        <v>0</v>
      </c>
      <c r="E16" s="2732">
        <v>0</v>
      </c>
      <c r="F16" s="2695"/>
      <c r="G16" s="734"/>
      <c r="H16" s="4080"/>
      <c r="I16" s="4081"/>
      <c r="J16" s="4077"/>
      <c r="K16" s="4074"/>
      <c r="L16" s="722"/>
      <c r="M16" s="722"/>
      <c r="N16" s="722"/>
    </row>
    <row r="17" spans="2:14">
      <c r="B17" s="3397" t="s">
        <v>1059</v>
      </c>
      <c r="C17" s="3395">
        <v>336550</v>
      </c>
      <c r="D17" s="4612">
        <v>321350</v>
      </c>
      <c r="E17" s="3396">
        <f>SUM(C17:D17)</f>
        <v>657900</v>
      </c>
      <c r="F17" s="3016"/>
      <c r="G17" s="1174"/>
      <c r="H17" s="4080"/>
      <c r="I17" s="4081"/>
      <c r="J17" s="4077"/>
      <c r="K17" s="4074"/>
      <c r="L17" s="722"/>
      <c r="M17" s="722"/>
      <c r="N17" s="722"/>
    </row>
    <row r="18" spans="2:14">
      <c r="B18" s="2701" t="s">
        <v>705</v>
      </c>
      <c r="C18" s="2706"/>
      <c r="D18" s="2728"/>
      <c r="E18" s="2715"/>
      <c r="F18" s="2685"/>
      <c r="G18" s="732"/>
      <c r="H18" s="4080"/>
      <c r="I18" s="4081"/>
      <c r="J18" s="4077"/>
      <c r="K18" s="4074"/>
      <c r="L18" s="722"/>
      <c r="M18" s="761"/>
    </row>
    <row r="19" spans="2:14">
      <c r="B19" s="2701" t="s">
        <v>704</v>
      </c>
      <c r="C19" s="2723"/>
      <c r="D19" s="2729"/>
      <c r="E19" s="2704"/>
      <c r="F19" s="2676"/>
      <c r="G19" s="722"/>
      <c r="H19" s="4080"/>
      <c r="I19" s="4081"/>
      <c r="J19" s="4095"/>
      <c r="K19" s="4074"/>
      <c r="L19" s="722"/>
      <c r="M19" s="722"/>
    </row>
    <row r="20" spans="2:14">
      <c r="B20" s="2701" t="s">
        <v>706</v>
      </c>
      <c r="C20" s="2723"/>
      <c r="D20" s="2729"/>
      <c r="E20" s="2704"/>
      <c r="F20" s="2676"/>
      <c r="G20" s="722"/>
      <c r="H20" s="4079"/>
      <c r="I20" s="4081"/>
      <c r="J20" s="4077"/>
      <c r="K20" s="4074"/>
      <c r="L20" s="722"/>
      <c r="M20" s="722"/>
    </row>
    <row r="21" spans="2:14">
      <c r="B21" s="2686" t="s">
        <v>655</v>
      </c>
      <c r="C21" s="2731">
        <v>0</v>
      </c>
      <c r="D21" s="2727">
        <v>0</v>
      </c>
      <c r="E21" s="2732">
        <v>0</v>
      </c>
      <c r="F21" s="2695"/>
      <c r="G21" s="734"/>
      <c r="H21" s="4079"/>
      <c r="I21" s="4074"/>
      <c r="J21" s="4076"/>
      <c r="K21" s="4074"/>
      <c r="L21" s="722"/>
      <c r="M21" s="722"/>
    </row>
    <row r="22" spans="2:14">
      <c r="B22" s="2680" t="s">
        <v>481</v>
      </c>
      <c r="C22" s="2705"/>
      <c r="D22" s="2689"/>
      <c r="E22" s="2713"/>
      <c r="F22" s="2684"/>
      <c r="G22" s="731"/>
      <c r="H22" s="4090"/>
      <c r="I22" s="4081"/>
      <c r="J22" s="4094"/>
      <c r="K22" s="4074"/>
      <c r="L22" s="722"/>
      <c r="M22" s="722"/>
    </row>
    <row r="23" spans="2:14">
      <c r="B23" s="2676" t="s">
        <v>656</v>
      </c>
      <c r="C23" s="2716">
        <v>0</v>
      </c>
      <c r="D23" s="2727">
        <v>0</v>
      </c>
      <c r="E23" s="2717">
        <v>0</v>
      </c>
      <c r="F23" s="2696"/>
      <c r="G23" s="742"/>
      <c r="H23" s="4079"/>
      <c r="I23" s="4086"/>
      <c r="J23" s="4092"/>
      <c r="K23" s="4084"/>
      <c r="L23" s="722"/>
      <c r="M23" s="722"/>
    </row>
    <row r="24" spans="2:14">
      <c r="B24" s="2686" t="s">
        <v>657</v>
      </c>
      <c r="C24" s="2716">
        <v>0</v>
      </c>
      <c r="D24" s="2727">
        <v>0</v>
      </c>
      <c r="E24" s="2717">
        <v>0</v>
      </c>
      <c r="F24" s="2676"/>
      <c r="G24" s="731"/>
      <c r="H24" s="4091"/>
      <c r="I24" s="4086"/>
      <c r="J24" s="4089"/>
      <c r="K24" s="4087"/>
      <c r="L24" s="722"/>
      <c r="M24" s="722"/>
    </row>
    <row r="25" spans="2:14">
      <c r="B25" s="2686" t="s">
        <v>658</v>
      </c>
      <c r="C25" s="2716">
        <v>0</v>
      </c>
      <c r="D25" s="2727">
        <v>0</v>
      </c>
      <c r="E25" s="2717">
        <v>0</v>
      </c>
      <c r="F25" s="2684"/>
      <c r="G25" s="731"/>
      <c r="H25" s="4091"/>
      <c r="I25" s="4086"/>
      <c r="J25" s="4089"/>
      <c r="K25" s="4087"/>
      <c r="L25" s="722"/>
      <c r="M25" s="722"/>
    </row>
    <row r="26" spans="2:14">
      <c r="B26" s="2686" t="s">
        <v>660</v>
      </c>
      <c r="C26" s="2707">
        <v>0</v>
      </c>
      <c r="D26" s="2727">
        <v>0</v>
      </c>
      <c r="E26" s="2730">
        <v>0</v>
      </c>
      <c r="F26" s="2684"/>
      <c r="G26" s="731"/>
      <c r="H26" s="4091"/>
      <c r="I26" s="4085"/>
      <c r="J26" s="4093"/>
      <c r="K26" s="4074"/>
      <c r="L26" s="722"/>
      <c r="M26" s="722"/>
    </row>
    <row r="27" spans="2:14">
      <c r="B27" s="2676"/>
      <c r="C27" s="2708">
        <v>0</v>
      </c>
      <c r="D27" s="2714">
        <v>0</v>
      </c>
      <c r="E27" s="2721">
        <v>0</v>
      </c>
      <c r="F27" s="2684"/>
      <c r="G27" s="731"/>
      <c r="H27" s="4091"/>
      <c r="I27" s="4074"/>
      <c r="J27" s="4074"/>
      <c r="K27" s="4074"/>
      <c r="L27" s="722"/>
      <c r="M27" s="722"/>
    </row>
    <row r="28" spans="2:14">
      <c r="B28" s="2677"/>
      <c r="C28" s="2719"/>
      <c r="D28" s="2681"/>
      <c r="E28" s="2720"/>
      <c r="F28" s="2684"/>
      <c r="G28" s="731"/>
      <c r="H28" s="4091"/>
      <c r="I28" s="4074"/>
      <c r="J28" s="4074"/>
      <c r="K28" s="4074"/>
      <c r="L28" s="722"/>
      <c r="M28" s="722"/>
    </row>
    <row r="29" spans="2:14">
      <c r="B29" s="2680" t="s">
        <v>649</v>
      </c>
      <c r="C29" s="2708">
        <v>0</v>
      </c>
      <c r="D29" s="2714">
        <v>0</v>
      </c>
      <c r="E29" s="2718">
        <v>0</v>
      </c>
      <c r="F29" s="2684"/>
      <c r="G29" s="731"/>
      <c r="H29" s="4091"/>
      <c r="I29" s="4074"/>
      <c r="J29" s="4074"/>
      <c r="K29" s="4074"/>
      <c r="L29" s="722"/>
      <c r="M29" s="722"/>
    </row>
    <row r="30" spans="2:14">
      <c r="B30" s="2677"/>
      <c r="C30" s="2719"/>
      <c r="D30" s="2681"/>
      <c r="E30" s="2720"/>
      <c r="F30" s="2684"/>
      <c r="G30" s="731"/>
      <c r="H30" s="4091"/>
      <c r="I30" s="4074"/>
      <c r="J30" s="4074"/>
      <c r="K30" s="4074"/>
      <c r="L30" s="722"/>
      <c r="M30" s="722"/>
    </row>
    <row r="31" spans="2:14">
      <c r="B31" s="2679" t="s">
        <v>652</v>
      </c>
      <c r="C31" s="2719"/>
      <c r="D31" s="2681"/>
      <c r="E31" s="2720"/>
      <c r="F31" s="2697"/>
      <c r="G31" s="743"/>
      <c r="H31" s="4980" t="s">
        <v>1061</v>
      </c>
      <c r="I31" s="4978"/>
      <c r="J31" s="4978"/>
      <c r="K31" s="4075"/>
      <c r="L31" s="722"/>
      <c r="M31" s="722"/>
    </row>
    <row r="32" spans="2:14">
      <c r="B32" s="2676" t="s">
        <v>661</v>
      </c>
      <c r="C32" s="2719">
        <v>0</v>
      </c>
      <c r="D32" s="2727">
        <v>0</v>
      </c>
      <c r="E32" s="2720">
        <v>0</v>
      </c>
      <c r="F32" s="2697"/>
      <c r="G32" s="743"/>
      <c r="H32" s="4984"/>
      <c r="I32" s="4989" t="s">
        <v>1056</v>
      </c>
      <c r="J32" s="4985">
        <v>1097100</v>
      </c>
      <c r="K32" s="4075"/>
      <c r="L32" s="722"/>
      <c r="M32" s="722"/>
    </row>
    <row r="33" spans="2:13">
      <c r="B33" s="2676" t="s">
        <v>662</v>
      </c>
      <c r="C33" s="2719">
        <v>0</v>
      </c>
      <c r="D33" s="2727">
        <v>0</v>
      </c>
      <c r="E33" s="2720">
        <v>0</v>
      </c>
      <c r="F33" s="2697"/>
      <c r="G33" s="743"/>
      <c r="H33" s="4983"/>
      <c r="I33" s="4988" t="s">
        <v>1057</v>
      </c>
      <c r="J33" s="4991">
        <v>642700</v>
      </c>
      <c r="K33" s="4075"/>
      <c r="L33" s="722"/>
      <c r="M33" s="722"/>
    </row>
    <row r="34" spans="2:13">
      <c r="B34" s="2677" t="s">
        <v>663</v>
      </c>
      <c r="C34" s="2719">
        <v>0</v>
      </c>
      <c r="D34" s="2727">
        <v>0</v>
      </c>
      <c r="E34" s="2720">
        <v>0</v>
      </c>
      <c r="F34" s="2697"/>
      <c r="G34" s="743"/>
      <c r="H34" s="4987"/>
      <c r="I34" s="4990" t="s">
        <v>1058</v>
      </c>
      <c r="J34" s="4986">
        <v>454400</v>
      </c>
      <c r="K34" s="4075"/>
    </row>
    <row r="35" spans="2:13">
      <c r="B35" s="2679" t="s">
        <v>664</v>
      </c>
      <c r="C35" s="2709">
        <v>0</v>
      </c>
      <c r="D35" s="2727">
        <v>0</v>
      </c>
      <c r="E35" s="2726">
        <v>0</v>
      </c>
      <c r="F35" s="2697"/>
      <c r="G35" s="743"/>
      <c r="H35" s="4982"/>
      <c r="I35" s="4979"/>
      <c r="J35" s="4978"/>
      <c r="K35" s="4075"/>
    </row>
    <row r="36" spans="2:13">
      <c r="B36" s="2677"/>
      <c r="C36" s="2719"/>
      <c r="D36" s="2681"/>
      <c r="E36" s="2720"/>
      <c r="F36" s="2697"/>
      <c r="G36" s="743"/>
      <c r="H36" s="4981"/>
      <c r="I36" s="4979"/>
      <c r="J36" s="4977"/>
      <c r="K36" s="4074"/>
    </row>
    <row r="37" spans="2:13">
      <c r="B37" s="2679" t="s">
        <v>654</v>
      </c>
      <c r="C37" s="2710">
        <v>0</v>
      </c>
      <c r="D37" s="2714">
        <v>0</v>
      </c>
      <c r="E37" s="2721">
        <v>0</v>
      </c>
      <c r="F37" s="2697"/>
      <c r="G37" s="743"/>
      <c r="H37" s="4980" t="s">
        <v>1374</v>
      </c>
      <c r="I37" s="4978"/>
      <c r="J37" s="4978"/>
      <c r="K37" s="4074"/>
    </row>
    <row r="38" spans="2:13">
      <c r="B38" s="2677"/>
      <c r="C38" s="2719"/>
      <c r="D38" s="2681"/>
      <c r="E38" s="2720"/>
      <c r="F38" s="2697"/>
      <c r="G38" s="744"/>
      <c r="H38" s="4984"/>
      <c r="I38" s="4989" t="s">
        <v>1072</v>
      </c>
      <c r="J38" s="4985">
        <v>14628000</v>
      </c>
      <c r="K38" s="4074"/>
    </row>
    <row r="39" spans="2:13">
      <c r="B39" s="3398" t="s">
        <v>1060</v>
      </c>
      <c r="C39" s="3400">
        <v>212000</v>
      </c>
      <c r="D39" s="3399">
        <v>227200</v>
      </c>
      <c r="E39" s="3401">
        <f>SUM(C39:D39)</f>
        <v>439200</v>
      </c>
      <c r="F39" s="2697"/>
      <c r="G39" s="744"/>
      <c r="H39" s="4987"/>
      <c r="I39" s="4990" t="s">
        <v>1073</v>
      </c>
      <c r="J39" s="4986">
        <v>1462800</v>
      </c>
      <c r="K39" s="4074"/>
    </row>
    <row r="40" spans="2:13">
      <c r="B40" s="2677"/>
      <c r="C40" s="2719"/>
      <c r="D40" s="2681"/>
      <c r="E40" s="2720"/>
      <c r="F40" s="2697"/>
      <c r="G40" s="723"/>
      <c r="H40" s="743"/>
      <c r="I40" s="729"/>
    </row>
    <row r="41" spans="2:13">
      <c r="B41" s="4068" t="s">
        <v>1145</v>
      </c>
      <c r="C41" s="2719"/>
      <c r="D41" s="2681"/>
      <c r="E41" s="2720"/>
      <c r="F41" s="2697"/>
      <c r="G41" s="723"/>
      <c r="H41" s="743"/>
      <c r="I41" s="729"/>
    </row>
    <row r="42" spans="2:13">
      <c r="B42" s="4070" t="s">
        <v>1146</v>
      </c>
      <c r="C42" s="4073">
        <v>-731400</v>
      </c>
      <c r="D42" s="4072">
        <v>-731400</v>
      </c>
      <c r="E42" s="2717">
        <f>SUM(C42:D42)</f>
        <v>-1462800</v>
      </c>
      <c r="F42" s="4071" t="s">
        <v>1147</v>
      </c>
      <c r="G42" s="723"/>
      <c r="H42" s="743"/>
      <c r="I42" s="729"/>
    </row>
    <row r="43" spans="2:13">
      <c r="B43" s="4069" t="s">
        <v>707</v>
      </c>
      <c r="C43" s="4073">
        <v>731400</v>
      </c>
      <c r="D43" s="4072">
        <v>731400</v>
      </c>
      <c r="E43" s="3158">
        <f>SUM(C43:D43)</f>
        <v>1462800</v>
      </c>
      <c r="F43" s="3150"/>
      <c r="G43" s="723"/>
      <c r="H43" s="743"/>
      <c r="I43" s="729"/>
    </row>
    <row r="44" spans="2:13">
      <c r="B44" s="2690" t="s">
        <v>672</v>
      </c>
      <c r="C44" s="3029">
        <f>SUM(C42:C43)</f>
        <v>0</v>
      </c>
      <c r="D44" s="3014">
        <f>SUM(D42:D43)</f>
        <v>0</v>
      </c>
      <c r="E44" s="2718">
        <f>SUM(E42:E43)</f>
        <v>0</v>
      </c>
      <c r="F44" s="2697"/>
      <c r="G44" s="723"/>
      <c r="H44" s="743"/>
      <c r="I44" s="729"/>
    </row>
    <row r="45" spans="2:13">
      <c r="B45" s="2676"/>
      <c r="C45" s="2723"/>
      <c r="D45" s="2677"/>
      <c r="E45" s="2704"/>
      <c r="F45" s="2697"/>
      <c r="G45" s="723"/>
      <c r="H45" s="743"/>
      <c r="I45" s="729"/>
    </row>
    <row r="46" spans="2:13">
      <c r="B46" s="2692"/>
      <c r="C46" s="2716"/>
      <c r="D46" s="2698"/>
      <c r="E46" s="2717"/>
      <c r="F46" s="2697"/>
      <c r="G46" s="723"/>
      <c r="H46" s="743"/>
      <c r="I46" s="729"/>
    </row>
    <row r="47" spans="2:13">
      <c r="B47" s="2676"/>
      <c r="C47" s="2723"/>
      <c r="D47" s="2677"/>
      <c r="E47" s="2704"/>
      <c r="F47" s="2697"/>
      <c r="G47" s="723"/>
      <c r="H47" s="743"/>
      <c r="I47" s="729"/>
    </row>
    <row r="48" spans="2:13" ht="13.5" thickBot="1">
      <c r="B48" s="2683"/>
      <c r="C48" s="2716"/>
      <c r="D48" s="2698"/>
      <c r="E48" s="2717"/>
      <c r="F48" s="2697"/>
      <c r="G48" s="744"/>
      <c r="H48" s="743"/>
      <c r="I48" s="729"/>
    </row>
    <row r="49" spans="2:10" ht="13.5" thickBot="1">
      <c r="B49" s="2690" t="s">
        <v>673</v>
      </c>
      <c r="C49" s="3031">
        <f>C13+C17+C39+C44</f>
        <v>5168550</v>
      </c>
      <c r="D49" s="3031">
        <f>D13+D17+D39+D44</f>
        <v>4188550</v>
      </c>
      <c r="E49" s="5093">
        <f>E13+E17+E39+E44</f>
        <v>10337100</v>
      </c>
      <c r="F49" s="2697"/>
      <c r="G49" s="744"/>
      <c r="H49" s="743"/>
      <c r="I49" s="729"/>
    </row>
    <row r="50" spans="2:10">
      <c r="B50" s="2678"/>
      <c r="C50" s="2698"/>
      <c r="D50" s="2698"/>
      <c r="E50" s="2698"/>
      <c r="F50" s="2697"/>
      <c r="G50" s="744"/>
      <c r="H50" s="743"/>
      <c r="I50" s="729"/>
      <c r="J50" s="722"/>
    </row>
    <row r="51" spans="2:10">
      <c r="B51" s="2676"/>
      <c r="C51" s="2724">
        <v>2012</v>
      </c>
      <c r="D51" s="2724">
        <v>2013</v>
      </c>
      <c r="E51" s="2724" t="s">
        <v>28</v>
      </c>
      <c r="F51" s="2676"/>
      <c r="G51" s="4652" t="s">
        <v>1319</v>
      </c>
      <c r="H51" s="745"/>
      <c r="I51" s="736"/>
      <c r="J51" s="725"/>
    </row>
    <row r="52" spans="2:10" ht="30.75" customHeight="1">
      <c r="B52" s="3481"/>
      <c r="C52" s="2517">
        <v>16500000</v>
      </c>
      <c r="D52" s="4685">
        <v>16500000</v>
      </c>
      <c r="E52" s="2521">
        <f>SUM(C52:D52)</f>
        <v>33000000</v>
      </c>
      <c r="F52" s="5091" t="s">
        <v>675</v>
      </c>
      <c r="G52" s="5092">
        <v>13000000</v>
      </c>
      <c r="H52" s="4370" t="s">
        <v>1419</v>
      </c>
      <c r="I52" s="736"/>
      <c r="J52" s="725"/>
    </row>
    <row r="53" spans="2:10">
      <c r="B53" s="2679"/>
      <c r="C53" s="2694"/>
      <c r="D53" s="2694"/>
      <c r="E53" s="2694"/>
      <c r="F53" s="2693"/>
      <c r="G53" s="744"/>
      <c r="H53" s="737"/>
      <c r="I53" s="737"/>
      <c r="J53" s="725"/>
    </row>
    <row r="54" spans="2:10">
      <c r="B54" s="2700" t="s">
        <v>680</v>
      </c>
      <c r="C54" s="2725">
        <v>0.5</v>
      </c>
      <c r="D54" s="2725">
        <v>0.5</v>
      </c>
      <c r="E54" s="2699"/>
      <c r="F54" s="2688"/>
      <c r="G54" s="744"/>
      <c r="H54" s="737"/>
      <c r="I54" s="737"/>
      <c r="J54" s="725"/>
    </row>
    <row r="55" spans="2:10">
      <c r="B55" s="722"/>
      <c r="C55" s="746"/>
      <c r="D55" s="746"/>
      <c r="E55" s="746"/>
      <c r="F55" s="735"/>
      <c r="G55" s="744"/>
      <c r="H55" s="737"/>
      <c r="I55" s="737"/>
      <c r="J55" s="725"/>
    </row>
    <row r="56" spans="2:10">
      <c r="B56" s="722"/>
      <c r="C56" s="722"/>
      <c r="D56" s="722"/>
      <c r="E56" s="722"/>
      <c r="F56" s="722"/>
      <c r="G56" s="743"/>
      <c r="H56" s="737"/>
      <c r="I56" s="737"/>
      <c r="J56" s="725"/>
    </row>
    <row r="57" spans="2:10">
      <c r="B57" s="722"/>
      <c r="C57" s="749"/>
      <c r="D57" s="749"/>
      <c r="E57" s="749"/>
      <c r="F57" s="737"/>
      <c r="G57" s="743"/>
      <c r="H57" s="737"/>
      <c r="I57" s="737"/>
      <c r="J57" s="725"/>
    </row>
    <row r="58" spans="2:10" ht="20.25">
      <c r="B58" s="728"/>
      <c r="C58" s="749"/>
      <c r="D58" s="749"/>
      <c r="E58" s="749"/>
      <c r="F58" s="737"/>
      <c r="G58" s="745"/>
      <c r="H58" s="737"/>
      <c r="I58" s="737"/>
      <c r="J58" s="725"/>
    </row>
    <row r="59" spans="2:10">
      <c r="B59" s="722"/>
      <c r="C59" s="749"/>
      <c r="D59" s="749"/>
      <c r="E59" s="749"/>
      <c r="F59" s="745"/>
      <c r="G59" s="737"/>
      <c r="H59" s="745"/>
      <c r="I59" s="737"/>
      <c r="J59" s="725"/>
    </row>
    <row r="60" spans="2:10">
      <c r="B60" s="747"/>
      <c r="C60" s="749"/>
      <c r="D60" s="749"/>
      <c r="E60" s="749"/>
      <c r="F60" s="745"/>
      <c r="G60" s="737"/>
      <c r="H60" s="745"/>
      <c r="I60" s="736"/>
      <c r="J60" s="725"/>
    </row>
    <row r="61" spans="2:10">
      <c r="B61" s="770"/>
      <c r="C61" s="749"/>
      <c r="D61" s="749"/>
      <c r="E61" s="749"/>
      <c r="F61" s="745"/>
      <c r="G61" s="737"/>
      <c r="H61" s="745"/>
      <c r="I61" s="736"/>
      <c r="J61" s="725"/>
    </row>
    <row r="62" spans="2:10">
      <c r="B62" s="749"/>
      <c r="C62" s="722"/>
      <c r="D62" s="722"/>
      <c r="E62" s="722"/>
      <c r="F62" s="745"/>
      <c r="G62" s="737"/>
      <c r="H62" s="745"/>
      <c r="I62" s="736"/>
      <c r="J62" s="725"/>
    </row>
    <row r="63" spans="2:10">
      <c r="B63" s="722"/>
      <c r="C63" s="722"/>
      <c r="D63" s="722"/>
      <c r="E63" s="722"/>
      <c r="F63" s="745"/>
      <c r="G63" s="737"/>
      <c r="H63" s="745"/>
      <c r="I63" s="736"/>
      <c r="J63" s="725"/>
    </row>
    <row r="64" spans="2:10">
      <c r="B64" s="722"/>
      <c r="C64" s="722"/>
      <c r="D64" s="722"/>
      <c r="E64" s="722"/>
      <c r="F64" s="745"/>
      <c r="G64" s="737"/>
      <c r="H64" s="745"/>
      <c r="I64" s="736"/>
      <c r="J64" s="725"/>
    </row>
    <row r="65" spans="2:10">
      <c r="B65" s="722"/>
      <c r="C65" s="722"/>
      <c r="D65" s="722"/>
      <c r="E65" s="722"/>
      <c r="F65" s="722"/>
      <c r="G65" s="745"/>
      <c r="H65" s="745"/>
      <c r="I65" s="736"/>
      <c r="J65" s="725"/>
    </row>
    <row r="66" spans="2:10">
      <c r="B66" s="722"/>
      <c r="C66" s="722"/>
      <c r="D66" s="722"/>
      <c r="E66" s="722"/>
      <c r="F66" s="722"/>
      <c r="G66" s="745"/>
      <c r="H66" s="745"/>
      <c r="I66" s="736"/>
      <c r="J66" s="725"/>
    </row>
    <row r="67" spans="2:10">
      <c r="F67" s="722"/>
      <c r="G67" s="745"/>
      <c r="H67" s="745"/>
      <c r="I67" s="736"/>
      <c r="J67" s="725"/>
    </row>
    <row r="68" spans="2:10">
      <c r="F68" s="722"/>
      <c r="G68" s="745"/>
      <c r="H68" s="737"/>
      <c r="I68" s="737"/>
      <c r="J68" s="725"/>
    </row>
    <row r="69" spans="2:10">
      <c r="F69" s="722"/>
      <c r="G69" s="745"/>
      <c r="H69" s="737"/>
      <c r="I69" s="737"/>
      <c r="J69" s="725"/>
    </row>
    <row r="70" spans="2:10">
      <c r="F70" s="722"/>
      <c r="G70" s="745"/>
      <c r="H70" s="737"/>
      <c r="I70" s="737"/>
      <c r="J70" s="725"/>
    </row>
    <row r="71" spans="2:10">
      <c r="F71" s="737"/>
      <c r="G71" s="745"/>
      <c r="H71" s="737"/>
      <c r="I71" s="737"/>
      <c r="J71" s="725"/>
    </row>
    <row r="72" spans="2:10">
      <c r="F72" s="737"/>
      <c r="G72" s="745"/>
      <c r="H72" s="737"/>
      <c r="I72" s="737"/>
      <c r="J72" s="725"/>
    </row>
    <row r="73" spans="2:10">
      <c r="F73" s="737"/>
      <c r="G73" s="745"/>
      <c r="H73" s="737"/>
      <c r="I73" s="737"/>
      <c r="J73" s="725"/>
    </row>
    <row r="74" spans="2:10" ht="15.75">
      <c r="F74" s="738"/>
      <c r="G74" s="737"/>
      <c r="H74" s="738"/>
      <c r="I74" s="738"/>
      <c r="J74" s="725"/>
    </row>
    <row r="75" spans="2:10">
      <c r="F75" s="725"/>
      <c r="G75" s="737"/>
      <c r="H75" s="725"/>
      <c r="I75" s="725"/>
      <c r="J75" s="725"/>
    </row>
    <row r="76" spans="2:10">
      <c r="F76" s="722"/>
      <c r="G76" s="737"/>
      <c r="H76" s="722"/>
      <c r="I76" s="722"/>
      <c r="J76" s="722"/>
    </row>
    <row r="77" spans="2:10">
      <c r="F77" s="722"/>
      <c r="G77" s="737"/>
      <c r="H77" s="722"/>
      <c r="I77" s="722"/>
      <c r="J77" s="722"/>
    </row>
    <row r="78" spans="2:10">
      <c r="F78" s="722"/>
      <c r="G78" s="737"/>
      <c r="H78" s="722"/>
      <c r="I78" s="722"/>
      <c r="J78" s="722"/>
    </row>
    <row r="79" spans="2:10">
      <c r="F79" s="722"/>
      <c r="G79" s="737"/>
      <c r="H79" s="722"/>
      <c r="I79" s="722"/>
      <c r="J79" s="722"/>
    </row>
    <row r="80" spans="2:10" ht="15.75">
      <c r="F80" s="722"/>
      <c r="G80" s="738"/>
      <c r="H80" s="722"/>
      <c r="I80" s="722"/>
      <c r="J80" s="722"/>
    </row>
    <row r="81" spans="6:10">
      <c r="F81" s="722"/>
      <c r="G81" s="725"/>
      <c r="H81" s="722"/>
      <c r="I81" s="722"/>
      <c r="J81" s="722"/>
    </row>
    <row r="82" spans="6:10">
      <c r="F82" s="722"/>
    </row>
  </sheetData>
  <sheetProtection password="9E1F" sheet="1" objects="1" scenarios="1"/>
  <customSheetViews>
    <customSheetView guid="{074EB09C-6289-46D7-9513-012B68BCA7BF}" fitToPage="1">
      <pane xSplit="1" ySplit="1" topLeftCell="B2" activePane="bottomRight" state="frozen"/>
      <selection pane="bottomRight" activeCell="B4" sqref="B4"/>
      <pageMargins left="0.27" right="0.3" top="0.48" bottom="0.75" header="0.3" footer="0.3"/>
      <pageSetup paperSize="17" scale="63" orientation="landscape" r:id="rId1"/>
    </customSheetView>
    <customSheetView guid="{AF9F1D33-B8C2-423F-86A1-47612B8F532C}" fitToPage="1">
      <pane xSplit="1" ySplit="1" topLeftCell="B14" activePane="bottomRight" state="frozenSplit"/>
      <selection pane="bottomRight" activeCell="B40" sqref="B40"/>
      <pageMargins left="0.7" right="0.7" top="0.75" bottom="0.75" header="0.3" footer="0.3"/>
      <pageSetup paperSize="17" scale="63" orientation="landscape"/>
    </customSheetView>
  </customSheetViews>
  <pageMargins left="0.27" right="0.3" top="0.48" bottom="0.75" header="0.3" footer="0.3"/>
  <pageSetup paperSize="17" scale="64" orientation="landscape" r:id="rId2"/>
  <drawing r:id="rId3"/>
</worksheet>
</file>

<file path=xl/worksheets/sheet47.xml><?xml version="1.0" encoding="utf-8"?>
<worksheet xmlns="http://schemas.openxmlformats.org/spreadsheetml/2006/main" xmlns:r="http://schemas.openxmlformats.org/officeDocument/2006/relationships">
  <sheetPr enableFormatConditionsCalculation="0">
    <pageSetUpPr fitToPage="1"/>
  </sheetPr>
  <dimension ref="A1:N78"/>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8.85546875" defaultRowHeight="12.75"/>
  <cols>
    <col min="1" max="1" width="15.85546875" style="3064" customWidth="1"/>
    <col min="2" max="2" width="57.140625" customWidth="1"/>
    <col min="3" max="5" width="18" customWidth="1"/>
    <col min="6" max="6" width="14.140625" customWidth="1"/>
    <col min="7" max="7" width="17.85546875" bestFit="1" customWidth="1"/>
    <col min="8" max="8" width="16.28515625" customWidth="1"/>
    <col min="9" max="9" width="21.42578125" customWidth="1"/>
    <col min="10" max="10" width="18.140625" customWidth="1"/>
    <col min="11" max="11" width="19.85546875" customWidth="1"/>
    <col min="12" max="12" width="15.42578125" customWidth="1"/>
    <col min="13" max="13" width="14.42578125" customWidth="1"/>
    <col min="14" max="14" width="22.85546875" customWidth="1"/>
  </cols>
  <sheetData>
    <row r="1" spans="2:14" ht="42.75" customHeight="1">
      <c r="B1" s="782" t="s">
        <v>708</v>
      </c>
      <c r="C1" s="806"/>
      <c r="D1" s="806"/>
      <c r="E1" s="806"/>
      <c r="F1" s="806"/>
      <c r="G1" s="814"/>
      <c r="H1" s="807"/>
      <c r="I1" s="807"/>
      <c r="J1" s="773"/>
      <c r="K1" s="773"/>
      <c r="L1" s="773"/>
      <c r="M1" s="773"/>
      <c r="N1" s="773"/>
    </row>
    <row r="2" spans="2:14" ht="20.25">
      <c r="B2" s="782"/>
      <c r="C2" s="806"/>
      <c r="D2" s="806"/>
      <c r="E2" s="806"/>
      <c r="F2" s="806"/>
      <c r="G2" s="814"/>
      <c r="H2" s="807"/>
      <c r="I2" s="807"/>
      <c r="J2" s="773"/>
      <c r="K2" s="773"/>
      <c r="L2" s="773"/>
      <c r="M2" s="773"/>
      <c r="N2" s="773"/>
    </row>
    <row r="3" spans="2:14" ht="38.25">
      <c r="B3" s="3464"/>
      <c r="C3" s="779" t="s">
        <v>9</v>
      </c>
      <c r="D3" s="779" t="s">
        <v>10</v>
      </c>
      <c r="E3" s="779" t="s">
        <v>640</v>
      </c>
      <c r="F3" s="779" t="s">
        <v>12</v>
      </c>
      <c r="G3" s="779" t="s">
        <v>13</v>
      </c>
      <c r="H3" s="779" t="s">
        <v>14</v>
      </c>
      <c r="I3" s="779" t="s">
        <v>15</v>
      </c>
      <c r="J3" s="779" t="s">
        <v>16</v>
      </c>
      <c r="K3" s="779" t="s">
        <v>641</v>
      </c>
      <c r="L3" s="779" t="s">
        <v>18</v>
      </c>
      <c r="M3" s="779" t="s">
        <v>114</v>
      </c>
      <c r="N3" s="780" t="s">
        <v>19</v>
      </c>
    </row>
    <row r="4" spans="2:14" ht="25.5">
      <c r="B4" s="844" t="s">
        <v>642</v>
      </c>
      <c r="C4" s="845"/>
      <c r="D4" s="845"/>
      <c r="E4" s="845"/>
      <c r="F4" s="845"/>
      <c r="G4" s="845"/>
      <c r="H4" s="845"/>
      <c r="I4" s="845"/>
      <c r="J4" s="845"/>
      <c r="K4" s="846"/>
      <c r="L4" s="847">
        <v>110000</v>
      </c>
      <c r="M4" s="846"/>
      <c r="N4" s="848" t="s">
        <v>21</v>
      </c>
    </row>
    <row r="5" spans="2:14">
      <c r="B5" s="840" t="s">
        <v>643</v>
      </c>
      <c r="C5" s="839">
        <v>4154.1500000000005</v>
      </c>
      <c r="D5" s="839">
        <v>0</v>
      </c>
      <c r="E5" s="839">
        <v>2617.1145000000006</v>
      </c>
      <c r="F5" s="839">
        <v>0</v>
      </c>
      <c r="G5" s="839">
        <v>0</v>
      </c>
      <c r="H5" s="839">
        <v>0</v>
      </c>
      <c r="I5" s="839">
        <v>0</v>
      </c>
      <c r="J5" s="839">
        <v>12006</v>
      </c>
      <c r="K5" s="843">
        <v>0</v>
      </c>
      <c r="L5" s="842">
        <v>18777.264500000001</v>
      </c>
      <c r="M5" s="841"/>
      <c r="N5" s="849">
        <v>-0.8292975954545454</v>
      </c>
    </row>
    <row r="6" spans="2:14">
      <c r="B6" s="776">
        <v>2012</v>
      </c>
      <c r="C6" s="824">
        <f>C16</f>
        <v>4500</v>
      </c>
      <c r="D6" s="825">
        <f>C17</f>
        <v>0</v>
      </c>
      <c r="E6" s="825">
        <f>C36</f>
        <v>2800</v>
      </c>
      <c r="F6" s="825">
        <f>C34</f>
        <v>0</v>
      </c>
      <c r="G6" s="825">
        <f>C24</f>
        <v>0</v>
      </c>
      <c r="H6" s="825">
        <f>C40</f>
        <v>0</v>
      </c>
      <c r="I6" s="825">
        <f>C32</f>
        <v>20000</v>
      </c>
      <c r="J6" s="825">
        <f>C26</f>
        <v>2900</v>
      </c>
      <c r="K6" s="826">
        <f>C13</f>
        <v>0</v>
      </c>
      <c r="L6" s="826">
        <f>SUM(C6:K6)</f>
        <v>30200</v>
      </c>
      <c r="M6" s="826">
        <v>0</v>
      </c>
      <c r="N6" s="849">
        <v>0.6047108459275311</v>
      </c>
    </row>
    <row r="7" spans="2:14" s="3532" customFormat="1">
      <c r="B7" s="4262" t="s">
        <v>1168</v>
      </c>
      <c r="C7" s="1193">
        <v>4500</v>
      </c>
      <c r="D7" s="1194">
        <v>0</v>
      </c>
      <c r="E7" s="1194">
        <v>2800</v>
      </c>
      <c r="F7" s="1194">
        <v>0</v>
      </c>
      <c r="G7" s="1194">
        <v>0</v>
      </c>
      <c r="H7" s="4258">
        <v>0</v>
      </c>
      <c r="I7" s="4258">
        <v>20000</v>
      </c>
      <c r="J7" s="4258">
        <v>2900</v>
      </c>
      <c r="K7" s="4259">
        <v>0</v>
      </c>
      <c r="L7" s="1195">
        <v>30200</v>
      </c>
      <c r="M7" s="1195">
        <v>0</v>
      </c>
      <c r="N7" s="1214"/>
    </row>
    <row r="8" spans="2:14" ht="13.5" thickBot="1">
      <c r="B8" s="4261" t="s">
        <v>1169</v>
      </c>
      <c r="C8" s="4208">
        <f>D16</f>
        <v>4500</v>
      </c>
      <c r="D8" s="4209">
        <f>D17</f>
        <v>0</v>
      </c>
      <c r="E8" s="4209">
        <f>D36</f>
        <v>3200</v>
      </c>
      <c r="F8" s="4209">
        <f>D34</f>
        <v>0</v>
      </c>
      <c r="G8" s="4209">
        <f>D24</f>
        <v>0</v>
      </c>
      <c r="H8" s="4216">
        <f>D40</f>
        <v>0</v>
      </c>
      <c r="I8" s="4210">
        <f>D32</f>
        <v>20000</v>
      </c>
      <c r="J8" s="4210">
        <f>D26</f>
        <v>2900</v>
      </c>
      <c r="K8" s="4211">
        <f>D13</f>
        <v>0</v>
      </c>
      <c r="L8" s="4212">
        <f>SUM(C8:K8)</f>
        <v>30600</v>
      </c>
      <c r="M8" s="4212">
        <v>0</v>
      </c>
      <c r="N8" s="849">
        <v>0</v>
      </c>
    </row>
    <row r="9" spans="2:14" ht="13.5" thickBot="1">
      <c r="B9" s="4260" t="s">
        <v>1172</v>
      </c>
      <c r="C9" s="4214">
        <f>SUM(C6+C8)</f>
        <v>9000</v>
      </c>
      <c r="D9" s="4214">
        <f t="shared" ref="D9:M9" si="0">SUM(D6+D8)</f>
        <v>0</v>
      </c>
      <c r="E9" s="4214">
        <f t="shared" si="0"/>
        <v>6000</v>
      </c>
      <c r="F9" s="4214">
        <f t="shared" si="0"/>
        <v>0</v>
      </c>
      <c r="G9" s="4214">
        <f t="shared" si="0"/>
        <v>0</v>
      </c>
      <c r="H9" s="4214">
        <f t="shared" si="0"/>
        <v>0</v>
      </c>
      <c r="I9" s="4214">
        <f t="shared" si="0"/>
        <v>40000</v>
      </c>
      <c r="J9" s="4214">
        <f t="shared" si="0"/>
        <v>5800</v>
      </c>
      <c r="K9" s="4214">
        <f t="shared" si="0"/>
        <v>0</v>
      </c>
      <c r="L9" s="4214">
        <f t="shared" si="0"/>
        <v>60800</v>
      </c>
      <c r="M9" s="4214">
        <f t="shared" si="0"/>
        <v>0</v>
      </c>
      <c r="N9" s="773"/>
    </row>
    <row r="10" spans="2:14" ht="20.25">
      <c r="B10" s="782"/>
      <c r="C10" s="806"/>
      <c r="D10" s="806"/>
      <c r="E10" s="806"/>
      <c r="F10" s="806"/>
      <c r="G10" s="814"/>
      <c r="H10" s="807"/>
      <c r="I10" s="807"/>
      <c r="J10" s="773"/>
      <c r="K10" s="773"/>
      <c r="L10" s="773"/>
      <c r="M10" s="773"/>
      <c r="N10" s="786"/>
    </row>
    <row r="11" spans="2:14" ht="18">
      <c r="B11" s="783" t="s">
        <v>709</v>
      </c>
      <c r="C11" s="814"/>
      <c r="D11" s="814"/>
      <c r="E11" s="814"/>
      <c r="F11" s="805"/>
      <c r="G11" s="805"/>
      <c r="H11" s="805"/>
      <c r="I11" s="805"/>
      <c r="J11" s="773"/>
      <c r="K11" s="773"/>
      <c r="L11" s="773"/>
      <c r="M11" s="773"/>
      <c r="N11" s="773"/>
    </row>
    <row r="12" spans="2:14" ht="18">
      <c r="B12" s="784"/>
      <c r="C12" s="834">
        <v>2012</v>
      </c>
      <c r="D12" s="835">
        <v>2013</v>
      </c>
      <c r="E12" s="836" t="s">
        <v>28</v>
      </c>
      <c r="F12" s="790"/>
      <c r="G12" s="790"/>
      <c r="H12" s="790"/>
      <c r="I12" s="2744"/>
      <c r="J12" s="2737"/>
      <c r="K12" s="786"/>
      <c r="L12" s="786"/>
      <c r="M12" s="786"/>
      <c r="N12" s="773"/>
    </row>
    <row r="13" spans="2:14">
      <c r="B13" s="781" t="s">
        <v>645</v>
      </c>
      <c r="C13" s="816">
        <v>0</v>
      </c>
      <c r="D13" s="853">
        <v>0</v>
      </c>
      <c r="E13" s="854">
        <v>0</v>
      </c>
      <c r="F13" s="790"/>
      <c r="G13" s="790"/>
      <c r="H13" s="790"/>
      <c r="I13" s="2738"/>
      <c r="J13" s="2739"/>
      <c r="K13" s="786"/>
      <c r="L13" s="773"/>
      <c r="M13" s="773"/>
      <c r="N13" s="773"/>
    </row>
    <row r="14" spans="2:14" ht="18">
      <c r="B14" s="784"/>
      <c r="C14" s="817"/>
      <c r="D14" s="775"/>
      <c r="E14" s="818"/>
      <c r="F14" s="790"/>
      <c r="G14" s="790"/>
      <c r="H14" s="790"/>
      <c r="I14" s="2738"/>
      <c r="J14" s="2740"/>
      <c r="K14" s="786"/>
      <c r="L14" s="773"/>
      <c r="M14" s="773"/>
      <c r="N14" s="773"/>
    </row>
    <row r="15" spans="2:14">
      <c r="B15" s="781" t="s">
        <v>648</v>
      </c>
      <c r="C15" s="819"/>
      <c r="D15" s="775"/>
      <c r="E15" s="818"/>
      <c r="F15" s="787"/>
      <c r="G15" s="787"/>
      <c r="H15" s="787"/>
      <c r="I15" s="2738"/>
      <c r="J15" s="2740"/>
      <c r="K15" s="773"/>
      <c r="L15" s="773"/>
      <c r="M15" s="773"/>
      <c r="N15" s="773"/>
    </row>
    <row r="16" spans="2:14">
      <c r="B16" s="789" t="s">
        <v>650</v>
      </c>
      <c r="C16" s="820">
        <v>4500</v>
      </c>
      <c r="D16" s="850">
        <v>4500</v>
      </c>
      <c r="E16" s="837">
        <f>SUM(C16:D16)</f>
        <v>9000</v>
      </c>
      <c r="F16" s="804">
        <v>0.05</v>
      </c>
      <c r="G16" s="791" t="s">
        <v>651</v>
      </c>
      <c r="H16" s="788"/>
      <c r="I16" s="2738"/>
      <c r="J16" s="2740"/>
      <c r="K16" s="773"/>
      <c r="L16" s="773"/>
      <c r="M16" s="773"/>
      <c r="N16" s="773"/>
    </row>
    <row r="17" spans="2:14">
      <c r="B17" s="789" t="s">
        <v>655</v>
      </c>
      <c r="C17" s="820">
        <v>0</v>
      </c>
      <c r="D17" s="850">
        <v>0</v>
      </c>
      <c r="E17" s="2722">
        <f>SUM(C17:D17)</f>
        <v>0</v>
      </c>
      <c r="F17" s="804">
        <v>0</v>
      </c>
      <c r="G17" s="791" t="s">
        <v>651</v>
      </c>
      <c r="H17" s="788"/>
      <c r="I17" s="2738"/>
      <c r="J17" s="2736"/>
      <c r="K17" s="773"/>
      <c r="L17" s="773"/>
      <c r="M17" s="773"/>
      <c r="N17" s="773"/>
    </row>
    <row r="18" spans="2:14">
      <c r="B18" s="789"/>
      <c r="C18" s="821"/>
      <c r="D18" s="775"/>
      <c r="E18" s="818"/>
      <c r="F18" s="788"/>
      <c r="G18" s="788"/>
      <c r="H18" s="788"/>
      <c r="I18" s="2738"/>
      <c r="J18" s="2736"/>
      <c r="K18" s="773"/>
      <c r="L18" s="773"/>
      <c r="M18" s="803"/>
    </row>
    <row r="19" spans="2:14">
      <c r="B19" s="781" t="s">
        <v>481</v>
      </c>
      <c r="C19" s="819"/>
      <c r="D19" s="775"/>
      <c r="E19" s="818"/>
      <c r="F19" s="787"/>
      <c r="G19" s="787"/>
      <c r="H19" s="788"/>
      <c r="I19" s="2738"/>
      <c r="J19" s="2736"/>
      <c r="K19" s="773"/>
      <c r="L19" s="773"/>
      <c r="M19" s="773"/>
    </row>
    <row r="20" spans="2:14">
      <c r="B20" s="773" t="s">
        <v>656</v>
      </c>
      <c r="C20" s="827">
        <v>0</v>
      </c>
      <c r="D20" s="850">
        <v>0</v>
      </c>
      <c r="E20" s="2722">
        <f>SUM(C20:D20)</f>
        <v>0</v>
      </c>
      <c r="F20" s="808"/>
      <c r="G20" s="808"/>
      <c r="H20" s="787"/>
      <c r="I20" s="2738"/>
      <c r="J20" s="2736"/>
      <c r="K20" s="773"/>
      <c r="L20" s="773"/>
      <c r="M20" s="773"/>
    </row>
    <row r="21" spans="2:14">
      <c r="B21" s="789" t="s">
        <v>657</v>
      </c>
      <c r="C21" s="827">
        <v>0</v>
      </c>
      <c r="D21" s="850">
        <v>0</v>
      </c>
      <c r="E21" s="2722">
        <f>SUM(C21:D21)</f>
        <v>0</v>
      </c>
      <c r="F21" s="773"/>
      <c r="G21" s="787"/>
      <c r="H21" s="808"/>
      <c r="I21" s="2738"/>
      <c r="J21" s="2736"/>
      <c r="K21" s="773"/>
      <c r="L21" s="773"/>
      <c r="M21" s="773"/>
    </row>
    <row r="22" spans="2:14">
      <c r="B22" s="789" t="s">
        <v>658</v>
      </c>
      <c r="C22" s="827">
        <v>0</v>
      </c>
      <c r="D22" s="850">
        <v>0</v>
      </c>
      <c r="E22" s="2722">
        <f>SUM(C22:D22)</f>
        <v>0</v>
      </c>
      <c r="F22" s="787"/>
      <c r="G22" s="787"/>
      <c r="H22" s="787"/>
      <c r="I22" s="2738"/>
      <c r="J22" s="2743"/>
      <c r="K22" s="773"/>
      <c r="L22" s="773"/>
      <c r="M22" s="773"/>
    </row>
    <row r="23" spans="2:14">
      <c r="B23" s="789" t="s">
        <v>660</v>
      </c>
      <c r="C23" s="827">
        <v>0</v>
      </c>
      <c r="D23" s="850">
        <v>0</v>
      </c>
      <c r="E23" s="2722">
        <f>SUM(C23:D23)</f>
        <v>0</v>
      </c>
      <c r="F23" s="787"/>
      <c r="G23" s="787"/>
      <c r="H23" s="809"/>
      <c r="I23" s="2734"/>
      <c r="J23" s="2735"/>
      <c r="K23" s="773"/>
      <c r="L23" s="773"/>
      <c r="M23" s="773"/>
    </row>
    <row r="24" spans="2:14">
      <c r="B24" s="773"/>
      <c r="C24" s="822">
        <v>0</v>
      </c>
      <c r="D24" s="800">
        <v>0</v>
      </c>
      <c r="E24" s="2722">
        <f>SUM(C24:D24)</f>
        <v>0</v>
      </c>
      <c r="F24" s="787"/>
      <c r="G24" s="787"/>
      <c r="H24" s="809"/>
      <c r="I24" s="2738"/>
      <c r="J24" s="2748"/>
      <c r="K24" s="773"/>
      <c r="L24" s="773"/>
      <c r="M24" s="773"/>
    </row>
    <row r="25" spans="2:14">
      <c r="B25" s="775"/>
      <c r="C25" s="829"/>
      <c r="D25" s="775"/>
      <c r="E25" s="818"/>
      <c r="F25" s="787"/>
      <c r="G25" s="787"/>
      <c r="H25" s="809"/>
      <c r="I25" s="2742"/>
      <c r="J25" s="2746"/>
      <c r="K25" s="801"/>
      <c r="L25" s="773"/>
      <c r="M25" s="773"/>
    </row>
    <row r="26" spans="2:14">
      <c r="B26" s="781" t="s">
        <v>649</v>
      </c>
      <c r="C26" s="822">
        <v>2900</v>
      </c>
      <c r="D26" s="815">
        <v>2900</v>
      </c>
      <c r="E26" s="855">
        <f>SUM(C26:D26)</f>
        <v>5800</v>
      </c>
      <c r="F26" s="787"/>
      <c r="G26" s="787"/>
      <c r="H26" s="809"/>
      <c r="I26" s="2742"/>
      <c r="J26" s="2745"/>
      <c r="K26" s="802"/>
      <c r="L26" s="773"/>
      <c r="M26" s="773"/>
    </row>
    <row r="27" spans="2:14">
      <c r="B27" s="775"/>
      <c r="C27" s="829"/>
      <c r="D27" s="775"/>
      <c r="E27" s="818"/>
      <c r="F27" s="787"/>
      <c r="G27" s="787"/>
      <c r="H27" s="809"/>
      <c r="I27" s="2742"/>
      <c r="J27" s="2745"/>
      <c r="K27" s="802"/>
      <c r="L27" s="773"/>
      <c r="M27" s="773"/>
    </row>
    <row r="28" spans="2:14">
      <c r="B28" s="778" t="s">
        <v>652</v>
      </c>
      <c r="C28" s="829"/>
      <c r="D28" s="775"/>
      <c r="E28" s="818"/>
      <c r="F28" s="809"/>
      <c r="G28" s="809"/>
      <c r="H28" s="809"/>
      <c r="I28" s="2741"/>
      <c r="J28" s="2747"/>
      <c r="K28" s="773"/>
      <c r="L28" s="773"/>
      <c r="M28" s="773"/>
    </row>
    <row r="29" spans="2:14">
      <c r="B29" s="773" t="s">
        <v>661</v>
      </c>
      <c r="C29" s="829">
        <v>18000</v>
      </c>
      <c r="D29" s="4425">
        <v>18000</v>
      </c>
      <c r="E29" s="837">
        <f>SUM(C29:D29)</f>
        <v>36000</v>
      </c>
      <c r="F29" s="809"/>
      <c r="G29" s="809"/>
      <c r="H29" s="809"/>
      <c r="I29" s="790"/>
      <c r="J29" s="773"/>
      <c r="K29" s="773"/>
      <c r="L29" s="773"/>
      <c r="M29" s="773"/>
    </row>
    <row r="30" spans="2:14">
      <c r="B30" s="773" t="s">
        <v>662</v>
      </c>
      <c r="C30" s="829">
        <v>1000</v>
      </c>
      <c r="D30" s="4425">
        <v>1000</v>
      </c>
      <c r="E30" s="2722">
        <f>SUM(C30:D30)</f>
        <v>2000</v>
      </c>
      <c r="F30" s="809"/>
      <c r="G30" s="809"/>
      <c r="H30" s="809"/>
      <c r="I30" s="790"/>
      <c r="J30" s="773"/>
      <c r="K30" s="773"/>
      <c r="L30" s="773"/>
      <c r="M30" s="773"/>
    </row>
    <row r="31" spans="2:14">
      <c r="B31" s="775" t="s">
        <v>663</v>
      </c>
      <c r="C31" s="829">
        <v>1000</v>
      </c>
      <c r="D31" s="4425">
        <v>1000</v>
      </c>
      <c r="E31" s="2722">
        <f>SUM(C31:D31)</f>
        <v>2000</v>
      </c>
      <c r="F31" s="809"/>
      <c r="G31" s="809"/>
      <c r="H31" s="809"/>
      <c r="I31" s="790"/>
      <c r="J31" s="773"/>
      <c r="K31" s="773"/>
      <c r="L31" s="773"/>
      <c r="M31" s="773"/>
    </row>
    <row r="32" spans="2:14">
      <c r="B32" s="778" t="s">
        <v>664</v>
      </c>
      <c r="C32" s="823">
        <f>SUM(C29:C31)</f>
        <v>20000</v>
      </c>
      <c r="D32" s="792">
        <f>SUM(D29:D31)</f>
        <v>20000</v>
      </c>
      <c r="E32" s="855">
        <f>SUM(E29:E31)</f>
        <v>40000</v>
      </c>
      <c r="F32" s="809"/>
      <c r="G32" s="809"/>
      <c r="H32" s="809"/>
      <c r="I32" s="790"/>
      <c r="J32" s="773"/>
      <c r="K32" s="773"/>
      <c r="L32" s="773"/>
      <c r="M32" s="773"/>
    </row>
    <row r="33" spans="2:13">
      <c r="B33" s="775"/>
      <c r="C33" s="829"/>
      <c r="D33" s="775"/>
      <c r="E33" s="818"/>
      <c r="F33" s="809"/>
      <c r="G33" s="809"/>
      <c r="H33" s="809"/>
      <c r="I33" s="790"/>
      <c r="J33" s="773"/>
      <c r="K33" s="773"/>
      <c r="L33" s="773"/>
      <c r="M33" s="773"/>
    </row>
    <row r="34" spans="2:13">
      <c r="B34" s="778" t="s">
        <v>654</v>
      </c>
      <c r="C34" s="823">
        <v>0</v>
      </c>
      <c r="D34" s="851">
        <v>0</v>
      </c>
      <c r="E34" s="855">
        <f>SUM(C34:D34)</f>
        <v>0</v>
      </c>
      <c r="F34" s="809"/>
      <c r="G34" s="809"/>
      <c r="H34" s="809"/>
      <c r="I34" s="790"/>
    </row>
    <row r="35" spans="2:13">
      <c r="B35" s="775"/>
      <c r="C35" s="829"/>
      <c r="D35" s="775"/>
      <c r="E35" s="818"/>
      <c r="F35" s="809"/>
      <c r="G35" s="810"/>
      <c r="H35" s="809"/>
      <c r="I35" s="790"/>
    </row>
    <row r="36" spans="2:13">
      <c r="B36" s="4429" t="s">
        <v>1201</v>
      </c>
      <c r="C36" s="3400">
        <f>ROUND(SUM(C16:C17)*0.63, -2)</f>
        <v>2800</v>
      </c>
      <c r="D36" s="4651">
        <f>ROUND(SUM(D16:D17)*0.707, -2)</f>
        <v>3200</v>
      </c>
      <c r="E36" s="855">
        <f>SUM(C36:D36)</f>
        <v>6000</v>
      </c>
      <c r="F36" s="809"/>
      <c r="G36" s="810"/>
      <c r="H36" s="809"/>
      <c r="I36" s="790"/>
    </row>
    <row r="37" spans="2:13">
      <c r="B37" s="775"/>
      <c r="C37" s="829"/>
      <c r="D37" s="810"/>
      <c r="E37" s="830"/>
      <c r="F37" s="809"/>
      <c r="G37" s="774"/>
      <c r="H37" s="809"/>
      <c r="I37" s="790"/>
    </row>
    <row r="38" spans="2:13">
      <c r="B38" s="776" t="s">
        <v>14</v>
      </c>
      <c r="C38" s="829"/>
      <c r="D38" s="810"/>
      <c r="E38" s="830"/>
      <c r="F38" s="809"/>
      <c r="G38" s="774"/>
      <c r="H38" s="809"/>
      <c r="I38" s="785"/>
    </row>
    <row r="39" spans="2:13">
      <c r="B39" s="799" t="s">
        <v>699</v>
      </c>
      <c r="C39" s="827">
        <v>0</v>
      </c>
      <c r="D39" s="811"/>
      <c r="E39" s="828">
        <f>SUM(C39:D39)</f>
        <v>0</v>
      </c>
      <c r="F39" s="809"/>
      <c r="G39" s="774"/>
      <c r="H39" s="809"/>
      <c r="I39" s="785"/>
    </row>
    <row r="40" spans="2:13">
      <c r="B40" s="795" t="s">
        <v>672</v>
      </c>
      <c r="C40" s="822">
        <v>0</v>
      </c>
      <c r="D40" s="800"/>
      <c r="E40" s="1196">
        <f>SUM(C40:D40)</f>
        <v>0</v>
      </c>
      <c r="F40" s="809"/>
      <c r="G40" s="774"/>
      <c r="H40" s="809"/>
      <c r="I40" s="785"/>
    </row>
    <row r="41" spans="2:13">
      <c r="B41" s="799"/>
      <c r="C41" s="827"/>
      <c r="D41" s="811"/>
      <c r="E41" s="828"/>
      <c r="F41" s="809"/>
      <c r="G41" s="774"/>
      <c r="H41" s="809"/>
      <c r="I41" s="785"/>
    </row>
    <row r="42" spans="2:13" ht="13.5" thickBot="1">
      <c r="B42" s="799"/>
      <c r="C42" s="827"/>
      <c r="D42" s="811"/>
      <c r="E42" s="828"/>
      <c r="F42" s="809"/>
      <c r="G42" s="774"/>
      <c r="H42" s="809"/>
      <c r="I42" s="785"/>
    </row>
    <row r="43" spans="2:13" ht="13.5" thickBot="1">
      <c r="B43" s="795" t="s">
        <v>673</v>
      </c>
      <c r="C43" s="1192">
        <f>C16+C17+C24+C26+C32+C34+C36+C40</f>
        <v>30200</v>
      </c>
      <c r="D43" s="3275">
        <f>D16+D17+D24+D26+D32+D34+D36+D40</f>
        <v>30600</v>
      </c>
      <c r="E43" s="3275">
        <f>SUM(C43:D43)</f>
        <v>60800</v>
      </c>
      <c r="F43" s="809"/>
      <c r="G43" s="810"/>
      <c r="H43" s="809"/>
      <c r="I43" s="785"/>
    </row>
    <row r="44" spans="2:13">
      <c r="B44" s="777"/>
      <c r="C44" s="811"/>
      <c r="D44" s="811"/>
      <c r="E44" s="811"/>
      <c r="F44" s="809"/>
      <c r="G44" s="810"/>
      <c r="H44" s="809"/>
      <c r="I44" s="785"/>
    </row>
    <row r="45" spans="2:13">
      <c r="B45" s="773"/>
      <c r="C45" s="838">
        <v>2012</v>
      </c>
      <c r="D45" s="838">
        <v>2013</v>
      </c>
      <c r="E45" s="838" t="s">
        <v>28</v>
      </c>
      <c r="F45" s="773"/>
      <c r="G45" s="810"/>
      <c r="H45" s="809"/>
      <c r="I45" s="785"/>
    </row>
    <row r="46" spans="2:13">
      <c r="B46" s="778" t="s">
        <v>674</v>
      </c>
      <c r="C46" s="831">
        <v>0</v>
      </c>
      <c r="D46" s="832">
        <v>0</v>
      </c>
      <c r="E46" s="833">
        <v>0</v>
      </c>
      <c r="F46" s="800" t="s">
        <v>675</v>
      </c>
      <c r="G46" s="810"/>
      <c r="H46" s="809"/>
      <c r="I46" s="785"/>
    </row>
    <row r="47" spans="2:13">
      <c r="B47" s="773"/>
      <c r="C47" s="773"/>
      <c r="D47" s="773"/>
      <c r="E47" s="773"/>
      <c r="F47" s="773"/>
      <c r="G47" s="810"/>
      <c r="H47" s="809"/>
      <c r="I47" s="785"/>
    </row>
    <row r="48" spans="2:13">
      <c r="B48" s="813"/>
      <c r="C48" s="852"/>
      <c r="D48" s="852"/>
      <c r="E48" s="773"/>
      <c r="F48" s="773"/>
      <c r="G48" s="810"/>
      <c r="H48" s="809"/>
      <c r="I48" s="785"/>
    </row>
    <row r="49" spans="2:10">
      <c r="B49" s="773"/>
      <c r="C49" s="773"/>
      <c r="D49" s="773"/>
      <c r="E49" s="773"/>
      <c r="F49" s="773"/>
      <c r="G49" s="810"/>
      <c r="H49" s="809"/>
      <c r="I49" s="785"/>
    </row>
    <row r="50" spans="2:10">
      <c r="B50" s="773"/>
      <c r="C50" s="812"/>
      <c r="D50" s="812"/>
      <c r="E50" s="812"/>
      <c r="F50" s="793"/>
      <c r="G50" s="809"/>
      <c r="H50" s="809"/>
      <c r="I50" s="785"/>
      <c r="J50" s="773"/>
    </row>
    <row r="51" spans="2:10">
      <c r="B51" s="773"/>
      <c r="C51" s="812"/>
      <c r="D51" s="812"/>
      <c r="E51" s="812"/>
      <c r="F51" s="793"/>
      <c r="G51" s="809"/>
      <c r="H51" s="811"/>
      <c r="I51" s="794"/>
      <c r="J51" s="777"/>
    </row>
    <row r="52" spans="2:10">
      <c r="B52" s="773"/>
      <c r="C52" s="812"/>
      <c r="D52" s="812"/>
      <c r="E52" s="812"/>
      <c r="F52" s="793"/>
      <c r="G52" s="809"/>
      <c r="H52" s="796"/>
      <c r="I52" s="796"/>
      <c r="J52" s="777"/>
    </row>
    <row r="53" spans="2:10">
      <c r="B53" s="773"/>
      <c r="C53" s="812"/>
      <c r="D53" s="812"/>
      <c r="E53" s="812"/>
      <c r="F53" s="793"/>
      <c r="G53" s="809"/>
      <c r="H53" s="796"/>
      <c r="I53" s="796"/>
      <c r="J53" s="777"/>
    </row>
    <row r="54" spans="2:10" ht="20.25">
      <c r="B54" s="782" t="s">
        <v>681</v>
      </c>
      <c r="C54" s="812"/>
      <c r="D54" s="812"/>
      <c r="E54" s="812"/>
      <c r="F54" s="793"/>
      <c r="G54" s="811"/>
      <c r="H54" s="796"/>
      <c r="I54" s="796"/>
      <c r="J54" s="777"/>
    </row>
    <row r="55" spans="2:10">
      <c r="B55" s="776"/>
      <c r="C55" s="773"/>
      <c r="D55" s="773"/>
      <c r="E55" s="773"/>
      <c r="F55" s="773"/>
      <c r="G55" s="796"/>
      <c r="H55" s="796"/>
      <c r="I55" s="796"/>
      <c r="J55" s="777"/>
    </row>
    <row r="56" spans="2:10">
      <c r="B56" s="773"/>
      <c r="C56" s="811"/>
      <c r="D56" s="811"/>
      <c r="E56" s="811"/>
      <c r="F56" s="796"/>
      <c r="G56" s="796"/>
      <c r="H56" s="796"/>
      <c r="I56" s="796"/>
      <c r="J56" s="777"/>
    </row>
    <row r="57" spans="2:10">
      <c r="B57" s="773"/>
      <c r="C57" s="796"/>
      <c r="D57" s="796"/>
      <c r="E57" s="796"/>
      <c r="F57" s="796"/>
      <c r="G57" s="796"/>
      <c r="H57" s="796"/>
      <c r="I57" s="796"/>
      <c r="J57" s="777"/>
    </row>
    <row r="58" spans="2:10">
      <c r="B58" s="773"/>
      <c r="C58" s="796"/>
      <c r="D58" s="796"/>
      <c r="E58" s="796"/>
      <c r="F58" s="811"/>
      <c r="G58" s="796"/>
      <c r="H58" s="811"/>
      <c r="I58" s="796"/>
      <c r="J58" s="777"/>
    </row>
    <row r="59" spans="2:10" ht="15.75">
      <c r="B59" s="797"/>
      <c r="C59" s="798"/>
      <c r="D59" s="798"/>
      <c r="E59" s="798"/>
      <c r="F59" s="811"/>
      <c r="G59" s="796"/>
      <c r="H59" s="811"/>
      <c r="I59" s="794"/>
      <c r="J59" s="777"/>
    </row>
    <row r="60" spans="2:10">
      <c r="B60" s="777"/>
      <c r="C60" s="777"/>
      <c r="D60" s="777"/>
      <c r="E60" s="777"/>
      <c r="F60" s="811"/>
      <c r="G60" s="796"/>
      <c r="H60" s="811"/>
      <c r="I60" s="794"/>
      <c r="J60" s="777"/>
    </row>
    <row r="61" spans="2:10">
      <c r="B61" s="773"/>
      <c r="C61" s="773"/>
      <c r="D61" s="773"/>
      <c r="E61" s="773"/>
      <c r="F61" s="811"/>
      <c r="G61" s="811"/>
      <c r="H61" s="811"/>
      <c r="I61" s="794"/>
      <c r="J61" s="777"/>
    </row>
    <row r="62" spans="2:10">
      <c r="B62" s="773"/>
      <c r="C62" s="773"/>
      <c r="D62" s="773"/>
      <c r="E62" s="773"/>
      <c r="F62" s="811"/>
      <c r="G62" s="811"/>
      <c r="H62" s="811"/>
      <c r="I62" s="794"/>
      <c r="J62" s="777"/>
    </row>
    <row r="63" spans="2:10">
      <c r="B63" s="773"/>
      <c r="C63" s="773"/>
      <c r="D63" s="773"/>
      <c r="E63" s="773"/>
      <c r="F63" s="811"/>
      <c r="G63" s="811"/>
      <c r="H63" s="811"/>
      <c r="I63" s="794"/>
      <c r="J63" s="777"/>
    </row>
    <row r="64" spans="2:10">
      <c r="B64" s="773"/>
      <c r="C64" s="773"/>
      <c r="D64" s="773"/>
      <c r="E64" s="773"/>
      <c r="F64" s="773"/>
      <c r="G64" s="811"/>
      <c r="H64" s="811"/>
      <c r="I64" s="794"/>
      <c r="J64" s="777"/>
    </row>
    <row r="65" spans="6:10">
      <c r="F65" s="773"/>
      <c r="G65" s="811"/>
      <c r="H65" s="811"/>
      <c r="I65" s="794"/>
      <c r="J65" s="777"/>
    </row>
    <row r="66" spans="6:10">
      <c r="F66" s="773"/>
      <c r="G66" s="811"/>
      <c r="H66" s="811"/>
      <c r="I66" s="794"/>
      <c r="J66" s="777"/>
    </row>
    <row r="67" spans="6:10">
      <c r="F67" s="773"/>
      <c r="G67" s="811"/>
      <c r="H67" s="796"/>
      <c r="I67" s="796"/>
      <c r="J67" s="777"/>
    </row>
    <row r="68" spans="6:10">
      <c r="F68" s="773"/>
      <c r="G68" s="811"/>
      <c r="H68" s="796"/>
      <c r="I68" s="796"/>
      <c r="J68" s="777"/>
    </row>
    <row r="69" spans="6:10">
      <c r="F69" s="773"/>
      <c r="G69" s="811"/>
      <c r="H69" s="796"/>
      <c r="I69" s="796"/>
      <c r="J69" s="777"/>
    </row>
    <row r="70" spans="6:10">
      <c r="F70" s="796"/>
      <c r="G70" s="796"/>
      <c r="H70" s="796"/>
      <c r="I70" s="796"/>
      <c r="J70" s="777"/>
    </row>
    <row r="71" spans="6:10">
      <c r="F71" s="796"/>
      <c r="G71" s="796"/>
      <c r="H71" s="796"/>
      <c r="I71" s="796"/>
      <c r="J71" s="777"/>
    </row>
    <row r="72" spans="6:10">
      <c r="F72" s="796"/>
      <c r="G72" s="796"/>
      <c r="H72" s="796"/>
      <c r="I72" s="796"/>
      <c r="J72" s="777"/>
    </row>
    <row r="73" spans="6:10" ht="15.75">
      <c r="F73" s="798"/>
      <c r="G73" s="796"/>
      <c r="H73" s="798"/>
      <c r="I73" s="798"/>
      <c r="J73" s="777"/>
    </row>
    <row r="74" spans="6:10">
      <c r="F74" s="777"/>
      <c r="G74" s="796"/>
      <c r="H74" s="777"/>
      <c r="I74" s="777"/>
      <c r="J74" s="777"/>
    </row>
    <row r="75" spans="6:10">
      <c r="F75" s="773"/>
      <c r="G75" s="796"/>
      <c r="H75" s="773"/>
      <c r="I75" s="773"/>
      <c r="J75" s="773"/>
    </row>
    <row r="76" spans="6:10" ht="15.75">
      <c r="F76" s="773"/>
      <c r="G76" s="798"/>
      <c r="H76" s="773"/>
      <c r="I76" s="773"/>
      <c r="J76" s="773"/>
    </row>
    <row r="77" spans="6:10">
      <c r="F77" s="773"/>
      <c r="G77" s="777"/>
      <c r="H77" s="773"/>
      <c r="I77" s="773"/>
      <c r="J77" s="773"/>
    </row>
    <row r="78" spans="6:10">
      <c r="H78" s="773"/>
      <c r="I78" s="773"/>
      <c r="J78" s="773"/>
    </row>
  </sheetData>
  <sheetProtection password="9E1F" sheet="1" objects="1" scenarios="1"/>
  <customSheetViews>
    <customSheetView guid="{074EB09C-6289-46D7-9513-012B68BCA7BF}" fitToPage="1">
      <pane xSplit="1" ySplit="1" topLeftCell="B2" activePane="bottomRight" state="frozen"/>
      <selection pane="bottomRight" activeCell="K69" sqref="K69"/>
      <pageMargins left="0.31" right="0.25" top="0.38" bottom="0.75" header="0.3" footer="0.3"/>
      <pageSetup paperSize="17" scale="74" orientation="landscape" r:id="rId1"/>
    </customSheetView>
    <customSheetView guid="{AF9F1D33-B8C2-423F-86A1-47612B8F532C}" fitToPage="1">
      <pane xSplit="1" ySplit="1" topLeftCell="B8" activePane="bottomRight" state="frozenSplit"/>
      <selection pane="bottomRight" activeCell="B36" sqref="B36"/>
      <pageMargins left="0.7" right="0.7" top="0.75" bottom="0.75" header="0.3" footer="0.3"/>
      <pageSetup paperSize="17" scale="74" orientation="landscape"/>
    </customSheetView>
  </customSheetViews>
  <pageMargins left="0.31" right="0.25" top="0.38" bottom="0.75" header="0.3" footer="0.3"/>
  <pageSetup paperSize="17" scale="74" orientation="landscape" r:id="rId2"/>
  <drawing r:id="rId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dimension ref="A1:N106"/>
  <sheetViews>
    <sheetView zoomScaleNormal="100" workbookViewId="0">
      <pane xSplit="1" ySplit="1" topLeftCell="B2" activePane="bottomRight" state="frozen"/>
      <selection pane="topRight" activeCell="B1" sqref="B1"/>
      <selection pane="bottomLeft" activeCell="A2" sqref="A2"/>
      <selection pane="bottomRight" activeCell="B3" sqref="B3"/>
    </sheetView>
  </sheetViews>
  <sheetFormatPr defaultColWidth="8.85546875" defaultRowHeight="12.75"/>
  <cols>
    <col min="1" max="1" width="15.28515625" style="3064" customWidth="1"/>
    <col min="2" max="2" width="55" customWidth="1"/>
    <col min="3" max="5" width="20.85546875" customWidth="1"/>
    <col min="6" max="6" width="21" customWidth="1"/>
    <col min="7" max="7" width="21" style="4424" customWidth="1"/>
    <col min="8" max="8" width="21" customWidth="1"/>
    <col min="9" max="9" width="22.85546875" customWidth="1"/>
    <col min="10" max="10" width="17.42578125" customWidth="1"/>
    <col min="11" max="11" width="21.28515625" customWidth="1"/>
    <col min="12" max="12" width="18.7109375" customWidth="1"/>
    <col min="13" max="13" width="13.85546875" customWidth="1"/>
    <col min="14" max="14" width="20.140625" customWidth="1"/>
  </cols>
  <sheetData>
    <row r="1" spans="2:14" ht="42" customHeight="1">
      <c r="B1" s="2820" t="s">
        <v>710</v>
      </c>
      <c r="C1" s="884"/>
      <c r="D1" s="884"/>
      <c r="E1" s="884"/>
      <c r="F1" s="884"/>
      <c r="G1" s="4412"/>
      <c r="H1" s="885"/>
      <c r="I1" s="885"/>
      <c r="J1" s="856"/>
      <c r="K1" s="856"/>
      <c r="L1" s="856"/>
      <c r="M1" s="856"/>
      <c r="N1" s="856"/>
    </row>
    <row r="2" spans="2:14" ht="20.25">
      <c r="B2" s="863"/>
      <c r="C2" s="884"/>
      <c r="D2" s="884"/>
      <c r="E2" s="884"/>
      <c r="F2" s="884"/>
      <c r="G2" s="4412"/>
      <c r="H2" s="885"/>
      <c r="I2" s="885"/>
      <c r="J2" s="856"/>
      <c r="K2" s="856"/>
      <c r="L2" s="856"/>
      <c r="M2" s="856"/>
      <c r="N2" s="856"/>
    </row>
    <row r="3" spans="2:14" ht="38.25">
      <c r="B3" s="3463"/>
      <c r="C3" s="859" t="s">
        <v>9</v>
      </c>
      <c r="D3" s="859" t="s">
        <v>10</v>
      </c>
      <c r="E3" s="859" t="s">
        <v>640</v>
      </c>
      <c r="F3" s="859" t="s">
        <v>12</v>
      </c>
      <c r="G3" s="4363" t="s">
        <v>13</v>
      </c>
      <c r="H3" s="859" t="s">
        <v>14</v>
      </c>
      <c r="I3" s="859" t="s">
        <v>15</v>
      </c>
      <c r="J3" s="859" t="s">
        <v>16</v>
      </c>
      <c r="K3" s="859" t="s">
        <v>641</v>
      </c>
      <c r="L3" s="859" t="s">
        <v>18</v>
      </c>
      <c r="M3" s="901" t="s">
        <v>114</v>
      </c>
      <c r="N3" s="860" t="s">
        <v>19</v>
      </c>
    </row>
    <row r="4" spans="2:14" ht="25.5">
      <c r="B4" s="908" t="s">
        <v>642</v>
      </c>
      <c r="C4" s="909"/>
      <c r="D4" s="909"/>
      <c r="E4" s="909"/>
      <c r="F4" s="909"/>
      <c r="G4" s="4411"/>
      <c r="H4" s="909"/>
      <c r="I4" s="909"/>
      <c r="J4" s="909"/>
      <c r="K4" s="910"/>
      <c r="L4" s="912">
        <v>2555556</v>
      </c>
      <c r="M4" s="911"/>
      <c r="N4" s="913" t="s">
        <v>21</v>
      </c>
    </row>
    <row r="5" spans="2:14">
      <c r="B5" s="900" t="s">
        <v>643</v>
      </c>
      <c r="C5" s="899">
        <v>381978.5500000001</v>
      </c>
      <c r="D5" s="899">
        <v>11043</v>
      </c>
      <c r="E5" s="899">
        <v>247603.57650000005</v>
      </c>
      <c r="F5" s="899">
        <v>54000</v>
      </c>
      <c r="G5" s="4413">
        <v>9350</v>
      </c>
      <c r="H5" s="899">
        <v>183260.1</v>
      </c>
      <c r="I5" s="899">
        <v>1800</v>
      </c>
      <c r="J5" s="899">
        <v>0</v>
      </c>
      <c r="K5" s="907">
        <v>1751732.9</v>
      </c>
      <c r="L5" s="906">
        <v>2640768.1265000002</v>
      </c>
      <c r="M5" s="905">
        <v>14319000</v>
      </c>
      <c r="N5" s="914">
        <v>3.3343869788022742E-2</v>
      </c>
    </row>
    <row r="6" spans="2:14">
      <c r="B6" s="857">
        <v>2012</v>
      </c>
      <c r="C6" s="893">
        <f>C20</f>
        <v>481100</v>
      </c>
      <c r="D6" s="894">
        <f>C21</f>
        <v>40100</v>
      </c>
      <c r="E6" s="894">
        <f>C40</f>
        <v>328400</v>
      </c>
      <c r="F6" s="894">
        <f>C38</f>
        <v>54000</v>
      </c>
      <c r="G6" s="4414">
        <f>C28</f>
        <v>11400</v>
      </c>
      <c r="H6" s="894">
        <f>C53</f>
        <v>511800</v>
      </c>
      <c r="I6" s="894">
        <f>C36</f>
        <v>8680</v>
      </c>
      <c r="J6" s="894">
        <f>C30</f>
        <v>1500</v>
      </c>
      <c r="K6" s="895">
        <f>C16</f>
        <v>3395300</v>
      </c>
      <c r="L6" s="895">
        <f>SUM(C6:K6)</f>
        <v>4832280</v>
      </c>
      <c r="M6" s="902">
        <f>C77</f>
        <v>27154000</v>
      </c>
      <c r="N6" s="914">
        <v>0.98690701290543592</v>
      </c>
    </row>
    <row r="7" spans="2:14" s="3532" customFormat="1">
      <c r="B7" s="4262" t="s">
        <v>1168</v>
      </c>
      <c r="C7" s="1193">
        <v>481100</v>
      </c>
      <c r="D7" s="1194">
        <v>40100</v>
      </c>
      <c r="E7" s="1194">
        <v>328400</v>
      </c>
      <c r="F7" s="1194">
        <v>54000</v>
      </c>
      <c r="G7" s="4415">
        <v>11400</v>
      </c>
      <c r="H7" s="4258">
        <v>511800</v>
      </c>
      <c r="I7" s="4258">
        <v>8680</v>
      </c>
      <c r="J7" s="4258">
        <v>1500</v>
      </c>
      <c r="K7" s="4259">
        <v>3490700</v>
      </c>
      <c r="L7" s="1195">
        <v>4927680</v>
      </c>
      <c r="M7" s="2933">
        <v>27706000</v>
      </c>
      <c r="N7" s="1214"/>
    </row>
    <row r="8" spans="2:14" ht="13.5" thickBot="1">
      <c r="B8" s="4261" t="s">
        <v>1169</v>
      </c>
      <c r="C8" s="4208">
        <f>D20</f>
        <v>507200</v>
      </c>
      <c r="D8" s="4209">
        <f>D21</f>
        <v>40100</v>
      </c>
      <c r="E8" s="4209">
        <f>D40</f>
        <v>386900</v>
      </c>
      <c r="F8" s="4209">
        <f>D38</f>
        <v>54000</v>
      </c>
      <c r="G8" s="4416">
        <f>D28</f>
        <v>11400</v>
      </c>
      <c r="H8" s="4216">
        <f>D53</f>
        <v>511800</v>
      </c>
      <c r="I8" s="4210">
        <f>D36</f>
        <v>8680</v>
      </c>
      <c r="J8" s="4210">
        <f>D30</f>
        <v>1500</v>
      </c>
      <c r="K8" s="4211">
        <f>D16</f>
        <v>5126540</v>
      </c>
      <c r="L8" s="4212">
        <f>SUM(C8:K8)</f>
        <v>6648120</v>
      </c>
      <c r="M8" s="4213">
        <f>G77</f>
        <v>34311500</v>
      </c>
      <c r="N8" s="914">
        <v>0</v>
      </c>
    </row>
    <row r="9" spans="2:14" ht="13.5" thickBot="1">
      <c r="B9" s="4260" t="s">
        <v>1172</v>
      </c>
      <c r="C9" s="4214">
        <f>SUM(C6+C8)</f>
        <v>988300</v>
      </c>
      <c r="D9" s="4214">
        <f t="shared" ref="D9:M9" si="0">SUM(D6+D8)</f>
        <v>80200</v>
      </c>
      <c r="E9" s="4214">
        <f t="shared" si="0"/>
        <v>715300</v>
      </c>
      <c r="F9" s="4214">
        <f t="shared" si="0"/>
        <v>108000</v>
      </c>
      <c r="G9" s="4417">
        <f t="shared" si="0"/>
        <v>22800</v>
      </c>
      <c r="H9" s="4214">
        <f t="shared" si="0"/>
        <v>1023600</v>
      </c>
      <c r="I9" s="4214">
        <f t="shared" si="0"/>
        <v>17360</v>
      </c>
      <c r="J9" s="4214">
        <f t="shared" si="0"/>
        <v>3000</v>
      </c>
      <c r="K9" s="4214">
        <f t="shared" si="0"/>
        <v>8521840</v>
      </c>
      <c r="L9" s="4214">
        <f t="shared" si="0"/>
        <v>11480400</v>
      </c>
      <c r="M9" s="2933">
        <f t="shared" si="0"/>
        <v>61465500</v>
      </c>
      <c r="N9" s="856"/>
    </row>
    <row r="10" spans="2:14" ht="20.25">
      <c r="B10" s="863"/>
      <c r="C10" s="884"/>
      <c r="D10" s="884"/>
      <c r="E10" s="884"/>
      <c r="F10" s="884"/>
      <c r="G10" s="4412"/>
      <c r="H10" s="885"/>
      <c r="I10" s="885"/>
      <c r="J10" s="856"/>
      <c r="K10" s="856"/>
      <c r="L10" s="856"/>
      <c r="M10" s="856"/>
      <c r="N10" s="867"/>
    </row>
    <row r="11" spans="2:14" ht="18">
      <c r="B11" s="864" t="s">
        <v>711</v>
      </c>
      <c r="C11" s="892"/>
      <c r="D11" s="892"/>
      <c r="E11" s="892"/>
      <c r="F11" s="883"/>
      <c r="G11" s="4369"/>
      <c r="H11" s="883"/>
      <c r="I11" s="883"/>
      <c r="J11" s="856"/>
      <c r="K11" s="856"/>
      <c r="L11" s="856"/>
      <c r="M11" s="856"/>
      <c r="N11" s="856"/>
    </row>
    <row r="12" spans="2:14" ht="18">
      <c r="B12" s="865"/>
      <c r="C12" s="896">
        <v>2012</v>
      </c>
      <c r="D12" s="897">
        <v>2013</v>
      </c>
      <c r="E12" s="898" t="s">
        <v>28</v>
      </c>
      <c r="F12" s="870"/>
      <c r="G12" s="4418"/>
      <c r="H12" s="870"/>
      <c r="I12" s="881"/>
      <c r="J12" s="867"/>
      <c r="K12" s="867"/>
      <c r="L12" s="867"/>
      <c r="M12" s="903"/>
      <c r="N12" s="856"/>
    </row>
    <row r="13" spans="2:14">
      <c r="B13" s="3077" t="s">
        <v>645</v>
      </c>
      <c r="C13" s="3115"/>
      <c r="D13" s="3073"/>
      <c r="E13" s="3101"/>
      <c r="F13" s="3083"/>
      <c r="G13" s="4418"/>
      <c r="H13" s="870"/>
      <c r="I13" s="870"/>
      <c r="J13" s="874"/>
      <c r="K13" s="867"/>
      <c r="L13" s="856"/>
      <c r="M13" s="856"/>
      <c r="N13" s="856"/>
    </row>
    <row r="14" spans="2:14" ht="29.25" customHeight="1">
      <c r="B14" s="3480"/>
      <c r="C14" s="3108">
        <v>1533000</v>
      </c>
      <c r="D14" s="4617">
        <v>3529657</v>
      </c>
      <c r="E14" s="3127">
        <f>SUM(C14:D14)</f>
        <v>5062657</v>
      </c>
      <c r="F14" s="4370" t="s">
        <v>1419</v>
      </c>
      <c r="G14" s="4418"/>
      <c r="H14" s="870"/>
      <c r="I14" s="870"/>
      <c r="J14" s="875"/>
      <c r="K14" s="867"/>
      <c r="L14" s="856"/>
      <c r="M14" s="856"/>
      <c r="N14" s="856"/>
    </row>
    <row r="15" spans="2:14" ht="29.25" customHeight="1">
      <c r="B15" s="3480"/>
      <c r="C15" s="3108">
        <v>1862300</v>
      </c>
      <c r="D15" s="4617">
        <v>1596883</v>
      </c>
      <c r="E15" s="3127">
        <f>SUM(C15:D15)</f>
        <v>3459183</v>
      </c>
      <c r="F15" s="4370" t="s">
        <v>1419</v>
      </c>
      <c r="G15" s="4418"/>
      <c r="H15" s="870"/>
      <c r="I15" s="870"/>
      <c r="J15" s="875"/>
      <c r="K15" s="856"/>
      <c r="L15" s="856"/>
      <c r="M15" s="856"/>
      <c r="N15" s="856"/>
    </row>
    <row r="16" spans="2:14">
      <c r="B16" s="3077"/>
      <c r="C16" s="3132">
        <f>SUM(C14:C15)</f>
        <v>3395300</v>
      </c>
      <c r="D16" s="4618">
        <f>SUM(D14:D15)</f>
        <v>5126540</v>
      </c>
      <c r="E16" s="3121">
        <f>SUM(E14:E15)</f>
        <v>8521840</v>
      </c>
      <c r="F16" s="3083"/>
      <c r="G16" s="4418"/>
      <c r="H16" s="870"/>
      <c r="I16" s="870"/>
      <c r="J16" s="875"/>
      <c r="K16" s="856"/>
      <c r="L16" s="856"/>
      <c r="M16" s="856"/>
      <c r="N16" s="856"/>
    </row>
    <row r="17" spans="2:14">
      <c r="B17" s="3077"/>
      <c r="C17" s="3099"/>
      <c r="D17" s="3120"/>
      <c r="E17" s="3121"/>
      <c r="F17" s="3083"/>
      <c r="G17" s="4418"/>
      <c r="H17" s="870"/>
      <c r="I17" s="870"/>
      <c r="J17" s="862"/>
      <c r="K17" s="856"/>
      <c r="L17" s="856"/>
      <c r="M17" s="856"/>
      <c r="N17" s="856"/>
    </row>
    <row r="18" spans="2:14" ht="18">
      <c r="B18" s="3078"/>
      <c r="C18" s="3100"/>
      <c r="D18" s="3073"/>
      <c r="E18" s="3101"/>
      <c r="F18" s="3083"/>
      <c r="G18" s="4418"/>
      <c r="H18" s="870"/>
      <c r="I18" s="870"/>
      <c r="J18" s="862"/>
      <c r="K18" s="856"/>
      <c r="L18" s="856"/>
      <c r="M18" s="856"/>
    </row>
    <row r="19" spans="2:14">
      <c r="B19" s="3077" t="s">
        <v>648</v>
      </c>
      <c r="C19" s="3102"/>
      <c r="D19" s="3073"/>
      <c r="E19" s="3101"/>
      <c r="F19" s="3080"/>
      <c r="G19" s="4419"/>
      <c r="H19" s="868"/>
      <c r="I19" s="870"/>
      <c r="J19" s="862"/>
      <c r="K19" s="856"/>
      <c r="L19" s="856"/>
      <c r="M19" s="856"/>
    </row>
    <row r="20" spans="2:14">
      <c r="B20" s="3082" t="s">
        <v>650</v>
      </c>
      <c r="C20" s="3142">
        <v>481100</v>
      </c>
      <c r="D20" s="4619">
        <v>507200</v>
      </c>
      <c r="E20" s="3127">
        <f>C20+D20</f>
        <v>988300</v>
      </c>
      <c r="F20" s="3091">
        <v>5.38</v>
      </c>
      <c r="G20" s="4420" t="s">
        <v>651</v>
      </c>
      <c r="H20" s="869"/>
      <c r="I20" s="870"/>
      <c r="J20" s="862"/>
      <c r="K20" s="856"/>
      <c r="L20" s="856"/>
      <c r="M20" s="856"/>
    </row>
    <row r="21" spans="2:14">
      <c r="B21" s="3082" t="s">
        <v>655</v>
      </c>
      <c r="C21" s="3142">
        <v>40100</v>
      </c>
      <c r="D21" s="3117">
        <v>40100</v>
      </c>
      <c r="E21" s="3127">
        <f>C21+D21</f>
        <v>80200</v>
      </c>
      <c r="F21" s="3091">
        <v>0.33</v>
      </c>
      <c r="G21" s="4420" t="s">
        <v>651</v>
      </c>
      <c r="H21" s="869"/>
      <c r="I21" s="870"/>
      <c r="J21" s="862"/>
      <c r="K21" s="856"/>
      <c r="L21" s="856"/>
      <c r="M21" s="856"/>
    </row>
    <row r="22" spans="2:14">
      <c r="B22" s="3082"/>
      <c r="C22" s="3103"/>
      <c r="D22" s="3073"/>
      <c r="E22" s="3101"/>
      <c r="F22" s="3081"/>
      <c r="G22" s="4420" t="s">
        <v>651</v>
      </c>
      <c r="H22" s="869"/>
      <c r="I22" s="870"/>
      <c r="J22" s="880"/>
      <c r="K22" s="856"/>
      <c r="L22" s="856"/>
      <c r="M22" s="904"/>
    </row>
    <row r="23" spans="2:14">
      <c r="B23" s="3077" t="s">
        <v>481</v>
      </c>
      <c r="C23" s="3102"/>
      <c r="D23" s="3073"/>
      <c r="E23" s="3101"/>
      <c r="F23" s="3080"/>
      <c r="G23" s="4373"/>
      <c r="H23" s="869"/>
      <c r="I23" s="856"/>
      <c r="J23" s="861"/>
      <c r="K23" s="856"/>
      <c r="L23" s="856"/>
      <c r="M23" s="856"/>
    </row>
    <row r="24" spans="2:14">
      <c r="B24" s="3072" t="s">
        <v>656</v>
      </c>
      <c r="C24" s="3108">
        <v>2500</v>
      </c>
      <c r="D24" s="3117">
        <v>2500</v>
      </c>
      <c r="E24" s="3114">
        <f>SUM(C24:D24)</f>
        <v>5000</v>
      </c>
      <c r="F24" s="3092"/>
      <c r="G24" s="4419"/>
      <c r="H24" s="868"/>
      <c r="I24" s="870"/>
      <c r="J24" s="891"/>
      <c r="K24" s="856"/>
      <c r="L24" s="856"/>
      <c r="M24" s="856"/>
    </row>
    <row r="25" spans="2:14">
      <c r="B25" s="3082" t="s">
        <v>657</v>
      </c>
      <c r="C25" s="3104">
        <v>5200</v>
      </c>
      <c r="D25" s="3117">
        <v>5200</v>
      </c>
      <c r="E25" s="3114">
        <f t="shared" ref="E25:E27" si="1">SUM(C25:D25)</f>
        <v>10400</v>
      </c>
      <c r="F25" s="3072"/>
      <c r="G25" s="4421"/>
      <c r="H25" s="886"/>
      <c r="I25" s="878"/>
      <c r="J25" s="889"/>
      <c r="K25" s="876"/>
      <c r="L25" s="856"/>
      <c r="M25" s="856"/>
    </row>
    <row r="26" spans="2:14">
      <c r="B26" s="3082" t="s">
        <v>658</v>
      </c>
      <c r="C26" s="3108">
        <v>2600</v>
      </c>
      <c r="D26" s="3117">
        <v>2600</v>
      </c>
      <c r="E26" s="3114">
        <f t="shared" si="1"/>
        <v>5200</v>
      </c>
      <c r="F26" s="3080"/>
      <c r="G26" s="4419"/>
      <c r="H26" s="868"/>
      <c r="I26" s="878"/>
      <c r="J26" s="882"/>
      <c r="K26" s="879"/>
      <c r="L26" s="856"/>
      <c r="M26" s="856"/>
    </row>
    <row r="27" spans="2:14">
      <c r="B27" s="3082" t="s">
        <v>660</v>
      </c>
      <c r="C27" s="3108">
        <v>1100</v>
      </c>
      <c r="D27" s="3117">
        <v>1100</v>
      </c>
      <c r="E27" s="3114">
        <f t="shared" si="1"/>
        <v>2200</v>
      </c>
      <c r="F27" s="3080"/>
      <c r="G27" s="4419"/>
      <c r="H27" s="887"/>
      <c r="I27" s="878"/>
      <c r="J27" s="882"/>
      <c r="K27" s="879"/>
      <c r="L27" s="856"/>
      <c r="M27" s="856"/>
    </row>
    <row r="28" spans="2:14">
      <c r="B28" s="3072"/>
      <c r="C28" s="3105">
        <f>SUM(C24:C27)</f>
        <v>11400</v>
      </c>
      <c r="D28" s="3088">
        <f>SUM(D24:D27)</f>
        <v>11400</v>
      </c>
      <c r="E28" s="3121">
        <f>SUM(E24:E27)</f>
        <v>22800</v>
      </c>
      <c r="F28" s="3080"/>
      <c r="G28" s="4419"/>
      <c r="H28" s="887"/>
      <c r="I28" s="877"/>
      <c r="J28" s="890"/>
      <c r="K28" s="856"/>
      <c r="L28" s="856"/>
      <c r="M28" s="856"/>
    </row>
    <row r="29" spans="2:14">
      <c r="B29" s="3073"/>
      <c r="C29" s="3110"/>
      <c r="D29" s="3073"/>
      <c r="E29" s="3101"/>
      <c r="F29" s="3080"/>
      <c r="G29" s="4419"/>
      <c r="H29" s="887"/>
      <c r="I29" s="856"/>
      <c r="J29" s="856"/>
      <c r="K29" s="856"/>
      <c r="L29" s="856"/>
      <c r="M29" s="856"/>
    </row>
    <row r="30" spans="2:14">
      <c r="B30" s="3077" t="s">
        <v>649</v>
      </c>
      <c r="C30" s="3105">
        <v>1500</v>
      </c>
      <c r="D30" s="3098">
        <v>1500</v>
      </c>
      <c r="E30" s="3121">
        <f>C30+D30</f>
        <v>3000</v>
      </c>
      <c r="F30" s="3080"/>
      <c r="G30" s="4419"/>
      <c r="H30" s="887"/>
      <c r="I30" s="856"/>
      <c r="J30" s="856"/>
      <c r="K30" s="856"/>
      <c r="L30" s="856"/>
      <c r="M30" s="856"/>
    </row>
    <row r="31" spans="2:14">
      <c r="B31" s="3073"/>
      <c r="C31" s="3110"/>
      <c r="D31" s="3073"/>
      <c r="E31" s="3101"/>
      <c r="F31" s="3080"/>
      <c r="G31" s="4419"/>
      <c r="H31" s="887"/>
      <c r="I31" s="856"/>
      <c r="J31" s="856"/>
      <c r="K31" s="856"/>
      <c r="L31" s="856"/>
      <c r="M31" s="856"/>
    </row>
    <row r="32" spans="2:14">
      <c r="B32" s="3076" t="s">
        <v>652</v>
      </c>
      <c r="C32" s="3110"/>
      <c r="D32" s="3073"/>
      <c r="E32" s="3101"/>
      <c r="F32" s="3093"/>
      <c r="G32" s="4419"/>
      <c r="H32" s="887"/>
      <c r="I32" s="856"/>
      <c r="J32" s="856"/>
      <c r="K32" s="856"/>
      <c r="L32" s="856"/>
      <c r="M32" s="856"/>
    </row>
    <row r="33" spans="2:13">
      <c r="B33" s="3072" t="s">
        <v>661</v>
      </c>
      <c r="C33" s="3110">
        <v>7810</v>
      </c>
      <c r="D33" s="3117">
        <v>7810</v>
      </c>
      <c r="E33" s="3114">
        <f>SUM(C33:D33)</f>
        <v>15620</v>
      </c>
      <c r="F33" s="3093"/>
      <c r="G33" s="4384"/>
      <c r="H33" s="887"/>
      <c r="I33" s="870"/>
      <c r="J33" s="856"/>
      <c r="K33" s="856"/>
      <c r="L33" s="856"/>
      <c r="M33" s="856"/>
    </row>
    <row r="34" spans="2:13">
      <c r="B34" s="3072" t="s">
        <v>662</v>
      </c>
      <c r="C34" s="3110">
        <v>430</v>
      </c>
      <c r="D34" s="3117">
        <v>430</v>
      </c>
      <c r="E34" s="3114">
        <f t="shared" ref="E34:E35" si="2">SUM(C34:D34)</f>
        <v>860</v>
      </c>
      <c r="F34" s="3093"/>
      <c r="G34" s="4384"/>
      <c r="H34" s="887"/>
      <c r="I34" s="870"/>
    </row>
    <row r="35" spans="2:13">
      <c r="B35" s="3073" t="s">
        <v>663</v>
      </c>
      <c r="C35" s="3110">
        <v>440</v>
      </c>
      <c r="D35" s="3117">
        <v>440</v>
      </c>
      <c r="E35" s="3114">
        <f t="shared" si="2"/>
        <v>880</v>
      </c>
      <c r="F35" s="3093"/>
      <c r="G35" s="4384"/>
      <c r="H35" s="887"/>
      <c r="I35" s="870"/>
    </row>
    <row r="36" spans="2:13">
      <c r="B36" s="3076" t="s">
        <v>664</v>
      </c>
      <c r="C36" s="3106">
        <f>SUM(C33:C35)</f>
        <v>8680</v>
      </c>
      <c r="D36" s="3084">
        <f>SUM(D33:D35)</f>
        <v>8680</v>
      </c>
      <c r="E36" s="3121">
        <f>SUM(E33:E35)</f>
        <v>17360</v>
      </c>
      <c r="F36" s="3093"/>
      <c r="G36" s="4384"/>
      <c r="H36" s="887"/>
      <c r="I36" s="870"/>
    </row>
    <row r="37" spans="2:13">
      <c r="B37" s="3073"/>
      <c r="C37" s="3110"/>
      <c r="D37" s="3073"/>
      <c r="E37" s="3101"/>
      <c r="F37" s="3093"/>
      <c r="G37" s="4384"/>
      <c r="H37" s="887"/>
      <c r="I37" s="870"/>
    </row>
    <row r="38" spans="2:13">
      <c r="B38" s="3076" t="s">
        <v>654</v>
      </c>
      <c r="C38" s="3106">
        <v>54000</v>
      </c>
      <c r="D38" s="3118">
        <v>54000</v>
      </c>
      <c r="E38" s="3121">
        <f>C38+D38</f>
        <v>108000</v>
      </c>
      <c r="F38" s="3093"/>
      <c r="G38" s="4384"/>
      <c r="H38" s="887"/>
      <c r="I38" s="870"/>
    </row>
    <row r="39" spans="2:13">
      <c r="B39" s="3073"/>
      <c r="C39" s="3110"/>
      <c r="D39" s="3073"/>
      <c r="E39" s="3101"/>
      <c r="F39" s="3093"/>
      <c r="G39" s="4384"/>
      <c r="H39" s="887"/>
      <c r="I39" s="870"/>
    </row>
    <row r="40" spans="2:13">
      <c r="B40" s="4429" t="s">
        <v>1438</v>
      </c>
      <c r="C40" s="3106">
        <f>ROUND(SUM(C20:C21)*0.63, -2)</f>
        <v>328400</v>
      </c>
      <c r="D40" s="4629">
        <f>ROUND(SUM(D20:D21)*0.707, -2)</f>
        <v>386900</v>
      </c>
      <c r="E40" s="3121">
        <f>C40+D40</f>
        <v>715300</v>
      </c>
      <c r="F40" s="3093"/>
      <c r="G40" s="4381"/>
      <c r="H40" s="887"/>
      <c r="I40" s="870"/>
    </row>
    <row r="41" spans="2:13">
      <c r="B41" s="3073"/>
      <c r="C41" s="3110"/>
      <c r="D41" s="3094"/>
      <c r="E41" s="3111"/>
      <c r="F41" s="3093"/>
      <c r="G41" s="4381"/>
      <c r="H41" s="887"/>
      <c r="I41" s="870"/>
    </row>
    <row r="42" spans="2:13">
      <c r="B42" s="3074" t="s">
        <v>14</v>
      </c>
      <c r="C42" s="3110"/>
      <c r="D42" s="3094"/>
      <c r="E42" s="3111"/>
      <c r="F42" s="3093"/>
      <c r="G42" s="4422"/>
      <c r="H42" s="887"/>
      <c r="I42" s="866"/>
    </row>
    <row r="43" spans="2:13">
      <c r="B43" s="3126" t="s">
        <v>646</v>
      </c>
      <c r="C43" s="3110"/>
      <c r="D43" s="3094"/>
      <c r="E43" s="3111"/>
      <c r="F43" s="3093"/>
      <c r="G43" s="4422"/>
      <c r="H43" s="887"/>
      <c r="I43" s="866"/>
    </row>
    <row r="44" spans="2:13">
      <c r="B44" s="3087" t="s">
        <v>712</v>
      </c>
      <c r="C44" s="3108">
        <v>6250</v>
      </c>
      <c r="D44" s="3095">
        <v>6250</v>
      </c>
      <c r="E44" s="3109">
        <f>SUM(C44:D44)</f>
        <v>12500</v>
      </c>
      <c r="F44" s="3093"/>
      <c r="G44" s="4422"/>
      <c r="H44" s="887"/>
      <c r="I44" s="866"/>
    </row>
    <row r="45" spans="2:13">
      <c r="B45" s="3087" t="s">
        <v>686</v>
      </c>
      <c r="C45" s="3108">
        <v>29700</v>
      </c>
      <c r="D45" s="3095">
        <v>29700</v>
      </c>
      <c r="E45" s="3109">
        <f t="shared" ref="E45:E52" si="3">SUM(C45:D45)</f>
        <v>59400</v>
      </c>
      <c r="F45" s="3093"/>
      <c r="G45" s="4422"/>
      <c r="H45" s="887"/>
      <c r="I45" s="866"/>
    </row>
    <row r="46" spans="2:13">
      <c r="B46" s="3072" t="s">
        <v>713</v>
      </c>
      <c r="C46" s="3108">
        <v>19200</v>
      </c>
      <c r="D46" s="3095">
        <v>19200</v>
      </c>
      <c r="E46" s="3109">
        <f t="shared" si="3"/>
        <v>38400</v>
      </c>
      <c r="F46" s="3093"/>
      <c r="G46" s="4422"/>
      <c r="H46" s="887"/>
      <c r="I46" s="866"/>
    </row>
    <row r="47" spans="2:13">
      <c r="B47" s="3122" t="s">
        <v>647</v>
      </c>
      <c r="C47" s="3108"/>
      <c r="D47" s="3095"/>
      <c r="E47" s="3109">
        <f t="shared" si="3"/>
        <v>0</v>
      </c>
      <c r="F47" s="3093"/>
      <c r="G47" s="4422"/>
      <c r="H47" s="887"/>
      <c r="I47" s="866"/>
    </row>
    <row r="48" spans="2:13">
      <c r="B48" s="3125" t="s">
        <v>714</v>
      </c>
      <c r="C48" s="3108">
        <v>125000</v>
      </c>
      <c r="D48" s="3095">
        <v>125000</v>
      </c>
      <c r="E48" s="3109">
        <f t="shared" si="3"/>
        <v>250000</v>
      </c>
      <c r="F48" s="3093"/>
      <c r="G48" s="4422"/>
      <c r="H48" s="887"/>
      <c r="I48" s="866"/>
    </row>
    <row r="49" spans="2:9">
      <c r="B49" s="3125" t="s">
        <v>715</v>
      </c>
      <c r="C49" s="3108">
        <v>0</v>
      </c>
      <c r="D49" s="3095">
        <v>0</v>
      </c>
      <c r="E49" s="3109">
        <f t="shared" si="3"/>
        <v>0</v>
      </c>
      <c r="F49" s="3093"/>
      <c r="G49" s="4422"/>
      <c r="H49" s="887"/>
      <c r="I49" s="866"/>
    </row>
    <row r="50" spans="2:9">
      <c r="B50" s="3125" t="s">
        <v>716</v>
      </c>
      <c r="C50" s="3108">
        <v>1200</v>
      </c>
      <c r="D50" s="3095">
        <v>1200</v>
      </c>
      <c r="E50" s="3109">
        <f t="shared" si="3"/>
        <v>2400</v>
      </c>
      <c r="F50" s="3093"/>
      <c r="G50" s="4422"/>
      <c r="H50" s="887"/>
      <c r="I50" s="866"/>
    </row>
    <row r="51" spans="2:9">
      <c r="B51" s="3125" t="s">
        <v>717</v>
      </c>
      <c r="C51" s="3108">
        <v>234450</v>
      </c>
      <c r="D51" s="3095">
        <v>234450</v>
      </c>
      <c r="E51" s="3109">
        <f t="shared" si="3"/>
        <v>468900</v>
      </c>
      <c r="F51" s="3093"/>
      <c r="G51" s="4422"/>
      <c r="H51" s="887"/>
      <c r="I51" s="866"/>
    </row>
    <row r="52" spans="2:9">
      <c r="B52" s="3125" t="s">
        <v>718</v>
      </c>
      <c r="C52" s="3108">
        <v>96000</v>
      </c>
      <c r="D52" s="3095">
        <v>96000</v>
      </c>
      <c r="E52" s="3109">
        <f t="shared" si="3"/>
        <v>192000</v>
      </c>
      <c r="F52" s="3093"/>
      <c r="G52" s="4422"/>
      <c r="H52" s="887"/>
      <c r="I52" s="866"/>
    </row>
    <row r="53" spans="2:9">
      <c r="B53" s="3086" t="s">
        <v>672</v>
      </c>
      <c r="C53" s="3106">
        <f>SUM(C44:C52)</f>
        <v>511800</v>
      </c>
      <c r="D53" s="3084">
        <f>SUM(D44:D52)</f>
        <v>511800</v>
      </c>
      <c r="E53" s="3121">
        <f>SUM(E44:E52)</f>
        <v>1023600</v>
      </c>
      <c r="F53" s="3093"/>
      <c r="G53" s="4422"/>
      <c r="H53" s="887"/>
      <c r="I53" s="866"/>
    </row>
    <row r="54" spans="2:9">
      <c r="B54" s="3079"/>
      <c r="C54" s="3129"/>
      <c r="D54" s="3130"/>
      <c r="E54" s="3131"/>
      <c r="F54" s="3093"/>
      <c r="G54" s="4422"/>
      <c r="H54" s="887"/>
      <c r="I54" s="866"/>
    </row>
    <row r="55" spans="2:9" ht="13.5" thickBot="1">
      <c r="B55" s="3086" t="s">
        <v>673</v>
      </c>
      <c r="C55" s="3128">
        <f>C16+C20+C21+C28+C30+C36+C38+C40+C53</f>
        <v>4832280</v>
      </c>
      <c r="D55" s="3128">
        <f>D16+D20+D21+D28+D30+D36+D38+D40+D53</f>
        <v>6648120</v>
      </c>
      <c r="E55" s="3128">
        <f>E16+E20+E21+E28+E30+E36+E38+E40+E53</f>
        <v>11480400</v>
      </c>
      <c r="F55" s="3110"/>
      <c r="G55" s="4422"/>
      <c r="H55" s="887"/>
      <c r="I55" s="866"/>
    </row>
    <row r="56" spans="2:9">
      <c r="B56" s="3075"/>
      <c r="C56" s="3095"/>
      <c r="D56" s="3095"/>
      <c r="E56" s="3095"/>
      <c r="F56" s="3093"/>
      <c r="G56" s="4381"/>
      <c r="H56" s="887"/>
      <c r="I56" s="866"/>
    </row>
    <row r="57" spans="2:9">
      <c r="B57" s="3072"/>
      <c r="C57" s="3116">
        <v>2012</v>
      </c>
      <c r="D57" s="3116">
        <v>2013</v>
      </c>
      <c r="E57" s="3116" t="s">
        <v>28</v>
      </c>
      <c r="F57" s="3072"/>
      <c r="G57" s="4647" t="s">
        <v>1320</v>
      </c>
      <c r="H57" s="887"/>
      <c r="I57" s="866"/>
    </row>
    <row r="58" spans="2:9">
      <c r="B58" s="3076" t="s">
        <v>674</v>
      </c>
      <c r="C58" s="3134"/>
      <c r="D58" s="3107"/>
      <c r="E58" s="3135"/>
      <c r="F58" s="3072"/>
      <c r="G58" s="4654"/>
      <c r="H58" s="887"/>
      <c r="I58" s="866"/>
    </row>
    <row r="59" spans="2:9" ht="30" customHeight="1">
      <c r="B59" s="3480"/>
      <c r="C59" s="3136"/>
      <c r="D59" s="3089"/>
      <c r="E59" s="3137"/>
      <c r="F59" s="4370" t="s">
        <v>1419</v>
      </c>
      <c r="G59" s="4654"/>
      <c r="H59" s="887"/>
      <c r="I59" s="866"/>
    </row>
    <row r="60" spans="2:9">
      <c r="B60" s="3133" t="s">
        <v>719</v>
      </c>
      <c r="C60" s="3138">
        <v>1712000</v>
      </c>
      <c r="D60" s="4620">
        <v>888000</v>
      </c>
      <c r="E60" s="3139">
        <f>C60+D60</f>
        <v>2600000</v>
      </c>
      <c r="F60" s="3124" t="s">
        <v>675</v>
      </c>
      <c r="G60" s="4649">
        <v>884000</v>
      </c>
      <c r="H60" s="887"/>
      <c r="I60" s="866"/>
    </row>
    <row r="61" spans="2:9">
      <c r="B61" s="3133" t="s">
        <v>720</v>
      </c>
      <c r="C61" s="3138">
        <v>400000</v>
      </c>
      <c r="D61" s="4620">
        <v>400000</v>
      </c>
      <c r="E61" s="3139">
        <f t="shared" ref="E61:E70" si="4">C61+D61</f>
        <v>800000</v>
      </c>
      <c r="F61" s="3124" t="s">
        <v>675</v>
      </c>
      <c r="G61" s="4649">
        <v>500000</v>
      </c>
      <c r="H61" s="887"/>
      <c r="I61" s="866"/>
    </row>
    <row r="62" spans="2:9">
      <c r="B62" s="3133" t="s">
        <v>721</v>
      </c>
      <c r="C62" s="3138">
        <v>50000</v>
      </c>
      <c r="D62" s="3123">
        <v>50000</v>
      </c>
      <c r="E62" s="3139">
        <f t="shared" si="4"/>
        <v>100000</v>
      </c>
      <c r="F62" s="3124" t="s">
        <v>675</v>
      </c>
      <c r="G62" s="4648">
        <v>50000</v>
      </c>
      <c r="H62" s="887"/>
      <c r="I62" s="866"/>
    </row>
    <row r="63" spans="2:9">
      <c r="B63" s="3133" t="s">
        <v>722</v>
      </c>
      <c r="C63" s="3138">
        <v>50000</v>
      </c>
      <c r="D63" s="3123">
        <v>50000</v>
      </c>
      <c r="E63" s="3139">
        <f t="shared" si="4"/>
        <v>100000</v>
      </c>
      <c r="F63" s="3124" t="s">
        <v>675</v>
      </c>
      <c r="G63" s="4648">
        <v>50000</v>
      </c>
      <c r="H63" s="887"/>
      <c r="I63" s="866"/>
    </row>
    <row r="64" spans="2:9">
      <c r="B64" s="3133" t="s">
        <v>723</v>
      </c>
      <c r="C64" s="3138">
        <v>3000000</v>
      </c>
      <c r="D64" s="4620">
        <v>3000000</v>
      </c>
      <c r="E64" s="3139">
        <f t="shared" si="4"/>
        <v>6000000</v>
      </c>
      <c r="F64" s="3124" t="s">
        <v>675</v>
      </c>
      <c r="G64" s="4649">
        <v>1500000</v>
      </c>
      <c r="H64" s="887"/>
      <c r="I64" s="866"/>
    </row>
    <row r="65" spans="2:10">
      <c r="B65" s="3133" t="s">
        <v>971</v>
      </c>
      <c r="C65" s="3138">
        <v>4645000</v>
      </c>
      <c r="D65" s="4620">
        <v>4645000</v>
      </c>
      <c r="E65" s="3139">
        <f t="shared" si="4"/>
        <v>9290000</v>
      </c>
      <c r="F65" s="3124" t="s">
        <v>675</v>
      </c>
      <c r="G65" s="4649">
        <v>8377140</v>
      </c>
      <c r="H65" s="887"/>
      <c r="I65" s="866"/>
    </row>
    <row r="66" spans="2:10">
      <c r="B66" s="3133" t="s">
        <v>724</v>
      </c>
      <c r="C66" s="3138">
        <v>1823000</v>
      </c>
      <c r="D66" s="4620">
        <v>1823000</v>
      </c>
      <c r="E66" s="3139">
        <f t="shared" si="4"/>
        <v>3646000</v>
      </c>
      <c r="F66" s="3124" t="s">
        <v>675</v>
      </c>
      <c r="G66" s="4649">
        <v>8000000</v>
      </c>
      <c r="H66" s="887"/>
      <c r="I66" s="866"/>
      <c r="J66" s="856"/>
    </row>
    <row r="67" spans="2:10">
      <c r="B67" s="3133" t="s">
        <v>725</v>
      </c>
      <c r="C67" s="3138">
        <v>400000</v>
      </c>
      <c r="D67" s="4620">
        <v>500000</v>
      </c>
      <c r="E67" s="3139">
        <f t="shared" si="4"/>
        <v>900000</v>
      </c>
      <c r="F67" s="3124" t="s">
        <v>675</v>
      </c>
      <c r="G67" s="4649">
        <v>1000000</v>
      </c>
      <c r="H67" s="887"/>
      <c r="I67" s="866"/>
      <c r="J67" s="856"/>
    </row>
    <row r="68" spans="2:10">
      <c r="B68" s="3133" t="s">
        <v>726</v>
      </c>
      <c r="C68" s="3138">
        <v>400000</v>
      </c>
      <c r="D68" s="3123">
        <v>110000</v>
      </c>
      <c r="E68" s="3139">
        <f t="shared" si="4"/>
        <v>510000</v>
      </c>
      <c r="F68" s="3124" t="s">
        <v>675</v>
      </c>
      <c r="G68" s="4648">
        <v>110000</v>
      </c>
      <c r="H68" s="887"/>
      <c r="I68" s="866"/>
      <c r="J68" s="856"/>
    </row>
    <row r="69" spans="2:10">
      <c r="B69" s="3133" t="s">
        <v>727</v>
      </c>
      <c r="C69" s="3138">
        <v>990000</v>
      </c>
      <c r="D69" s="4620">
        <v>1100000</v>
      </c>
      <c r="E69" s="3139">
        <f t="shared" si="4"/>
        <v>2090000</v>
      </c>
      <c r="F69" s="3124" t="s">
        <v>675</v>
      </c>
      <c r="G69" s="4649">
        <v>700000</v>
      </c>
      <c r="H69" s="887"/>
      <c r="I69" s="866"/>
      <c r="J69" s="856"/>
    </row>
    <row r="70" spans="2:10">
      <c r="B70" s="3133" t="s">
        <v>728</v>
      </c>
      <c r="C70" s="3138">
        <v>7000</v>
      </c>
      <c r="D70" s="3123">
        <v>7000</v>
      </c>
      <c r="E70" s="3139">
        <f t="shared" si="4"/>
        <v>14000</v>
      </c>
      <c r="F70" s="3124" t="s">
        <v>675</v>
      </c>
      <c r="G70" s="4648">
        <v>7000</v>
      </c>
      <c r="H70" s="887"/>
      <c r="I70" s="866"/>
      <c r="J70" s="856"/>
    </row>
    <row r="71" spans="2:10" ht="33" customHeight="1">
      <c r="B71" s="3480"/>
      <c r="C71" s="3138"/>
      <c r="D71" s="3123"/>
      <c r="E71" s="3139"/>
      <c r="F71" s="4370" t="s">
        <v>1419</v>
      </c>
      <c r="G71" s="4643"/>
      <c r="H71" s="887"/>
      <c r="I71" s="866"/>
      <c r="J71" s="856"/>
    </row>
    <row r="72" spans="2:10">
      <c r="B72" s="3125" t="s">
        <v>714</v>
      </c>
      <c r="C72" s="3138">
        <v>3000000</v>
      </c>
      <c r="D72" s="3123">
        <v>3000000</v>
      </c>
      <c r="E72" s="3139">
        <f>C72+D72</f>
        <v>6000000</v>
      </c>
      <c r="F72" s="3124" t="s">
        <v>675</v>
      </c>
      <c r="G72" s="4648">
        <v>3000000</v>
      </c>
      <c r="H72" s="887"/>
      <c r="I72" s="866"/>
      <c r="J72" s="856"/>
    </row>
    <row r="73" spans="2:10">
      <c r="B73" s="3125" t="s">
        <v>715</v>
      </c>
      <c r="C73" s="3138">
        <v>5475000</v>
      </c>
      <c r="D73" s="4620">
        <v>6931000</v>
      </c>
      <c r="E73" s="3139">
        <f t="shared" ref="E73:E76" si="5">C73+D73</f>
        <v>12406000</v>
      </c>
      <c r="F73" s="3124" t="s">
        <v>675</v>
      </c>
      <c r="G73" s="4649">
        <v>6947360</v>
      </c>
      <c r="H73" s="887"/>
      <c r="I73" s="866"/>
      <c r="J73" s="856"/>
    </row>
    <row r="74" spans="2:10">
      <c r="B74" s="3125" t="s">
        <v>716</v>
      </c>
      <c r="C74" s="3138">
        <v>34000</v>
      </c>
      <c r="D74" s="4620">
        <v>34000</v>
      </c>
      <c r="E74" s="3139">
        <f t="shared" si="5"/>
        <v>68000</v>
      </c>
      <c r="F74" s="3124" t="s">
        <v>675</v>
      </c>
      <c r="G74" s="4649">
        <v>18000</v>
      </c>
      <c r="H74" s="887"/>
      <c r="I74" s="866"/>
      <c r="J74" s="856"/>
    </row>
    <row r="75" spans="2:10">
      <c r="B75" s="3125" t="s">
        <v>717</v>
      </c>
      <c r="C75" s="3138">
        <v>3168000</v>
      </c>
      <c r="D75" s="3123">
        <v>3168000</v>
      </c>
      <c r="E75" s="3139">
        <f t="shared" si="5"/>
        <v>6336000</v>
      </c>
      <c r="F75" s="3124" t="s">
        <v>675</v>
      </c>
      <c r="G75" s="4648">
        <v>3168000</v>
      </c>
      <c r="H75" s="887"/>
      <c r="I75" s="866"/>
      <c r="J75" s="856"/>
    </row>
    <row r="76" spans="2:10">
      <c r="B76" s="3125" t="s">
        <v>718</v>
      </c>
      <c r="C76" s="3140">
        <v>2000000</v>
      </c>
      <c r="D76" s="3141"/>
      <c r="E76" s="3139">
        <f t="shared" si="5"/>
        <v>2000000</v>
      </c>
      <c r="F76" s="3124" t="s">
        <v>675</v>
      </c>
      <c r="G76" s="4648">
        <v>0</v>
      </c>
      <c r="H76" s="887"/>
      <c r="I76" s="866"/>
      <c r="J76" s="856"/>
    </row>
    <row r="77" spans="2:10">
      <c r="B77" s="3090" t="s">
        <v>729</v>
      </c>
      <c r="C77" s="3112">
        <f>SUM(C60:C76)</f>
        <v>27154000</v>
      </c>
      <c r="D77" s="4621">
        <f>SUM(D60:D76)</f>
        <v>25706000</v>
      </c>
      <c r="E77" s="3113">
        <f>SUM(E60:E76)</f>
        <v>52860000</v>
      </c>
      <c r="F77" s="3088" t="s">
        <v>675</v>
      </c>
      <c r="G77" s="5092">
        <v>34311500</v>
      </c>
      <c r="H77" s="887"/>
      <c r="I77" s="866"/>
      <c r="J77" s="856"/>
    </row>
    <row r="78" spans="2:10">
      <c r="B78" s="3072"/>
      <c r="C78" s="3089"/>
      <c r="D78" s="3089"/>
      <c r="E78" s="3089"/>
      <c r="F78" s="3088"/>
      <c r="G78" s="4381"/>
      <c r="H78" s="887"/>
      <c r="I78" s="866"/>
      <c r="J78" s="856"/>
    </row>
    <row r="79" spans="2:10">
      <c r="B79" s="3097" t="s">
        <v>680</v>
      </c>
      <c r="C79" s="3119">
        <v>0.49514014260444589</v>
      </c>
      <c r="D79" s="3119">
        <v>0.50485985739555406</v>
      </c>
      <c r="E79" s="3096"/>
      <c r="F79" s="3085"/>
      <c r="G79" s="4381"/>
      <c r="H79" s="887"/>
      <c r="I79" s="866"/>
      <c r="J79" s="856"/>
    </row>
    <row r="80" spans="2:10">
      <c r="B80" s="2751" t="s">
        <v>680</v>
      </c>
      <c r="C80" s="2752">
        <v>0.51023943687656148</v>
      </c>
      <c r="D80" s="2752">
        <v>0.48976056312343857</v>
      </c>
      <c r="E80" s="2750"/>
      <c r="F80" s="2749"/>
      <c r="G80" s="4381"/>
      <c r="H80" s="888"/>
      <c r="I80" s="871"/>
      <c r="J80" s="858"/>
    </row>
    <row r="81" spans="2:10">
      <c r="B81" s="856"/>
      <c r="C81" s="873"/>
      <c r="D81" s="873"/>
      <c r="E81" s="873"/>
      <c r="F81" s="872"/>
      <c r="G81" s="4381"/>
      <c r="H81" s="888"/>
      <c r="I81" s="871"/>
      <c r="J81" s="858"/>
    </row>
    <row r="82" spans="2:10">
      <c r="B82" s="856"/>
      <c r="C82" s="856"/>
      <c r="D82" s="856"/>
      <c r="E82" s="856"/>
      <c r="F82" s="856"/>
      <c r="G82" s="4423"/>
      <c r="H82" s="856"/>
      <c r="I82" s="856"/>
      <c r="J82" s="856"/>
    </row>
    <row r="83" spans="2:10">
      <c r="B83" s="856"/>
      <c r="C83" s="856"/>
      <c r="D83" s="856"/>
      <c r="E83" s="5138"/>
      <c r="F83" s="5138"/>
      <c r="G83" s="5138"/>
      <c r="H83" s="856"/>
      <c r="I83" s="856"/>
      <c r="J83" s="856"/>
    </row>
    <row r="84" spans="2:10">
      <c r="B84" s="856"/>
      <c r="C84" s="856"/>
      <c r="D84" s="856"/>
      <c r="E84" s="5138"/>
      <c r="F84" s="5138"/>
      <c r="G84" s="5138"/>
      <c r="H84" s="856"/>
      <c r="I84" s="856"/>
      <c r="J84" s="856"/>
    </row>
    <row r="86" spans="2:10">
      <c r="B86" s="856"/>
      <c r="C86" s="856"/>
      <c r="D86" s="856"/>
      <c r="E86" s="5138"/>
      <c r="F86" s="5138"/>
      <c r="G86" s="5138"/>
      <c r="H86" s="856"/>
      <c r="I86" s="856"/>
      <c r="J86" s="856"/>
    </row>
    <row r="88" spans="2:10">
      <c r="B88" s="856"/>
      <c r="C88" s="856"/>
      <c r="D88" s="856"/>
      <c r="E88" s="5138"/>
      <c r="F88" s="5138"/>
      <c r="G88" s="5138"/>
      <c r="H88" s="856"/>
      <c r="I88" s="856"/>
      <c r="J88" s="856"/>
    </row>
    <row r="89" spans="2:10">
      <c r="B89" s="856"/>
      <c r="C89" s="856"/>
      <c r="D89" s="856"/>
      <c r="E89" s="5138"/>
      <c r="F89" s="5138"/>
      <c r="G89" s="5138"/>
      <c r="H89" s="856"/>
      <c r="I89" s="856"/>
      <c r="J89" s="856"/>
    </row>
    <row r="90" spans="2:10">
      <c r="B90" s="856"/>
      <c r="C90" s="856"/>
      <c r="D90" s="856"/>
      <c r="E90" s="5138"/>
      <c r="F90" s="5138"/>
      <c r="G90" s="5138"/>
      <c r="H90" s="856"/>
      <c r="I90" s="856"/>
      <c r="J90" s="856"/>
    </row>
    <row r="91" spans="2:10">
      <c r="B91" s="856"/>
      <c r="C91" s="856"/>
      <c r="D91" s="856"/>
      <c r="E91" s="5138"/>
      <c r="F91" s="5138"/>
      <c r="G91" s="5138"/>
      <c r="H91" s="856"/>
      <c r="I91" s="856"/>
      <c r="J91" s="856"/>
    </row>
    <row r="92" spans="2:10">
      <c r="B92" s="856"/>
      <c r="C92" s="856"/>
      <c r="D92" s="856"/>
      <c r="E92" s="5138"/>
      <c r="F92" s="5138"/>
      <c r="G92" s="5138"/>
      <c r="H92" s="856"/>
      <c r="I92" s="856"/>
      <c r="J92" s="856"/>
    </row>
    <row r="93" spans="2:10">
      <c r="B93" s="856"/>
      <c r="C93" s="856"/>
      <c r="D93" s="856"/>
      <c r="E93" s="5138"/>
      <c r="F93" s="5138"/>
      <c r="G93" s="5138"/>
      <c r="H93" s="856"/>
      <c r="I93" s="856"/>
      <c r="J93" s="856"/>
    </row>
    <row r="94" spans="2:10">
      <c r="B94" s="856"/>
      <c r="C94" s="856"/>
      <c r="D94" s="856"/>
      <c r="E94" s="5138"/>
      <c r="F94" s="5138"/>
      <c r="G94" s="5138"/>
      <c r="H94" s="856"/>
      <c r="I94" s="856"/>
      <c r="J94" s="856"/>
    </row>
    <row r="95" spans="2:10">
      <c r="E95" s="5138"/>
      <c r="F95" s="5138"/>
      <c r="G95" s="5138"/>
    </row>
    <row r="96" spans="2:10">
      <c r="E96" s="5138"/>
      <c r="F96" s="5138"/>
      <c r="G96" s="5138"/>
    </row>
    <row r="97" spans="5:7">
      <c r="E97" s="5138"/>
      <c r="F97" s="5138"/>
      <c r="G97" s="5138"/>
    </row>
    <row r="98" spans="5:7">
      <c r="E98" s="5138"/>
      <c r="F98" s="5138"/>
      <c r="G98" s="5138"/>
    </row>
    <row r="99" spans="5:7">
      <c r="E99" s="5138"/>
      <c r="F99" s="5138"/>
      <c r="G99" s="5138"/>
    </row>
    <row r="100" spans="5:7">
      <c r="E100" s="5138"/>
      <c r="F100" s="5138"/>
      <c r="G100" s="5138"/>
    </row>
    <row r="101" spans="5:7">
      <c r="E101" s="5138"/>
      <c r="F101" s="5138"/>
      <c r="G101" s="5138"/>
    </row>
    <row r="102" spans="5:7">
      <c r="E102" s="5138"/>
      <c r="F102" s="5138"/>
      <c r="G102" s="5138"/>
    </row>
    <row r="103" spans="5:7">
      <c r="E103" s="5138"/>
      <c r="F103" s="5138"/>
      <c r="G103" s="5138"/>
    </row>
    <row r="104" spans="5:7">
      <c r="E104" s="5138"/>
      <c r="F104" s="5138"/>
      <c r="G104" s="5138"/>
    </row>
    <row r="105" spans="5:7">
      <c r="E105" s="5138"/>
      <c r="F105" s="5138"/>
      <c r="G105" s="5138"/>
    </row>
    <row r="106" spans="5:7">
      <c r="E106" s="5138"/>
      <c r="F106" s="5138"/>
      <c r="G106" s="5138"/>
    </row>
  </sheetData>
  <sheetProtection password="9E1F" sheet="1" objects="1" scenarios="1"/>
  <customSheetViews>
    <customSheetView guid="{074EB09C-6289-46D7-9513-012B68BCA7BF}" fitToPage="1">
      <pane xSplit="1" ySplit="1" topLeftCell="B2" activePane="bottomRight" state="frozen"/>
      <selection pane="bottomRight" activeCell="B3" sqref="B3"/>
      <pageMargins left="0.23" right="0.7" top="0.32" bottom="0.75" header="0.3" footer="0.3"/>
      <pageSetup paperSize="17" scale="48" orientation="landscape" r:id="rId1"/>
    </customSheetView>
    <customSheetView guid="{AF9F1D33-B8C2-423F-86A1-47612B8F532C}" scale="60" fitToPage="1">
      <pane xSplit="1" ySplit="1" topLeftCell="B29" activePane="bottomRight" state="frozenSplit"/>
      <selection pane="bottomRight" activeCell="B40" sqref="B40"/>
      <pageMargins left="0.7" right="0.7" top="0.75" bottom="0.75" header="0.3" footer="0.3"/>
      <pageSetup paperSize="17" scale="49" orientation="landscape"/>
    </customSheetView>
  </customSheetViews>
  <mergeCells count="22">
    <mergeCell ref="E105:G105"/>
    <mergeCell ref="E106:G106"/>
    <mergeCell ref="E99:G99"/>
    <mergeCell ref="E100:G100"/>
    <mergeCell ref="E101:G101"/>
    <mergeCell ref="E102:G102"/>
    <mergeCell ref="E103:G103"/>
    <mergeCell ref="E104:G104"/>
    <mergeCell ref="E97:G97"/>
    <mergeCell ref="E98:G98"/>
    <mergeCell ref="E93:G93"/>
    <mergeCell ref="E94:G94"/>
    <mergeCell ref="E95:G95"/>
    <mergeCell ref="E96:G96"/>
    <mergeCell ref="E91:G91"/>
    <mergeCell ref="E92:G92"/>
    <mergeCell ref="E89:G89"/>
    <mergeCell ref="E90:G90"/>
    <mergeCell ref="E83:G83"/>
    <mergeCell ref="E84:G84"/>
    <mergeCell ref="E86:G86"/>
    <mergeCell ref="E88:G88"/>
  </mergeCells>
  <pageMargins left="0.23" right="0.38" top="0.32" bottom="0.34" header="0.3" footer="0.3"/>
  <pageSetup paperSize="17" scale="60" orientation="landscape" r:id="rId2"/>
  <drawing r:id="rId3"/>
</worksheet>
</file>

<file path=xl/worksheets/sheet49.xml><?xml version="1.0" encoding="utf-8"?>
<worksheet xmlns="http://schemas.openxmlformats.org/spreadsheetml/2006/main" xmlns:r="http://schemas.openxmlformats.org/officeDocument/2006/relationships">
  <dimension ref="A1:N116"/>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8.85546875" defaultRowHeight="12.75"/>
  <cols>
    <col min="1" max="1" width="15.42578125" style="3064" customWidth="1"/>
    <col min="2" max="2" width="56" bestFit="1" customWidth="1"/>
    <col min="3" max="5" width="21" customWidth="1"/>
    <col min="6" max="8" width="20.7109375" customWidth="1"/>
    <col min="9" max="9" width="24.140625" customWidth="1"/>
    <col min="10" max="10" width="19.42578125" customWidth="1"/>
    <col min="11" max="11" width="21.140625" customWidth="1"/>
    <col min="12" max="12" width="16" customWidth="1"/>
    <col min="13" max="13" width="16.140625" customWidth="1"/>
    <col min="14" max="14" width="18.7109375" customWidth="1"/>
  </cols>
  <sheetData>
    <row r="1" spans="2:14" ht="44.25" customHeight="1">
      <c r="B1" s="4653" t="s">
        <v>1321</v>
      </c>
      <c r="C1" s="937"/>
      <c r="D1" s="937"/>
      <c r="E1" s="937"/>
      <c r="F1" s="937"/>
      <c r="G1" s="945"/>
      <c r="H1" s="938"/>
      <c r="I1" s="938"/>
      <c r="J1" s="915"/>
      <c r="K1" s="915"/>
      <c r="L1" s="915"/>
      <c r="M1" s="915"/>
      <c r="N1" s="915"/>
    </row>
    <row r="2" spans="2:14" ht="20.25">
      <c r="B2" s="921"/>
      <c r="C2" s="937"/>
      <c r="D2" s="937"/>
      <c r="E2" s="937"/>
      <c r="F2" s="937"/>
      <c r="G2" s="945"/>
      <c r="H2" s="938"/>
      <c r="I2" s="938"/>
      <c r="J2" s="915"/>
      <c r="K2" s="915"/>
      <c r="L2" s="915"/>
      <c r="M2" s="915"/>
      <c r="N2" s="915"/>
    </row>
    <row r="3" spans="2:14" ht="38.25">
      <c r="B3" s="3463"/>
      <c r="C3" s="919" t="s">
        <v>9</v>
      </c>
      <c r="D3" s="919" t="s">
        <v>10</v>
      </c>
      <c r="E3" s="919" t="s">
        <v>640</v>
      </c>
      <c r="F3" s="919" t="s">
        <v>12</v>
      </c>
      <c r="G3" s="919" t="s">
        <v>13</v>
      </c>
      <c r="H3" s="919" t="s">
        <v>14</v>
      </c>
      <c r="I3" s="919" t="s">
        <v>15</v>
      </c>
      <c r="J3" s="919" t="s">
        <v>16</v>
      </c>
      <c r="K3" s="919" t="s">
        <v>641</v>
      </c>
      <c r="L3" s="919" t="s">
        <v>18</v>
      </c>
      <c r="M3" s="919" t="s">
        <v>114</v>
      </c>
      <c r="N3" s="920" t="s">
        <v>19</v>
      </c>
    </row>
    <row r="4" spans="2:14" ht="25.5">
      <c r="B4" s="959" t="s">
        <v>642</v>
      </c>
      <c r="C4" s="957"/>
      <c r="D4" s="957"/>
      <c r="E4" s="957"/>
      <c r="F4" s="957"/>
      <c r="G4" s="957"/>
      <c r="H4" s="957"/>
      <c r="I4" s="957"/>
      <c r="J4" s="957"/>
      <c r="K4" s="958"/>
      <c r="L4" s="958">
        <v>2000000</v>
      </c>
      <c r="M4" s="958"/>
      <c r="N4" s="962" t="s">
        <v>21</v>
      </c>
    </row>
    <row r="5" spans="2:14">
      <c r="B5" s="953" t="s">
        <v>643</v>
      </c>
      <c r="C5" s="952">
        <v>402041.8</v>
      </c>
      <c r="D5" s="952">
        <v>5521.5</v>
      </c>
      <c r="E5" s="952">
        <v>256764.87899999999</v>
      </c>
      <c r="F5" s="952">
        <v>5100</v>
      </c>
      <c r="G5" s="952">
        <v>7040</v>
      </c>
      <c r="H5" s="952">
        <v>136000</v>
      </c>
      <c r="I5" s="952">
        <v>2375</v>
      </c>
      <c r="J5" s="952">
        <v>560</v>
      </c>
      <c r="K5" s="956">
        <v>3268000</v>
      </c>
      <c r="L5" s="955">
        <v>4083403.179</v>
      </c>
      <c r="M5" s="954">
        <v>781000</v>
      </c>
      <c r="N5" s="960">
        <v>1.0417015894999999</v>
      </c>
    </row>
    <row r="6" spans="2:14">
      <c r="B6" s="917">
        <v>2012</v>
      </c>
      <c r="C6" s="946">
        <f>C19</f>
        <v>448700</v>
      </c>
      <c r="D6" s="947">
        <f>C20</f>
        <v>17000</v>
      </c>
      <c r="E6" s="947">
        <f>C39</f>
        <v>293400</v>
      </c>
      <c r="F6" s="947">
        <f>C37</f>
        <v>9000</v>
      </c>
      <c r="G6" s="947">
        <f>C27</f>
        <v>8700</v>
      </c>
      <c r="H6" s="947">
        <f>C50</f>
        <v>110750</v>
      </c>
      <c r="I6" s="947">
        <f>C35</f>
        <v>2870</v>
      </c>
      <c r="J6" s="947">
        <f>C29</f>
        <v>2200</v>
      </c>
      <c r="K6" s="948">
        <f>C16</f>
        <v>2002700</v>
      </c>
      <c r="L6" s="948">
        <f>SUM(C6:K6)</f>
        <v>2895320</v>
      </c>
      <c r="M6" s="2933">
        <f>C62</f>
        <v>478000</v>
      </c>
      <c r="N6" s="960">
        <v>-0.12588510280924189</v>
      </c>
    </row>
    <row r="7" spans="2:14" s="3532" customFormat="1">
      <c r="B7" s="4262" t="s">
        <v>1168</v>
      </c>
      <c r="C7" s="1193">
        <v>448700</v>
      </c>
      <c r="D7" s="1194">
        <v>17000</v>
      </c>
      <c r="E7" s="1194">
        <v>293400</v>
      </c>
      <c r="F7" s="1194">
        <v>9000</v>
      </c>
      <c r="G7" s="4258">
        <v>8700</v>
      </c>
      <c r="H7" s="4258">
        <v>110750</v>
      </c>
      <c r="I7" s="4258">
        <v>2870</v>
      </c>
      <c r="J7" s="4258">
        <v>2200</v>
      </c>
      <c r="K7" s="4259">
        <v>2056800</v>
      </c>
      <c r="L7" s="1195">
        <v>2949420</v>
      </c>
      <c r="M7" s="2933">
        <v>474000</v>
      </c>
      <c r="N7" s="1214"/>
    </row>
    <row r="8" spans="2:14" ht="13.5" thickBot="1">
      <c r="B8" s="4261" t="s">
        <v>1169</v>
      </c>
      <c r="C8" s="4208">
        <f>D19</f>
        <v>459700</v>
      </c>
      <c r="D8" s="4209">
        <f>D20</f>
        <v>17000</v>
      </c>
      <c r="E8" s="4209">
        <f>D39</f>
        <v>337000</v>
      </c>
      <c r="F8" s="4209">
        <f>D37</f>
        <v>9000</v>
      </c>
      <c r="G8" s="4216">
        <f>D27</f>
        <v>8700</v>
      </c>
      <c r="H8" s="4216">
        <f>D50</f>
        <v>110750</v>
      </c>
      <c r="I8" s="4210">
        <f>D35</f>
        <v>2870</v>
      </c>
      <c r="J8" s="4210">
        <f>D29</f>
        <v>2200</v>
      </c>
      <c r="K8" s="4211">
        <f>D16</f>
        <v>1755110</v>
      </c>
      <c r="L8" s="4212">
        <f>SUM(C8:K8)</f>
        <v>2702330</v>
      </c>
      <c r="M8" s="4213">
        <f>G62</f>
        <v>487100</v>
      </c>
      <c r="N8" s="960">
        <v>0</v>
      </c>
    </row>
    <row r="9" spans="2:14" ht="13.5" thickBot="1">
      <c r="B9" s="4260" t="s">
        <v>1175</v>
      </c>
      <c r="C9" s="4214">
        <f>SUM(C6+C8)</f>
        <v>908400</v>
      </c>
      <c r="D9" s="4214">
        <f t="shared" ref="D9:M9" si="0">SUM(D6+D8)</f>
        <v>34000</v>
      </c>
      <c r="E9" s="4214">
        <f t="shared" si="0"/>
        <v>630400</v>
      </c>
      <c r="F9" s="4214">
        <f t="shared" si="0"/>
        <v>18000</v>
      </c>
      <c r="G9" s="4214">
        <f t="shared" si="0"/>
        <v>17400</v>
      </c>
      <c r="H9" s="4214">
        <f t="shared" si="0"/>
        <v>221500</v>
      </c>
      <c r="I9" s="4214">
        <f t="shared" si="0"/>
        <v>5740</v>
      </c>
      <c r="J9" s="4214">
        <f t="shared" si="0"/>
        <v>4400</v>
      </c>
      <c r="K9" s="4214">
        <f t="shared" si="0"/>
        <v>3757810</v>
      </c>
      <c r="L9" s="4214">
        <f t="shared" si="0"/>
        <v>5597650</v>
      </c>
      <c r="M9" s="2933">
        <f t="shared" si="0"/>
        <v>965100</v>
      </c>
      <c r="N9" s="915"/>
    </row>
    <row r="10" spans="2:14" ht="20.25">
      <c r="B10" s="921"/>
      <c r="C10" s="937"/>
      <c r="D10" s="937"/>
      <c r="E10" s="937"/>
      <c r="F10" s="937"/>
      <c r="G10" s="945"/>
      <c r="H10" s="938"/>
      <c r="I10" s="938"/>
      <c r="J10" s="915"/>
      <c r="K10" s="915"/>
      <c r="L10" s="915"/>
      <c r="M10" s="915"/>
      <c r="N10" s="925"/>
    </row>
    <row r="11" spans="2:14" ht="18">
      <c r="B11" s="922" t="s">
        <v>730</v>
      </c>
      <c r="C11" s="945"/>
      <c r="D11" s="945"/>
      <c r="E11" s="945"/>
      <c r="F11" s="936"/>
      <c r="G11" s="936"/>
      <c r="H11" s="936"/>
      <c r="I11" s="936"/>
      <c r="J11" s="915"/>
      <c r="K11" s="915"/>
      <c r="L11" s="915"/>
      <c r="M11" s="915"/>
      <c r="N11" s="915"/>
    </row>
    <row r="12" spans="2:14" ht="18">
      <c r="B12" s="923"/>
      <c r="C12" s="949">
        <v>2012</v>
      </c>
      <c r="D12" s="950">
        <v>2013</v>
      </c>
      <c r="E12" s="951" t="s">
        <v>28</v>
      </c>
      <c r="F12" s="928"/>
      <c r="G12" s="928"/>
      <c r="H12" s="928"/>
      <c r="I12" s="3760"/>
      <c r="J12" s="3751"/>
      <c r="K12" s="3751"/>
      <c r="L12" s="925"/>
      <c r="M12" s="925"/>
      <c r="N12" s="915"/>
    </row>
    <row r="13" spans="2:14">
      <c r="B13" s="2891" t="s">
        <v>645</v>
      </c>
      <c r="C13" s="2927"/>
      <c r="D13" s="2887"/>
      <c r="E13" s="2913"/>
      <c r="F13" s="2897"/>
      <c r="G13" s="928"/>
      <c r="H13" s="928"/>
      <c r="I13" s="3752"/>
      <c r="J13" s="3753"/>
      <c r="K13" s="3751"/>
      <c r="L13" s="915"/>
      <c r="M13" s="915"/>
      <c r="N13" s="915"/>
    </row>
    <row r="14" spans="2:14" ht="30.75" customHeight="1">
      <c r="B14" s="3480"/>
      <c r="C14" s="2943">
        <v>2002700</v>
      </c>
      <c r="D14" s="4425">
        <v>1530110</v>
      </c>
      <c r="E14" s="2944">
        <f>SUM(C14:D14)</f>
        <v>3532810</v>
      </c>
      <c r="F14" s="4370" t="s">
        <v>1419</v>
      </c>
      <c r="G14" s="928"/>
      <c r="H14" s="928"/>
      <c r="I14" s="3752"/>
      <c r="J14" s="3754"/>
      <c r="K14" s="3751"/>
      <c r="L14" s="915"/>
      <c r="M14" s="915"/>
      <c r="N14" s="915"/>
    </row>
    <row r="15" spans="2:14" ht="30.75" customHeight="1">
      <c r="B15" s="3480"/>
      <c r="C15" s="2943">
        <v>0</v>
      </c>
      <c r="D15" s="4425">
        <v>225000</v>
      </c>
      <c r="E15" s="2944">
        <f>SUM(C15:D15)</f>
        <v>225000</v>
      </c>
      <c r="F15" s="4370" t="s">
        <v>1419</v>
      </c>
      <c r="G15" s="928"/>
      <c r="H15" s="928"/>
      <c r="I15" s="3752"/>
      <c r="J15" s="3754"/>
      <c r="K15" s="3748"/>
      <c r="L15" s="915"/>
      <c r="M15" s="915"/>
      <c r="N15" s="915"/>
    </row>
    <row r="16" spans="2:14">
      <c r="B16" s="2891"/>
      <c r="C16" s="2911">
        <f>SUM(C14:C15)</f>
        <v>2002700</v>
      </c>
      <c r="D16" s="4615">
        <f>SUM(D14:D15)</f>
        <v>1755110</v>
      </c>
      <c r="E16" s="2937">
        <f>SUM(E14:E15)</f>
        <v>3757810</v>
      </c>
      <c r="F16" s="2897"/>
      <c r="G16" s="928"/>
      <c r="H16" s="928"/>
      <c r="I16" s="3752"/>
      <c r="J16" s="3750"/>
      <c r="K16" s="3748"/>
      <c r="L16" s="915"/>
      <c r="M16" s="915"/>
      <c r="N16" s="915"/>
    </row>
    <row r="17" spans="2:14" ht="18">
      <c r="B17" s="2892"/>
      <c r="C17" s="2912"/>
      <c r="D17" s="2887"/>
      <c r="E17" s="2913"/>
      <c r="F17" s="2897"/>
      <c r="G17" s="928"/>
      <c r="H17" s="928"/>
      <c r="I17" s="3752"/>
      <c r="J17" s="3750"/>
      <c r="K17" s="3748"/>
      <c r="L17" s="915"/>
      <c r="M17" s="915"/>
      <c r="N17" s="915"/>
    </row>
    <row r="18" spans="2:14">
      <c r="B18" s="2891" t="s">
        <v>648</v>
      </c>
      <c r="C18" s="2914"/>
      <c r="D18" s="2887"/>
      <c r="E18" s="2913"/>
      <c r="F18" s="2894"/>
      <c r="G18" s="926"/>
      <c r="H18" s="926"/>
      <c r="I18" s="3752"/>
      <c r="J18" s="3750"/>
      <c r="K18" s="3748"/>
      <c r="L18" s="915"/>
      <c r="M18" s="915"/>
    </row>
    <row r="19" spans="2:14">
      <c r="B19" s="2896" t="s">
        <v>650</v>
      </c>
      <c r="C19" s="3142">
        <v>448700</v>
      </c>
      <c r="D19" s="4609">
        <v>459700</v>
      </c>
      <c r="E19" s="2926">
        <f>SUM(C19:D19)</f>
        <v>908400</v>
      </c>
      <c r="F19" s="2903">
        <v>4.8499999999999996</v>
      </c>
      <c r="G19" s="929" t="s">
        <v>651</v>
      </c>
      <c r="H19" s="927"/>
      <c r="I19" s="3752"/>
      <c r="J19" s="3750"/>
      <c r="K19" s="3748"/>
      <c r="L19" s="915"/>
      <c r="M19" s="915"/>
    </row>
    <row r="20" spans="2:14">
      <c r="B20" s="2896" t="s">
        <v>655</v>
      </c>
      <c r="C20" s="3142">
        <v>17000</v>
      </c>
      <c r="D20" s="185">
        <v>17000</v>
      </c>
      <c r="E20" s="2926">
        <f>SUM(C20:D20)</f>
        <v>34000</v>
      </c>
      <c r="F20" s="2903">
        <v>0.14000000000000001</v>
      </c>
      <c r="G20" s="929" t="s">
        <v>651</v>
      </c>
      <c r="H20" s="927"/>
      <c r="I20" s="3752"/>
      <c r="J20" s="3750"/>
      <c r="K20" s="3748"/>
      <c r="L20" s="915"/>
      <c r="M20" s="915"/>
    </row>
    <row r="21" spans="2:14">
      <c r="B21" s="2896"/>
      <c r="C21" s="2915"/>
      <c r="D21" s="2887"/>
      <c r="E21" s="2913"/>
      <c r="F21" s="2895"/>
      <c r="G21" s="927"/>
      <c r="H21" s="927"/>
      <c r="I21" s="3752"/>
      <c r="J21" s="3759"/>
      <c r="K21" s="3748"/>
      <c r="L21" s="915"/>
      <c r="M21" s="935"/>
    </row>
    <row r="22" spans="2:14">
      <c r="B22" s="2891" t="s">
        <v>481</v>
      </c>
      <c r="C22" s="2914"/>
      <c r="D22" s="2887"/>
      <c r="E22" s="2913"/>
      <c r="F22" s="2894"/>
      <c r="G22" s="926"/>
      <c r="H22" s="927"/>
      <c r="I22" s="3748"/>
      <c r="J22" s="3749"/>
      <c r="K22" s="3748"/>
      <c r="L22" s="915"/>
      <c r="M22" s="915"/>
    </row>
    <row r="23" spans="2:14">
      <c r="B23" s="2886" t="s">
        <v>656</v>
      </c>
      <c r="C23" s="2921">
        <v>2600</v>
      </c>
      <c r="D23" s="2934">
        <v>2600</v>
      </c>
      <c r="E23" s="2926">
        <v>5200</v>
      </c>
      <c r="F23" s="2904"/>
      <c r="G23" s="939"/>
      <c r="H23" s="926"/>
      <c r="I23" s="3752"/>
      <c r="J23" s="3764"/>
      <c r="K23" s="3748"/>
      <c r="L23" s="915"/>
      <c r="M23" s="915"/>
    </row>
    <row r="24" spans="2:14">
      <c r="B24" s="2896" t="s">
        <v>657</v>
      </c>
      <c r="C24" s="2917">
        <v>4100</v>
      </c>
      <c r="D24" s="2934">
        <v>4100</v>
      </c>
      <c r="E24" s="2926">
        <v>8200</v>
      </c>
      <c r="F24" s="2886"/>
      <c r="G24" s="926"/>
      <c r="H24" s="939"/>
      <c r="I24" s="3757"/>
      <c r="J24" s="3762"/>
      <c r="K24" s="3755"/>
      <c r="L24" s="915"/>
      <c r="M24" s="915"/>
    </row>
    <row r="25" spans="2:14">
      <c r="B25" s="2896" t="s">
        <v>658</v>
      </c>
      <c r="C25" s="2921">
        <v>1100</v>
      </c>
      <c r="D25" s="2934">
        <v>1100</v>
      </c>
      <c r="E25" s="2926">
        <v>2200</v>
      </c>
      <c r="F25" s="2894"/>
      <c r="G25" s="926"/>
      <c r="H25" s="926"/>
      <c r="I25" s="3757"/>
      <c r="J25" s="3761"/>
      <c r="K25" s="3758"/>
      <c r="L25" s="915"/>
      <c r="M25" s="915"/>
    </row>
    <row r="26" spans="2:14">
      <c r="B26" s="2896" t="s">
        <v>660</v>
      </c>
      <c r="C26" s="2921">
        <v>900</v>
      </c>
      <c r="D26" s="2934">
        <v>900</v>
      </c>
      <c r="E26" s="2926">
        <v>1800</v>
      </c>
      <c r="F26" s="2894"/>
      <c r="G26" s="926"/>
      <c r="H26" s="940"/>
      <c r="I26" s="3757"/>
      <c r="J26" s="3761"/>
      <c r="K26" s="3758"/>
      <c r="L26" s="915"/>
      <c r="M26" s="915"/>
    </row>
    <row r="27" spans="2:14">
      <c r="B27" s="2886"/>
      <c r="C27" s="2918">
        <f>SUM(C23:C26)</f>
        <v>8700</v>
      </c>
      <c r="D27" s="2902">
        <f>SUM(D23:D26)</f>
        <v>8700</v>
      </c>
      <c r="E27" s="2938">
        <f>SUM(C27:D27)</f>
        <v>17400</v>
      </c>
      <c r="F27" s="2894"/>
      <c r="G27" s="926"/>
      <c r="H27" s="940"/>
      <c r="I27" s="3756"/>
      <c r="J27" s="3763"/>
      <c r="K27" s="3758"/>
      <c r="L27" s="915"/>
      <c r="M27" s="915"/>
    </row>
    <row r="28" spans="2:14">
      <c r="B28" s="2887"/>
      <c r="C28" s="2924"/>
      <c r="D28" s="2887"/>
      <c r="E28" s="2913"/>
      <c r="F28" s="2894"/>
      <c r="G28" s="926"/>
      <c r="H28" s="940"/>
      <c r="I28" s="933"/>
      <c r="J28" s="943"/>
      <c r="K28" s="934"/>
      <c r="L28" s="915"/>
      <c r="M28" s="915"/>
    </row>
    <row r="29" spans="2:14">
      <c r="B29" s="2891" t="s">
        <v>649</v>
      </c>
      <c r="C29" s="2918">
        <v>2200</v>
      </c>
      <c r="D29" s="2910">
        <v>2200</v>
      </c>
      <c r="E29" s="2938">
        <f>SUM(C29:D29)</f>
        <v>4400</v>
      </c>
      <c r="F29" s="2894"/>
      <c r="G29" s="926"/>
      <c r="H29" s="940"/>
      <c r="I29" s="915"/>
      <c r="J29" s="915"/>
      <c r="K29" s="915"/>
      <c r="L29" s="915"/>
      <c r="M29" s="915"/>
    </row>
    <row r="30" spans="2:14">
      <c r="B30" s="2887"/>
      <c r="C30" s="2924"/>
      <c r="D30" s="2887"/>
      <c r="E30" s="2913"/>
      <c r="F30" s="2894"/>
      <c r="G30" s="926"/>
      <c r="H30" s="940"/>
      <c r="I30" s="915"/>
      <c r="J30" s="915"/>
      <c r="K30" s="915"/>
      <c r="L30" s="915"/>
      <c r="M30" s="915"/>
    </row>
    <row r="31" spans="2:14">
      <c r="B31" s="2890" t="s">
        <v>652</v>
      </c>
      <c r="C31" s="2924"/>
      <c r="D31" s="2887"/>
      <c r="E31" s="2913"/>
      <c r="F31" s="2905"/>
      <c r="G31" s="940"/>
      <c r="H31" s="940"/>
      <c r="I31" s="915"/>
      <c r="J31" s="915"/>
      <c r="K31" s="915"/>
      <c r="L31" s="915"/>
      <c r="M31" s="915"/>
    </row>
    <row r="32" spans="2:14">
      <c r="B32" s="2886" t="s">
        <v>661</v>
      </c>
      <c r="C32" s="2924">
        <v>2670</v>
      </c>
      <c r="D32" s="2934">
        <v>2670</v>
      </c>
      <c r="E32" s="2926">
        <v>5340</v>
      </c>
      <c r="F32" s="2905"/>
      <c r="G32" s="940"/>
      <c r="H32" s="940"/>
      <c r="I32" s="928"/>
      <c r="J32" s="915"/>
      <c r="K32" s="915"/>
      <c r="L32" s="915"/>
      <c r="M32" s="915"/>
    </row>
    <row r="33" spans="2:13">
      <c r="B33" s="2886" t="s">
        <v>662</v>
      </c>
      <c r="C33" s="2924">
        <v>30</v>
      </c>
      <c r="D33" s="2934">
        <v>30</v>
      </c>
      <c r="E33" s="2926">
        <v>60</v>
      </c>
      <c r="F33" s="2905"/>
      <c r="G33" s="940"/>
      <c r="H33" s="940"/>
      <c r="I33" s="928"/>
      <c r="J33" s="915"/>
      <c r="K33" s="915"/>
      <c r="L33" s="915"/>
      <c r="M33" s="915"/>
    </row>
    <row r="34" spans="2:13">
      <c r="B34" s="2887" t="s">
        <v>663</v>
      </c>
      <c r="C34" s="2924">
        <v>170</v>
      </c>
      <c r="D34" s="2934">
        <v>170</v>
      </c>
      <c r="E34" s="2926">
        <v>340</v>
      </c>
      <c r="F34" s="2905"/>
      <c r="G34" s="940"/>
      <c r="H34" s="940"/>
      <c r="I34" s="928"/>
    </row>
    <row r="35" spans="2:13">
      <c r="B35" s="2890" t="s">
        <v>664</v>
      </c>
      <c r="C35" s="2919">
        <f>SUM(C32:C34)</f>
        <v>2870</v>
      </c>
      <c r="D35" s="2898">
        <f>SUM(D32:D34)</f>
        <v>2870</v>
      </c>
      <c r="E35" s="2938">
        <f>SUM(C35:D35)</f>
        <v>5740</v>
      </c>
      <c r="F35" s="2905"/>
      <c r="G35" s="940"/>
      <c r="H35" s="940"/>
      <c r="I35" s="928"/>
    </row>
    <row r="36" spans="2:13">
      <c r="B36" s="2887"/>
      <c r="C36" s="2924"/>
      <c r="D36" s="2887"/>
      <c r="E36" s="2913"/>
      <c r="F36" s="2905"/>
      <c r="G36" s="940"/>
      <c r="H36" s="940"/>
      <c r="I36" s="928"/>
    </row>
    <row r="37" spans="2:13">
      <c r="B37" s="2890" t="s">
        <v>654</v>
      </c>
      <c r="C37" s="2919">
        <v>9000</v>
      </c>
      <c r="D37" s="2935">
        <v>9000</v>
      </c>
      <c r="E37" s="2938">
        <f>SUM(C37:D37)</f>
        <v>18000</v>
      </c>
      <c r="F37" s="2905"/>
      <c r="G37" s="940"/>
      <c r="H37" s="940"/>
      <c r="I37" s="928"/>
    </row>
    <row r="38" spans="2:13">
      <c r="B38" s="2887"/>
      <c r="C38" s="2924"/>
      <c r="D38" s="2887"/>
      <c r="E38" s="2913"/>
      <c r="F38" s="2905"/>
      <c r="G38" s="941"/>
      <c r="H38" s="940"/>
      <c r="I38" s="928"/>
    </row>
    <row r="39" spans="2:13">
      <c r="B39" s="4429" t="s">
        <v>1438</v>
      </c>
      <c r="C39" s="3106">
        <f>ROUND(SUM(C19:C20)*0.63, -2)</f>
        <v>293400</v>
      </c>
      <c r="D39" s="4629">
        <f>ROUND(SUM(D19:D20)*0.707, -2)</f>
        <v>337000</v>
      </c>
      <c r="E39" s="2938">
        <f>SUM(C39:D39)</f>
        <v>630400</v>
      </c>
      <c r="F39" s="2905"/>
      <c r="G39" s="941"/>
      <c r="H39" s="940"/>
      <c r="I39" s="928"/>
    </row>
    <row r="40" spans="2:13">
      <c r="B40" s="2887"/>
      <c r="C40" s="2924"/>
      <c r="D40" s="2906"/>
      <c r="E40" s="2925"/>
      <c r="F40" s="2905"/>
      <c r="G40" s="916"/>
      <c r="H40" s="940"/>
      <c r="I40" s="928"/>
    </row>
    <row r="41" spans="2:13">
      <c r="B41" s="2888" t="s">
        <v>14</v>
      </c>
      <c r="C41" s="2924"/>
      <c r="D41" s="2906"/>
      <c r="E41" s="2925"/>
      <c r="F41" s="2905"/>
      <c r="G41" s="916"/>
      <c r="H41" s="940"/>
      <c r="I41" s="924"/>
    </row>
    <row r="42" spans="2:13">
      <c r="B42" s="2941" t="s">
        <v>646</v>
      </c>
      <c r="C42" s="2921"/>
      <c r="D42" s="2907"/>
      <c r="E42" s="2922"/>
      <c r="F42" s="2905"/>
      <c r="G42" s="916"/>
      <c r="H42" s="940"/>
      <c r="I42" s="924"/>
    </row>
    <row r="43" spans="2:13">
      <c r="B43" s="2942" t="s">
        <v>665</v>
      </c>
      <c r="C43" s="2916">
        <v>33000</v>
      </c>
      <c r="D43" s="2907">
        <v>33000</v>
      </c>
      <c r="E43" s="2922">
        <v>66000</v>
      </c>
      <c r="F43" s="2905"/>
      <c r="G43" s="916"/>
      <c r="H43" s="940"/>
      <c r="I43" s="924"/>
    </row>
    <row r="44" spans="2:13">
      <c r="B44" s="2942" t="s">
        <v>666</v>
      </c>
      <c r="C44" s="2916">
        <v>15000</v>
      </c>
      <c r="D44" s="2907">
        <v>15000</v>
      </c>
      <c r="E44" s="2922">
        <v>60000</v>
      </c>
      <c r="F44" s="2905"/>
      <c r="G44" s="916"/>
      <c r="H44" s="940"/>
      <c r="I44" s="924"/>
    </row>
    <row r="45" spans="2:13">
      <c r="B45" s="2942" t="s">
        <v>667</v>
      </c>
      <c r="C45" s="2916">
        <v>52750</v>
      </c>
      <c r="D45" s="2907">
        <v>52750</v>
      </c>
      <c r="E45" s="2922">
        <v>40000</v>
      </c>
      <c r="F45" s="2905"/>
      <c r="G45" s="916"/>
      <c r="H45" s="940"/>
      <c r="I45" s="924"/>
    </row>
    <row r="46" spans="2:13">
      <c r="B46" s="2942" t="s">
        <v>669</v>
      </c>
      <c r="C46" s="2916">
        <v>10000</v>
      </c>
      <c r="D46" s="2907">
        <v>10000</v>
      </c>
      <c r="E46" s="2922">
        <v>20000</v>
      </c>
      <c r="F46" s="2905"/>
      <c r="G46" s="916"/>
      <c r="H46" s="940"/>
      <c r="I46" s="924"/>
    </row>
    <row r="47" spans="2:13">
      <c r="B47" s="2939" t="s">
        <v>647</v>
      </c>
      <c r="C47" s="2921"/>
      <c r="D47" s="2907"/>
      <c r="E47" s="2922"/>
      <c r="F47" s="2905"/>
      <c r="G47" s="916"/>
      <c r="H47" s="940"/>
      <c r="I47" s="924"/>
    </row>
    <row r="48" spans="2:13">
      <c r="B48" s="2942" t="s">
        <v>671</v>
      </c>
      <c r="C48" s="2916">
        <v>0</v>
      </c>
      <c r="D48" s="2907">
        <v>0</v>
      </c>
      <c r="E48" s="2922">
        <v>0</v>
      </c>
      <c r="F48" s="2905"/>
      <c r="G48" s="916"/>
      <c r="H48" s="940"/>
      <c r="I48" s="924"/>
    </row>
    <row r="49" spans="2:10">
      <c r="B49" s="3163" t="s">
        <v>972</v>
      </c>
      <c r="C49" s="3152">
        <v>0</v>
      </c>
      <c r="D49" s="3151">
        <v>0</v>
      </c>
      <c r="E49" s="3154">
        <f>SUM(C49:D49)</f>
        <v>0</v>
      </c>
      <c r="F49" s="3150"/>
      <c r="G49" s="3149"/>
      <c r="H49" s="940"/>
      <c r="I49" s="924"/>
    </row>
    <row r="50" spans="2:10">
      <c r="B50" s="2900" t="s">
        <v>672</v>
      </c>
      <c r="C50" s="2918">
        <f>SUM(C43:C49)</f>
        <v>110750</v>
      </c>
      <c r="D50" s="2902">
        <f>SUM(D43:D49)</f>
        <v>110750</v>
      </c>
      <c r="E50" s="2923">
        <f>SUM(C50:D50)</f>
        <v>221500</v>
      </c>
      <c r="F50" s="2905"/>
      <c r="G50" s="916"/>
      <c r="H50" s="940"/>
      <c r="I50" s="924"/>
      <c r="J50" s="915"/>
    </row>
    <row r="51" spans="2:10">
      <c r="B51" s="2893"/>
      <c r="C51" s="2948"/>
      <c r="D51" s="2949"/>
      <c r="E51" s="2950"/>
      <c r="F51" s="2905"/>
      <c r="G51" s="941"/>
      <c r="H51" s="940"/>
      <c r="I51" s="924"/>
      <c r="J51" s="915"/>
    </row>
    <row r="52" spans="2:10" ht="13.5" thickBot="1">
      <c r="B52" s="2900" t="s">
        <v>673</v>
      </c>
      <c r="C52" s="2945">
        <f>C16+C19+C20+C27+C29+C35+C37+C39+C50</f>
        <v>2895320</v>
      </c>
      <c r="D52" s="2946">
        <f>D16+D19+D20+D27+D29+D35+D37+D39+D50</f>
        <v>2702330</v>
      </c>
      <c r="E52" s="2947">
        <f>SUM(C52:D52)</f>
        <v>5597650</v>
      </c>
      <c r="F52" s="2905"/>
      <c r="G52" s="941"/>
      <c r="H52" s="940"/>
      <c r="I52" s="924"/>
      <c r="J52" s="915"/>
    </row>
    <row r="53" spans="2:10">
      <c r="B53" s="2889"/>
      <c r="C53" s="2907"/>
      <c r="D53" s="2907"/>
      <c r="E53" s="2907"/>
      <c r="F53" s="2905"/>
      <c r="G53" s="941"/>
      <c r="H53" s="940"/>
      <c r="I53" s="924"/>
      <c r="J53" s="915"/>
    </row>
    <row r="54" spans="2:10" ht="15">
      <c r="B54" s="2890" t="s">
        <v>732</v>
      </c>
      <c r="C54" s="2932">
        <v>2012</v>
      </c>
      <c r="D54" s="2932">
        <v>2013</v>
      </c>
      <c r="E54" s="2932" t="s">
        <v>28</v>
      </c>
      <c r="F54" s="2905"/>
      <c r="G54" s="4657" t="s">
        <v>1318</v>
      </c>
      <c r="H54" s="940"/>
      <c r="I54" s="924"/>
      <c r="J54" s="915"/>
    </row>
    <row r="55" spans="2:10" ht="28.5" customHeight="1">
      <c r="B55" s="3481"/>
      <c r="C55" s="2928"/>
      <c r="D55" s="2908"/>
      <c r="E55" s="2929"/>
      <c r="F55" s="4370" t="s">
        <v>1419</v>
      </c>
      <c r="G55" s="4656"/>
      <c r="H55" s="940"/>
      <c r="I55" s="924"/>
      <c r="J55" s="915"/>
    </row>
    <row r="56" spans="2:10">
      <c r="B56" s="2940" t="s">
        <v>676</v>
      </c>
      <c r="C56" s="2928">
        <v>35000</v>
      </c>
      <c r="D56" s="4622">
        <v>35000</v>
      </c>
      <c r="E56" s="2929">
        <f>C56+D56</f>
        <v>70000</v>
      </c>
      <c r="F56" s="2899"/>
      <c r="G56" s="4655">
        <v>20000</v>
      </c>
      <c r="H56" s="942"/>
      <c r="I56" s="930"/>
      <c r="J56" s="918"/>
    </row>
    <row r="57" spans="2:10">
      <c r="B57" s="2940" t="s">
        <v>677</v>
      </c>
      <c r="C57" s="2928">
        <v>24000</v>
      </c>
      <c r="D57" s="4622">
        <v>36000</v>
      </c>
      <c r="E57" s="3161">
        <f t="shared" ref="E57:E58" si="1">C57+D57</f>
        <v>60000</v>
      </c>
      <c r="F57" s="2899"/>
      <c r="G57" s="4655">
        <v>20000</v>
      </c>
      <c r="H57" s="942"/>
      <c r="I57" s="930"/>
      <c r="J57" s="918"/>
    </row>
    <row r="58" spans="2:10">
      <c r="B58" s="2940" t="s">
        <v>678</v>
      </c>
      <c r="C58" s="2928">
        <v>386000</v>
      </c>
      <c r="D58" s="4622">
        <v>386000</v>
      </c>
      <c r="E58" s="3161">
        <f t="shared" si="1"/>
        <v>772000</v>
      </c>
      <c r="F58" s="2899"/>
      <c r="G58" s="4655">
        <v>347100</v>
      </c>
      <c r="H58" s="942"/>
      <c r="I58" s="930"/>
      <c r="J58" s="918"/>
    </row>
    <row r="59" spans="2:10" ht="30" customHeight="1">
      <c r="B59" s="3480"/>
      <c r="C59" s="2928"/>
      <c r="D59" s="2908"/>
      <c r="E59" s="2929"/>
      <c r="F59" s="4370" t="s">
        <v>1419</v>
      </c>
      <c r="G59" s="4642"/>
      <c r="H59" s="942"/>
      <c r="I59" s="930"/>
      <c r="J59" s="918"/>
    </row>
    <row r="60" spans="2:10">
      <c r="B60" s="2940" t="s">
        <v>671</v>
      </c>
      <c r="C60" s="2928">
        <v>33000</v>
      </c>
      <c r="D60" s="4622">
        <v>16000</v>
      </c>
      <c r="E60" s="2929">
        <f>C60+D60</f>
        <v>49000</v>
      </c>
      <c r="F60" s="2899"/>
      <c r="G60" s="4655">
        <v>100000</v>
      </c>
      <c r="H60" s="942"/>
      <c r="I60" s="930"/>
      <c r="J60" s="918"/>
    </row>
    <row r="61" spans="2:10" s="3064" customFormat="1">
      <c r="B61" s="3162" t="s">
        <v>1420</v>
      </c>
      <c r="C61" s="3160">
        <v>0</v>
      </c>
      <c r="D61" s="3157">
        <v>0</v>
      </c>
      <c r="E61" s="3161">
        <f>C61+D61</f>
        <v>0</v>
      </c>
      <c r="F61" s="3156"/>
      <c r="G61" s="4645">
        <v>0</v>
      </c>
      <c r="H61" s="1187"/>
      <c r="I61" s="1175"/>
      <c r="J61" s="3155"/>
    </row>
    <row r="62" spans="2:10">
      <c r="B62" s="2888" t="s">
        <v>679</v>
      </c>
      <c r="C62" s="2920">
        <f>SUM(C55:C61)</f>
        <v>478000</v>
      </c>
      <c r="D62" s="2930">
        <f>SUM(D55:D61)</f>
        <v>473000</v>
      </c>
      <c r="E62" s="2931">
        <f>SUM(C62:D62)</f>
        <v>951000</v>
      </c>
      <c r="F62" s="2902" t="s">
        <v>559</v>
      </c>
      <c r="G62" s="4644">
        <v>487100</v>
      </c>
      <c r="H62" s="931"/>
      <c r="I62" s="931"/>
      <c r="J62" s="918"/>
    </row>
    <row r="63" spans="2:10">
      <c r="B63" s="2886"/>
      <c r="C63" s="2907"/>
      <c r="D63" s="2907"/>
      <c r="E63" s="2907"/>
      <c r="F63" s="2901"/>
      <c r="G63" s="940"/>
      <c r="H63" s="931"/>
      <c r="I63" s="931"/>
      <c r="J63" s="918"/>
    </row>
    <row r="64" spans="2:10">
      <c r="B64" s="2909" t="s">
        <v>680</v>
      </c>
      <c r="C64" s="2936">
        <v>0.50179856115107913</v>
      </c>
      <c r="D64" s="2936">
        <v>0.49820143884892087</v>
      </c>
      <c r="E64" s="2901"/>
      <c r="F64" s="2901"/>
      <c r="G64" s="942"/>
      <c r="H64" s="931"/>
      <c r="I64" s="931"/>
      <c r="J64" s="918"/>
    </row>
    <row r="65" spans="2:10">
      <c r="B65" s="944"/>
      <c r="C65" s="961"/>
      <c r="D65" s="961"/>
      <c r="E65" s="931"/>
      <c r="F65" s="931"/>
      <c r="G65" s="931"/>
      <c r="H65" s="931"/>
      <c r="I65" s="931"/>
      <c r="J65" s="918"/>
    </row>
    <row r="66" spans="2:10">
      <c r="B66" s="915"/>
      <c r="C66" s="931"/>
      <c r="D66" s="931"/>
      <c r="E66" s="931"/>
      <c r="F66" s="942"/>
      <c r="G66" s="931"/>
      <c r="H66" s="931"/>
      <c r="I66" s="931"/>
      <c r="J66" s="918"/>
    </row>
    <row r="67" spans="2:10" ht="20.25">
      <c r="B67" s="921"/>
      <c r="C67" s="932"/>
      <c r="D67" s="932"/>
      <c r="E67" s="932"/>
      <c r="F67" s="942"/>
      <c r="G67" s="931"/>
      <c r="H67" s="931"/>
      <c r="I67" s="931"/>
      <c r="J67" s="918"/>
    </row>
    <row r="68" spans="2:10">
      <c r="B68" s="918"/>
      <c r="C68" s="918"/>
      <c r="D68" s="918"/>
      <c r="E68" s="918"/>
      <c r="F68" s="942"/>
      <c r="G68" s="931"/>
      <c r="H68" s="942"/>
      <c r="I68" s="931"/>
      <c r="J68" s="918"/>
    </row>
    <row r="87" spans="2:6">
      <c r="B87" s="5138"/>
      <c r="C87" s="5138"/>
      <c r="D87" s="5138"/>
      <c r="E87" s="5138"/>
      <c r="F87" s="5138"/>
    </row>
    <row r="88" spans="2:6">
      <c r="B88" s="5138"/>
      <c r="C88" s="5138"/>
      <c r="D88" s="5138"/>
      <c r="E88" s="5138"/>
      <c r="F88" s="5138"/>
    </row>
    <row r="89" spans="2:6">
      <c r="B89" s="5138"/>
      <c r="C89" s="5138"/>
      <c r="D89" s="5138"/>
      <c r="E89" s="5138"/>
      <c r="F89" s="5138"/>
    </row>
    <row r="90" spans="2:6">
      <c r="B90" s="5138"/>
      <c r="C90" s="5138"/>
      <c r="D90" s="5138"/>
      <c r="E90" s="5138"/>
      <c r="F90" s="5138"/>
    </row>
    <row r="91" spans="2:6">
      <c r="B91" s="5138"/>
      <c r="C91" s="5138"/>
      <c r="D91" s="5138"/>
      <c r="E91" s="5138"/>
      <c r="F91" s="5138"/>
    </row>
    <row r="92" spans="2:6">
      <c r="B92" s="5138"/>
      <c r="C92" s="5138"/>
      <c r="D92" s="5138"/>
      <c r="E92" s="5138"/>
      <c r="F92" s="5138"/>
    </row>
    <row r="111" spans="9:11">
      <c r="I111" s="5138"/>
      <c r="J111" s="5138"/>
      <c r="K111" s="5138"/>
    </row>
    <row r="112" spans="9:11">
      <c r="I112" s="5138"/>
      <c r="J112" s="5138"/>
      <c r="K112" s="5138"/>
    </row>
    <row r="113" spans="9:11">
      <c r="I113" s="5138"/>
      <c r="J113" s="5138"/>
      <c r="K113" s="5138"/>
    </row>
    <row r="114" spans="9:11">
      <c r="I114" s="5138"/>
      <c r="J114" s="5138"/>
      <c r="K114" s="5138"/>
    </row>
    <row r="115" spans="9:11">
      <c r="I115" s="5138"/>
      <c r="J115" s="5138"/>
      <c r="K115" s="5138"/>
    </row>
    <row r="116" spans="9:11">
      <c r="I116" s="5138"/>
      <c r="J116" s="5138"/>
      <c r="K116" s="5138"/>
    </row>
  </sheetData>
  <sheetProtection password="9E1F" sheet="1" objects="1" scenarios="1"/>
  <customSheetViews>
    <customSheetView guid="{074EB09C-6289-46D7-9513-012B68BCA7BF}">
      <pane xSplit="1" ySplit="1" topLeftCell="B2" activePane="bottomRight" state="frozen"/>
      <selection pane="bottomRight" activeCell="B1" sqref="B1"/>
      <pageMargins left="0.27" right="0.32" top="0.41" bottom="0.75" header="0.3" footer="0.3"/>
      <pageSetup paperSize="17" scale="60" orientation="landscape" r:id="rId1"/>
    </customSheetView>
    <customSheetView guid="{AF9F1D33-B8C2-423F-86A1-47612B8F532C}">
      <pane xSplit="1" ySplit="1" topLeftCell="B20" activePane="bottomRight" state="frozenSplit"/>
      <selection pane="bottomRight" activeCell="B39" sqref="B39"/>
      <pageMargins left="0.7" right="0.7" top="0.75" bottom="0.75" header="0.3" footer="0.3"/>
      <pageSetup paperSize="17" scale="60" orientation="landscape"/>
    </customSheetView>
  </customSheetViews>
  <mergeCells count="11">
    <mergeCell ref="I116:K116"/>
    <mergeCell ref="I111:K112"/>
    <mergeCell ref="I113:K113"/>
    <mergeCell ref="I114:K114"/>
    <mergeCell ref="I115:K115"/>
    <mergeCell ref="B87:F87"/>
    <mergeCell ref="B92:F92"/>
    <mergeCell ref="B88:F88"/>
    <mergeCell ref="B89:F89"/>
    <mergeCell ref="B90:F90"/>
    <mergeCell ref="B91:F91"/>
  </mergeCells>
  <pageMargins left="0.27" right="0.32" top="0.41" bottom="0.75" header="0.3" footer="0.3"/>
  <pageSetup paperSize="17" scale="65" orientation="landscape" r:id="rId2"/>
  <drawing r:id="rId3"/>
</worksheet>
</file>

<file path=xl/worksheets/sheet5.xml><?xml version="1.0" encoding="utf-8"?>
<worksheet xmlns="http://schemas.openxmlformats.org/spreadsheetml/2006/main" xmlns:r="http://schemas.openxmlformats.org/officeDocument/2006/relationships">
  <dimension ref="B2:S69"/>
  <sheetViews>
    <sheetView topLeftCell="A2" zoomScaleNormal="100" workbookViewId="0">
      <pane xSplit="5" ySplit="4" topLeftCell="F6" activePane="bottomRight" state="frozen"/>
      <selection activeCell="A2" sqref="A2"/>
      <selection pane="topRight" activeCell="F2" sqref="F2"/>
      <selection pane="bottomLeft" activeCell="A6" sqref="A6"/>
      <selection pane="bottomRight"/>
    </sheetView>
  </sheetViews>
  <sheetFormatPr defaultColWidth="8.85546875" defaultRowHeight="12.75"/>
  <cols>
    <col min="1" max="1" width="1.7109375" customWidth="1"/>
    <col min="2" max="2" width="8.85546875" style="19" customWidth="1"/>
    <col min="3" max="3" width="9.42578125" customWidth="1"/>
    <col min="4" max="4" width="42.5703125" customWidth="1"/>
    <col min="5" max="5" width="19.28515625" customWidth="1"/>
    <col min="6" max="6" width="15.28515625" style="77" customWidth="1"/>
    <col min="7" max="8" width="16.42578125" style="77" customWidth="1"/>
    <col min="9" max="9" width="15.42578125" style="77" customWidth="1"/>
    <col min="10" max="10" width="18.42578125" style="77" customWidth="1"/>
    <col min="11" max="11" width="20" style="77" customWidth="1"/>
    <col min="12" max="12" width="13.42578125" style="77" customWidth="1"/>
    <col min="13" max="13" width="15.42578125" style="77" customWidth="1"/>
    <col min="14" max="14" width="14.7109375" style="77" customWidth="1"/>
    <col min="15" max="15" width="12.42578125" style="77" customWidth="1"/>
    <col min="16" max="16" width="16.7109375" style="77" customWidth="1"/>
    <col min="17" max="17" width="15.140625" style="2102" customWidth="1"/>
    <col min="18" max="18" width="2.42578125" customWidth="1"/>
    <col min="19" max="19" width="42.7109375" customWidth="1"/>
  </cols>
  <sheetData>
    <row r="2" spans="2:19" ht="18">
      <c r="C2" s="1429" t="s">
        <v>1167</v>
      </c>
    </row>
    <row r="3" spans="2:19" ht="40.5" customHeight="1">
      <c r="C3" s="1430" t="s">
        <v>850</v>
      </c>
      <c r="E3" s="5117" t="s">
        <v>1367</v>
      </c>
      <c r="F3" s="5115"/>
      <c r="G3" s="5115"/>
      <c r="H3" s="5115"/>
      <c r="I3" s="5115"/>
      <c r="J3" s="5115"/>
      <c r="K3" s="5115"/>
      <c r="L3" s="5115"/>
      <c r="M3" s="5116"/>
    </row>
    <row r="4" spans="2:19" ht="36.75" customHeight="1" thickBot="1">
      <c r="D4" s="3064"/>
      <c r="F4" s="3069"/>
    </row>
    <row r="5" spans="2:19" ht="47.25" thickBot="1">
      <c r="B5" s="150" t="s">
        <v>842</v>
      </c>
      <c r="C5" t="s">
        <v>553</v>
      </c>
      <c r="D5" t="s">
        <v>27</v>
      </c>
      <c r="E5" s="3065" t="s">
        <v>1071</v>
      </c>
      <c r="F5" s="2099" t="s">
        <v>9</v>
      </c>
      <c r="G5" s="2100" t="s">
        <v>10</v>
      </c>
      <c r="H5" s="2100" t="s">
        <v>11</v>
      </c>
      <c r="I5" s="2100" t="s">
        <v>12</v>
      </c>
      <c r="J5" s="2100" t="s">
        <v>13</v>
      </c>
      <c r="K5" s="2100" t="s">
        <v>14</v>
      </c>
      <c r="L5" s="2100" t="s">
        <v>15</v>
      </c>
      <c r="M5" s="2100" t="s">
        <v>16</v>
      </c>
      <c r="N5" s="2100" t="s">
        <v>112</v>
      </c>
      <c r="O5" s="2100" t="s">
        <v>113</v>
      </c>
      <c r="P5" s="2101" t="s">
        <v>18</v>
      </c>
      <c r="Q5" s="2103" t="s">
        <v>851</v>
      </c>
      <c r="S5" s="296" t="s">
        <v>839</v>
      </c>
    </row>
    <row r="6" spans="2:19">
      <c r="C6" t="s">
        <v>552</v>
      </c>
      <c r="E6" s="2203"/>
      <c r="F6" s="2209"/>
      <c r="G6" s="2209"/>
      <c r="H6" s="2209"/>
      <c r="I6" s="2209"/>
      <c r="J6" s="2209"/>
      <c r="K6" s="2209"/>
      <c r="L6" s="2209"/>
      <c r="M6" s="2209"/>
      <c r="N6" s="2209"/>
      <c r="O6" s="2209"/>
      <c r="P6" s="2209"/>
    </row>
    <row r="7" spans="2:19">
      <c r="B7" s="19">
        <v>11</v>
      </c>
      <c r="C7" t="s">
        <v>572</v>
      </c>
      <c r="D7" s="3534" t="s">
        <v>843</v>
      </c>
      <c r="E7" s="3638">
        <v>18230661</v>
      </c>
      <c r="F7" s="4705">
        <f>'11) Detail_REM Sch 201 Gas'!G7</f>
        <v>11670.14</v>
      </c>
      <c r="G7" s="4705">
        <f>'11) Detail_REM Sch 201 Gas'!H7</f>
        <v>1291.5</v>
      </c>
      <c r="H7" s="2209">
        <f>'11) Detail_REM Sch 201 Gas'!I7</f>
        <v>9163.8794799999996</v>
      </c>
      <c r="I7" s="4705">
        <f>'11) Detail_REM Sch 201 Gas'!J7</f>
        <v>350</v>
      </c>
      <c r="J7" s="4705">
        <f>'11) Detail_REM Sch 201 Gas'!K7</f>
        <v>504</v>
      </c>
      <c r="K7" s="4705">
        <f>'11) Detail_REM Sch 201 Gas'!L7</f>
        <v>1680</v>
      </c>
      <c r="L7" s="2209">
        <f>'11) Detail_REM Sch 201 Gas'!M7</f>
        <v>4038</v>
      </c>
      <c r="M7" s="2209">
        <f>'11) Detail_REM Sch 201 Gas'!N7</f>
        <v>308.62</v>
      </c>
      <c r="N7" s="4705">
        <f>'11) Detail_REM Sch 201 Gas'!O7</f>
        <v>272303</v>
      </c>
      <c r="O7" s="2209">
        <f>'11) Detail_REM Sch 201 Gas'!P7</f>
        <v>0</v>
      </c>
      <c r="P7" s="2209">
        <f>'11) Detail_REM Sch 201 Gas'!Q7</f>
        <v>301309.13948000001</v>
      </c>
      <c r="Q7" s="4912">
        <f>'11) Detail_REM Sch 201 Gas'!R7</f>
        <v>21178.5</v>
      </c>
    </row>
    <row r="8" spans="2:19">
      <c r="B8" s="19" t="s">
        <v>844</v>
      </c>
      <c r="C8" t="s">
        <v>574</v>
      </c>
      <c r="D8" s="3534" t="s">
        <v>575</v>
      </c>
      <c r="E8" s="2097">
        <v>18230635</v>
      </c>
      <c r="F8" s="2209">
        <f>'12a) Detail_214HmPrint Gas'!G7</f>
        <v>0</v>
      </c>
      <c r="G8" s="2209">
        <f>'12a) Detail_214HmPrint Gas'!H7</f>
        <v>0</v>
      </c>
      <c r="H8" s="2209">
        <f>'12a) Detail_214HmPrint Gas'!I7</f>
        <v>0</v>
      </c>
      <c r="I8" s="2209">
        <f>'12a) Detail_214HmPrint Gas'!J7</f>
        <v>0</v>
      </c>
      <c r="J8" s="2209">
        <f>'12a) Detail_214HmPrint Gas'!K7</f>
        <v>0</v>
      </c>
      <c r="K8" s="2209">
        <f>'12a) Detail_214HmPrint Gas'!L7</f>
        <v>0</v>
      </c>
      <c r="L8" s="2209">
        <f>'12a) Detail_214HmPrint Gas'!M7</f>
        <v>0</v>
      </c>
      <c r="M8" s="2209">
        <f>'12a) Detail_214HmPrint Gas'!N7</f>
        <v>0</v>
      </c>
      <c r="N8" s="2209">
        <f>'12a) Detail_214HmPrint Gas'!O7</f>
        <v>0</v>
      </c>
      <c r="O8" s="2209">
        <f>'12a) Detail_214HmPrint Gas'!P7</f>
        <v>0</v>
      </c>
      <c r="P8" s="2209">
        <f>'12a) Detail_214HmPrint Gas'!Q7</f>
        <v>0</v>
      </c>
      <c r="Q8" s="2102">
        <f>'12a) Detail_214HmPrint Gas'!R7</f>
        <v>0</v>
      </c>
    </row>
    <row r="9" spans="2:19">
      <c r="B9" s="19" t="s">
        <v>845</v>
      </c>
      <c r="C9" t="s">
        <v>574</v>
      </c>
      <c r="D9" s="3534" t="s">
        <v>579</v>
      </c>
      <c r="E9" s="2097">
        <v>18230636</v>
      </c>
      <c r="F9" s="2209">
        <f>'12b) Detail_214WtrHeat Gas'!G7</f>
        <v>0</v>
      </c>
      <c r="G9" s="2209">
        <f>'12b) Detail_214WtrHeat Gas'!H7</f>
        <v>0</v>
      </c>
      <c r="H9" s="2209">
        <f>'12b) Detail_214WtrHeat Gas'!I7</f>
        <v>0</v>
      </c>
      <c r="I9" s="2209">
        <f>'12b) Detail_214WtrHeat Gas'!J7</f>
        <v>0</v>
      </c>
      <c r="J9" s="2209">
        <f>'12b) Detail_214WtrHeat Gas'!K7</f>
        <v>0</v>
      </c>
      <c r="K9" s="2209">
        <f>'12b) Detail_214WtrHeat Gas'!L7</f>
        <v>0</v>
      </c>
      <c r="L9" s="2209">
        <f>'12b) Detail_214WtrHeat Gas'!M7</f>
        <v>0</v>
      </c>
      <c r="M9" s="2209">
        <f>'12b) Detail_214WtrHeat Gas'!N7</f>
        <v>0</v>
      </c>
      <c r="N9" s="2209">
        <f>'12b) Detail_214WtrHeat Gas'!O7</f>
        <v>0</v>
      </c>
      <c r="O9" s="2209">
        <f>'12b) Detail_214WtrHeat Gas'!P7</f>
        <v>0</v>
      </c>
      <c r="P9" s="2209">
        <f>'12b) Detail_214WtrHeat Gas'!Q7</f>
        <v>0</v>
      </c>
      <c r="Q9" s="2102">
        <f>'12b) Detail_214WtrHeat Gas'!R7</f>
        <v>0</v>
      </c>
    </row>
    <row r="10" spans="2:19">
      <c r="B10" s="19" t="s">
        <v>846</v>
      </c>
      <c r="C10" t="s">
        <v>574</v>
      </c>
      <c r="D10" s="3534" t="s">
        <v>586</v>
      </c>
      <c r="E10" s="2097">
        <v>18230637</v>
      </c>
      <c r="F10" s="4705">
        <f>'12c) Detail_214Wx Gas'!G7</f>
        <v>46000</v>
      </c>
      <c r="G10" s="2209">
        <f>'12c) Detail_214Wx Gas'!H7</f>
        <v>18450</v>
      </c>
      <c r="H10" s="2209">
        <f>'12c) Detail_214Wx Gas'!I7</f>
        <v>45566.15</v>
      </c>
      <c r="I10" s="4705">
        <f>'12c) Detail_214Wx Gas'!J7</f>
        <v>78000</v>
      </c>
      <c r="J10" s="4705">
        <f>'12c) Detail_214Wx Gas'!K7</f>
        <v>2500</v>
      </c>
      <c r="K10" s="4705">
        <f>'12c) Detail_214Wx Gas'!L7</f>
        <v>375000</v>
      </c>
      <c r="L10" s="4705">
        <f>'12c) Detail_214Wx Gas'!M7</f>
        <v>0</v>
      </c>
      <c r="M10" s="2209">
        <f>'12c) Detail_214Wx Gas'!N7</f>
        <v>16200</v>
      </c>
      <c r="N10" s="4705">
        <f>'12c) Detail_214Wx Gas'!O7</f>
        <v>2340716</v>
      </c>
      <c r="O10" s="2209">
        <f>'12c) Detail_214Wx Gas'!P7</f>
        <v>0</v>
      </c>
      <c r="P10" s="2209">
        <f>'12c) Detail_214Wx Gas'!Q7</f>
        <v>2922432.15</v>
      </c>
      <c r="Q10" s="2102">
        <f>'12c) Detail_214Wx Gas'!R7</f>
        <v>553235.17999999993</v>
      </c>
    </row>
    <row r="11" spans="2:19" s="3532" customFormat="1">
      <c r="B11" s="3533" t="s">
        <v>1187</v>
      </c>
      <c r="C11" s="3532" t="s">
        <v>574</v>
      </c>
      <c r="D11" s="3534" t="s">
        <v>1188</v>
      </c>
      <c r="E11" s="3638">
        <v>18230680</v>
      </c>
      <c r="F11" s="3495">
        <f>'12g) Detail_214MHDS Gas'!G7</f>
        <v>0</v>
      </c>
      <c r="G11" s="3495">
        <f>'12g) Detail_214MHDS Gas'!H7</f>
        <v>0</v>
      </c>
      <c r="H11" s="3495">
        <f>'12g) Detail_214MHDS Gas'!I7</f>
        <v>0</v>
      </c>
      <c r="I11" s="3495">
        <f>'12g) Detail_214MHDS Gas'!J7</f>
        <v>0</v>
      </c>
      <c r="J11" s="3495">
        <f>'12g) Detail_214MHDS Gas'!K7</f>
        <v>0</v>
      </c>
      <c r="K11" s="3495">
        <f>'12g) Detail_214MHDS Gas'!L7</f>
        <v>0</v>
      </c>
      <c r="L11" s="3495">
        <f>'12g) Detail_214MHDS Gas'!M7</f>
        <v>0</v>
      </c>
      <c r="M11" s="3495">
        <f>'12g) Detail_214MHDS Gas'!N7</f>
        <v>0</v>
      </c>
      <c r="N11" s="3495">
        <f>'12g) Detail_214MHDS Gas'!O7</f>
        <v>0</v>
      </c>
      <c r="O11" s="3495">
        <f>'12g) Detail_214MHDS Gas'!P7</f>
        <v>0</v>
      </c>
      <c r="P11" s="3495">
        <f>'12g) Detail_214MHDS Gas'!Q7</f>
        <v>0</v>
      </c>
      <c r="Q11" s="3529">
        <f>'12g) Detail_214MHDS Gas'!R7</f>
        <v>0</v>
      </c>
    </row>
    <row r="12" spans="2:19" s="3532" customFormat="1">
      <c r="B12" s="3533"/>
      <c r="C12" s="4590" t="s">
        <v>574</v>
      </c>
      <c r="D12" s="4684" t="s">
        <v>1234</v>
      </c>
      <c r="E12" s="4591">
        <v>18230734</v>
      </c>
      <c r="F12" s="3495"/>
      <c r="G12" s="3495"/>
      <c r="H12" s="3495"/>
      <c r="I12" s="3495"/>
      <c r="J12" s="3495"/>
      <c r="K12" s="3495"/>
      <c r="L12" s="3495"/>
      <c r="M12" s="3495"/>
      <c r="N12" s="3495"/>
      <c r="O12" s="3495"/>
      <c r="P12" s="3495"/>
      <c r="Q12" s="2102"/>
    </row>
    <row r="13" spans="2:19">
      <c r="B13" s="19" t="s">
        <v>847</v>
      </c>
      <c r="C13" t="s">
        <v>574</v>
      </c>
      <c r="D13" s="3534" t="s">
        <v>591</v>
      </c>
      <c r="E13" s="2097">
        <v>18230638</v>
      </c>
      <c r="F13" s="4705">
        <f>'12d) Detail_214SpHeat Gas'!G7</f>
        <v>160000</v>
      </c>
      <c r="G13" s="2209">
        <f>'12d) Detail_214SpHeat Gas'!H7</f>
        <v>21525</v>
      </c>
      <c r="H13" s="3436">
        <f>'12d) Detail_214SpHeat Gas'!I7</f>
        <v>128338.175</v>
      </c>
      <c r="I13" s="4705">
        <f>'12d) Detail_214SpHeat Gas'!J7</f>
        <v>220000</v>
      </c>
      <c r="J13" s="2209">
        <f>'12d) Detail_214SpHeat Gas'!K7</f>
        <v>5400</v>
      </c>
      <c r="K13" s="2209">
        <f>'12d) Detail_214SpHeat Gas'!L7</f>
        <v>18000</v>
      </c>
      <c r="L13" s="2209">
        <f>'12d) Detail_214SpHeat Gas'!M7</f>
        <v>15400</v>
      </c>
      <c r="M13" s="2209">
        <f>'12d) Detail_214SpHeat Gas'!N7</f>
        <v>10200</v>
      </c>
      <c r="N13" s="2209">
        <f>'12d) Detail_214SpHeat Gas'!O7</f>
        <v>1776400</v>
      </c>
      <c r="O13" s="2209">
        <f>'12d) Detail_214SpHeat Gas'!P7</f>
        <v>0</v>
      </c>
      <c r="P13" s="2209">
        <f>'12d) Detail_214SpHeat Gas'!Q7</f>
        <v>2355263.1749999998</v>
      </c>
      <c r="Q13" s="2102">
        <f>'12d) Detail_214SpHeat Gas'!R7</f>
        <v>747889</v>
      </c>
    </row>
    <row r="14" spans="2:19">
      <c r="B14" s="19" t="s">
        <v>848</v>
      </c>
      <c r="C14" t="s">
        <v>574</v>
      </c>
      <c r="D14" s="3534" t="s">
        <v>596</v>
      </c>
      <c r="E14" s="2097">
        <v>18230700</v>
      </c>
      <c r="F14" s="4705">
        <f>'12e) Detail_214ShwrHead Gas'!G7</f>
        <v>15000</v>
      </c>
      <c r="G14" s="4705">
        <f>'12e) Detail_214ShwrHead Gas'!H7</f>
        <v>5000</v>
      </c>
      <c r="H14" s="2209">
        <f>'12e) Detail_214ShwrHead Gas'!I7</f>
        <v>14140</v>
      </c>
      <c r="I14" s="4705">
        <f>'12e) Detail_214ShwrHead Gas'!J7</f>
        <v>25000</v>
      </c>
      <c r="J14" s="4705">
        <f>'12e) Detail_214ShwrHead Gas'!K7</f>
        <v>1000</v>
      </c>
      <c r="K14" s="4705">
        <f>'12e) Detail_214ShwrHead Gas'!L7</f>
        <v>10000</v>
      </c>
      <c r="L14" s="2209">
        <f>'12e) Detail_214ShwrHead Gas'!M7</f>
        <v>500</v>
      </c>
      <c r="M14" s="2209">
        <f>'12e) Detail_214ShwrHead Gas'!N7</f>
        <v>500</v>
      </c>
      <c r="N14" s="4705">
        <f>'12e) Detail_214ShwrHead Gas'!O7</f>
        <v>225350</v>
      </c>
      <c r="O14" s="2209">
        <f>'12e) Detail_214ShwrHead Gas'!P7</f>
        <v>0</v>
      </c>
      <c r="P14" s="2209">
        <f>'12e) Detail_214ShwrHead Gas'!Q7</f>
        <v>296490</v>
      </c>
      <c r="Q14" s="2102">
        <f>'12e) Detail_214ShwrHead Gas'!R7</f>
        <v>179279.76</v>
      </c>
    </row>
    <row r="15" spans="2:19" s="3532" customFormat="1">
      <c r="B15" s="3533" t="s">
        <v>1077</v>
      </c>
      <c r="C15" s="3532" t="s">
        <v>574</v>
      </c>
      <c r="D15" s="3534" t="s">
        <v>375</v>
      </c>
      <c r="E15" s="3638" t="s">
        <v>1078</v>
      </c>
      <c r="F15" s="3495">
        <f>'12f) Detail_214HmApplSvgs Gas'!G7</f>
        <v>0</v>
      </c>
      <c r="G15" s="3495">
        <f>'12f) Detail_214HmApplSvgs Gas'!H7</f>
        <v>0</v>
      </c>
      <c r="H15" s="3495">
        <f>'12f) Detail_214HmApplSvgs Gas'!I7</f>
        <v>0</v>
      </c>
      <c r="I15" s="3495">
        <f>'12f) Detail_214HmApplSvgs Gas'!J7</f>
        <v>0</v>
      </c>
      <c r="J15" s="3495">
        <f>'12f) Detail_214HmApplSvgs Gas'!K7</f>
        <v>0</v>
      </c>
      <c r="K15" s="3495">
        <f>'12f) Detail_214HmApplSvgs Gas'!L7</f>
        <v>0</v>
      </c>
      <c r="L15" s="3495">
        <f>'12f) Detail_214HmApplSvgs Gas'!M7</f>
        <v>0</v>
      </c>
      <c r="M15" s="3495">
        <f>'12f) Detail_214HmApplSvgs Gas'!N7</f>
        <v>0</v>
      </c>
      <c r="N15" s="3495">
        <f>'12f) Detail_214HmApplSvgs Gas'!O7</f>
        <v>0</v>
      </c>
      <c r="O15" s="3495">
        <f>'12f) Detail_214HmApplSvgs Gas'!P7</f>
        <v>0</v>
      </c>
      <c r="P15" s="3495">
        <f>'12f) Detail_214HmApplSvgs Gas'!Q7</f>
        <v>0</v>
      </c>
      <c r="Q15" s="4914">
        <f>'12f) Detail_214HmApplSvgs Gas'!R7</f>
        <v>7997.5999999999995</v>
      </c>
    </row>
    <row r="16" spans="2:19" s="3457" customFormat="1">
      <c r="B16" s="4696" t="s">
        <v>1289</v>
      </c>
      <c r="C16" s="3457" t="s">
        <v>574</v>
      </c>
      <c r="D16" s="4917" t="s">
        <v>1305</v>
      </c>
      <c r="E16" s="3638">
        <v>18230687</v>
      </c>
      <c r="F16" s="4705">
        <f>'12h) Detail_214WebTstat Gas'!G7</f>
        <v>6000</v>
      </c>
      <c r="G16" s="4705">
        <f>'12h) Detail_214WebTstat Gas'!H7</f>
        <v>1200</v>
      </c>
      <c r="H16" s="4705">
        <f>'12h) Detail_214WebTstat Gas'!I7</f>
        <v>5090.3999999999996</v>
      </c>
      <c r="I16" s="4705">
        <f>'12h) Detail_214WebTstat Gas'!J7</f>
        <v>0</v>
      </c>
      <c r="J16" s="4705">
        <f>'12h) Detail_214WebTstat Gas'!K7</f>
        <v>600</v>
      </c>
      <c r="K16" s="4705">
        <f>'12h) Detail_214WebTstat Gas'!L7</f>
        <v>50000</v>
      </c>
      <c r="L16" s="4705">
        <f>'12h) Detail_214WebTstat Gas'!M7</f>
        <v>1200</v>
      </c>
      <c r="M16" s="4705">
        <f>'12h) Detail_214WebTstat Gas'!N7</f>
        <v>1200</v>
      </c>
      <c r="N16" s="4705">
        <f>'12h) Detail_214WebTstat Gas'!O7</f>
        <v>390000</v>
      </c>
      <c r="O16" s="4705">
        <f>'12h) Detail_214WebTstat Gas'!P7</f>
        <v>0</v>
      </c>
      <c r="P16" s="4705">
        <f>'12h) Detail_214WebTstat Gas'!Q7</f>
        <v>455290.4</v>
      </c>
      <c r="Q16" s="4914">
        <f>'12h) Detail_214WebTstat Gas'!R7</f>
        <v>54000</v>
      </c>
    </row>
    <row r="17" spans="2:17">
      <c r="B17" s="4740" t="s">
        <v>1376</v>
      </c>
      <c r="C17" s="3532" t="s">
        <v>574</v>
      </c>
      <c r="D17" s="3534" t="s">
        <v>638</v>
      </c>
      <c r="E17" s="3638">
        <v>18230738</v>
      </c>
      <c r="F17" s="2209">
        <f>'12i) Detail_REM 214_HER Gas'!G7</f>
        <v>8587.7250000000004</v>
      </c>
      <c r="G17" s="2209">
        <f>'12i) Detail_REM 214_HER Gas'!H7</f>
        <v>6150</v>
      </c>
      <c r="H17" s="2209">
        <f>'12i) Detail_REM 214_HER Gas'!I7</f>
        <v>10419.571575</v>
      </c>
      <c r="I17" s="2209">
        <f>'12i) Detail_REM 214_HER Gas'!J7</f>
        <v>0</v>
      </c>
      <c r="J17" s="2209">
        <f>'12i) Detail_REM 214_HER Gas'!K7</f>
        <v>0</v>
      </c>
      <c r="K17" s="2209">
        <f>'12i) Detail_REM 214_HER Gas'!L7</f>
        <v>37149</v>
      </c>
      <c r="L17" s="2209">
        <f>'12i) Detail_REM 214_HER Gas'!M7</f>
        <v>0</v>
      </c>
      <c r="M17" s="2209">
        <f>'12i) Detail_REM 214_HER Gas'!N7</f>
        <v>0</v>
      </c>
      <c r="N17" s="2209">
        <f>'12i) Detail_REM 214_HER Gas'!O7</f>
        <v>37149</v>
      </c>
      <c r="O17" s="2209">
        <f>'12i) Detail_REM 214_HER Gas'!P7</f>
        <v>0</v>
      </c>
      <c r="P17" s="2209">
        <f>'12i) Detail_REM 214_HER Gas'!Q7</f>
        <v>99455.296575</v>
      </c>
      <c r="Q17" s="2102">
        <f>'12i) Detail_REM 214_HER Gas'!R7</f>
        <v>346724</v>
      </c>
    </row>
    <row r="18" spans="2:17">
      <c r="B18" s="3533" t="s">
        <v>849</v>
      </c>
      <c r="C18" t="s">
        <v>599</v>
      </c>
      <c r="D18" s="3534" t="s">
        <v>600</v>
      </c>
      <c r="E18" s="2097">
        <v>18230442</v>
      </c>
      <c r="F18" s="4705">
        <f>'13a) Detail_215MfgHomes Gas'!G7</f>
        <v>0</v>
      </c>
      <c r="G18" s="4705">
        <f>'13a) Detail_215MfgHomes Gas'!H7</f>
        <v>0</v>
      </c>
      <c r="H18" s="4705">
        <f>'13a) Detail_215MfgHomes Gas'!I7</f>
        <v>0</v>
      </c>
      <c r="I18" s="4705">
        <f>'13a) Detail_215MfgHomes Gas'!J7</f>
        <v>0</v>
      </c>
      <c r="J18" s="4705">
        <f>'13a) Detail_215MfgHomes Gas'!K7</f>
        <v>0</v>
      </c>
      <c r="K18" s="4705">
        <f>'13a) Detail_215MfgHomes Gas'!L7</f>
        <v>0</v>
      </c>
      <c r="L18" s="4705">
        <f>'13a) Detail_215MfgHomes Gas'!M7</f>
        <v>0</v>
      </c>
      <c r="M18" s="4705">
        <f>'13a) Detail_215MfgHomes Gas'!N7</f>
        <v>0</v>
      </c>
      <c r="N18" s="4705">
        <f>'13a) Detail_215MfgHomes Gas'!O7</f>
        <v>0</v>
      </c>
      <c r="O18" s="4705">
        <f>'13a) Detail_215MfgHomes Gas'!P7</f>
        <v>0</v>
      </c>
      <c r="P18" s="4705">
        <f>'13a) Detail_215MfgHomes Gas'!Q7</f>
        <v>0</v>
      </c>
      <c r="Q18" s="4914">
        <f>'13a) Detail_215MfgHomes Gas'!R7</f>
        <v>0</v>
      </c>
    </row>
    <row r="19" spans="2:17">
      <c r="B19" s="19">
        <v>13</v>
      </c>
      <c r="C19" t="s">
        <v>599</v>
      </c>
      <c r="D19" s="3534" t="s">
        <v>614</v>
      </c>
      <c r="E19" s="2097">
        <v>18230684</v>
      </c>
      <c r="F19" s="4705">
        <f>'13) Detail_REM Sch 215 Gas'!G7</f>
        <v>0</v>
      </c>
      <c r="G19" s="4705">
        <f>'13) Detail_REM Sch 215 Gas'!H7</f>
        <v>0</v>
      </c>
      <c r="H19" s="3495">
        <f>'13) Detail_REM Sch 215 Gas'!I7</f>
        <v>0</v>
      </c>
      <c r="I19" s="4705">
        <f>'13) Detail_REM Sch 215 Gas'!J7</f>
        <v>0</v>
      </c>
      <c r="J19" s="4705">
        <f>'13) Detail_REM Sch 215 Gas'!K7</f>
        <v>0</v>
      </c>
      <c r="K19" s="4705">
        <f>'13) Detail_REM Sch 215 Gas'!L7</f>
        <v>0</v>
      </c>
      <c r="L19" s="4705">
        <f>'13) Detail_REM Sch 215 Gas'!M7</f>
        <v>0</v>
      </c>
      <c r="M19" s="4705">
        <f>'13) Detail_REM Sch 215 Gas'!N7</f>
        <v>0</v>
      </c>
      <c r="N19" s="4705">
        <f>'13) Detail_REM Sch 215 Gas'!O7</f>
        <v>0</v>
      </c>
      <c r="O19" s="3495">
        <f>'13) Detail_REM Sch 215 Gas'!P7</f>
        <v>0</v>
      </c>
      <c r="P19" s="3495">
        <f>'13) Detail_REM Sch 215 Gas'!Q7</f>
        <v>0</v>
      </c>
      <c r="Q19" s="4914">
        <f>'13) Detail_REM Sch 215 Gas'!R7</f>
        <v>0</v>
      </c>
    </row>
    <row r="20" spans="2:17">
      <c r="B20" s="19">
        <v>14</v>
      </c>
      <c r="C20" t="s">
        <v>624</v>
      </c>
      <c r="D20" s="3534" t="s">
        <v>625</v>
      </c>
      <c r="E20" s="2097">
        <v>18230736</v>
      </c>
      <c r="F20" s="2209">
        <f>'14) Detail_REM Sch 217 Gas'!G7</f>
        <v>28625.75</v>
      </c>
      <c r="G20" s="2209">
        <f>'14) Detail_REM Sch 217 Gas'!H7</f>
        <v>3690</v>
      </c>
      <c r="H20" s="2209">
        <f>'14) Detail_REM Sch 217 Gas'!I7</f>
        <v>22847.235249999998</v>
      </c>
      <c r="I20" s="2209">
        <f>'14) Detail_REM Sch 217 Gas'!J7</f>
        <v>3750</v>
      </c>
      <c r="J20" s="2209">
        <f>'14) Detail_REM Sch 217 Gas'!K7</f>
        <v>1490</v>
      </c>
      <c r="K20" s="2209">
        <f>'14) Detail_REM Sch 217 Gas'!L7</f>
        <v>6922.5</v>
      </c>
      <c r="L20" s="2209">
        <f>'14) Detail_REM Sch 217 Gas'!M7</f>
        <v>250</v>
      </c>
      <c r="M20" s="2209">
        <f>'14) Detail_REM Sch 217 Gas'!N7</f>
        <v>2405</v>
      </c>
      <c r="N20" s="2209">
        <f>'14) Detail_REM Sch 217 Gas'!O7</f>
        <v>48102.5</v>
      </c>
      <c r="O20" s="2209">
        <f>'14) Detail_REM Sch 217 Gas'!P7</f>
        <v>0</v>
      </c>
      <c r="P20" s="2209">
        <f>'14) Detail_REM Sch 217 Gas'!Q7</f>
        <v>118082.98525</v>
      </c>
      <c r="Q20" s="2102">
        <f>'14) Detail_REM Sch 217 Gas'!R7</f>
        <v>17736</v>
      </c>
    </row>
    <row r="21" spans="2:17">
      <c r="B21" s="19">
        <v>15</v>
      </c>
      <c r="C21" t="s">
        <v>634</v>
      </c>
      <c r="D21" s="3534" t="s">
        <v>635</v>
      </c>
      <c r="E21" s="2097">
        <v>18230673</v>
      </c>
      <c r="F21" s="2209">
        <f>'15) Detail_REM Sch 218 Gas'!G7</f>
        <v>35000</v>
      </c>
      <c r="G21" s="2209">
        <f>'15) Detail_REM Sch 218 Gas'!H7</f>
        <v>3500</v>
      </c>
      <c r="H21" s="2209">
        <f>'15) Detail_REM Sch 218 Gas'!I7</f>
        <v>27219.5</v>
      </c>
      <c r="I21" s="2209">
        <f>'15) Detail_REM Sch 218 Gas'!J7</f>
        <v>3750</v>
      </c>
      <c r="J21" s="2209">
        <f>'15) Detail_REM Sch 218 Gas'!K7</f>
        <v>2980</v>
      </c>
      <c r="K21" s="2209">
        <f>'15) Detail_REM Sch 218 Gas'!L7</f>
        <v>100</v>
      </c>
      <c r="L21" s="2209">
        <f>'15) Detail_REM Sch 218 Gas'!M7</f>
        <v>50</v>
      </c>
      <c r="M21" s="2209">
        <f>'15) Detail_REM Sch 218 Gas'!N7</f>
        <v>1485</v>
      </c>
      <c r="N21" s="2209">
        <f>'15) Detail_REM Sch 218 Gas'!O7</f>
        <v>242881</v>
      </c>
      <c r="O21" s="2209">
        <f>'15) Detail_REM Sch 218 Gas'!P7</f>
        <v>0</v>
      </c>
      <c r="P21" s="2209">
        <f>'15) Detail_REM Sch 218 Gas'!Q7</f>
        <v>316965.5</v>
      </c>
      <c r="Q21" s="2102">
        <f>'15) Detail_REM Sch 218 Gas'!R7</f>
        <v>46712.81</v>
      </c>
    </row>
    <row r="22" spans="2:17">
      <c r="B22" s="19">
        <v>16</v>
      </c>
      <c r="C22" t="s">
        <v>636</v>
      </c>
      <c r="D22" t="s">
        <v>637</v>
      </c>
      <c r="E22" s="2097">
        <v>18230639</v>
      </c>
      <c r="F22" s="2209">
        <f>'16) Detail_REM Sch 249 Gas'!G7</f>
        <v>0</v>
      </c>
      <c r="G22" s="2209">
        <f>'16) Detail_REM Sch 249 Gas'!H7</f>
        <v>0</v>
      </c>
      <c r="H22" s="2209">
        <f>'16) Detail_REM Sch 249 Gas'!I7</f>
        <v>0</v>
      </c>
      <c r="I22" s="2209">
        <f>'16) Detail_REM Sch 249 Gas'!J7</f>
        <v>0</v>
      </c>
      <c r="J22" s="2209">
        <f>'16) Detail_REM Sch 249 Gas'!K7</f>
        <v>0</v>
      </c>
      <c r="K22" s="2209">
        <f>'16) Detail_REM Sch 249 Gas'!L7</f>
        <v>0</v>
      </c>
      <c r="L22" s="2209">
        <f>'16) Detail_REM Sch 249 Gas'!M7</f>
        <v>0</v>
      </c>
      <c r="M22" s="2209">
        <f>'16) Detail_REM Sch 249 Gas'!N7</f>
        <v>0</v>
      </c>
      <c r="N22" s="2209">
        <f>'16) Detail_REM Sch 249 Gas'!O7</f>
        <v>0</v>
      </c>
      <c r="O22" s="2209">
        <f>'16) Detail_REM Sch 249 Gas'!P7</f>
        <v>0</v>
      </c>
      <c r="P22" s="2209">
        <f>'16) Detail_REM Sch 249 Gas'!Q7</f>
        <v>0</v>
      </c>
      <c r="Q22" s="2102">
        <f>'16) Detail_REM Sch 249 Gas'!R7</f>
        <v>0</v>
      </c>
    </row>
    <row r="23" spans="2:17" s="2105" customFormat="1">
      <c r="B23" s="2104"/>
      <c r="D23" s="772" t="s">
        <v>763</v>
      </c>
      <c r="E23" s="2207"/>
      <c r="F23" s="2107">
        <f t="shared" ref="F23:O23" si="0">SUM(F7:F22)</f>
        <v>310883.61499999999</v>
      </c>
      <c r="G23" s="2107">
        <f t="shared" si="0"/>
        <v>60806.5</v>
      </c>
      <c r="H23" s="2107">
        <f t="shared" si="0"/>
        <v>262784.91130500002</v>
      </c>
      <c r="I23" s="2107">
        <f t="shared" si="0"/>
        <v>330850</v>
      </c>
      <c r="J23" s="2107">
        <f t="shared" si="0"/>
        <v>14474</v>
      </c>
      <c r="K23" s="2107">
        <f t="shared" si="0"/>
        <v>498851.5</v>
      </c>
      <c r="L23" s="2107">
        <f t="shared" si="0"/>
        <v>21438</v>
      </c>
      <c r="M23" s="2107">
        <f t="shared" si="0"/>
        <v>32298.62</v>
      </c>
      <c r="N23" s="2107">
        <f t="shared" si="0"/>
        <v>5332901.5</v>
      </c>
      <c r="O23" s="2107">
        <f t="shared" si="0"/>
        <v>0</v>
      </c>
      <c r="P23" s="2107">
        <f>SUM(P7:P22)</f>
        <v>6865288.6463049995</v>
      </c>
      <c r="Q23" s="2108">
        <f>SUM(Q7:Q22)</f>
        <v>1974752.85</v>
      </c>
    </row>
    <row r="24" spans="2:17" s="4744" customFormat="1">
      <c r="B24" s="4743"/>
      <c r="D24" s="4695" t="s">
        <v>1332</v>
      </c>
      <c r="E24" s="4697"/>
      <c r="F24" s="4703">
        <v>620789.60499999998</v>
      </c>
      <c r="G24" s="4703">
        <v>76902</v>
      </c>
      <c r="H24" s="4703">
        <v>439545.71115000005</v>
      </c>
      <c r="I24" s="4703">
        <v>185809</v>
      </c>
      <c r="J24" s="4703">
        <v>23510</v>
      </c>
      <c r="K24" s="4703">
        <v>168723</v>
      </c>
      <c r="L24" s="4703">
        <v>221188</v>
      </c>
      <c r="M24" s="4703">
        <v>36087</v>
      </c>
      <c r="N24" s="4703">
        <v>4991958.7874999996</v>
      </c>
      <c r="O24" s="4703">
        <v>0</v>
      </c>
      <c r="P24" s="4703">
        <v>6764513.1036499999</v>
      </c>
      <c r="Q24" s="4701">
        <v>1898479.5440000002</v>
      </c>
    </row>
    <row r="25" spans="2:17" s="4744" customFormat="1">
      <c r="B25" s="4743"/>
      <c r="D25" s="4707" t="s">
        <v>1333</v>
      </c>
      <c r="E25" s="4688"/>
      <c r="F25" s="4708">
        <f>F23-F24</f>
        <v>-309905.99</v>
      </c>
      <c r="G25" s="4708">
        <f t="shared" ref="G25:Q25" si="1">G23-G24</f>
        <v>-16095.5</v>
      </c>
      <c r="H25" s="4708">
        <f t="shared" si="1"/>
        <v>-176760.79984500003</v>
      </c>
      <c r="I25" s="4708">
        <f t="shared" si="1"/>
        <v>145041</v>
      </c>
      <c r="J25" s="4708">
        <f t="shared" si="1"/>
        <v>-9036</v>
      </c>
      <c r="K25" s="4708">
        <f t="shared" si="1"/>
        <v>330128.5</v>
      </c>
      <c r="L25" s="4708">
        <f t="shared" si="1"/>
        <v>-199750</v>
      </c>
      <c r="M25" s="4708">
        <f t="shared" si="1"/>
        <v>-3788.380000000001</v>
      </c>
      <c r="N25" s="4708">
        <f t="shared" si="1"/>
        <v>340942.71250000037</v>
      </c>
      <c r="O25" s="4708">
        <f t="shared" si="1"/>
        <v>0</v>
      </c>
      <c r="P25" s="4708">
        <f t="shared" si="1"/>
        <v>100775.54265499953</v>
      </c>
      <c r="Q25" s="4693">
        <f t="shared" si="1"/>
        <v>76273.305999999866</v>
      </c>
    </row>
    <row r="26" spans="2:17">
      <c r="E26" s="2203"/>
      <c r="F26" s="2209"/>
      <c r="G26" s="2209"/>
      <c r="H26" s="2209"/>
      <c r="I26" s="2209"/>
      <c r="J26" s="2209"/>
      <c r="K26" s="2209"/>
      <c r="L26" s="2209"/>
      <c r="M26" s="2209"/>
      <c r="N26" s="2209"/>
      <c r="O26" s="2209"/>
      <c r="P26" s="2209"/>
    </row>
    <row r="27" spans="2:17">
      <c r="E27" s="2203"/>
      <c r="F27" s="2209"/>
      <c r="G27" s="2209"/>
      <c r="H27" s="2209"/>
      <c r="I27" s="2209"/>
      <c r="J27" s="2209"/>
      <c r="K27" s="2209"/>
      <c r="L27" s="2209"/>
      <c r="M27" s="2209"/>
      <c r="N27" s="2209"/>
      <c r="O27" s="2209"/>
      <c r="P27" s="2209"/>
    </row>
    <row r="28" spans="2:17">
      <c r="C28" t="s">
        <v>765</v>
      </c>
      <c r="E28" s="2203"/>
      <c r="F28" s="2209"/>
      <c r="G28" s="2209"/>
      <c r="H28" s="2209"/>
      <c r="I28" s="2209"/>
      <c r="J28" s="2209"/>
      <c r="K28" s="2209"/>
      <c r="L28" s="2209"/>
      <c r="M28" s="2209"/>
      <c r="N28" s="2209"/>
      <c r="O28" s="2209"/>
      <c r="P28" s="2209"/>
    </row>
    <row r="29" spans="2:17">
      <c r="B29" s="19">
        <v>25</v>
      </c>
      <c r="C29" s="3532" t="s">
        <v>1323</v>
      </c>
      <c r="D29" s="3534" t="s">
        <v>752</v>
      </c>
      <c r="E29" s="3638">
        <v>18230731</v>
      </c>
      <c r="F29" s="4705">
        <f>'25) Detail_BEM Sch 250 Gas'!C8</f>
        <v>459700</v>
      </c>
      <c r="G29" s="2209">
        <f>'25) Detail_BEM Sch 250 Gas'!D8</f>
        <v>17000</v>
      </c>
      <c r="H29" s="2209">
        <f>'25) Detail_BEM Sch 250 Gas'!E8</f>
        <v>337000</v>
      </c>
      <c r="I29" s="2209">
        <f>'25) Detail_BEM Sch 250 Gas'!F8</f>
        <v>9000</v>
      </c>
      <c r="J29" s="2209">
        <f>'25) Detail_BEM Sch 250 Gas'!G8</f>
        <v>8700</v>
      </c>
      <c r="K29" s="2209">
        <f>'25) Detail_BEM Sch 250 Gas'!H8</f>
        <v>110750</v>
      </c>
      <c r="L29" s="2209">
        <f>'25) Detail_BEM Sch 250 Gas'!I8</f>
        <v>2870</v>
      </c>
      <c r="M29" s="2209">
        <f>'25) Detail_BEM Sch 250 Gas'!J8</f>
        <v>2200</v>
      </c>
      <c r="N29" s="4705">
        <f>'25) Detail_BEM Sch 250 Gas'!K8</f>
        <v>1755110</v>
      </c>
      <c r="O29" s="2209"/>
      <c r="P29" s="2209">
        <f>'25) Detail_BEM Sch 250 Gas'!L8</f>
        <v>2702330</v>
      </c>
      <c r="Q29" s="4912">
        <f>'25) Detail_BEM Sch 250 Gas'!M8</f>
        <v>487100</v>
      </c>
    </row>
    <row r="30" spans="2:17">
      <c r="B30" s="19">
        <v>27</v>
      </c>
      <c r="C30" t="s">
        <v>760</v>
      </c>
      <c r="D30" s="3534" t="s">
        <v>753</v>
      </c>
      <c r="E30" s="2097">
        <v>18230706</v>
      </c>
      <c r="F30" s="4705">
        <f>'27) Detail_BEM Sch 251 Gas'!C8</f>
        <v>140700</v>
      </c>
      <c r="G30" s="2209">
        <f>'27) Detail_BEM Sch 251 Gas'!D8</f>
        <v>17000</v>
      </c>
      <c r="H30" s="2209">
        <f>'27) Detail_BEM Sch 251 Gas'!E8</f>
        <v>111500</v>
      </c>
      <c r="I30" s="2209">
        <f>'27) Detail_BEM Sch 251 Gas'!F8</f>
        <v>4500</v>
      </c>
      <c r="J30" s="2209">
        <f>'27) Detail_BEM Sch 251 Gas'!G8</f>
        <v>7200</v>
      </c>
      <c r="K30" s="2209">
        <f>'27) Detail_BEM Sch 251 Gas'!H8</f>
        <v>14250</v>
      </c>
      <c r="L30" s="2209">
        <f>'27) Detail_BEM Sch 251 Gas'!I8</f>
        <v>0</v>
      </c>
      <c r="M30" s="2209">
        <f>'27) Detail_BEM Sch 251 Gas'!J8</f>
        <v>1900</v>
      </c>
      <c r="N30" s="4705">
        <f>'27) Detail_BEM Sch 251 Gas'!K8</f>
        <v>325000</v>
      </c>
      <c r="O30" s="2209"/>
      <c r="P30" s="2209">
        <f>'27) Detail_BEM Sch 251 Gas'!L8</f>
        <v>622050</v>
      </c>
      <c r="Q30" s="4912">
        <f>'27) Detail_BEM Sch 251 Gas'!M8</f>
        <v>156000</v>
      </c>
    </row>
    <row r="31" spans="2:17">
      <c r="B31" s="19">
        <v>26</v>
      </c>
      <c r="C31" s="3532" t="s">
        <v>1324</v>
      </c>
      <c r="D31" s="3534" t="s">
        <v>754</v>
      </c>
      <c r="E31" s="3638">
        <v>18230691</v>
      </c>
      <c r="F31" s="4705">
        <f>'26) Detail_BEM Sch 253 Gas'!C8</f>
        <v>263000</v>
      </c>
      <c r="G31" s="2209">
        <f>'26) Detail_BEM Sch 253 Gas'!D8</f>
        <v>14600</v>
      </c>
      <c r="H31" s="2209">
        <f>'26) Detail_BEM Sch 253 Gas'!E8</f>
        <v>196300</v>
      </c>
      <c r="I31" s="2209">
        <f>'26) Detail_BEM Sch 253 Gas'!F8</f>
        <v>3750</v>
      </c>
      <c r="J31" s="2209">
        <f>'26) Detail_BEM Sch 253 Gas'!G8</f>
        <v>3100</v>
      </c>
      <c r="K31" s="2209">
        <f>'26) Detail_BEM Sch 253 Gas'!H8</f>
        <v>150350</v>
      </c>
      <c r="L31" s="2209">
        <f>'26) Detail_BEM Sch 253 Gas'!I8</f>
        <v>19020</v>
      </c>
      <c r="M31" s="2209">
        <f>'26) Detail_BEM Sch 253 Gas'!J8</f>
        <v>800</v>
      </c>
      <c r="N31" s="4705">
        <f>'26) Detail_BEM Sch 253 Gas'!K8</f>
        <v>200000</v>
      </c>
      <c r="O31" s="2209"/>
      <c r="P31" s="2209">
        <f>'26) Detail_BEM Sch 253 Gas'!L8</f>
        <v>850920</v>
      </c>
      <c r="Q31" s="4912">
        <f>'26) Detail_BEM Sch 253 Gas'!M8</f>
        <v>600000</v>
      </c>
    </row>
    <row r="32" spans="2:17">
      <c r="B32" s="19">
        <v>28</v>
      </c>
      <c r="C32" t="s">
        <v>761</v>
      </c>
      <c r="D32" s="3534" t="s">
        <v>758</v>
      </c>
      <c r="E32" s="2097">
        <v>18230694</v>
      </c>
      <c r="F32" s="2209">
        <f>'28) Detail_BEM Sch 261 Gas'!C8</f>
        <v>4500</v>
      </c>
      <c r="G32" s="2209">
        <f>'28) Detail_BEM Sch 261 Gas'!D8</f>
        <v>0</v>
      </c>
      <c r="H32" s="2209">
        <f>'28) Detail_BEM Sch 261 Gas'!E8</f>
        <v>3200</v>
      </c>
      <c r="I32" s="2209">
        <f>'28) Detail_BEM Sch 261 Gas'!F8</f>
        <v>0</v>
      </c>
      <c r="J32" s="2209">
        <f>'28) Detail_BEM Sch 261 Gas'!G8</f>
        <v>0</v>
      </c>
      <c r="K32" s="2209">
        <f>'28) Detail_BEM Sch 261 Gas'!H8</f>
        <v>0</v>
      </c>
      <c r="L32" s="2209">
        <f>'28) Detail_BEM Sch 261 Gas'!I8</f>
        <v>20000</v>
      </c>
      <c r="M32" s="2209">
        <f>'28) Detail_BEM Sch 261 Gas'!J8</f>
        <v>0</v>
      </c>
      <c r="N32" s="2209">
        <f>'28) Detail_BEM Sch 261 Gas'!K8</f>
        <v>0</v>
      </c>
      <c r="O32" s="2209"/>
      <c r="P32" s="2209">
        <f>'28) Detail_BEM Sch 261 Gas'!L8</f>
        <v>27700</v>
      </c>
      <c r="Q32" s="2102">
        <f>'28) Detail_BEM Sch 261 Gas'!M8</f>
        <v>0</v>
      </c>
    </row>
    <row r="33" spans="2:19">
      <c r="B33" s="19">
        <v>29</v>
      </c>
      <c r="C33" t="s">
        <v>762</v>
      </c>
      <c r="D33" t="s">
        <v>759</v>
      </c>
      <c r="E33" s="2097">
        <v>18230697</v>
      </c>
      <c r="F33" s="4705">
        <f>'29) Detail_BEM Sch 262 Gas'!C8</f>
        <v>80800</v>
      </c>
      <c r="G33" s="2209">
        <f>'29) Detail_BEM Sch 262 Gas'!D8</f>
        <v>8500</v>
      </c>
      <c r="H33" s="2209">
        <f>'29) Detail_BEM Sch 262 Gas'!E8</f>
        <v>63100</v>
      </c>
      <c r="I33" s="2209">
        <f>'29) Detail_BEM Sch 262 Gas'!F8</f>
        <v>6000</v>
      </c>
      <c r="J33" s="2209">
        <f>'29) Detail_BEM Sch 262 Gas'!G8</f>
        <v>400</v>
      </c>
      <c r="K33" s="2209">
        <f>'29) Detail_BEM Sch 262 Gas'!H8</f>
        <v>8650</v>
      </c>
      <c r="L33" s="2209">
        <f>'29) Detail_BEM Sch 262 Gas'!I8</f>
        <v>2150</v>
      </c>
      <c r="M33" s="2209">
        <f>'29) Detail_BEM Sch 262 Gas'!J8</f>
        <v>100</v>
      </c>
      <c r="N33" s="4705">
        <f>'29) Detail_BEM Sch 262 Gas'!K8</f>
        <v>614341</v>
      </c>
      <c r="O33" s="2209"/>
      <c r="P33" s="2209">
        <f>'29) Detail_BEM Sch 262 Gas'!L8</f>
        <v>784041</v>
      </c>
      <c r="Q33" s="4912">
        <f>'29) Detail_BEM Sch 262 Gas'!M8</f>
        <v>1400163</v>
      </c>
    </row>
    <row r="34" spans="2:19" s="2105" customFormat="1">
      <c r="B34" s="2104"/>
      <c r="D34" s="772" t="s">
        <v>764</v>
      </c>
      <c r="E34" s="2207"/>
      <c r="F34" s="2107">
        <f t="shared" ref="F34:O34" si="2">SUM(F29:F33)</f>
        <v>948700</v>
      </c>
      <c r="G34" s="2107">
        <f t="shared" si="2"/>
        <v>57100</v>
      </c>
      <c r="H34" s="2107">
        <f t="shared" si="2"/>
        <v>711100</v>
      </c>
      <c r="I34" s="2107">
        <f t="shared" si="2"/>
        <v>23250</v>
      </c>
      <c r="J34" s="2107">
        <f t="shared" si="2"/>
        <v>19400</v>
      </c>
      <c r="K34" s="2107">
        <f t="shared" si="2"/>
        <v>284000</v>
      </c>
      <c r="L34" s="2107">
        <f t="shared" si="2"/>
        <v>44040</v>
      </c>
      <c r="M34" s="2107">
        <f t="shared" si="2"/>
        <v>5000</v>
      </c>
      <c r="N34" s="2107">
        <f t="shared" si="2"/>
        <v>2894451</v>
      </c>
      <c r="O34" s="2107">
        <f t="shared" si="2"/>
        <v>0</v>
      </c>
      <c r="P34" s="2107">
        <f>SUM(P29:P33)</f>
        <v>4987041</v>
      </c>
      <c r="Q34" s="2108">
        <f>SUM(Q29:Q33)</f>
        <v>2643263</v>
      </c>
    </row>
    <row r="35" spans="2:19" s="4746" customFormat="1">
      <c r="B35" s="4745"/>
      <c r="D35" s="4695" t="s">
        <v>1332</v>
      </c>
      <c r="E35" s="4697"/>
      <c r="F35" s="4703">
        <v>897600</v>
      </c>
      <c r="G35" s="4703">
        <v>57100</v>
      </c>
      <c r="H35" s="4703">
        <v>601500</v>
      </c>
      <c r="I35" s="4703">
        <v>23250</v>
      </c>
      <c r="J35" s="4703">
        <v>19400</v>
      </c>
      <c r="K35" s="4703">
        <v>284000</v>
      </c>
      <c r="L35" s="4703">
        <v>44040</v>
      </c>
      <c r="M35" s="4703">
        <v>5000</v>
      </c>
      <c r="N35" s="4703">
        <v>3339200</v>
      </c>
      <c r="O35" s="4703">
        <v>0</v>
      </c>
      <c r="P35" s="4703">
        <v>5271090</v>
      </c>
      <c r="Q35" s="4701">
        <v>2773000</v>
      </c>
    </row>
    <row r="36" spans="2:19" s="4746" customFormat="1">
      <c r="B36" s="4745"/>
      <c r="D36" s="4707" t="s">
        <v>1333</v>
      </c>
      <c r="E36" s="4688"/>
      <c r="F36" s="4708">
        <f>F34-F35</f>
        <v>51100</v>
      </c>
      <c r="G36" s="4708">
        <f t="shared" ref="G36" si="3">G34-G35</f>
        <v>0</v>
      </c>
      <c r="H36" s="4708">
        <f t="shared" ref="H36" si="4">H34-H35</f>
        <v>109600</v>
      </c>
      <c r="I36" s="4708">
        <f t="shared" ref="I36" si="5">I34-I35</f>
        <v>0</v>
      </c>
      <c r="J36" s="4708">
        <f t="shared" ref="J36" si="6">J34-J35</f>
        <v>0</v>
      </c>
      <c r="K36" s="4708">
        <f t="shared" ref="K36" si="7">K34-K35</f>
        <v>0</v>
      </c>
      <c r="L36" s="4708">
        <f t="shared" ref="L36" si="8">L34-L35</f>
        <v>0</v>
      </c>
      <c r="M36" s="4708">
        <f t="shared" ref="M36" si="9">M34-M35</f>
        <v>0</v>
      </c>
      <c r="N36" s="4708">
        <f t="shared" ref="N36" si="10">N34-N35</f>
        <v>-444749</v>
      </c>
      <c r="O36" s="4708">
        <f t="shared" ref="O36" si="11">O34-O35</f>
        <v>0</v>
      </c>
      <c r="P36" s="4708">
        <f t="shared" ref="P36" si="12">P34-P35</f>
        <v>-284049</v>
      </c>
      <c r="Q36" s="4693">
        <f t="shared" ref="Q36" si="13">Q34-Q35</f>
        <v>-129737</v>
      </c>
    </row>
    <row r="37" spans="2:19">
      <c r="E37" s="2203"/>
      <c r="F37" s="2209"/>
      <c r="G37" s="2209"/>
      <c r="H37" s="2209"/>
      <c r="I37" s="2209"/>
      <c r="J37" s="2209"/>
      <c r="K37" s="2209"/>
      <c r="L37" s="2209"/>
      <c r="M37" s="2209"/>
      <c r="N37" s="2209"/>
      <c r="O37" s="2209"/>
      <c r="P37" s="2209"/>
    </row>
    <row r="38" spans="2:19">
      <c r="C38" t="s">
        <v>771</v>
      </c>
      <c r="E38" s="2203"/>
      <c r="F38" s="2209"/>
      <c r="G38" s="2209"/>
      <c r="H38" s="2209"/>
      <c r="I38" s="2209"/>
      <c r="J38" s="2209"/>
      <c r="K38" s="2209"/>
      <c r="L38" s="2209"/>
      <c r="M38" s="2209"/>
      <c r="N38" s="2209"/>
      <c r="O38" s="2209"/>
      <c r="P38" s="2209"/>
    </row>
    <row r="39" spans="2:19">
      <c r="B39" s="19">
        <v>37</v>
      </c>
      <c r="C39" s="3064" t="s">
        <v>1070</v>
      </c>
      <c r="D39" t="s">
        <v>772</v>
      </c>
      <c r="E39" s="1432"/>
      <c r="F39" s="2209"/>
      <c r="G39" s="2209"/>
      <c r="H39" s="2209"/>
      <c r="I39" s="2209"/>
      <c r="J39" s="2209"/>
      <c r="K39" s="2209"/>
      <c r="L39" s="2209"/>
      <c r="M39" s="2209"/>
      <c r="N39" s="2209"/>
      <c r="O39" s="2209"/>
      <c r="P39" s="2209"/>
    </row>
    <row r="40" spans="2:19">
      <c r="B40" s="19" t="s">
        <v>852</v>
      </c>
      <c r="D40" t="s">
        <v>773</v>
      </c>
      <c r="E40" s="3638">
        <v>18230704</v>
      </c>
      <c r="F40" s="2209">
        <f>'37a) Detail_PSCE_EAs Gas'!G7</f>
        <v>89871.599999999991</v>
      </c>
      <c r="G40" s="2209">
        <f>'37a) Detail_PSCE_EAs Gas'!H7</f>
        <v>0</v>
      </c>
      <c r="H40" s="2209">
        <f>'37a) Detail_PSCE_EAs Gas'!I7</f>
        <v>63539.221199999993</v>
      </c>
      <c r="I40" s="2209">
        <f>'37a) Detail_PSCE_EAs Gas'!J7</f>
        <v>0</v>
      </c>
      <c r="J40" s="2209">
        <f>'37a) Detail_PSCE_EAs Gas'!K7</f>
        <v>4355</v>
      </c>
      <c r="K40" s="2209">
        <f>'37a) Detail_PSCE_EAs Gas'!L7</f>
        <v>3146</v>
      </c>
      <c r="L40" s="2209">
        <f>'37a) Detail_PSCE_EAs Gas'!M7</f>
        <v>780</v>
      </c>
      <c r="M40" s="2209">
        <f>'37a) Detail_PSCE_EAs Gas'!N7</f>
        <v>0</v>
      </c>
      <c r="N40" s="2209">
        <f>'37a) Detail_PSCE_EAs Gas'!O7</f>
        <v>0</v>
      </c>
      <c r="O40" s="2209">
        <f>'37a) Detail_PSCE_EAs Gas'!P7</f>
        <v>0</v>
      </c>
      <c r="P40" s="2209">
        <f>'37a) Detail_PSCE_EAs Gas'!Q7</f>
        <v>161691.82119999998</v>
      </c>
    </row>
    <row r="41" spans="2:19">
      <c r="B41" s="19" t="s">
        <v>853</v>
      </c>
      <c r="D41" t="s">
        <v>774</v>
      </c>
      <c r="E41" s="3638">
        <v>18230675</v>
      </c>
      <c r="F41" s="4705">
        <f>'37b) Detail_PSCE_Events Gas'!G7</f>
        <v>13300</v>
      </c>
      <c r="G41" s="2209">
        <f>'37b) Detail_PSCE_Events Gas'!H7</f>
        <v>0</v>
      </c>
      <c r="H41" s="2209">
        <f>'37b) Detail_PSCE_Events Gas'!I7</f>
        <v>9403.1</v>
      </c>
      <c r="I41" s="4705">
        <f>'37b) Detail_PSCE_Events Gas'!J7</f>
        <v>8130.5</v>
      </c>
      <c r="J41" s="2209">
        <f>'37b) Detail_PSCE_Events Gas'!K7</f>
        <v>226.14</v>
      </c>
      <c r="K41" s="2209">
        <f>'37b) Detail_PSCE_Events Gas'!L7</f>
        <v>15784</v>
      </c>
      <c r="L41" s="2209">
        <f>'37b) Detail_PSCE_Events Gas'!M7</f>
        <v>900</v>
      </c>
      <c r="M41" s="2209">
        <f>'37b) Detail_PSCE_Events Gas'!N7</f>
        <v>585</v>
      </c>
      <c r="N41" s="2209">
        <f>'37b) Detail_PSCE_Events Gas'!O7</f>
        <v>0</v>
      </c>
      <c r="O41" s="2209">
        <f>'37b) Detail_PSCE_Events Gas'!P7</f>
        <v>0</v>
      </c>
      <c r="P41" s="2209">
        <f>'37b) Detail_PSCE_Events Gas'!Q7</f>
        <v>48328.74</v>
      </c>
    </row>
    <row r="42" spans="2:19">
      <c r="B42" s="19" t="s">
        <v>854</v>
      </c>
      <c r="D42" t="s">
        <v>775</v>
      </c>
      <c r="E42" s="3638">
        <v>18230685</v>
      </c>
      <c r="F42" s="2209">
        <f>'37c) Detail_PSCE_Broch Gas'!G10</f>
        <v>0</v>
      </c>
      <c r="G42" s="2209">
        <f>'37c) Detail_PSCE_Broch Gas'!H10</f>
        <v>0</v>
      </c>
      <c r="H42" s="2209">
        <f>'37c) Detail_PSCE_Broch Gas'!I10</f>
        <v>0</v>
      </c>
      <c r="I42" s="2209">
        <f>'37c) Detail_PSCE_Broch Gas'!J10</f>
        <v>4139</v>
      </c>
      <c r="J42" s="2209">
        <f>'37c) Detail_PSCE_Broch Gas'!K10</f>
        <v>0</v>
      </c>
      <c r="K42" s="2209">
        <f>'37c) Detail_PSCE_Broch Gas'!L10</f>
        <v>325</v>
      </c>
      <c r="L42" s="2209">
        <f>'37c) Detail_PSCE_Broch Gas'!M10</f>
        <v>3705</v>
      </c>
      <c r="M42" s="2209">
        <f>'37c) Detail_PSCE_Broch Gas'!N10</f>
        <v>0</v>
      </c>
      <c r="N42" s="2209">
        <f>'37c) Detail_PSCE_Broch Gas'!O10</f>
        <v>0</v>
      </c>
      <c r="O42" s="2209">
        <f>'37c) Detail_PSCE_Broch Gas'!P10</f>
        <v>0</v>
      </c>
      <c r="P42" s="2209">
        <f>'37c) Detail_PSCE_Broch Gas'!Q10</f>
        <v>8169</v>
      </c>
    </row>
    <row r="43" spans="2:19">
      <c r="B43" s="19" t="s">
        <v>855</v>
      </c>
      <c r="D43" t="s">
        <v>776</v>
      </c>
      <c r="E43" s="2097">
        <v>18230671</v>
      </c>
      <c r="F43" s="4705">
        <f>'37d) Detail_PSCE_Edu Gas'!G7</f>
        <v>3795.75</v>
      </c>
      <c r="G43" s="2209">
        <f>'37d) Detail_PSCE_Edu Gas'!H7</f>
        <v>0</v>
      </c>
      <c r="H43" s="2209">
        <f>'37d) Detail_PSCE_Edu Gas'!I7</f>
        <v>2683.5952499999999</v>
      </c>
      <c r="I43" s="2209">
        <f>'37d) Detail_PSCE_Edu Gas'!J7</f>
        <v>0</v>
      </c>
      <c r="J43" s="2209">
        <f>'37d) Detail_PSCE_Edu Gas'!K7</f>
        <v>185</v>
      </c>
      <c r="K43" s="2209">
        <f>'37d) Detail_PSCE_Edu Gas'!L7</f>
        <v>4225</v>
      </c>
      <c r="L43" s="4705">
        <f>'37d) Detail_PSCE_Edu Gas'!M7</f>
        <v>2600</v>
      </c>
      <c r="M43" s="2209">
        <f>'37d) Detail_PSCE_Edu Gas'!N7</f>
        <v>0</v>
      </c>
      <c r="N43" s="2209">
        <f>'37d) Detail_PSCE_Edu Gas'!O7</f>
        <v>0</v>
      </c>
      <c r="O43" s="2209">
        <f>'37d) Detail_PSCE_Edu Gas'!P7</f>
        <v>0</v>
      </c>
      <c r="P43" s="2209">
        <f>'37d) Detail_PSCE_Edu Gas'!Q7</f>
        <v>13489.34525</v>
      </c>
    </row>
    <row r="44" spans="2:19">
      <c r="B44" s="19">
        <v>38</v>
      </c>
      <c r="C44" s="3064" t="s">
        <v>1070</v>
      </c>
      <c r="D44" t="s">
        <v>777</v>
      </c>
      <c r="E44" s="1431"/>
      <c r="F44" s="2209"/>
      <c r="G44" s="2209"/>
      <c r="H44" s="2209"/>
      <c r="I44" s="2209"/>
      <c r="J44" s="2209"/>
      <c r="K44" s="2209"/>
      <c r="L44" s="2209"/>
      <c r="M44" s="2209"/>
      <c r="N44" s="2209"/>
      <c r="O44" s="2209"/>
      <c r="P44" s="2209"/>
    </row>
    <row r="45" spans="2:19">
      <c r="B45" s="19" t="s">
        <v>856</v>
      </c>
      <c r="D45" s="3532" t="s">
        <v>1164</v>
      </c>
      <c r="E45" s="3638">
        <v>18230737</v>
      </c>
      <c r="F45" s="2209">
        <f>'38a) Detail_PSWE_On_Exp Gas'!E11</f>
        <v>0</v>
      </c>
      <c r="G45" s="2209">
        <f>'38a) Detail_PSWE_On_Exp Gas'!F11</f>
        <v>0</v>
      </c>
      <c r="H45" s="2209">
        <f>'38a) Detail_PSWE_On_Exp Gas'!G11</f>
        <v>0</v>
      </c>
      <c r="I45" s="2209">
        <f>'38a) Detail_PSWE_On_Exp Gas'!H11</f>
        <v>0</v>
      </c>
      <c r="J45" s="2209">
        <f>'38a) Detail_PSWE_On_Exp Gas'!I11</f>
        <v>0</v>
      </c>
      <c r="K45" s="2209">
        <f>'38a) Detail_PSWE_On_Exp Gas'!J11</f>
        <v>95130</v>
      </c>
      <c r="L45" s="2209">
        <f>'38a) Detail_PSWE_On_Exp Gas'!K11</f>
        <v>0</v>
      </c>
      <c r="M45" s="2209">
        <f>'38a) Detail_PSWE_On_Exp Gas'!L11</f>
        <v>0</v>
      </c>
      <c r="N45" s="2209">
        <f>'38a) Detail_PSWE_On_Exp Gas'!M11</f>
        <v>0</v>
      </c>
      <c r="O45" s="2209"/>
      <c r="P45" s="2209">
        <f>'38a) Detail_PSWE_On_Exp Gas'!N11</f>
        <v>95130</v>
      </c>
    </row>
    <row r="46" spans="2:19">
      <c r="B46" s="19" t="s">
        <v>857</v>
      </c>
      <c r="D46" t="s">
        <v>778</v>
      </c>
      <c r="E46" s="2097">
        <v>18230732</v>
      </c>
      <c r="F46" s="2209">
        <f>'38b) Detail_PSWE_Mkt Int Gas'!E11</f>
        <v>24102</v>
      </c>
      <c r="G46" s="2209">
        <f>'38b) Detail_PSWE_Mkt Int Gas'!F11</f>
        <v>0</v>
      </c>
      <c r="H46" s="2209">
        <f>'38b) Detail_PSWE_Mkt Int Gas'!G11</f>
        <v>17040.113999999998</v>
      </c>
      <c r="I46" s="2209">
        <f>'38b) Detail_PSWE_Mkt Int Gas'!H11</f>
        <v>0</v>
      </c>
      <c r="J46" s="2209">
        <f>'38b) Detail_PSWE_Mkt Int Gas'!I11</f>
        <v>2600</v>
      </c>
      <c r="K46" s="2209">
        <f>'38b) Detail_PSWE_Mkt Int Gas'!J11</f>
        <v>11050</v>
      </c>
      <c r="L46" s="2209">
        <f>'38b) Detail_PSWE_Mkt Int Gas'!K11</f>
        <v>0</v>
      </c>
      <c r="M46" s="2209">
        <f>'38b) Detail_PSWE_Mkt Int Gas'!L11</f>
        <v>0</v>
      </c>
      <c r="N46" s="2209">
        <f>'38b) Detail_PSWE_Mkt Int Gas'!M11</f>
        <v>0</v>
      </c>
      <c r="O46" s="2209"/>
      <c r="P46" s="2209">
        <f>'38b) Detail_PSWE_Mkt Int Gas'!N11</f>
        <v>54792.114000000001</v>
      </c>
    </row>
    <row r="47" spans="2:19">
      <c r="B47" s="19">
        <v>39</v>
      </c>
      <c r="D47" t="s">
        <v>76</v>
      </c>
      <c r="E47" s="2097">
        <v>18230657</v>
      </c>
      <c r="F47" s="4705">
        <f>'39) Detail_PS_EE Comm Gas'!E12</f>
        <v>29568</v>
      </c>
      <c r="G47" s="2209">
        <f>'39) Detail_PS_EE Comm Gas'!F12</f>
        <v>0</v>
      </c>
      <c r="H47" s="2209">
        <f>'39) Detail_PS_EE Comm Gas'!G12</f>
        <v>20904.575999999997</v>
      </c>
      <c r="I47" s="2209">
        <f>'39) Detail_PS_EE Comm Gas'!H12</f>
        <v>0</v>
      </c>
      <c r="J47" s="4705">
        <f>'39) Detail_PS_EE Comm Gas'!I12</f>
        <v>5200</v>
      </c>
      <c r="K47" s="2209">
        <f>'39) Detail_PS_EE Comm Gas'!J12</f>
        <v>852</v>
      </c>
      <c r="L47" s="2209">
        <f>'39) Detail_PS_EE Comm Gas'!K12</f>
        <v>390</v>
      </c>
      <c r="M47" s="2209">
        <f>'39) Detail_PS_EE Comm Gas'!L12</f>
        <v>0</v>
      </c>
      <c r="N47" s="2209">
        <f>'39) Detail_PS_EE Comm Gas'!M12</f>
        <v>0</v>
      </c>
      <c r="O47" s="2209"/>
      <c r="P47" s="2209">
        <f>'39) Detail_PS_EE Comm Gas'!N12</f>
        <v>56914.576000000001</v>
      </c>
    </row>
    <row r="48" spans="2:19">
      <c r="B48" s="19">
        <v>40</v>
      </c>
      <c r="D48" s="53" t="s">
        <v>779</v>
      </c>
      <c r="E48" s="2097">
        <v>18230698</v>
      </c>
      <c r="F48" s="2209">
        <f>'40) Detail_PS_Trade Ally gas'!E11</f>
        <v>0</v>
      </c>
      <c r="G48" s="2209">
        <f>'40) Detail_PS_Trade Ally gas'!F11</f>
        <v>0</v>
      </c>
      <c r="H48" s="2209">
        <f>'40) Detail_PS_Trade Ally gas'!G11</f>
        <v>0</v>
      </c>
      <c r="I48" s="2209">
        <f>'40) Detail_PS_Trade Ally gas'!H11</f>
        <v>0</v>
      </c>
      <c r="J48" s="2209">
        <f>'40) Detail_PS_Trade Ally gas'!I11</f>
        <v>0</v>
      </c>
      <c r="K48" s="2209">
        <f>'40) Detail_PS_Trade Ally gas'!J11</f>
        <v>0</v>
      </c>
      <c r="L48" s="2209">
        <f>'40) Detail_PS_Trade Ally gas'!K11</f>
        <v>0</v>
      </c>
      <c r="M48" s="4705">
        <f>'40) Detail_PS_Trade Ally gas'!L11</f>
        <v>25000</v>
      </c>
      <c r="N48" s="2209">
        <f>'40) Detail_PS_Trade Ally gas'!M11</f>
        <v>0</v>
      </c>
      <c r="O48" s="2209"/>
      <c r="P48" s="2209">
        <f>'40) Detail_PS_Trade Ally gas'!N11</f>
        <v>25000</v>
      </c>
      <c r="S48" t="s">
        <v>840</v>
      </c>
    </row>
    <row r="49" spans="2:19">
      <c r="B49" s="19">
        <v>41</v>
      </c>
      <c r="D49" t="s">
        <v>100</v>
      </c>
      <c r="E49" s="2097">
        <v>18230670</v>
      </c>
      <c r="F49" s="4705">
        <f>'41) Detail_PS_Mktg Rsch gas'!E12</f>
        <v>27238</v>
      </c>
      <c r="G49" s="2209">
        <f>'41) Detail_PS_Mktg Rsch gas'!F12</f>
        <v>0</v>
      </c>
      <c r="H49" s="2209">
        <f>'41) Detail_PS_Mktg Rsch gas'!G12</f>
        <v>19257.266</v>
      </c>
      <c r="I49" s="2209">
        <f>'41) Detail_PS_Mktg Rsch gas'!H12</f>
        <v>0</v>
      </c>
      <c r="J49" s="2209">
        <f>'41) Detail_PS_Mktg Rsch gas'!I12</f>
        <v>488</v>
      </c>
      <c r="K49" s="2209">
        <f>'41) Detail_PS_Mktg Rsch gas'!J12</f>
        <v>43550</v>
      </c>
      <c r="L49" s="2209">
        <f>'41) Detail_PS_Mktg Rsch gas'!K12</f>
        <v>200</v>
      </c>
      <c r="M49" s="2209">
        <f>'41) Detail_PS_Mktg Rsch gas'!L12</f>
        <v>150</v>
      </c>
      <c r="N49" s="2209">
        <f>'41) Detail_PS_Mktg Rsch gas'!M12</f>
        <v>0</v>
      </c>
      <c r="O49" s="2209"/>
      <c r="P49" s="2209">
        <f>'41) Detail_PS_Mktg Rsch gas'!N12</f>
        <v>90883.266000000003</v>
      </c>
    </row>
    <row r="50" spans="2:19" s="2105" customFormat="1">
      <c r="B50" s="2104"/>
      <c r="D50" s="772" t="s">
        <v>780</v>
      </c>
      <c r="E50" s="4700"/>
      <c r="F50" s="2107">
        <f>SUM(F40:F49)</f>
        <v>187875.34999999998</v>
      </c>
      <c r="G50" s="2107">
        <f t="shared" ref="G50:P50" si="14">SUM(G40:G49)</f>
        <v>0</v>
      </c>
      <c r="H50" s="2107">
        <f t="shared" si="14"/>
        <v>132827.87245</v>
      </c>
      <c r="I50" s="2107">
        <f t="shared" si="14"/>
        <v>12269.5</v>
      </c>
      <c r="J50" s="2107">
        <f t="shared" si="14"/>
        <v>13054.14</v>
      </c>
      <c r="K50" s="2107">
        <f t="shared" si="14"/>
        <v>174062</v>
      </c>
      <c r="L50" s="2107">
        <f t="shared" si="14"/>
        <v>8575</v>
      </c>
      <c r="M50" s="2107">
        <f t="shared" si="14"/>
        <v>25735</v>
      </c>
      <c r="N50" s="2107">
        <f t="shared" si="14"/>
        <v>0</v>
      </c>
      <c r="O50" s="2107">
        <f t="shared" si="14"/>
        <v>0</v>
      </c>
      <c r="P50" s="2107">
        <f t="shared" si="14"/>
        <v>554398.86245000002</v>
      </c>
      <c r="Q50" s="2108"/>
    </row>
    <row r="51" spans="2:19" s="4748" customFormat="1">
      <c r="B51" s="4747"/>
      <c r="D51" s="4695" t="s">
        <v>1332</v>
      </c>
      <c r="E51" s="4697"/>
      <c r="F51" s="4703">
        <v>203468.87</v>
      </c>
      <c r="G51" s="4703">
        <v>0</v>
      </c>
      <c r="H51" s="4703">
        <v>128185.38809999998</v>
      </c>
      <c r="I51" s="4703">
        <v>5668.8</v>
      </c>
      <c r="J51" s="4703">
        <v>9154.14</v>
      </c>
      <c r="K51" s="4703">
        <v>180555</v>
      </c>
      <c r="L51" s="4703">
        <v>6885</v>
      </c>
      <c r="M51" s="4703">
        <v>18735</v>
      </c>
      <c r="N51" s="4703">
        <v>0</v>
      </c>
      <c r="O51" s="4703">
        <v>0</v>
      </c>
      <c r="P51" s="4687">
        <v>552652.19809999992</v>
      </c>
      <c r="Q51" s="4698"/>
    </row>
    <row r="52" spans="2:19" s="4748" customFormat="1">
      <c r="B52" s="4747"/>
      <c r="D52" s="4707" t="s">
        <v>1333</v>
      </c>
      <c r="E52" s="4688"/>
      <c r="F52" s="4708">
        <f>F50-F51</f>
        <v>-15593.520000000019</v>
      </c>
      <c r="G52" s="4708">
        <f t="shared" ref="G52" si="15">G50-G51</f>
        <v>0</v>
      </c>
      <c r="H52" s="4708">
        <f t="shared" ref="H52" si="16">H50-H51</f>
        <v>4642.4843500000134</v>
      </c>
      <c r="I52" s="4708">
        <f t="shared" ref="I52" si="17">I50-I51</f>
        <v>6600.7</v>
      </c>
      <c r="J52" s="4708">
        <f t="shared" ref="J52" si="18">J50-J51</f>
        <v>3900</v>
      </c>
      <c r="K52" s="4708">
        <f t="shared" ref="K52" si="19">K50-K51</f>
        <v>-6493</v>
      </c>
      <c r="L52" s="4708">
        <f t="shared" ref="L52" si="20">L50-L51</f>
        <v>1690</v>
      </c>
      <c r="M52" s="4708">
        <f t="shared" ref="M52" si="21">M50-M51</f>
        <v>7000</v>
      </c>
      <c r="N52" s="4708">
        <f t="shared" ref="N52" si="22">N50-N51</f>
        <v>0</v>
      </c>
      <c r="O52" s="4708">
        <f t="shared" ref="O52" si="23">O50-O51</f>
        <v>0</v>
      </c>
      <c r="P52" s="4693">
        <f t="shared" ref="P52" si="24">P50-P51</f>
        <v>1746.6643500000937</v>
      </c>
      <c r="Q52" s="4736"/>
    </row>
    <row r="53" spans="2:19">
      <c r="E53" s="2097"/>
      <c r="F53" s="2209"/>
      <c r="G53" s="2209"/>
      <c r="H53" s="2209"/>
      <c r="I53" s="2209"/>
      <c r="J53" s="2209"/>
      <c r="K53" s="2209"/>
      <c r="L53" s="2209"/>
      <c r="M53" s="2209"/>
      <c r="N53" s="2209"/>
      <c r="O53" s="2209"/>
      <c r="P53" s="2209"/>
    </row>
    <row r="54" spans="2:19">
      <c r="C54" t="s">
        <v>781</v>
      </c>
      <c r="E54" s="2097"/>
      <c r="F54" s="2209"/>
      <c r="G54" s="2209"/>
      <c r="H54" s="2209"/>
      <c r="I54" s="2209"/>
      <c r="J54" s="2209"/>
      <c r="K54" s="2209"/>
      <c r="L54" s="2209"/>
      <c r="M54" s="2209"/>
      <c r="N54" s="2209"/>
      <c r="O54" s="2209"/>
      <c r="P54" s="2209"/>
    </row>
    <row r="55" spans="2:19">
      <c r="B55" s="19">
        <v>46</v>
      </c>
      <c r="D55" t="s">
        <v>78</v>
      </c>
      <c r="E55" s="2097">
        <v>18230703</v>
      </c>
      <c r="F55" s="2209">
        <f>'46) Detail_R&amp;C_Supp Crv gas'!E11</f>
        <v>17207</v>
      </c>
      <c r="G55" s="2209">
        <f>'46) Detail_R&amp;C_Supp Crv gas'!F11</f>
        <v>0</v>
      </c>
      <c r="H55" s="2209">
        <f>'46) Detail_R&amp;C_Supp Crv gas'!G11</f>
        <v>12165.349</v>
      </c>
      <c r="I55" s="2209">
        <f>'46) Detail_R&amp;C_Supp Crv gas'!H11</f>
        <v>0</v>
      </c>
      <c r="J55" s="2209">
        <f>'46) Detail_R&amp;C_Supp Crv gas'!I11</f>
        <v>325</v>
      </c>
      <c r="K55" s="2209">
        <f>'46) Detail_R&amp;C_Supp Crv gas'!J11</f>
        <v>8450</v>
      </c>
      <c r="L55" s="2209">
        <f>'46) Detail_R&amp;C_Supp Crv gas'!K11</f>
        <v>0</v>
      </c>
      <c r="M55" s="2209">
        <f>'46) Detail_R&amp;C_Supp Crv gas'!L11</f>
        <v>0</v>
      </c>
      <c r="N55" s="2209">
        <f>'46) Detail_R&amp;C_Supp Crv gas'!M11</f>
        <v>0</v>
      </c>
      <c r="O55" s="2209"/>
      <c r="P55" s="2209">
        <f>'46) Detail_R&amp;C_Supp Crv gas'!N11</f>
        <v>38147.349000000002</v>
      </c>
    </row>
    <row r="56" spans="2:19">
      <c r="B56" s="19">
        <v>47</v>
      </c>
      <c r="D56" t="s">
        <v>101</v>
      </c>
      <c r="E56" s="2097">
        <v>18230679</v>
      </c>
      <c r="F56" s="4705">
        <f>'47) Detail_R&amp;C_Strat Pln Gas'!E12</f>
        <v>12711</v>
      </c>
      <c r="G56" s="2209">
        <f>'47) Detail_R&amp;C_Strat Pln Gas'!F12</f>
        <v>0</v>
      </c>
      <c r="H56" s="2209">
        <f>'47) Detail_R&amp;C_Strat Pln Gas'!G12</f>
        <v>8986.6769999999997</v>
      </c>
      <c r="I56" s="2209">
        <f>'47) Detail_R&amp;C_Strat Pln Gas'!H12</f>
        <v>0</v>
      </c>
      <c r="J56" s="2209">
        <f>'47) Detail_R&amp;C_Strat Pln Gas'!I12</f>
        <v>455</v>
      </c>
      <c r="K56" s="2209">
        <f>'47) Detail_R&amp;C_Strat Pln Gas'!J12</f>
        <v>13000</v>
      </c>
      <c r="L56" s="2209">
        <f>'47) Detail_R&amp;C_Strat Pln Gas'!K12</f>
        <v>195</v>
      </c>
      <c r="M56" s="2209">
        <f>'47) Detail_R&amp;C_Strat Pln Gas'!L12</f>
        <v>130</v>
      </c>
      <c r="N56" s="2209">
        <f>'47) Detail_R&amp;C_Strat Pln Gas'!M12</f>
        <v>0</v>
      </c>
      <c r="O56" s="2209"/>
      <c r="P56" s="2209">
        <f>'47) Detail_R&amp;C_Strat Pln Gas'!N12</f>
        <v>35477.676999999996</v>
      </c>
    </row>
    <row r="57" spans="2:19">
      <c r="B57" s="19">
        <v>48</v>
      </c>
      <c r="D57" t="s">
        <v>81</v>
      </c>
      <c r="E57" s="2097">
        <v>18230699</v>
      </c>
      <c r="F57" s="4705">
        <f>'48) Detail_R&amp;C_Eval Gas'!E11</f>
        <v>50845</v>
      </c>
      <c r="G57" s="2209">
        <f>'48) Detail_R&amp;C_Eval Gas'!F11</f>
        <v>0</v>
      </c>
      <c r="H57" s="2209">
        <f>'48) Detail_R&amp;C_Eval Gas'!G11</f>
        <v>35947.415000000001</v>
      </c>
      <c r="I57" s="2209">
        <f>'48) Detail_R&amp;C_Eval Gas'!H11</f>
        <v>0</v>
      </c>
      <c r="J57" s="2209">
        <f>'48) Detail_R&amp;C_Eval Gas'!I11</f>
        <v>3500</v>
      </c>
      <c r="K57" s="4705">
        <f>'48) Detail_R&amp;C_Eval Gas'!J11</f>
        <v>460000</v>
      </c>
      <c r="L57" s="2209">
        <f>'48) Detail_R&amp;C_Eval Gas'!K11</f>
        <v>0</v>
      </c>
      <c r="M57" s="2209">
        <f>'48) Detail_R&amp;C_Eval Gas'!L11</f>
        <v>0</v>
      </c>
      <c r="N57" s="2209">
        <f>'48) Detail_R&amp;C_Eval Gas'!M11</f>
        <v>0</v>
      </c>
      <c r="O57" s="2209"/>
      <c r="P57" s="2209">
        <f>'48) Detail_R&amp;C_Eval Gas'!N11</f>
        <v>550292.41500000004</v>
      </c>
      <c r="S57" t="s">
        <v>840</v>
      </c>
    </row>
    <row r="58" spans="2:19" s="3457" customFormat="1">
      <c r="B58" s="4696" t="s">
        <v>1183</v>
      </c>
      <c r="D58" s="3457" t="s">
        <v>1184</v>
      </c>
      <c r="E58" s="4913">
        <v>18230668</v>
      </c>
      <c r="F58" s="4705">
        <f>'48a) Detail_R&amp;C_V-Team_Gas'!E11</f>
        <v>57790</v>
      </c>
      <c r="G58" s="4705">
        <f>'48a) Detail_R&amp;C_V-Team_Gas'!F11</f>
        <v>0</v>
      </c>
      <c r="H58" s="4705">
        <f>'48a) Detail_R&amp;C_V-Team_Gas'!G11</f>
        <v>40857.53</v>
      </c>
      <c r="I58" s="4705">
        <f>'48a) Detail_R&amp;C_V-Team_Gas'!H11</f>
        <v>200</v>
      </c>
      <c r="J58" s="4705">
        <f>'48a) Detail_R&amp;C_V-Team_Gas'!I11</f>
        <v>1092</v>
      </c>
      <c r="K58" s="4705">
        <f>'48a) Detail_R&amp;C_V-Team_Gas'!J11</f>
        <v>258</v>
      </c>
      <c r="L58" s="4705">
        <f>'48a) Detail_R&amp;C_V-Team_Gas'!K11</f>
        <v>1159</v>
      </c>
      <c r="M58" s="4705">
        <f>'48a) Detail_R&amp;C_V-Team_Gas'!L11</f>
        <v>0</v>
      </c>
      <c r="N58" s="4705">
        <f>'48a) Detail_R&amp;C_V-Team_Gas'!M11</f>
        <v>0</v>
      </c>
      <c r="P58" s="4705">
        <f>'48a) Detail_R&amp;C_V-Team_Gas'!N11</f>
        <v>101356.53</v>
      </c>
      <c r="Q58" s="4912"/>
    </row>
    <row r="59" spans="2:19">
      <c r="B59" s="19">
        <v>49</v>
      </c>
      <c r="D59" s="53" t="s">
        <v>782</v>
      </c>
      <c r="E59" s="3638">
        <v>18230688</v>
      </c>
      <c r="F59" s="4705">
        <f>'49) Detail_R&amp;C_Support Gas'!E11</f>
        <v>28750</v>
      </c>
      <c r="G59" s="2209">
        <f>'49) Detail_R&amp;C_Support Gas'!F11</f>
        <v>0</v>
      </c>
      <c r="H59" s="2209">
        <f>'49) Detail_R&amp;C_Support Gas'!G11</f>
        <v>20326.25</v>
      </c>
      <c r="I59" s="2209">
        <f>'49) Detail_R&amp;C_Support Gas'!H11</f>
        <v>0</v>
      </c>
      <c r="J59" s="2209">
        <f>'49) Detail_R&amp;C_Support Gas'!I11</f>
        <v>1200</v>
      </c>
      <c r="K59" s="2209">
        <f>'49) Detail_R&amp;C_Support Gas'!J11</f>
        <v>3000</v>
      </c>
      <c r="L59" s="2209">
        <f>'49) Detail_R&amp;C_Support Gas'!K11</f>
        <v>0</v>
      </c>
      <c r="M59" s="2209">
        <f>'49) Detail_R&amp;C_Support Gas'!L11</f>
        <v>0</v>
      </c>
      <c r="N59" s="2209">
        <f>'49) Detail_R&amp;C_Support Gas'!M11</f>
        <v>0</v>
      </c>
      <c r="P59" s="2209">
        <f>'49) Detail_R&amp;C_Support Gas'!N11</f>
        <v>53276.25</v>
      </c>
    </row>
    <row r="60" spans="2:19" s="2105" customFormat="1">
      <c r="B60" s="2104"/>
      <c r="D60" s="772" t="s">
        <v>783</v>
      </c>
      <c r="E60" s="2109"/>
      <c r="F60" s="2107">
        <f>SUM(F55:F59)</f>
        <v>167303</v>
      </c>
      <c r="G60" s="2107">
        <f t="shared" ref="G60:O60" si="25">SUM(G55:G59)</f>
        <v>0</v>
      </c>
      <c r="H60" s="2107">
        <f t="shared" si="25"/>
        <v>118283.22099999999</v>
      </c>
      <c r="I60" s="2107">
        <f t="shared" si="25"/>
        <v>200</v>
      </c>
      <c r="J60" s="2107">
        <f t="shared" si="25"/>
        <v>6572</v>
      </c>
      <c r="K60" s="2107">
        <f t="shared" si="25"/>
        <v>484708</v>
      </c>
      <c r="L60" s="2107">
        <f t="shared" si="25"/>
        <v>1354</v>
      </c>
      <c r="M60" s="2107">
        <f t="shared" si="25"/>
        <v>130</v>
      </c>
      <c r="N60" s="2107">
        <f t="shared" si="25"/>
        <v>0</v>
      </c>
      <c r="O60" s="2107">
        <f t="shared" si="25"/>
        <v>0</v>
      </c>
      <c r="P60" s="2107">
        <f>SUM(P55:P59)</f>
        <v>778550.22100000002</v>
      </c>
      <c r="Q60" s="2108"/>
    </row>
    <row r="61" spans="2:19" s="4750" customFormat="1">
      <c r="B61" s="4749"/>
      <c r="D61" s="4695" t="s">
        <v>1332</v>
      </c>
      <c r="E61" s="4697"/>
      <c r="F61" s="4703">
        <v>203468.87</v>
      </c>
      <c r="G61" s="4703">
        <v>0</v>
      </c>
      <c r="H61" s="4703">
        <v>128185.38809999998</v>
      </c>
      <c r="I61" s="4703">
        <v>5668.8</v>
      </c>
      <c r="J61" s="4703">
        <v>9154.14</v>
      </c>
      <c r="K61" s="4703">
        <v>180555</v>
      </c>
      <c r="L61" s="4703">
        <v>6885</v>
      </c>
      <c r="M61" s="4703">
        <v>18735</v>
      </c>
      <c r="N61" s="4703">
        <v>0</v>
      </c>
      <c r="O61" s="4703">
        <v>0</v>
      </c>
      <c r="P61" s="4687">
        <v>552652.19809999992</v>
      </c>
      <c r="Q61" s="4751"/>
    </row>
    <row r="62" spans="2:19" s="4750" customFormat="1">
      <c r="B62" s="4749"/>
      <c r="D62" s="4707" t="s">
        <v>1333</v>
      </c>
      <c r="E62" s="4688"/>
      <c r="F62" s="4708">
        <f>F60-F61</f>
        <v>-36165.869999999995</v>
      </c>
      <c r="G62" s="4708">
        <f t="shared" ref="G62" si="26">G60-G61</f>
        <v>0</v>
      </c>
      <c r="H62" s="4708">
        <f t="shared" ref="H62" si="27">H60-H61</f>
        <v>-9902.1670999999915</v>
      </c>
      <c r="I62" s="4708">
        <f t="shared" ref="I62" si="28">I60-I61</f>
        <v>-5468.8</v>
      </c>
      <c r="J62" s="4708">
        <f t="shared" ref="J62" si="29">J60-J61</f>
        <v>-2582.1399999999994</v>
      </c>
      <c r="K62" s="4708">
        <f t="shared" ref="K62" si="30">K60-K61</f>
        <v>304153</v>
      </c>
      <c r="L62" s="4708">
        <f t="shared" ref="L62" si="31">L60-L61</f>
        <v>-5531</v>
      </c>
      <c r="M62" s="4708">
        <f t="shared" ref="M62" si="32">M60-M61</f>
        <v>-18605</v>
      </c>
      <c r="N62" s="4708">
        <f t="shared" ref="N62" si="33">N60-N61</f>
        <v>0</v>
      </c>
      <c r="O62" s="4708">
        <f t="shared" ref="O62" si="34">O60-O61</f>
        <v>0</v>
      </c>
      <c r="P62" s="4693">
        <f t="shared" ref="P62" si="35">P60-P61</f>
        <v>225898.0229000001</v>
      </c>
      <c r="Q62" s="4751"/>
    </row>
    <row r="63" spans="2:19">
      <c r="E63" s="2097"/>
      <c r="F63" s="2209"/>
      <c r="G63" s="2209"/>
      <c r="H63" s="2209"/>
      <c r="I63" s="2209"/>
      <c r="J63" s="2209"/>
      <c r="K63" s="2209"/>
      <c r="L63" s="2209"/>
      <c r="M63" s="2209"/>
      <c r="N63" s="2209"/>
      <c r="O63" s="2209"/>
      <c r="P63" s="2209"/>
    </row>
    <row r="64" spans="2:19" s="2105" customFormat="1">
      <c r="B64" s="2104"/>
      <c r="D64" s="772" t="s">
        <v>790</v>
      </c>
      <c r="E64" s="2207"/>
      <c r="F64" s="2107">
        <f t="shared" ref="F64:Q64" si="36">F23+F34+F50+F60</f>
        <v>1614761.9649999999</v>
      </c>
      <c r="G64" s="2107">
        <f t="shared" si="36"/>
        <v>117906.5</v>
      </c>
      <c r="H64" s="2107">
        <f t="shared" si="36"/>
        <v>1224996.0047549999</v>
      </c>
      <c r="I64" s="2107">
        <f t="shared" si="36"/>
        <v>366569.5</v>
      </c>
      <c r="J64" s="2107">
        <f t="shared" si="36"/>
        <v>53500.14</v>
      </c>
      <c r="K64" s="2107">
        <f t="shared" si="36"/>
        <v>1441621.5</v>
      </c>
      <c r="L64" s="2107">
        <f t="shared" si="36"/>
        <v>75407</v>
      </c>
      <c r="M64" s="2107">
        <f t="shared" si="36"/>
        <v>63163.619999999995</v>
      </c>
      <c r="N64" s="2107">
        <f t="shared" si="36"/>
        <v>8227352.5</v>
      </c>
      <c r="O64" s="2107">
        <f t="shared" si="36"/>
        <v>0</v>
      </c>
      <c r="P64" s="2107">
        <f t="shared" si="36"/>
        <v>13185278.729754999</v>
      </c>
      <c r="Q64" s="2108">
        <f t="shared" si="36"/>
        <v>4618015.8499999996</v>
      </c>
    </row>
    <row r="65" spans="2:17" s="4750" customFormat="1">
      <c r="B65" s="4749"/>
      <c r="D65" s="4742"/>
      <c r="F65" s="2107"/>
      <c r="G65" s="2107"/>
      <c r="H65" s="2107"/>
      <c r="I65" s="2107"/>
      <c r="J65" s="2107"/>
      <c r="K65" s="2107"/>
      <c r="L65" s="2107"/>
      <c r="M65" s="2107"/>
      <c r="N65" s="2107"/>
      <c r="O65" s="2107"/>
      <c r="P65" s="2107"/>
      <c r="Q65" s="4751"/>
    </row>
    <row r="66" spans="2:17" s="4750" customFormat="1">
      <c r="B66" s="4749"/>
      <c r="D66" s="4695" t="s">
        <v>1332</v>
      </c>
      <c r="E66" s="4697"/>
      <c r="F66" s="4703">
        <v>1843848.4750000001</v>
      </c>
      <c r="G66" s="4703">
        <v>134002</v>
      </c>
      <c r="H66" s="4703">
        <v>1246084.7992499999</v>
      </c>
      <c r="I66" s="4703">
        <v>214727.8</v>
      </c>
      <c r="J66" s="4703">
        <v>57544.14</v>
      </c>
      <c r="K66" s="4703">
        <v>1004728</v>
      </c>
      <c r="L66" s="4703">
        <v>272308</v>
      </c>
      <c r="M66" s="4703">
        <v>59952</v>
      </c>
      <c r="N66" s="4703">
        <v>8331158.7874999996</v>
      </c>
      <c r="O66" s="4703">
        <v>0</v>
      </c>
      <c r="P66" s="4703">
        <v>13164354.00175</v>
      </c>
      <c r="Q66" s="4701">
        <v>4671479.5439999998</v>
      </c>
    </row>
    <row r="67" spans="2:17" s="4750" customFormat="1">
      <c r="B67" s="4749"/>
      <c r="D67" s="4707" t="s">
        <v>1333</v>
      </c>
      <c r="E67" s="4688"/>
      <c r="F67" s="4708">
        <f>F64-F66</f>
        <v>-229086.51000000024</v>
      </c>
      <c r="G67" s="4708">
        <f t="shared" ref="G67" si="37">G64-G66</f>
        <v>-16095.5</v>
      </c>
      <c r="H67" s="4708">
        <f t="shared" ref="H67" si="38">H64-H66</f>
        <v>-21088.794495000038</v>
      </c>
      <c r="I67" s="4708">
        <f t="shared" ref="I67" si="39">I64-I66</f>
        <v>151841.70000000001</v>
      </c>
      <c r="J67" s="4708">
        <f t="shared" ref="J67" si="40">J64-J66</f>
        <v>-4044</v>
      </c>
      <c r="K67" s="4708">
        <f t="shared" ref="K67" si="41">K64-K66</f>
        <v>436893.5</v>
      </c>
      <c r="L67" s="4708">
        <f t="shared" ref="L67" si="42">L64-L66</f>
        <v>-196901</v>
      </c>
      <c r="M67" s="4708">
        <f t="shared" ref="M67" si="43">M64-M66</f>
        <v>3211.6199999999953</v>
      </c>
      <c r="N67" s="4708">
        <f t="shared" ref="N67" si="44">N64-N66</f>
        <v>-103806.28749999963</v>
      </c>
      <c r="O67" s="4708">
        <f t="shared" ref="O67" si="45">O64-O66</f>
        <v>0</v>
      </c>
      <c r="P67" s="4708">
        <f t="shared" ref="P67" si="46">P64-P66</f>
        <v>20924.728004999459</v>
      </c>
      <c r="Q67" s="4726">
        <f t="shared" ref="Q67" si="47">Q64-Q66</f>
        <v>-53463.694000000134</v>
      </c>
    </row>
    <row r="69" spans="2:17" s="2344" customFormat="1" ht="135">
      <c r="B69" s="2343"/>
      <c r="D69" s="2342" t="s">
        <v>915</v>
      </c>
      <c r="E69" s="2346" t="s">
        <v>916</v>
      </c>
      <c r="F69" s="2347" t="s">
        <v>917</v>
      </c>
      <c r="G69" s="2348"/>
      <c r="H69" s="2349" t="s">
        <v>918</v>
      </c>
      <c r="I69" s="2347" t="s">
        <v>919</v>
      </c>
      <c r="J69" s="2347" t="s">
        <v>920</v>
      </c>
      <c r="K69" s="2347" t="s">
        <v>921</v>
      </c>
      <c r="L69" s="2347" t="s">
        <v>922</v>
      </c>
      <c r="M69" s="2347" t="s">
        <v>923</v>
      </c>
      <c r="N69" s="2347" t="s">
        <v>924</v>
      </c>
      <c r="O69" s="2347" t="s">
        <v>925</v>
      </c>
      <c r="P69" s="2345"/>
      <c r="Q69" s="2351"/>
    </row>
  </sheetData>
  <sheetProtection password="9E1F" sheet="1" objects="1" scenarios="1"/>
  <customSheetViews>
    <customSheetView guid="{074EB09C-6289-46D7-9513-012B68BCA7BF}" topLeftCell="A2">
      <pane xSplit="5" ySplit="4" topLeftCell="F6" activePane="bottomRight" state="frozen"/>
      <selection pane="bottomRight"/>
      <pageMargins left="0.35" right="0.31" top="0.75" bottom="0.75" header="0.31" footer="0.3"/>
      <pageSetup paperSize="17" scale="70" orientation="landscape" r:id="rId1"/>
    </customSheetView>
    <customSheetView guid="{AF9F1D33-B8C2-423F-86A1-47612B8F532C}" topLeftCell="A2">
      <pane xSplit="5" ySplit="4" topLeftCell="F6" activePane="bottomRight" state="frozenSplit"/>
      <selection pane="bottomRight"/>
      <pageMargins left="0.7" right="0.7" top="0.75" bottom="0.75" header="0.3" footer="0.3"/>
      <pageSetup paperSize="17" scale="70" orientation="landscape"/>
    </customSheetView>
  </customSheetViews>
  <mergeCells count="1">
    <mergeCell ref="E3:M3"/>
  </mergeCells>
  <hyperlinks>
    <hyperlink ref="E17" location="'12i) Detail_REM 214_HER Gas'!A1" display="'12i) Detail_REM 214_HER Gas'!A1"/>
    <hyperlink ref="E22" location="'16) Detail_REM Sch 249 Gas'!A1" display="'16) Detail_REM Sch 249 Gas'!A1"/>
    <hyperlink ref="E7" location="'11) Detail_REM Sch 201 Gas'!A1" display="'11) Detail_REM Sch 201 Gas'!A1"/>
    <hyperlink ref="E8" location="'12a) Detail_214HmPrint Gas'!A1" display="'12a) Detail_214HmPrint Gas'!A1"/>
    <hyperlink ref="E9" location="'12b) Detail_214WtrHeat Gas'!A1" display="'12b) Detail_214WtrHeat Gas'!A1"/>
    <hyperlink ref="E10" location="'12c) Detail_214Wx Gas'!A1" display="'12c) Detail_214Wx Gas'!A1"/>
    <hyperlink ref="E13" location="'12d) Detail_214SpHeat Gas'!A1" display="'12d) Detail_214SpHeat Gas'!A1"/>
    <hyperlink ref="E18" location="'13a) Detail_215MfgHomes Gas'!A1" display="'13a) Detail_215MfgHomes Gas'!A1"/>
    <hyperlink ref="E19" location="'13) Detail_REM Sch 215 Gas'!A1" display="'13) Detail_REM Sch 215 Gas'!A1"/>
    <hyperlink ref="E20" location="'14) Detail_REM Sch 217 Gas'!A1" display="'14) Detail_REM Sch 217 Gas'!A1"/>
    <hyperlink ref="E21" location="'15) Detail_REM Sch 218 Gas'!A1" display="'15) Detail_REM Sch 218 Gas'!A1"/>
    <hyperlink ref="E14" location="'12e) Detail_214ShwrHead Gas'!A1" display="'12e) Detail_214ShwrHead Gas'!A1"/>
    <hyperlink ref="E29" location="'25) Detail_BEM Sch 250 Gas'!A1" display="'25) Detail_BEM Sch 250 Gas'!A1"/>
    <hyperlink ref="E31" location="'26) Detail_BEM Sch 253 Gas'!A1" display="'26) Detail_BEM Sch 253 Gas'!A1"/>
    <hyperlink ref="E30" location="'27) Detail_BEM Sch 251 Gas'!A1" display="'27) Detail_BEM Sch 251 Gas'!A1"/>
    <hyperlink ref="E32" location="'28) Detail_BEM Sch 261 Gas'!A1" display="'28) Detail_BEM Sch 261 Gas'!A1"/>
    <hyperlink ref="E33" location="'29) Detail_BEM Sch 262 Gas'!A1" display="'29) Detail_BEM Sch 262 Gas'!A1"/>
    <hyperlink ref="E45" location="'38a) Detail_PSWE_On_Exp Gas'!A1" display="'38a) Detail_PSWE_On_Exp Gas'!A1"/>
    <hyperlink ref="E46" location="'38b) Detail_PSWE_Mkt Int Gas'!A1" display="'38b) Detail_PSWE_Mkt Int Gas'!A1"/>
    <hyperlink ref="E47" location="'39) Detail_PS_EE Comm Gas'!A1" display="'39) Detail_PS_EE Comm Gas'!A1"/>
    <hyperlink ref="E48" location="'40) Detail_PS_Trade Ally gas'!A1" display="'40) Detail_PS_Trade Ally gas'!A1"/>
    <hyperlink ref="E49" location="'41) Detail_PS_Mktg Rsch gas'!A1" display="'41) Detail_PS_Mktg Rsch gas'!A1"/>
    <hyperlink ref="E55" location="'46) Detail_R&amp;C_Supp Crv gas'!A1" display="'46) Detail_R&amp;C_Supp Crv gas'!A1"/>
    <hyperlink ref="E56" location="'47) Detail_R&amp;C_Strat Pln Gas'!A1" display="TBD"/>
    <hyperlink ref="E57" location="'48) Detail_R&amp;C_Eval Gas'!A1" display="'48) Detail_R&amp;C_Eval Gas'!A1"/>
    <hyperlink ref="E40" location="'37a) Detail_PSCE_EAs Gas'!A1" display="'37a) Detail_PSCE_EAs Gas'!A1"/>
    <hyperlink ref="E42" location="'37c) Detail_PSCE_Broch Gas'!A1" display="'37c) Detail_PSCE_Broch Gas'!A1"/>
    <hyperlink ref="E43" location="'37d) Detail_PSCE_Edu Gas'!A1" display="'37d) Detail_PSCE_Edu Gas'!A1"/>
    <hyperlink ref="E41" location="'37b) Detail_PSCE_Events Gas'!A1" display="'37b) Detail_PSCE_Events Gas'!A1"/>
    <hyperlink ref="E59" location="'49) Detail_R&amp;C_Support Gas'!A1" display="'49) Detail_R&amp;C_Support Gas'!A1"/>
    <hyperlink ref="E15" location="'12f) Detail_214HmApplSvgs Gas'!A1" display="Savings Only"/>
    <hyperlink ref="E58" location="'48a) Detail_R&amp;C_V-Team_Gas'!A1" display="'48a) Detail_R&amp;C_V-Team_Gas'!A1"/>
    <hyperlink ref="E11" location="'12g) Detail_214MHDS Gas'!A1" display="'12g) Detail_214MHDS Gas'!A1"/>
    <hyperlink ref="E16" location="'12h) Detail_214WebTstat Gas'!A1" display="'12h) Detail_214WebTstat Gas'!A1"/>
  </hyperlinks>
  <pageMargins left="0.35" right="0.31" top="0.75" bottom="0.37" header="0.31" footer="0.3"/>
  <pageSetup paperSize="17" scale="65" orientation="landscape" r:id="rId2"/>
  <drawing r:id="rId3"/>
</worksheet>
</file>

<file path=xl/worksheets/sheet50.xml><?xml version="1.0" encoding="utf-8"?>
<worksheet xmlns="http://schemas.openxmlformats.org/spreadsheetml/2006/main" xmlns:r="http://schemas.openxmlformats.org/officeDocument/2006/relationships">
  <sheetPr enableFormatConditionsCalculation="0">
    <pageSetUpPr fitToPage="1"/>
  </sheetPr>
  <dimension ref="A1:N98"/>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58" defaultRowHeight="12.75"/>
  <cols>
    <col min="1" max="1" width="15.85546875" style="3064" customWidth="1"/>
    <col min="3" max="5" width="23" customWidth="1"/>
    <col min="6" max="8" width="25.42578125" customWidth="1"/>
    <col min="9" max="9" width="24" customWidth="1"/>
    <col min="10" max="10" width="23.85546875" customWidth="1"/>
    <col min="11" max="11" width="22.85546875" customWidth="1"/>
    <col min="12" max="12" width="25.42578125" customWidth="1"/>
    <col min="13" max="13" width="22" customWidth="1"/>
    <col min="14" max="14" width="20.85546875" customWidth="1"/>
  </cols>
  <sheetData>
    <row r="1" spans="2:14" ht="44.25" customHeight="1">
      <c r="B1" s="4653" t="s">
        <v>1326</v>
      </c>
      <c r="C1" s="986"/>
      <c r="D1" s="986"/>
      <c r="E1" s="986"/>
      <c r="F1" s="986"/>
      <c r="G1" s="994"/>
      <c r="H1" s="987"/>
      <c r="I1" s="987"/>
      <c r="J1" s="963"/>
      <c r="K1" s="963"/>
      <c r="L1" s="963"/>
      <c r="M1" s="963"/>
      <c r="N1" s="963"/>
    </row>
    <row r="2" spans="2:14" ht="20.25">
      <c r="B2" s="972"/>
      <c r="C2" s="986"/>
      <c r="D2" s="986"/>
      <c r="E2" s="986"/>
      <c r="F2" s="986"/>
      <c r="G2" s="994"/>
      <c r="H2" s="987"/>
      <c r="I2" s="987"/>
      <c r="J2" s="963"/>
      <c r="K2" s="963"/>
      <c r="L2" s="963"/>
      <c r="M2" s="963"/>
      <c r="N2" s="963"/>
    </row>
    <row r="3" spans="2:14" ht="38.25">
      <c r="B3" s="3463"/>
      <c r="C3" s="967" t="s">
        <v>9</v>
      </c>
      <c r="D3" s="967" t="s">
        <v>10</v>
      </c>
      <c r="E3" s="967" t="s">
        <v>640</v>
      </c>
      <c r="F3" s="967" t="s">
        <v>12</v>
      </c>
      <c r="G3" s="967" t="s">
        <v>13</v>
      </c>
      <c r="H3" s="967" t="s">
        <v>14</v>
      </c>
      <c r="I3" s="967" t="s">
        <v>15</v>
      </c>
      <c r="J3" s="967" t="s">
        <v>16</v>
      </c>
      <c r="K3" s="967" t="s">
        <v>641</v>
      </c>
      <c r="L3" s="967" t="s">
        <v>18</v>
      </c>
      <c r="M3" s="1023" t="s">
        <v>114</v>
      </c>
      <c r="N3" s="968" t="s">
        <v>19</v>
      </c>
    </row>
    <row r="4" spans="2:14" ht="25.5">
      <c r="B4" s="1021" t="s">
        <v>642</v>
      </c>
      <c r="C4" s="1018"/>
      <c r="D4" s="1018"/>
      <c r="E4" s="1018"/>
      <c r="F4" s="1018"/>
      <c r="G4" s="1018"/>
      <c r="H4" s="1018"/>
      <c r="I4" s="1018"/>
      <c r="J4" s="1018"/>
      <c r="K4" s="1019"/>
      <c r="L4" s="1031">
        <v>400000</v>
      </c>
      <c r="M4" s="1025"/>
      <c r="N4" s="1032" t="s">
        <v>21</v>
      </c>
    </row>
    <row r="5" spans="2:14">
      <c r="B5" s="1022" t="s">
        <v>643</v>
      </c>
      <c r="C5" s="1020">
        <v>168589.4</v>
      </c>
      <c r="D5" s="1020">
        <v>5521.5</v>
      </c>
      <c r="E5" s="1020">
        <v>109689.867</v>
      </c>
      <c r="F5" s="1020">
        <v>4050</v>
      </c>
      <c r="G5" s="1020">
        <v>2560</v>
      </c>
      <c r="H5" s="1020">
        <v>188250</v>
      </c>
      <c r="I5" s="1020">
        <v>3325</v>
      </c>
      <c r="J5" s="1020">
        <v>1400</v>
      </c>
      <c r="K5" s="1030">
        <v>280000</v>
      </c>
      <c r="L5" s="1029">
        <v>763385.76699999999</v>
      </c>
      <c r="M5" s="1028">
        <v>1400000</v>
      </c>
      <c r="N5" s="1033">
        <v>0.90846441749999995</v>
      </c>
    </row>
    <row r="6" spans="2:14">
      <c r="B6" s="965">
        <v>2012</v>
      </c>
      <c r="C6" s="1012">
        <f>C16</f>
        <v>241300</v>
      </c>
      <c r="D6" s="1013">
        <f>C17</f>
        <v>14600</v>
      </c>
      <c r="E6" s="1013">
        <f>C36</f>
        <v>161200</v>
      </c>
      <c r="F6" s="1013">
        <f>C34</f>
        <v>3750</v>
      </c>
      <c r="G6" s="1013">
        <f>C24</f>
        <v>3100</v>
      </c>
      <c r="H6" s="1013">
        <f>C44</f>
        <v>150350</v>
      </c>
      <c r="I6" s="1013">
        <f>C32</f>
        <v>19020</v>
      </c>
      <c r="J6" s="1013">
        <f>C26</f>
        <v>800</v>
      </c>
      <c r="K6" s="1014">
        <f>C13</f>
        <v>525000</v>
      </c>
      <c r="L6" s="1014">
        <f>SUM(C6:K6)</f>
        <v>1119120</v>
      </c>
      <c r="M6" s="1024">
        <f>C49</f>
        <v>1000000</v>
      </c>
      <c r="N6" s="1033">
        <v>0.31093645344320386</v>
      </c>
    </row>
    <row r="7" spans="2:14" s="3532" customFormat="1">
      <c r="B7" s="4262" t="s">
        <v>1168</v>
      </c>
      <c r="C7" s="1193">
        <v>241300</v>
      </c>
      <c r="D7" s="1194">
        <v>14600</v>
      </c>
      <c r="E7" s="1194">
        <v>161200</v>
      </c>
      <c r="F7" s="1194">
        <v>3750</v>
      </c>
      <c r="G7" s="1194">
        <v>3100</v>
      </c>
      <c r="H7" s="1194">
        <v>150350</v>
      </c>
      <c r="I7" s="4258">
        <v>19020</v>
      </c>
      <c r="J7" s="4258">
        <v>800</v>
      </c>
      <c r="K7" s="4259">
        <v>420000</v>
      </c>
      <c r="L7" s="1195">
        <v>1014120</v>
      </c>
      <c r="M7" s="2933">
        <v>800000</v>
      </c>
      <c r="N7" s="1214"/>
    </row>
    <row r="8" spans="2:14" ht="13.5" thickBot="1">
      <c r="B8" s="4261" t="s">
        <v>1169</v>
      </c>
      <c r="C8" s="4208">
        <f>D16</f>
        <v>263000</v>
      </c>
      <c r="D8" s="4209">
        <f>D17</f>
        <v>14600</v>
      </c>
      <c r="E8" s="4209">
        <f>D36</f>
        <v>196300</v>
      </c>
      <c r="F8" s="4209">
        <f>D34</f>
        <v>3750</v>
      </c>
      <c r="G8" s="4209">
        <f>D24</f>
        <v>3100</v>
      </c>
      <c r="H8" s="4209">
        <f>D44</f>
        <v>150350</v>
      </c>
      <c r="I8" s="4210">
        <f>D32</f>
        <v>19020</v>
      </c>
      <c r="J8" s="4210">
        <f>D26</f>
        <v>800</v>
      </c>
      <c r="K8" s="4211">
        <f>D13</f>
        <v>200000</v>
      </c>
      <c r="L8" s="4212">
        <f>SUM(C8:K8)</f>
        <v>850920</v>
      </c>
      <c r="M8" s="4213">
        <f>G49</f>
        <v>600000</v>
      </c>
      <c r="N8" s="1033">
        <v>0</v>
      </c>
    </row>
    <row r="9" spans="2:14" ht="13.5" thickBot="1">
      <c r="B9" s="4260" t="s">
        <v>1175</v>
      </c>
      <c r="C9" s="4214">
        <f>C6+C8</f>
        <v>504300</v>
      </c>
      <c r="D9" s="4214">
        <f t="shared" ref="D9:F9" si="0">D6+D8</f>
        <v>29200</v>
      </c>
      <c r="E9" s="4214">
        <f t="shared" si="0"/>
        <v>357500</v>
      </c>
      <c r="F9" s="4214">
        <f t="shared" si="0"/>
        <v>7500</v>
      </c>
      <c r="G9" s="4214">
        <f t="shared" ref="G9" si="1">G6+G8</f>
        <v>6200</v>
      </c>
      <c r="H9" s="4214">
        <f t="shared" ref="H9:I9" si="2">H6+H8</f>
        <v>300700</v>
      </c>
      <c r="I9" s="4214">
        <f t="shared" si="2"/>
        <v>38040</v>
      </c>
      <c r="J9" s="4214">
        <f t="shared" ref="J9" si="3">J6+J8</f>
        <v>1600</v>
      </c>
      <c r="K9" s="4214">
        <f t="shared" ref="K9:L9" si="4">K6+K8</f>
        <v>725000</v>
      </c>
      <c r="L9" s="4214">
        <f t="shared" si="4"/>
        <v>1970040</v>
      </c>
      <c r="M9" s="2933">
        <f t="shared" ref="M9" si="5">M6+M8</f>
        <v>1600000</v>
      </c>
      <c r="N9" s="963"/>
    </row>
    <row r="10" spans="2:14" ht="20.25">
      <c r="B10" s="972"/>
      <c r="C10" s="986"/>
      <c r="D10" s="986"/>
      <c r="E10" s="986"/>
      <c r="F10" s="986"/>
      <c r="G10" s="994"/>
      <c r="H10" s="987"/>
      <c r="I10" s="987"/>
      <c r="J10" s="963"/>
      <c r="K10" s="963"/>
      <c r="L10" s="963"/>
      <c r="M10" s="963"/>
      <c r="N10" s="976"/>
    </row>
    <row r="11" spans="2:14" ht="18">
      <c r="B11" s="973" t="s">
        <v>733</v>
      </c>
      <c r="C11" s="994"/>
      <c r="D11" s="994"/>
      <c r="E11" s="994"/>
      <c r="F11" s="985"/>
      <c r="G11" s="985"/>
      <c r="H11" s="985"/>
      <c r="I11" s="985"/>
      <c r="J11" s="963"/>
      <c r="K11" s="963"/>
      <c r="L11" s="963"/>
      <c r="M11" s="963"/>
      <c r="N11" s="963"/>
    </row>
    <row r="12" spans="2:14" ht="18">
      <c r="B12" s="974"/>
      <c r="C12" s="1015">
        <v>2012</v>
      </c>
      <c r="D12" s="1016">
        <v>2013</v>
      </c>
      <c r="E12" s="1017" t="s">
        <v>28</v>
      </c>
      <c r="F12" s="979"/>
      <c r="G12" s="979"/>
      <c r="H12" s="979"/>
      <c r="I12" s="3777"/>
      <c r="J12" s="3768"/>
      <c r="K12" s="3768"/>
      <c r="L12" s="976"/>
      <c r="M12" s="1026"/>
      <c r="N12" s="963"/>
    </row>
    <row r="13" spans="2:14" ht="27.75" customHeight="1">
      <c r="B13" s="3480"/>
      <c r="C13" s="3046">
        <v>525000</v>
      </c>
      <c r="D13" s="4615">
        <v>200000</v>
      </c>
      <c r="E13" s="3044">
        <f>SUM(C13:D13)</f>
        <v>725000</v>
      </c>
      <c r="F13" s="4370" t="s">
        <v>1419</v>
      </c>
      <c r="G13" s="979"/>
      <c r="H13" s="979"/>
      <c r="I13" s="3769"/>
      <c r="J13" s="3770"/>
      <c r="K13" s="3768"/>
      <c r="L13" s="963"/>
      <c r="M13" s="963"/>
      <c r="N13" s="963"/>
    </row>
    <row r="14" spans="2:14" ht="18">
      <c r="B14" s="3005"/>
      <c r="C14" s="3024"/>
      <c r="D14" s="3000"/>
      <c r="E14" s="3025"/>
      <c r="F14" s="3009"/>
      <c r="G14" s="979"/>
      <c r="H14" s="979"/>
      <c r="I14" s="3769"/>
      <c r="J14" s="3771"/>
      <c r="K14" s="3768"/>
      <c r="L14" s="963"/>
      <c r="M14" s="963"/>
      <c r="N14" s="963"/>
    </row>
    <row r="15" spans="2:14">
      <c r="B15" s="3004" t="s">
        <v>648</v>
      </c>
      <c r="C15" s="3026"/>
      <c r="D15" s="3000"/>
      <c r="E15" s="3025"/>
      <c r="F15" s="3007"/>
      <c r="G15" s="977"/>
      <c r="H15" s="977"/>
      <c r="I15" s="3769"/>
      <c r="J15" s="3771"/>
      <c r="K15" s="3765"/>
      <c r="L15" s="963"/>
      <c r="M15" s="963"/>
      <c r="N15" s="963"/>
    </row>
    <row r="16" spans="2:14">
      <c r="B16" s="3008" t="s">
        <v>650</v>
      </c>
      <c r="C16" s="3142">
        <v>241300</v>
      </c>
      <c r="D16" s="4609">
        <v>263000</v>
      </c>
      <c r="E16" s="3039">
        <f>SUM(C16:D16)</f>
        <v>504300</v>
      </c>
      <c r="F16" s="3016">
        <v>2.66</v>
      </c>
      <c r="G16" s="980" t="s">
        <v>651</v>
      </c>
      <c r="H16" s="978"/>
      <c r="I16" s="3769"/>
      <c r="J16" s="3767"/>
      <c r="K16" s="3765"/>
      <c r="L16" s="963"/>
      <c r="M16" s="963"/>
      <c r="N16" s="963"/>
    </row>
    <row r="17" spans="2:14">
      <c r="B17" s="3008" t="s">
        <v>655</v>
      </c>
      <c r="C17" s="3142">
        <v>14600</v>
      </c>
      <c r="D17" s="185">
        <f>C17</f>
        <v>14600</v>
      </c>
      <c r="E17" s="3039">
        <f>SUM(C17:D17)</f>
        <v>29200</v>
      </c>
      <c r="F17" s="3016">
        <v>0.14000000000000001</v>
      </c>
      <c r="G17" s="980" t="s">
        <v>651</v>
      </c>
      <c r="H17" s="978"/>
      <c r="I17" s="3769"/>
      <c r="J17" s="3767"/>
      <c r="K17" s="3765"/>
      <c r="L17" s="963"/>
      <c r="M17" s="963"/>
      <c r="N17" s="963"/>
    </row>
    <row r="18" spans="2:14">
      <c r="B18" s="3008"/>
      <c r="C18" s="3027"/>
      <c r="D18" s="3000"/>
      <c r="E18" s="3025"/>
      <c r="F18" s="3016"/>
      <c r="G18" s="978"/>
      <c r="H18" s="978"/>
      <c r="I18" s="3769"/>
      <c r="J18" s="3767"/>
      <c r="K18" s="3765"/>
      <c r="L18" s="963"/>
      <c r="M18" s="1027"/>
    </row>
    <row r="19" spans="2:14">
      <c r="B19" s="3004" t="s">
        <v>481</v>
      </c>
      <c r="C19" s="3026"/>
      <c r="D19" s="3000"/>
      <c r="E19" s="3025"/>
      <c r="F19" s="3007"/>
      <c r="G19" s="977"/>
      <c r="H19" s="978"/>
      <c r="I19" s="3769"/>
      <c r="J19" s="3767"/>
      <c r="K19" s="3765"/>
      <c r="L19" s="963"/>
      <c r="M19" s="963"/>
    </row>
    <row r="20" spans="2:14">
      <c r="B20" s="2999" t="s">
        <v>656</v>
      </c>
      <c r="C20" s="3032">
        <v>900</v>
      </c>
      <c r="D20" s="3041">
        <v>900</v>
      </c>
      <c r="E20" s="3039">
        <f>SUM(C20:D20)</f>
        <v>1800</v>
      </c>
      <c r="F20" s="3017"/>
      <c r="G20" s="988"/>
      <c r="H20" s="977"/>
      <c r="I20" s="3769"/>
      <c r="J20" s="3767"/>
      <c r="K20" s="3765"/>
      <c r="L20" s="963"/>
      <c r="M20" s="963"/>
    </row>
    <row r="21" spans="2:14">
      <c r="B21" s="3008" t="s">
        <v>657</v>
      </c>
      <c r="C21" s="3028">
        <v>1500</v>
      </c>
      <c r="D21" s="3041">
        <v>1500</v>
      </c>
      <c r="E21" s="3159">
        <f>SUM(C21:D21)</f>
        <v>3000</v>
      </c>
      <c r="F21" s="2999"/>
      <c r="G21" s="977"/>
      <c r="H21" s="988"/>
      <c r="I21" s="3769"/>
      <c r="J21" s="3776"/>
      <c r="K21" s="3765"/>
      <c r="L21" s="963"/>
      <c r="M21" s="963"/>
    </row>
    <row r="22" spans="2:14">
      <c r="B22" s="3008" t="s">
        <v>658</v>
      </c>
      <c r="C22" s="3032">
        <v>400</v>
      </c>
      <c r="D22" s="3041">
        <v>400</v>
      </c>
      <c r="E22" s="3159">
        <f>SUM(C22:D22)</f>
        <v>800</v>
      </c>
      <c r="F22" s="3007"/>
      <c r="G22" s="977"/>
      <c r="H22" s="977"/>
      <c r="I22" s="3765"/>
      <c r="J22" s="3766"/>
      <c r="K22" s="3765"/>
      <c r="L22" s="963"/>
      <c r="M22" s="963"/>
    </row>
    <row r="23" spans="2:14">
      <c r="B23" s="3008" t="s">
        <v>660</v>
      </c>
      <c r="C23" s="3032">
        <v>300</v>
      </c>
      <c r="D23" s="3041">
        <v>300</v>
      </c>
      <c r="E23" s="3159">
        <f>SUM(C23:D23)</f>
        <v>600</v>
      </c>
      <c r="F23" s="3007"/>
      <c r="G23" s="977"/>
      <c r="H23" s="989"/>
      <c r="I23" s="3769"/>
      <c r="J23" s="3781"/>
      <c r="K23" s="3765"/>
      <c r="L23" s="963"/>
      <c r="M23" s="963"/>
    </row>
    <row r="24" spans="2:14">
      <c r="B24" s="2999"/>
      <c r="C24" s="3029">
        <f>SUM(C20:C23)</f>
        <v>3100</v>
      </c>
      <c r="D24" s="3014">
        <f>SUM(D20:D23)</f>
        <v>3100</v>
      </c>
      <c r="E24" s="3045">
        <f>SUM(C24:D24)</f>
        <v>6200</v>
      </c>
      <c r="F24" s="3007"/>
      <c r="G24" s="977"/>
      <c r="H24" s="989"/>
      <c r="I24" s="3774"/>
      <c r="J24" s="3779"/>
      <c r="K24" s="3772"/>
      <c r="L24" s="963"/>
      <c r="M24" s="963"/>
    </row>
    <row r="25" spans="2:14">
      <c r="B25" s="3000"/>
      <c r="C25" s="3035"/>
      <c r="D25" s="3000"/>
      <c r="E25" s="3025"/>
      <c r="F25" s="3007"/>
      <c r="G25" s="977"/>
      <c r="H25" s="989"/>
      <c r="I25" s="3774"/>
      <c r="J25" s="3778"/>
      <c r="K25" s="3775"/>
      <c r="L25" s="963"/>
      <c r="M25" s="963"/>
    </row>
    <row r="26" spans="2:14">
      <c r="B26" s="3004" t="s">
        <v>649</v>
      </c>
      <c r="C26" s="3029">
        <v>800</v>
      </c>
      <c r="D26" s="3023">
        <v>800</v>
      </c>
      <c r="E26" s="3045">
        <f>SUM(C26:D26)</f>
        <v>1600</v>
      </c>
      <c r="F26" s="3007"/>
      <c r="G26" s="977"/>
      <c r="H26" s="989"/>
      <c r="I26" s="3774"/>
      <c r="J26" s="3778"/>
      <c r="K26" s="3775"/>
      <c r="L26" s="963"/>
      <c r="M26" s="963"/>
    </row>
    <row r="27" spans="2:14">
      <c r="B27" s="3000"/>
      <c r="C27" s="3035"/>
      <c r="D27" s="3000"/>
      <c r="E27" s="3025"/>
      <c r="F27" s="3007"/>
      <c r="G27" s="977"/>
      <c r="H27" s="989"/>
      <c r="I27" s="3773"/>
      <c r="J27" s="3780"/>
      <c r="K27" s="3775"/>
      <c r="L27" s="963"/>
      <c r="M27" s="963"/>
    </row>
    <row r="28" spans="2:14">
      <c r="B28" s="3003" t="s">
        <v>652</v>
      </c>
      <c r="C28" s="3035"/>
      <c r="D28" s="3000"/>
      <c r="E28" s="3025"/>
      <c r="F28" s="3018"/>
      <c r="H28" s="989"/>
      <c r="I28" s="3047"/>
      <c r="J28" s="3048"/>
      <c r="K28" s="984"/>
      <c r="L28" s="963"/>
      <c r="M28" s="963"/>
    </row>
    <row r="29" spans="2:14">
      <c r="B29" s="2999" t="s">
        <v>661</v>
      </c>
      <c r="C29" s="3035">
        <v>17690</v>
      </c>
      <c r="D29" s="3041">
        <v>17690</v>
      </c>
      <c r="E29" s="3039">
        <f>SUM(C29:D29)</f>
        <v>35380</v>
      </c>
      <c r="F29" s="3018"/>
      <c r="G29" s="1011"/>
      <c r="H29" s="989"/>
      <c r="I29" s="979"/>
      <c r="J29" s="963"/>
      <c r="K29" s="963"/>
      <c r="L29" s="963"/>
      <c r="M29" s="963"/>
    </row>
    <row r="30" spans="2:14">
      <c r="B30" s="2999" t="s">
        <v>662</v>
      </c>
      <c r="C30" s="3035">
        <v>190</v>
      </c>
      <c r="D30" s="3041">
        <v>190</v>
      </c>
      <c r="E30" s="3159">
        <f>SUM(C30:D30)</f>
        <v>380</v>
      </c>
      <c r="F30" s="3018"/>
      <c r="G30" s="1011"/>
      <c r="H30" s="989"/>
      <c r="I30" s="979"/>
      <c r="J30" s="963"/>
      <c r="K30" s="963"/>
      <c r="L30" s="963"/>
      <c r="M30" s="963"/>
    </row>
    <row r="31" spans="2:14">
      <c r="B31" s="3000" t="s">
        <v>663</v>
      </c>
      <c r="C31" s="3035">
        <v>1140</v>
      </c>
      <c r="D31" s="3041">
        <v>1140</v>
      </c>
      <c r="E31" s="3159">
        <f>SUM(C31:D31)</f>
        <v>2280</v>
      </c>
      <c r="F31" s="3018"/>
      <c r="G31" s="989"/>
      <c r="H31" s="989"/>
      <c r="I31" s="979"/>
      <c r="J31" s="963"/>
      <c r="K31" s="963"/>
      <c r="L31" s="963"/>
      <c r="M31" s="963"/>
    </row>
    <row r="32" spans="2:14">
      <c r="B32" s="3003" t="s">
        <v>664</v>
      </c>
      <c r="C32" s="3030">
        <f>SUM(C29:C31)</f>
        <v>19020</v>
      </c>
      <c r="D32" s="3010">
        <f>SUM(D29:D31)</f>
        <v>19020</v>
      </c>
      <c r="E32" s="3045">
        <f>SUM(C32:D32)</f>
        <v>38040</v>
      </c>
      <c r="F32" s="3018"/>
      <c r="G32" s="989"/>
      <c r="H32" s="989"/>
      <c r="I32" s="979"/>
      <c r="J32" s="963"/>
      <c r="K32" s="963"/>
      <c r="L32" s="963"/>
      <c r="M32" s="963"/>
    </row>
    <row r="33" spans="2:13">
      <c r="B33" s="3000"/>
      <c r="C33" s="3035"/>
      <c r="D33" s="3000"/>
      <c r="E33" s="3025"/>
      <c r="F33" s="3018"/>
      <c r="G33" s="989"/>
      <c r="H33" s="989"/>
      <c r="I33" s="979"/>
      <c r="J33" s="963"/>
      <c r="K33" s="963"/>
      <c r="L33" s="963"/>
      <c r="M33" s="963"/>
    </row>
    <row r="34" spans="2:13">
      <c r="B34" s="3003" t="s">
        <v>654</v>
      </c>
      <c r="C34" s="3030">
        <v>3750</v>
      </c>
      <c r="D34" s="3042">
        <v>3750</v>
      </c>
      <c r="E34" s="3045">
        <f>SUM(C34:D34)</f>
        <v>7500</v>
      </c>
      <c r="F34" s="3018"/>
      <c r="G34" s="989"/>
      <c r="H34" s="989"/>
      <c r="I34" s="979"/>
    </row>
    <row r="35" spans="2:13">
      <c r="B35" s="3000"/>
      <c r="C35" s="3035"/>
      <c r="D35" s="3000"/>
      <c r="E35" s="3025"/>
      <c r="F35" s="3018"/>
      <c r="G35" s="990"/>
      <c r="H35" s="989"/>
      <c r="I35" s="979"/>
    </row>
    <row r="36" spans="2:13">
      <c r="B36" s="4429" t="s">
        <v>1438</v>
      </c>
      <c r="C36" s="3106">
        <f>ROUND(SUM(C16:C17)*0.63, -2)</f>
        <v>161200</v>
      </c>
      <c r="D36" s="4629">
        <f>ROUND(SUM(D16:D17)*0.707, -2)</f>
        <v>196300</v>
      </c>
      <c r="E36" s="3045">
        <f>SUM(C36:D36)</f>
        <v>357500</v>
      </c>
      <c r="F36" s="3018"/>
      <c r="G36" s="990"/>
      <c r="H36" s="989"/>
      <c r="I36" s="979"/>
    </row>
    <row r="37" spans="2:13">
      <c r="B37" s="3000"/>
      <c r="C37" s="3035"/>
      <c r="D37" s="3019"/>
      <c r="E37" s="3036"/>
      <c r="F37" s="3018"/>
      <c r="G37" s="964"/>
      <c r="H37" s="989"/>
      <c r="I37" s="979"/>
    </row>
    <row r="38" spans="2:13">
      <c r="B38" s="3001" t="s">
        <v>14</v>
      </c>
      <c r="C38" s="3035"/>
      <c r="D38" s="3019"/>
      <c r="E38" s="3036"/>
      <c r="F38" s="3018"/>
      <c r="G38" s="964"/>
      <c r="H38" s="989"/>
      <c r="I38" s="975"/>
    </row>
    <row r="39" spans="2:13">
      <c r="B39" s="3013" t="s">
        <v>686</v>
      </c>
      <c r="C39" s="3032">
        <v>8250</v>
      </c>
      <c r="D39" s="3020">
        <v>8250</v>
      </c>
      <c r="E39" s="3033">
        <f t="shared" ref="E39:E44" si="6">SUM(C39:D39)</f>
        <v>16500</v>
      </c>
      <c r="F39" s="3018"/>
      <c r="G39" s="964"/>
      <c r="H39" s="989"/>
      <c r="I39" s="975"/>
    </row>
    <row r="40" spans="2:13">
      <c r="B40" s="2999" t="s">
        <v>734</v>
      </c>
      <c r="C40" s="3032">
        <v>30000</v>
      </c>
      <c r="D40" s="3020">
        <v>30000</v>
      </c>
      <c r="E40" s="3158">
        <f t="shared" si="6"/>
        <v>60000</v>
      </c>
      <c r="F40" s="3018"/>
      <c r="G40" s="964"/>
      <c r="H40" s="989"/>
      <c r="I40" s="975"/>
    </row>
    <row r="41" spans="2:13">
      <c r="B41" s="3013" t="s">
        <v>687</v>
      </c>
      <c r="C41" s="3032">
        <v>19500</v>
      </c>
      <c r="D41" s="3020">
        <v>19500</v>
      </c>
      <c r="E41" s="3158">
        <f t="shared" si="6"/>
        <v>39000</v>
      </c>
      <c r="F41" s="3018"/>
      <c r="G41" s="964"/>
      <c r="H41" s="989"/>
      <c r="I41" s="975"/>
    </row>
    <row r="42" spans="2:13">
      <c r="B42" s="3013" t="s">
        <v>688</v>
      </c>
      <c r="C42" s="3032">
        <v>68600</v>
      </c>
      <c r="D42" s="3020">
        <v>68600</v>
      </c>
      <c r="E42" s="3158">
        <f t="shared" si="6"/>
        <v>137200</v>
      </c>
      <c r="F42" s="3018"/>
      <c r="G42" s="964"/>
      <c r="H42" s="989"/>
      <c r="I42" s="975"/>
    </row>
    <row r="43" spans="2:13">
      <c r="B43" s="3013" t="s">
        <v>695</v>
      </c>
      <c r="C43" s="3032">
        <v>24000</v>
      </c>
      <c r="D43" s="3020">
        <v>24000</v>
      </c>
      <c r="E43" s="3158">
        <f t="shared" si="6"/>
        <v>48000</v>
      </c>
      <c r="F43" s="3018"/>
      <c r="G43" s="990"/>
      <c r="H43" s="989"/>
      <c r="I43" s="975"/>
    </row>
    <row r="44" spans="2:13">
      <c r="B44" s="3012" t="s">
        <v>672</v>
      </c>
      <c r="C44" s="3029">
        <f>SUM(C39:C43)</f>
        <v>150350</v>
      </c>
      <c r="D44" s="3014">
        <f>SUM(D39:D43)</f>
        <v>150350</v>
      </c>
      <c r="E44" s="3034">
        <f t="shared" si="6"/>
        <v>300700</v>
      </c>
      <c r="F44" s="3018"/>
      <c r="G44" s="990"/>
      <c r="H44" s="989"/>
      <c r="I44" s="975"/>
    </row>
    <row r="45" spans="2:13" ht="13.5" thickBot="1">
      <c r="B45" s="3006"/>
      <c r="C45" s="3032"/>
      <c r="D45" s="3020"/>
      <c r="E45" s="3033"/>
      <c r="F45" s="3018"/>
      <c r="G45" s="990"/>
      <c r="H45" s="989"/>
      <c r="I45" s="975"/>
    </row>
    <row r="46" spans="2:13" ht="13.5" thickBot="1">
      <c r="B46" s="3012" t="s">
        <v>673</v>
      </c>
      <c r="C46" s="3031">
        <f>C13+C16+C17+C24+C26+C32+C34+C36+C44</f>
        <v>1119120</v>
      </c>
      <c r="D46" s="3037">
        <f>D13+D16+D17+D24+D26+D32+D34+D36+D44</f>
        <v>850920</v>
      </c>
      <c r="E46" s="3038">
        <f>SUM(C46:D46)</f>
        <v>1970040</v>
      </c>
      <c r="F46" s="3018"/>
      <c r="G46" s="990"/>
      <c r="H46" s="989"/>
      <c r="I46" s="975"/>
    </row>
    <row r="47" spans="2:13">
      <c r="B47" s="3002"/>
      <c r="C47" s="3020"/>
      <c r="D47" s="3020"/>
      <c r="E47" s="3020"/>
      <c r="F47" s="3018"/>
      <c r="G47" s="990"/>
      <c r="H47" s="989"/>
      <c r="I47" s="975"/>
    </row>
    <row r="48" spans="2:13">
      <c r="B48" s="2999"/>
      <c r="C48" s="3040">
        <v>2012</v>
      </c>
      <c r="D48" s="3040">
        <v>2013</v>
      </c>
      <c r="E48" s="3040" t="s">
        <v>28</v>
      </c>
      <c r="F48" s="2999"/>
      <c r="G48" s="4659" t="s">
        <v>1322</v>
      </c>
      <c r="H48" s="989"/>
      <c r="I48" s="975"/>
    </row>
    <row r="49" spans="2:10" ht="31.5" customHeight="1">
      <c r="B49" s="3481"/>
      <c r="C49" s="3015">
        <v>1000000</v>
      </c>
      <c r="D49" s="4660">
        <v>800000</v>
      </c>
      <c r="E49" s="3015">
        <v>1800000</v>
      </c>
      <c r="F49" s="3014" t="s">
        <v>559</v>
      </c>
      <c r="G49" s="4658">
        <v>600000</v>
      </c>
      <c r="H49" s="4370" t="s">
        <v>1419</v>
      </c>
      <c r="I49" s="975"/>
    </row>
    <row r="50" spans="2:10">
      <c r="B50" s="2999"/>
      <c r="C50" s="3021"/>
      <c r="D50" s="3021"/>
      <c r="E50" s="3021"/>
      <c r="F50" s="3011"/>
      <c r="G50" s="989"/>
      <c r="H50" s="989"/>
      <c r="I50" s="975"/>
      <c r="J50" s="963"/>
    </row>
    <row r="51" spans="2:10">
      <c r="B51" s="3022" t="s">
        <v>680</v>
      </c>
      <c r="C51" s="3043">
        <v>0.55555555555555558</v>
      </c>
      <c r="D51" s="3043">
        <v>0.44444444444444442</v>
      </c>
      <c r="E51" s="2999"/>
      <c r="F51" s="2999"/>
      <c r="G51" s="991"/>
      <c r="H51" s="991"/>
      <c r="I51" s="981"/>
      <c r="J51" s="966"/>
    </row>
    <row r="52" spans="2:10">
      <c r="B52" s="963"/>
      <c r="C52" s="991"/>
      <c r="D52" s="991"/>
      <c r="E52" s="991"/>
      <c r="F52" s="982"/>
      <c r="G52" s="982"/>
      <c r="H52" s="982"/>
      <c r="I52" s="982"/>
      <c r="J52" s="966"/>
    </row>
    <row r="53" spans="2:10">
      <c r="B53" s="963"/>
      <c r="C53" s="982"/>
      <c r="D53" s="982"/>
      <c r="E53" s="982"/>
      <c r="F53" s="982"/>
      <c r="G53" s="982"/>
      <c r="H53" s="982"/>
      <c r="I53" s="982"/>
      <c r="J53" s="966"/>
    </row>
    <row r="54" spans="2:10">
      <c r="B54" s="963"/>
      <c r="C54" s="982"/>
      <c r="D54" s="982"/>
      <c r="E54" s="982"/>
      <c r="F54" s="991"/>
      <c r="G54" s="982"/>
      <c r="H54" s="982"/>
      <c r="I54" s="982"/>
      <c r="J54" s="966"/>
    </row>
    <row r="55" spans="2:10" ht="20.25">
      <c r="B55" s="972"/>
      <c r="C55" s="983"/>
      <c r="D55" s="983"/>
      <c r="E55" s="983"/>
      <c r="F55" s="991"/>
      <c r="G55" s="982"/>
      <c r="H55" s="982"/>
      <c r="I55" s="982"/>
      <c r="J55" s="966"/>
    </row>
    <row r="56" spans="2:10">
      <c r="B56" s="966"/>
      <c r="C56" s="966"/>
      <c r="D56" s="966"/>
      <c r="E56" s="966"/>
      <c r="F56" s="991"/>
      <c r="G56" s="982"/>
      <c r="H56" s="982"/>
      <c r="I56" s="982"/>
      <c r="J56" s="966"/>
    </row>
    <row r="57" spans="2:10">
      <c r="B57" s="1001"/>
      <c r="C57" s="966"/>
      <c r="D57" s="966"/>
      <c r="E57" s="966"/>
      <c r="F57" s="991"/>
      <c r="G57" s="982"/>
      <c r="H57" s="982"/>
      <c r="I57" s="982"/>
      <c r="J57" s="966"/>
    </row>
    <row r="58" spans="2:10">
      <c r="B58" s="966"/>
      <c r="C58" s="966"/>
      <c r="D58" s="966"/>
      <c r="E58" s="966"/>
      <c r="F58" s="966"/>
      <c r="G58" s="991"/>
      <c r="H58" s="991"/>
      <c r="I58" s="982"/>
      <c r="J58" s="966"/>
    </row>
    <row r="59" spans="2:10">
      <c r="B59" s="966"/>
      <c r="C59" s="969"/>
      <c r="D59" s="969"/>
      <c r="E59" s="969"/>
      <c r="F59" s="966"/>
      <c r="G59" s="971"/>
      <c r="H59" s="991"/>
      <c r="I59" s="981"/>
      <c r="J59" s="966"/>
    </row>
    <row r="60" spans="2:10">
      <c r="B60" s="970"/>
      <c r="C60" s="1002"/>
      <c r="D60" s="1002"/>
      <c r="E60" s="1002"/>
      <c r="F60" s="966"/>
      <c r="G60" s="969"/>
      <c r="H60" s="991"/>
      <c r="I60" s="981"/>
      <c r="J60" s="966"/>
    </row>
    <row r="61" spans="2:10">
      <c r="B61" s="970"/>
      <c r="C61" s="1002"/>
      <c r="D61" s="1002"/>
      <c r="E61" s="1002"/>
      <c r="F61" s="966"/>
      <c r="G61" s="1003"/>
      <c r="H61" s="991"/>
      <c r="I61" s="981"/>
      <c r="J61" s="966"/>
    </row>
    <row r="62" spans="2:10">
      <c r="B62" s="970"/>
      <c r="C62" s="1002"/>
      <c r="D62" s="1002"/>
      <c r="E62" s="1002"/>
      <c r="F62" s="966"/>
      <c r="G62" s="1003"/>
      <c r="H62" s="991"/>
      <c r="I62" s="981"/>
      <c r="J62" s="966"/>
    </row>
    <row r="63" spans="2:10">
      <c r="B63" s="970"/>
      <c r="C63" s="1002"/>
      <c r="D63" s="1002"/>
      <c r="E63" s="1002"/>
      <c r="F63" s="966"/>
      <c r="G63" s="1003"/>
      <c r="H63" s="991"/>
      <c r="I63" s="981"/>
      <c r="J63" s="966"/>
    </row>
    <row r="64" spans="2:10">
      <c r="B64" s="970"/>
      <c r="C64" s="1002"/>
      <c r="D64" s="1002"/>
      <c r="E64" s="1002"/>
      <c r="F64" s="966"/>
      <c r="G64" s="1003"/>
      <c r="H64" s="991"/>
      <c r="I64" s="981"/>
      <c r="J64" s="966"/>
    </row>
    <row r="65" spans="2:10">
      <c r="B65" s="970"/>
      <c r="C65" s="1002"/>
      <c r="D65" s="1002"/>
      <c r="E65" s="1002"/>
      <c r="F65" s="966"/>
      <c r="G65" s="1003"/>
      <c r="H65" s="991"/>
      <c r="I65" s="981"/>
      <c r="J65" s="966"/>
    </row>
    <row r="66" spans="2:10">
      <c r="B66" s="966"/>
      <c r="C66" s="995"/>
      <c r="D66" s="995"/>
      <c r="E66" s="995"/>
      <c r="F66" s="966"/>
      <c r="G66" s="1003"/>
      <c r="H66" s="991"/>
      <c r="I66" s="981"/>
      <c r="J66" s="966"/>
    </row>
    <row r="67" spans="2:10">
      <c r="B67" s="966"/>
      <c r="C67" s="966"/>
      <c r="D67" s="966"/>
      <c r="E67" s="966"/>
      <c r="F67" s="991"/>
      <c r="G67" s="1004"/>
      <c r="H67" s="991"/>
      <c r="I67" s="981"/>
      <c r="J67" s="966"/>
    </row>
    <row r="68" spans="2:10">
      <c r="B68" s="1001"/>
      <c r="C68" s="966"/>
      <c r="D68" s="966"/>
      <c r="E68" s="966"/>
      <c r="F68" s="991"/>
      <c r="G68" s="991"/>
      <c r="H68" s="991"/>
      <c r="I68" s="981"/>
      <c r="J68" s="966"/>
    </row>
    <row r="69" spans="2:10" ht="18">
      <c r="B69" s="966"/>
      <c r="C69" s="966"/>
      <c r="D69" s="966"/>
      <c r="E69" s="966"/>
      <c r="F69" s="991"/>
      <c r="G69" s="1005"/>
      <c r="H69" s="991"/>
      <c r="I69" s="981"/>
      <c r="J69" s="966"/>
    </row>
    <row r="70" spans="2:10" ht="18.75">
      <c r="B70" s="1006"/>
      <c r="C70" s="1005"/>
      <c r="D70" s="1005"/>
      <c r="E70" s="1005"/>
      <c r="F70" s="1005"/>
      <c r="G70" s="993"/>
      <c r="H70" s="991"/>
      <c r="I70" s="981"/>
      <c r="J70" s="966"/>
    </row>
    <row r="71" spans="2:10">
      <c r="B71" s="1007"/>
      <c r="C71" s="1008"/>
      <c r="D71" s="1008"/>
      <c r="E71" s="1008"/>
      <c r="F71" s="997"/>
      <c r="G71" s="992"/>
      <c r="H71" s="991"/>
      <c r="I71" s="981"/>
      <c r="J71" s="966"/>
    </row>
    <row r="72" spans="2:10">
      <c r="B72" s="1007"/>
      <c r="C72" s="1008"/>
      <c r="D72" s="1008"/>
      <c r="E72" s="1008"/>
      <c r="F72" s="997"/>
      <c r="G72" s="998"/>
      <c r="H72" s="991"/>
      <c r="I72" s="981"/>
      <c r="J72" s="966"/>
    </row>
    <row r="73" spans="2:10">
      <c r="B73" s="1007"/>
      <c r="C73" s="1008"/>
      <c r="D73" s="1008"/>
      <c r="E73" s="1008"/>
      <c r="F73" s="997"/>
      <c r="G73" s="999"/>
      <c r="H73" s="991"/>
      <c r="I73" s="981"/>
      <c r="J73" s="966"/>
    </row>
    <row r="74" spans="2:10">
      <c r="B74" s="1007"/>
      <c r="C74" s="1008"/>
      <c r="D74" s="1008"/>
      <c r="E74" s="1008"/>
      <c r="F74" s="997"/>
      <c r="G74" s="1000"/>
      <c r="H74" s="991"/>
      <c r="I74" s="981"/>
      <c r="J74" s="966"/>
    </row>
    <row r="75" spans="2:10">
      <c r="B75" s="1007"/>
      <c r="C75" s="1008"/>
      <c r="D75" s="1008"/>
      <c r="E75" s="1008"/>
      <c r="F75" s="997"/>
      <c r="G75" s="1000"/>
      <c r="H75" s="991"/>
      <c r="I75" s="981"/>
      <c r="J75" s="966"/>
    </row>
    <row r="76" spans="2:10">
      <c r="B76" s="1007"/>
      <c r="C76" s="1008"/>
      <c r="D76" s="1008"/>
      <c r="E76" s="1008"/>
      <c r="F76" s="997"/>
      <c r="G76" s="982"/>
      <c r="H76" s="991"/>
      <c r="I76" s="981"/>
      <c r="J76" s="966"/>
    </row>
    <row r="77" spans="2:10" ht="18">
      <c r="B77" s="966"/>
      <c r="C77" s="966"/>
      <c r="D77" s="966"/>
      <c r="E77" s="966"/>
      <c r="F77" s="982"/>
      <c r="G77" s="1005"/>
      <c r="H77" s="991"/>
      <c r="I77" s="981"/>
      <c r="J77" s="966"/>
    </row>
    <row r="78" spans="2:10" ht="18">
      <c r="B78" s="1009"/>
      <c r="C78" s="1005"/>
      <c r="D78" s="1005"/>
      <c r="E78" s="1005"/>
      <c r="F78" s="1005"/>
      <c r="G78" s="993"/>
      <c r="H78" s="982"/>
      <c r="I78" s="982"/>
      <c r="J78" s="966"/>
    </row>
    <row r="79" spans="2:10">
      <c r="B79" s="5139"/>
      <c r="C79" s="5140"/>
      <c r="D79" s="5140"/>
      <c r="E79" s="5140"/>
      <c r="F79" s="5140"/>
      <c r="G79" s="992"/>
      <c r="H79" s="982"/>
      <c r="I79" s="982"/>
      <c r="J79" s="966"/>
    </row>
    <row r="80" spans="2:10">
      <c r="B80" s="5139"/>
      <c r="C80" s="5140"/>
      <c r="D80" s="5140"/>
      <c r="E80" s="5140"/>
      <c r="F80" s="5140"/>
      <c r="G80" s="998"/>
      <c r="H80" s="982"/>
      <c r="I80" s="982"/>
      <c r="J80" s="966"/>
    </row>
    <row r="81" spans="2:10">
      <c r="B81" s="5139"/>
      <c r="C81" s="5140"/>
      <c r="D81" s="5140"/>
      <c r="E81" s="5140"/>
      <c r="F81" s="5140"/>
      <c r="G81" s="1010"/>
      <c r="H81" s="982"/>
      <c r="I81" s="982"/>
      <c r="J81" s="966"/>
    </row>
    <row r="82" spans="2:10">
      <c r="B82" s="5139"/>
      <c r="C82" s="5140"/>
      <c r="D82" s="5140"/>
      <c r="E82" s="5140"/>
      <c r="F82" s="5140"/>
      <c r="G82" s="1010"/>
      <c r="H82" s="982"/>
      <c r="I82" s="982"/>
      <c r="J82" s="966"/>
    </row>
    <row r="83" spans="2:10">
      <c r="B83" s="5139"/>
      <c r="C83" s="5140"/>
      <c r="D83" s="5140"/>
      <c r="E83" s="5140"/>
      <c r="F83" s="5140"/>
      <c r="G83" s="1010"/>
      <c r="H83" s="982"/>
      <c r="I83" s="982"/>
      <c r="J83" s="966"/>
    </row>
    <row r="84" spans="2:10" ht="15.75">
      <c r="B84" s="5139"/>
      <c r="C84" s="5140"/>
      <c r="D84" s="5140"/>
      <c r="E84" s="5140"/>
      <c r="F84" s="5140"/>
      <c r="G84" s="966"/>
      <c r="H84" s="983"/>
      <c r="I84" s="983"/>
      <c r="J84" s="966"/>
    </row>
    <row r="85" spans="2:10">
      <c r="B85" s="966"/>
      <c r="C85" s="966"/>
      <c r="D85" s="966"/>
      <c r="E85" s="966"/>
      <c r="F85" s="966"/>
      <c r="G85" s="992"/>
      <c r="H85" s="966"/>
      <c r="I85" s="966"/>
      <c r="J85" s="966"/>
    </row>
    <row r="86" spans="2:10">
      <c r="B86" s="966"/>
      <c r="C86" s="996"/>
      <c r="D86" s="996"/>
      <c r="E86" s="996"/>
      <c r="F86" s="966"/>
      <c r="G86" s="993"/>
      <c r="H86" s="966"/>
      <c r="I86" s="966"/>
      <c r="J86" s="966"/>
    </row>
    <row r="87" spans="2:10">
      <c r="B87" s="966"/>
      <c r="C87" s="996"/>
      <c r="D87" s="996"/>
      <c r="E87" s="996"/>
      <c r="F87" s="966"/>
      <c r="G87" s="992"/>
      <c r="H87" s="966"/>
      <c r="I87" s="966"/>
      <c r="J87" s="966"/>
    </row>
    <row r="88" spans="2:10">
      <c r="B88" s="966"/>
      <c r="C88" s="966"/>
      <c r="D88" s="966"/>
      <c r="E88" s="966"/>
      <c r="F88" s="966"/>
      <c r="G88" s="966"/>
      <c r="H88" s="966"/>
      <c r="I88" s="966"/>
      <c r="J88" s="966"/>
    </row>
    <row r="89" spans="2:10">
      <c r="B89" s="966"/>
      <c r="C89" s="966"/>
      <c r="D89" s="966"/>
      <c r="E89" s="966"/>
      <c r="F89" s="966"/>
      <c r="G89" s="966"/>
      <c r="H89" s="966"/>
      <c r="I89" s="966"/>
      <c r="J89" s="966"/>
    </row>
    <row r="90" spans="2:10">
      <c r="B90" s="966"/>
      <c r="C90" s="966"/>
      <c r="D90" s="966"/>
      <c r="E90" s="966"/>
      <c r="F90" s="966"/>
      <c r="G90" s="966"/>
      <c r="H90" s="966"/>
      <c r="I90" s="966"/>
      <c r="J90" s="966"/>
    </row>
    <row r="91" spans="2:10">
      <c r="B91" s="966"/>
      <c r="C91" s="966"/>
      <c r="D91" s="966"/>
      <c r="E91" s="966"/>
      <c r="F91" s="966"/>
      <c r="G91" s="966"/>
      <c r="H91" s="966"/>
      <c r="I91" s="966"/>
      <c r="J91" s="966"/>
    </row>
    <row r="92" spans="2:10">
      <c r="B92" s="1001"/>
      <c r="C92" s="966"/>
      <c r="D92" s="966"/>
      <c r="E92" s="966"/>
      <c r="F92" s="966"/>
      <c r="G92" s="966"/>
      <c r="H92" s="966"/>
      <c r="I92" s="966"/>
      <c r="J92" s="966"/>
    </row>
    <row r="93" spans="2:10">
      <c r="B93" s="966"/>
      <c r="C93" s="966"/>
      <c r="D93" s="966"/>
      <c r="E93" s="966"/>
      <c r="F93" s="966"/>
      <c r="G93" s="966"/>
      <c r="H93" s="966"/>
      <c r="I93" s="966"/>
      <c r="J93" s="966"/>
    </row>
    <row r="94" spans="2:10">
      <c r="B94" s="966"/>
      <c r="C94" s="966"/>
      <c r="D94" s="966"/>
      <c r="E94" s="966"/>
      <c r="F94" s="966"/>
      <c r="G94" s="966"/>
      <c r="H94" s="966"/>
      <c r="I94" s="966"/>
      <c r="J94" s="966"/>
    </row>
    <row r="95" spans="2:10">
      <c r="B95" s="966"/>
      <c r="C95" s="966"/>
      <c r="D95" s="966"/>
      <c r="E95" s="966"/>
      <c r="F95" s="966"/>
      <c r="G95" s="966"/>
      <c r="H95" s="966"/>
      <c r="I95" s="966"/>
      <c r="J95" s="966"/>
    </row>
    <row r="96" spans="2:10">
      <c r="B96" s="966"/>
      <c r="C96" s="966"/>
      <c r="D96" s="966"/>
      <c r="E96" s="966"/>
      <c r="F96" s="966"/>
      <c r="G96" s="966"/>
      <c r="H96" s="966"/>
      <c r="I96" s="966"/>
      <c r="J96" s="966"/>
    </row>
    <row r="97" spans="2:10">
      <c r="B97" s="966"/>
      <c r="C97" s="966"/>
      <c r="D97" s="966"/>
      <c r="E97" s="966"/>
      <c r="F97" s="966"/>
      <c r="G97" s="966"/>
      <c r="H97" s="966"/>
      <c r="I97" s="966"/>
      <c r="J97" s="966"/>
    </row>
    <row r="98" spans="2:10">
      <c r="H98" s="966"/>
      <c r="I98" s="966"/>
      <c r="J98" s="966"/>
    </row>
  </sheetData>
  <sheetProtection password="9E1F" sheet="1" objects="1" scenarios="1"/>
  <customSheetViews>
    <customSheetView guid="{074EB09C-6289-46D7-9513-012B68BCA7BF}" fitToPage="1">
      <pane xSplit="1" ySplit="1" topLeftCell="B2" activePane="bottomRight" state="frozen"/>
      <selection pane="bottomRight" activeCell="B1" sqref="B1"/>
      <pageMargins left="0.23" right="0.34" top="0.41" bottom="0.75" header="0.3" footer="0.3"/>
      <pageSetup paperSize="17" scale="58" orientation="landscape" r:id="rId1"/>
    </customSheetView>
    <customSheetView guid="{AF9F1D33-B8C2-423F-86A1-47612B8F532C}" fitToPage="1">
      <pane xSplit="1" ySplit="1" topLeftCell="B14" activePane="bottomRight" state="frozenSplit"/>
      <selection pane="bottomRight" activeCell="B36" sqref="B36"/>
      <pageMargins left="0.7" right="0.7" top="0.75" bottom="0.75" header="0.3" footer="0.3"/>
      <pageSetup paperSize="17" scale="59" orientation="landscape"/>
    </customSheetView>
  </customSheetViews>
  <mergeCells count="6">
    <mergeCell ref="B79:F79"/>
    <mergeCell ref="B84:F84"/>
    <mergeCell ref="B80:F80"/>
    <mergeCell ref="B81:F81"/>
    <mergeCell ref="B82:F82"/>
    <mergeCell ref="B83:F83"/>
  </mergeCells>
  <pageMargins left="0.23" right="0.34" top="0.41" bottom="0.75" header="0.3" footer="0.3"/>
  <pageSetup paperSize="17" scale="56" orientation="landscape" r:id="rId2"/>
  <drawing r:id="rId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dimension ref="A1:N114"/>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56.140625" defaultRowHeight="12.75"/>
  <cols>
    <col min="1" max="1" width="15.42578125" style="3064" customWidth="1"/>
    <col min="3" max="4" width="19.42578125" customWidth="1"/>
    <col min="5" max="5" width="16.42578125" customWidth="1"/>
    <col min="6" max="8" width="21.7109375" customWidth="1"/>
    <col min="9" max="9" width="21.42578125" customWidth="1"/>
    <col min="10" max="10" width="22.85546875" customWidth="1"/>
    <col min="11" max="11" width="20.42578125" customWidth="1"/>
    <col min="12" max="12" width="20.85546875" customWidth="1"/>
    <col min="13" max="13" width="23.140625" customWidth="1"/>
    <col min="14" max="14" width="20.42578125" customWidth="1"/>
  </cols>
  <sheetData>
    <row r="1" spans="2:14" ht="41.25" customHeight="1">
      <c r="B1" s="1043" t="s">
        <v>735</v>
      </c>
      <c r="C1" s="1058"/>
      <c r="D1" s="1058"/>
      <c r="E1" s="1058"/>
      <c r="F1" s="1058"/>
      <c r="G1" s="1067"/>
      <c r="H1" s="1059"/>
      <c r="I1" s="1059"/>
      <c r="J1" s="1034"/>
      <c r="K1" s="1034"/>
      <c r="L1" s="1034"/>
      <c r="M1" s="1034"/>
      <c r="N1" s="1034"/>
    </row>
    <row r="2" spans="2:14" ht="20.25">
      <c r="B2" s="1043"/>
      <c r="C2" s="1058"/>
      <c r="D2" s="1058"/>
      <c r="E2" s="1058"/>
      <c r="F2" s="1058"/>
      <c r="G2" s="1067"/>
      <c r="H2" s="1059"/>
      <c r="I2" s="1059"/>
      <c r="J2" s="1034"/>
      <c r="K2" s="1034"/>
      <c r="L2" s="1034"/>
      <c r="M2" s="1034"/>
      <c r="N2" s="1034"/>
    </row>
    <row r="3" spans="2:14" ht="38.25">
      <c r="B3" s="3463"/>
      <c r="C3" s="1038" t="s">
        <v>9</v>
      </c>
      <c r="D3" s="1038" t="s">
        <v>10</v>
      </c>
      <c r="E3" s="1038" t="s">
        <v>640</v>
      </c>
      <c r="F3" s="1038" t="s">
        <v>12</v>
      </c>
      <c r="G3" s="1038" t="s">
        <v>13</v>
      </c>
      <c r="H3" s="1038" t="s">
        <v>14</v>
      </c>
      <c r="I3" s="1038" t="s">
        <v>15</v>
      </c>
      <c r="J3" s="1038" t="s">
        <v>16</v>
      </c>
      <c r="K3" s="1038" t="s">
        <v>641</v>
      </c>
      <c r="L3" s="1038" t="s">
        <v>18</v>
      </c>
      <c r="M3" s="1097" t="s">
        <v>114</v>
      </c>
      <c r="N3" s="1039" t="s">
        <v>19</v>
      </c>
    </row>
    <row r="4" spans="2:14" ht="25.5">
      <c r="B4" s="1094" t="s">
        <v>642</v>
      </c>
      <c r="C4" s="1091"/>
      <c r="D4" s="1091"/>
      <c r="E4" s="1091"/>
      <c r="F4" s="1091"/>
      <c r="G4" s="1091"/>
      <c r="H4" s="1091"/>
      <c r="I4" s="1091"/>
      <c r="J4" s="1091"/>
      <c r="K4" s="1092"/>
      <c r="L4" s="1103">
        <v>680000</v>
      </c>
      <c r="M4" s="1099"/>
      <c r="N4" s="1104" t="s">
        <v>21</v>
      </c>
    </row>
    <row r="5" spans="2:14">
      <c r="B5" s="1095" t="s">
        <v>643</v>
      </c>
      <c r="C5" s="1093">
        <v>127047.90000000001</v>
      </c>
      <c r="D5" s="1093">
        <v>5521.5</v>
      </c>
      <c r="E5" s="1093">
        <v>83518.722000000009</v>
      </c>
      <c r="F5" s="1093">
        <v>7500</v>
      </c>
      <c r="G5" s="1093">
        <v>6080</v>
      </c>
      <c r="H5" s="1093">
        <v>27750</v>
      </c>
      <c r="I5" s="1093">
        <v>0</v>
      </c>
      <c r="J5" s="1093">
        <v>0</v>
      </c>
      <c r="K5" s="1093">
        <v>1229800</v>
      </c>
      <c r="L5" s="1096">
        <v>1487218.122</v>
      </c>
      <c r="M5" s="1102">
        <v>286000</v>
      </c>
      <c r="N5" s="1105">
        <v>1.1870854735294116</v>
      </c>
    </row>
    <row r="6" spans="2:14">
      <c r="B6" s="1036">
        <v>2012</v>
      </c>
      <c r="C6" s="1085">
        <f>C16</f>
        <v>143400</v>
      </c>
      <c r="D6" s="1086">
        <f>C17</f>
        <v>17000</v>
      </c>
      <c r="E6" s="1086">
        <f>C36</f>
        <v>101100</v>
      </c>
      <c r="F6" s="1086">
        <f>C34</f>
        <v>4500</v>
      </c>
      <c r="G6" s="1086">
        <f>C24</f>
        <v>7200</v>
      </c>
      <c r="H6" s="1086">
        <f>C46</f>
        <v>14250</v>
      </c>
      <c r="I6" s="1086">
        <f>C32</f>
        <v>0</v>
      </c>
      <c r="J6" s="1086">
        <f>C26</f>
        <v>1900</v>
      </c>
      <c r="K6" s="1087">
        <f>C13</f>
        <v>320000</v>
      </c>
      <c r="L6" s="1087">
        <f>SUM(C6:K6)</f>
        <v>609350</v>
      </c>
      <c r="M6" s="1098">
        <v>100000</v>
      </c>
      <c r="N6" s="1105">
        <v>-0.60111123497996211</v>
      </c>
    </row>
    <row r="7" spans="2:14" s="3532" customFormat="1">
      <c r="B7" s="4262" t="s">
        <v>1168</v>
      </c>
      <c r="C7" s="1193">
        <v>143400</v>
      </c>
      <c r="D7" s="1194">
        <v>17000</v>
      </c>
      <c r="E7" s="1194">
        <v>101100</v>
      </c>
      <c r="F7" s="1194">
        <v>4500</v>
      </c>
      <c r="G7" s="1194">
        <v>7200</v>
      </c>
      <c r="H7" s="4258">
        <v>14250</v>
      </c>
      <c r="I7" s="4258">
        <v>0</v>
      </c>
      <c r="J7" s="4258">
        <v>1900</v>
      </c>
      <c r="K7" s="4259">
        <v>320000</v>
      </c>
      <c r="L7" s="1195">
        <v>609350</v>
      </c>
      <c r="M7" s="2933">
        <v>100000</v>
      </c>
      <c r="N7" s="1214"/>
    </row>
    <row r="8" spans="2:14" ht="13.5" thickBot="1">
      <c r="B8" s="4261" t="s">
        <v>1169</v>
      </c>
      <c r="C8" s="4208">
        <f>D16</f>
        <v>140700</v>
      </c>
      <c r="D8" s="4209">
        <f>D17</f>
        <v>17000</v>
      </c>
      <c r="E8" s="4209">
        <f>D36</f>
        <v>111500</v>
      </c>
      <c r="F8" s="4209">
        <f>D34</f>
        <v>4500</v>
      </c>
      <c r="G8" s="4209">
        <f>D24</f>
        <v>7200</v>
      </c>
      <c r="H8" s="4216">
        <f>D46</f>
        <v>14250</v>
      </c>
      <c r="I8" s="4210">
        <f>D32</f>
        <v>0</v>
      </c>
      <c r="J8" s="4210">
        <f>D26</f>
        <v>1900</v>
      </c>
      <c r="K8" s="4211">
        <f>D13</f>
        <v>325000</v>
      </c>
      <c r="L8" s="4212">
        <f>SUM(C8:K8)</f>
        <v>622050</v>
      </c>
      <c r="M8" s="4623">
        <f>G51</f>
        <v>156000</v>
      </c>
      <c r="N8" s="1105">
        <v>0</v>
      </c>
    </row>
    <row r="9" spans="2:14" ht="13.5" thickBot="1">
      <c r="B9" s="4260" t="s">
        <v>1175</v>
      </c>
      <c r="C9" s="4214">
        <f>SUM(C6+C8)</f>
        <v>284100</v>
      </c>
      <c r="D9" s="4214">
        <f t="shared" ref="D9:L9" si="0">SUM(D6+D8)</f>
        <v>34000</v>
      </c>
      <c r="E9" s="4214">
        <f t="shared" si="0"/>
        <v>212600</v>
      </c>
      <c r="F9" s="4214">
        <f t="shared" si="0"/>
        <v>9000</v>
      </c>
      <c r="G9" s="4214">
        <f t="shared" si="0"/>
        <v>14400</v>
      </c>
      <c r="H9" s="4214">
        <f t="shared" si="0"/>
        <v>28500</v>
      </c>
      <c r="I9" s="4214">
        <f t="shared" si="0"/>
        <v>0</v>
      </c>
      <c r="J9" s="4214">
        <f t="shared" si="0"/>
        <v>3800</v>
      </c>
      <c r="K9" s="4214">
        <f t="shared" si="0"/>
        <v>645000</v>
      </c>
      <c r="L9" s="4214">
        <f t="shared" si="0"/>
        <v>1231400</v>
      </c>
      <c r="M9" s="2933">
        <f>SUM(M6+M8)</f>
        <v>256000</v>
      </c>
      <c r="N9" s="1034"/>
    </row>
    <row r="10" spans="2:14" ht="20.25">
      <c r="B10" s="1043"/>
      <c r="C10" s="1058"/>
      <c r="D10" s="1058"/>
      <c r="E10" s="1058"/>
      <c r="F10" s="1058"/>
      <c r="G10" s="1067"/>
      <c r="H10" s="1059"/>
      <c r="I10" s="1059"/>
      <c r="J10" s="1034"/>
      <c r="K10" s="1034"/>
      <c r="L10" s="1034"/>
      <c r="M10" s="2952">
        <f>SUM(M6:M8)</f>
        <v>356000</v>
      </c>
      <c r="N10" s="1047"/>
    </row>
    <row r="11" spans="2:14" ht="18">
      <c r="B11" s="1044" t="s">
        <v>736</v>
      </c>
      <c r="C11" s="1067"/>
      <c r="D11" s="1067"/>
      <c r="E11" s="1067"/>
      <c r="F11" s="1057"/>
      <c r="G11" s="1057"/>
      <c r="H11" s="1057"/>
      <c r="I11" s="1057"/>
      <c r="J11" s="1034"/>
      <c r="K11" s="1034"/>
      <c r="L11" s="1034"/>
      <c r="M11" s="1034"/>
      <c r="N11" s="1034"/>
    </row>
    <row r="12" spans="2:14" ht="18">
      <c r="B12" s="1045"/>
      <c r="C12" s="1088">
        <v>2012</v>
      </c>
      <c r="D12" s="1089">
        <v>2013</v>
      </c>
      <c r="E12" s="1090" t="s">
        <v>28</v>
      </c>
      <c r="F12" s="1050"/>
      <c r="G12" s="1050"/>
      <c r="H12" s="1050"/>
      <c r="I12" s="3794"/>
      <c r="J12" s="3785"/>
      <c r="K12" s="3785"/>
      <c r="L12" s="1047"/>
      <c r="M12" s="1100"/>
      <c r="N12" s="1034"/>
    </row>
    <row r="13" spans="2:14" ht="28.5" customHeight="1">
      <c r="B13" s="3480"/>
      <c r="C13" s="2997">
        <v>320000</v>
      </c>
      <c r="D13" s="4615">
        <v>325000</v>
      </c>
      <c r="E13" s="2995">
        <f>SUM(C13:D13)</f>
        <v>645000</v>
      </c>
      <c r="F13" s="4370" t="s">
        <v>1419</v>
      </c>
      <c r="G13" s="1050"/>
      <c r="H13" s="1050"/>
      <c r="I13" s="3786"/>
      <c r="J13" s="3787"/>
      <c r="K13" s="3785"/>
      <c r="L13" s="1034"/>
      <c r="M13" s="1034"/>
      <c r="N13" s="1034"/>
    </row>
    <row r="14" spans="2:14" ht="18">
      <c r="B14" s="2958"/>
      <c r="C14" s="2977"/>
      <c r="D14" s="2953"/>
      <c r="E14" s="2978"/>
      <c r="F14" s="2963"/>
      <c r="G14" s="1050"/>
      <c r="H14" s="1050"/>
      <c r="I14" s="3786"/>
      <c r="J14" s="3788"/>
      <c r="K14" s="3785"/>
      <c r="L14" s="1034"/>
      <c r="M14" s="1034"/>
      <c r="N14" s="1034"/>
    </row>
    <row r="15" spans="2:14">
      <c r="B15" s="2957" t="s">
        <v>648</v>
      </c>
      <c r="C15" s="2979"/>
      <c r="D15" s="2953"/>
      <c r="E15" s="2978"/>
      <c r="F15" s="2960"/>
      <c r="G15" s="1048"/>
      <c r="H15" s="1048"/>
      <c r="I15" s="3786"/>
      <c r="J15" s="3788"/>
      <c r="K15" s="3782"/>
      <c r="L15" s="1034"/>
      <c r="M15" s="1034"/>
      <c r="N15" s="1034"/>
    </row>
    <row r="16" spans="2:14">
      <c r="B16" s="2962" t="s">
        <v>650</v>
      </c>
      <c r="C16" s="2998">
        <v>143400</v>
      </c>
      <c r="D16" s="4425">
        <v>140700</v>
      </c>
      <c r="E16" s="2990">
        <f>SUM(C16:D16)</f>
        <v>284100</v>
      </c>
      <c r="F16" s="2970">
        <v>1.58</v>
      </c>
      <c r="G16" s="1051" t="s">
        <v>651</v>
      </c>
      <c r="H16" s="1049"/>
      <c r="I16" s="3786"/>
      <c r="J16" s="3784"/>
      <c r="K16" s="3782"/>
      <c r="L16" s="1034"/>
      <c r="M16" s="1034"/>
      <c r="N16" s="1034"/>
    </row>
    <row r="17" spans="2:14">
      <c r="B17" s="2962" t="s">
        <v>655</v>
      </c>
      <c r="C17" s="2998">
        <v>17000</v>
      </c>
      <c r="D17" s="2992">
        <v>17000</v>
      </c>
      <c r="E17" s="2990">
        <f>SUM(C17:D17)</f>
        <v>34000</v>
      </c>
      <c r="F17" s="2970">
        <v>0.14000000000000001</v>
      </c>
      <c r="G17" s="1051" t="s">
        <v>651</v>
      </c>
      <c r="H17" s="1049"/>
      <c r="I17" s="3786"/>
      <c r="J17" s="3784"/>
      <c r="K17" s="3782"/>
      <c r="L17" s="1034"/>
      <c r="M17" s="1034"/>
      <c r="N17" s="1034"/>
    </row>
    <row r="18" spans="2:14">
      <c r="B18" s="2962"/>
      <c r="C18" s="2980"/>
      <c r="D18" s="2953"/>
      <c r="E18" s="2978"/>
      <c r="F18" s="2961"/>
      <c r="G18" s="1049"/>
      <c r="H18" s="1049"/>
      <c r="I18" s="3786"/>
      <c r="J18" s="3784"/>
      <c r="K18" s="3782"/>
      <c r="L18" s="1034"/>
      <c r="M18" s="1101"/>
    </row>
    <row r="19" spans="2:14">
      <c r="B19" s="2957" t="s">
        <v>481</v>
      </c>
      <c r="C19" s="2979"/>
      <c r="D19" s="2953"/>
      <c r="E19" s="2978"/>
      <c r="F19" s="2960"/>
      <c r="G19" s="1048"/>
      <c r="H19" s="1049"/>
      <c r="I19" s="3786"/>
      <c r="J19" s="3784"/>
      <c r="K19" s="3782"/>
      <c r="L19" s="1034"/>
      <c r="M19" s="1034"/>
    </row>
    <row r="20" spans="2:14">
      <c r="B20" s="2951" t="s">
        <v>656</v>
      </c>
      <c r="C20" s="2985">
        <v>2200</v>
      </c>
      <c r="D20" s="2992">
        <v>2200</v>
      </c>
      <c r="E20" s="2990">
        <f>SUM(C20:D20)</f>
        <v>4400</v>
      </c>
      <c r="F20" s="2971"/>
      <c r="G20" s="1060"/>
      <c r="H20" s="1048"/>
      <c r="I20" s="3786"/>
      <c r="J20" s="3784"/>
      <c r="K20" s="3782"/>
      <c r="L20" s="1034"/>
      <c r="M20" s="1034"/>
    </row>
    <row r="21" spans="2:14">
      <c r="B21" s="2962" t="s">
        <v>657</v>
      </c>
      <c r="C21" s="2981">
        <v>3500</v>
      </c>
      <c r="D21" s="2992">
        <v>3500</v>
      </c>
      <c r="E21" s="3159">
        <f t="shared" ref="E21:E23" si="1">SUM(C21:D21)</f>
        <v>7000</v>
      </c>
      <c r="F21" s="2951"/>
      <c r="G21" s="1048"/>
      <c r="H21" s="1060"/>
      <c r="I21" s="3786"/>
      <c r="J21" s="3793"/>
      <c r="K21" s="3782"/>
      <c r="L21" s="1034"/>
      <c r="M21" s="1034"/>
    </row>
    <row r="22" spans="2:14">
      <c r="B22" s="2962" t="s">
        <v>658</v>
      </c>
      <c r="C22" s="2985">
        <v>800</v>
      </c>
      <c r="D22" s="2992">
        <v>800</v>
      </c>
      <c r="E22" s="3159">
        <f t="shared" si="1"/>
        <v>1600</v>
      </c>
      <c r="F22" s="2960"/>
      <c r="G22" s="1048"/>
      <c r="H22" s="1048"/>
      <c r="I22" s="3782"/>
      <c r="J22" s="3783"/>
      <c r="K22" s="3782"/>
      <c r="L22" s="1034"/>
      <c r="M22" s="1034"/>
    </row>
    <row r="23" spans="2:14">
      <c r="B23" s="2962" t="s">
        <v>660</v>
      </c>
      <c r="C23" s="2985">
        <v>700</v>
      </c>
      <c r="D23" s="2992">
        <v>700</v>
      </c>
      <c r="E23" s="3159">
        <f t="shared" si="1"/>
        <v>1400</v>
      </c>
      <c r="F23" s="2960"/>
      <c r="G23" s="1048"/>
      <c r="H23" s="1061"/>
      <c r="I23" s="3786"/>
      <c r="J23" s="3798"/>
      <c r="K23" s="3782"/>
      <c r="L23" s="1034"/>
      <c r="M23" s="1034"/>
    </row>
    <row r="24" spans="2:14">
      <c r="B24" s="2951"/>
      <c r="C24" s="2982">
        <f>SUM(C20:C23)</f>
        <v>7200</v>
      </c>
      <c r="D24" s="2968">
        <f>SUM(D20:D23)</f>
        <v>7200</v>
      </c>
      <c r="E24" s="2996">
        <f>SUM(E20:E23)</f>
        <v>14400</v>
      </c>
      <c r="F24" s="2960"/>
      <c r="G24" s="1048"/>
      <c r="H24" s="1061"/>
      <c r="I24" s="3791"/>
      <c r="J24" s="3796"/>
      <c r="K24" s="3789"/>
      <c r="L24" s="1034"/>
      <c r="M24" s="1034"/>
    </row>
    <row r="25" spans="2:14">
      <c r="B25" s="2953"/>
      <c r="C25" s="2988"/>
      <c r="D25" s="2953"/>
      <c r="E25" s="2978"/>
      <c r="F25" s="2960"/>
      <c r="G25" s="1048"/>
      <c r="H25" s="1061"/>
      <c r="I25" s="3791"/>
      <c r="J25" s="3795"/>
      <c r="K25" s="3792"/>
      <c r="L25" s="1034"/>
      <c r="M25" s="1034"/>
    </row>
    <row r="26" spans="2:14">
      <c r="B26" s="2957" t="s">
        <v>649</v>
      </c>
      <c r="C26" s="2982">
        <v>1900</v>
      </c>
      <c r="D26" s="2976">
        <v>1900</v>
      </c>
      <c r="E26" s="2996">
        <f>SUM(C26:D26)</f>
        <v>3800</v>
      </c>
      <c r="F26" s="2960"/>
      <c r="G26" s="1048"/>
      <c r="H26" s="1061"/>
      <c r="I26" s="3791"/>
      <c r="J26" s="3795"/>
      <c r="K26" s="3792"/>
      <c r="L26" s="1034"/>
      <c r="M26" s="1034"/>
    </row>
    <row r="27" spans="2:14">
      <c r="B27" s="2953"/>
      <c r="C27" s="2988"/>
      <c r="D27" s="2953"/>
      <c r="E27" s="2978"/>
      <c r="F27" s="2960"/>
      <c r="G27" s="1048"/>
      <c r="H27" s="1061"/>
      <c r="I27" s="3790"/>
      <c r="J27" s="3797"/>
      <c r="K27" s="3792"/>
      <c r="L27" s="1034"/>
      <c r="M27" s="1034"/>
    </row>
    <row r="28" spans="2:14">
      <c r="B28" s="2956" t="s">
        <v>652</v>
      </c>
      <c r="C28" s="2988"/>
      <c r="D28" s="2953"/>
      <c r="E28" s="2978"/>
      <c r="F28" s="2972"/>
      <c r="G28" s="1061"/>
      <c r="H28" s="1061"/>
      <c r="I28" s="1055"/>
      <c r="J28" s="1064"/>
      <c r="K28" s="1056"/>
      <c r="L28" s="1034"/>
      <c r="M28" s="1034"/>
    </row>
    <row r="29" spans="2:14">
      <c r="B29" s="2951" t="s">
        <v>661</v>
      </c>
      <c r="C29" s="2988">
        <v>0</v>
      </c>
      <c r="D29" s="2992">
        <v>0</v>
      </c>
      <c r="E29" s="2990">
        <v>0</v>
      </c>
      <c r="F29" s="2972"/>
      <c r="G29" s="1061"/>
      <c r="H29" s="1061"/>
      <c r="I29" s="1050"/>
      <c r="J29" s="1034"/>
      <c r="K29" s="1034"/>
      <c r="L29" s="1034"/>
      <c r="M29" s="1034"/>
    </row>
    <row r="30" spans="2:14">
      <c r="B30" s="2951" t="s">
        <v>662</v>
      </c>
      <c r="C30" s="2988">
        <v>0</v>
      </c>
      <c r="D30" s="2992">
        <v>0</v>
      </c>
      <c r="E30" s="2990">
        <v>0</v>
      </c>
      <c r="F30" s="2972"/>
      <c r="G30" s="1061"/>
      <c r="H30" s="1061"/>
      <c r="I30" s="1050"/>
      <c r="J30" s="1034"/>
      <c r="K30" s="1034"/>
      <c r="L30" s="1034"/>
      <c r="M30" s="1034"/>
    </row>
    <row r="31" spans="2:14">
      <c r="B31" s="2953" t="s">
        <v>663</v>
      </c>
      <c r="C31" s="2988">
        <v>0</v>
      </c>
      <c r="D31" s="2992">
        <v>0</v>
      </c>
      <c r="E31" s="2990">
        <v>0</v>
      </c>
      <c r="F31" s="2972"/>
      <c r="G31" s="1061"/>
      <c r="H31" s="1061"/>
      <c r="I31" s="1050"/>
      <c r="J31" s="1034"/>
      <c r="K31" s="1034"/>
      <c r="L31" s="1034"/>
      <c r="M31" s="1034"/>
    </row>
    <row r="32" spans="2:14">
      <c r="B32" s="2956" t="s">
        <v>664</v>
      </c>
      <c r="C32" s="2983">
        <v>0</v>
      </c>
      <c r="D32" s="2964">
        <v>0</v>
      </c>
      <c r="E32" s="2996">
        <v>0</v>
      </c>
      <c r="F32" s="2972"/>
      <c r="G32" s="1061"/>
      <c r="H32" s="1061"/>
      <c r="I32" s="1050"/>
      <c r="J32" s="1034"/>
      <c r="K32" s="1034"/>
      <c r="L32" s="1034"/>
      <c r="M32" s="1034"/>
    </row>
    <row r="33" spans="2:13">
      <c r="B33" s="2953"/>
      <c r="C33" s="2988"/>
      <c r="D33" s="2953"/>
      <c r="E33" s="2978"/>
      <c r="F33" s="2972"/>
      <c r="G33" s="1061"/>
      <c r="H33" s="1061"/>
      <c r="I33" s="1050"/>
      <c r="J33" s="1034"/>
      <c r="K33" s="1034"/>
      <c r="L33" s="1034"/>
      <c r="M33" s="1034"/>
    </row>
    <row r="34" spans="2:13">
      <c r="B34" s="2956" t="s">
        <v>654</v>
      </c>
      <c r="C34" s="2983">
        <v>4500</v>
      </c>
      <c r="D34" s="2993">
        <v>4500</v>
      </c>
      <c r="E34" s="2996">
        <f>SUM(C34:D34)</f>
        <v>9000</v>
      </c>
      <c r="F34" s="2972"/>
      <c r="G34" s="1061"/>
      <c r="H34" s="1061"/>
      <c r="I34" s="1050"/>
    </row>
    <row r="35" spans="2:13">
      <c r="B35" s="2953"/>
      <c r="C35" s="2988"/>
      <c r="D35" s="2953"/>
      <c r="E35" s="2978"/>
      <c r="F35" s="2972"/>
      <c r="G35" s="1062"/>
      <c r="H35" s="1061"/>
      <c r="I35" s="1050"/>
    </row>
    <row r="36" spans="2:13">
      <c r="B36" s="4429" t="s">
        <v>1438</v>
      </c>
      <c r="C36" s="3106">
        <f>ROUND(SUM(C16:C17)*0.63, -2)</f>
        <v>101100</v>
      </c>
      <c r="D36" s="4629">
        <f>ROUND(SUM(D16:D17)*0.707, -2)</f>
        <v>111500</v>
      </c>
      <c r="E36" s="2996">
        <f>SUM(C36:D36)</f>
        <v>212600</v>
      </c>
      <c r="F36" s="2972"/>
      <c r="G36" s="1062"/>
      <c r="H36" s="1061"/>
      <c r="I36" s="1050"/>
    </row>
    <row r="37" spans="2:13">
      <c r="B37" s="2953"/>
      <c r="C37" s="2988"/>
      <c r="D37" s="2973"/>
      <c r="E37" s="2989"/>
      <c r="F37" s="2988"/>
      <c r="G37" s="1035"/>
      <c r="H37" s="1061"/>
      <c r="I37" s="1050"/>
    </row>
    <row r="38" spans="2:13">
      <c r="B38" s="2954" t="s">
        <v>14</v>
      </c>
      <c r="C38" s="2988"/>
      <c r="D38" s="2973"/>
      <c r="E38" s="2989"/>
      <c r="F38" s="2972"/>
      <c r="G38" s="1035"/>
      <c r="H38" s="1061"/>
      <c r="I38" s="1046"/>
    </row>
    <row r="39" spans="2:13">
      <c r="B39" s="2967" t="s">
        <v>737</v>
      </c>
      <c r="C39" s="2985"/>
      <c r="D39" s="2974"/>
      <c r="E39" s="2986">
        <v>0</v>
      </c>
      <c r="F39" s="2972"/>
      <c r="G39" s="1035"/>
      <c r="H39" s="1061"/>
      <c r="I39" s="1046"/>
    </row>
    <row r="40" spans="2:13">
      <c r="B40" s="2951" t="s">
        <v>685</v>
      </c>
      <c r="C40" s="2985">
        <v>6000</v>
      </c>
      <c r="D40" s="2974">
        <v>6000</v>
      </c>
      <c r="E40" s="2986">
        <f>SUM(C40:D40)</f>
        <v>12000</v>
      </c>
      <c r="F40" s="2972"/>
      <c r="G40" s="1035"/>
      <c r="H40" s="1061"/>
      <c r="I40" s="1046"/>
    </row>
    <row r="41" spans="2:13">
      <c r="B41" s="2967" t="s">
        <v>686</v>
      </c>
      <c r="C41" s="2985">
        <v>8250</v>
      </c>
      <c r="D41" s="2974">
        <v>8250</v>
      </c>
      <c r="E41" s="3158">
        <f t="shared" ref="E41:E45" si="2">SUM(C41:D41)</f>
        <v>16500</v>
      </c>
      <c r="F41" s="2972"/>
      <c r="G41" s="1035"/>
      <c r="H41" s="1061"/>
      <c r="I41" s="1046"/>
    </row>
    <row r="42" spans="2:13">
      <c r="B42" s="2967" t="s">
        <v>687</v>
      </c>
      <c r="C42" s="2985">
        <v>0</v>
      </c>
      <c r="D42" s="2974">
        <v>0</v>
      </c>
      <c r="E42" s="3158">
        <f t="shared" si="2"/>
        <v>0</v>
      </c>
      <c r="F42" s="2972"/>
      <c r="G42" s="1035"/>
      <c r="H42" s="1061"/>
      <c r="I42" s="1046"/>
    </row>
    <row r="43" spans="2:13">
      <c r="B43" s="2967" t="s">
        <v>688</v>
      </c>
      <c r="C43" s="2985">
        <v>0</v>
      </c>
      <c r="D43" s="2974">
        <v>0</v>
      </c>
      <c r="E43" s="3158">
        <f t="shared" si="2"/>
        <v>0</v>
      </c>
      <c r="F43" s="2972"/>
      <c r="G43" s="1062"/>
      <c r="H43" s="1061"/>
      <c r="I43" s="1046"/>
    </row>
    <row r="44" spans="2:13">
      <c r="B44" s="2967" t="s">
        <v>698</v>
      </c>
      <c r="C44" s="2985">
        <v>0</v>
      </c>
      <c r="D44" s="2974">
        <v>0</v>
      </c>
      <c r="E44" s="3158">
        <f t="shared" si="2"/>
        <v>0</v>
      </c>
      <c r="F44" s="2972"/>
      <c r="G44" s="1062"/>
      <c r="H44" s="1061"/>
      <c r="I44" s="1046"/>
    </row>
    <row r="45" spans="2:13">
      <c r="B45" s="2967" t="s">
        <v>699</v>
      </c>
      <c r="C45" s="2985">
        <v>0</v>
      </c>
      <c r="D45" s="2974">
        <v>0</v>
      </c>
      <c r="E45" s="3158">
        <f t="shared" si="2"/>
        <v>0</v>
      </c>
      <c r="F45" s="2951"/>
      <c r="G45" s="1062"/>
      <c r="H45" s="1061"/>
      <c r="I45" s="1046"/>
    </row>
    <row r="46" spans="2:13">
      <c r="B46" s="2965" t="s">
        <v>672</v>
      </c>
      <c r="C46" s="2982">
        <f>SUM(C40:C45)</f>
        <v>14250</v>
      </c>
      <c r="D46" s="2982">
        <f>SUM(D40:D45)</f>
        <v>14250</v>
      </c>
      <c r="E46" s="2987">
        <f>SUM(E39:E45)</f>
        <v>28500</v>
      </c>
      <c r="F46" s="2972"/>
      <c r="G46" s="1062"/>
      <c r="H46" s="1061"/>
      <c r="I46" s="1046"/>
    </row>
    <row r="47" spans="2:13" ht="13.5" thickBot="1">
      <c r="B47" s="2959"/>
      <c r="C47" s="2985"/>
      <c r="D47" s="2974"/>
      <c r="E47" s="2986"/>
      <c r="F47" s="2972"/>
      <c r="G47" s="1062"/>
      <c r="H47" s="1061"/>
      <c r="I47" s="1046"/>
    </row>
    <row r="48" spans="2:13" ht="13.5" thickBot="1">
      <c r="B48" s="2965" t="s">
        <v>673</v>
      </c>
      <c r="C48" s="2984">
        <f>C13+C16+C17+C24++C26+C32+C34+C36+C46</f>
        <v>609350</v>
      </c>
      <c r="D48" s="3037">
        <f t="shared" ref="D48:E48" si="3">D13+D16+D17+D24++D26+D32+D34+D36+D46</f>
        <v>622050</v>
      </c>
      <c r="E48" s="3037">
        <f t="shared" si="3"/>
        <v>1231400</v>
      </c>
      <c r="F48" s="2972"/>
      <c r="G48" s="1061"/>
      <c r="H48" s="1061"/>
      <c r="I48" s="1046"/>
    </row>
    <row r="49" spans="2:10">
      <c r="B49" s="2955"/>
      <c r="C49" s="2974"/>
      <c r="D49" s="2974"/>
      <c r="E49" s="2974"/>
      <c r="F49" s="2972"/>
      <c r="G49" s="1061"/>
      <c r="H49" s="1061"/>
      <c r="I49" s="1046"/>
    </row>
    <row r="50" spans="2:10">
      <c r="B50" s="2951"/>
      <c r="C50" s="2991">
        <v>2012</v>
      </c>
      <c r="D50" s="2991">
        <v>2013</v>
      </c>
      <c r="E50" s="2991" t="s">
        <v>28</v>
      </c>
      <c r="F50" s="2951"/>
      <c r="G50" s="4668" t="s">
        <v>1318</v>
      </c>
      <c r="H50" s="1061"/>
      <c r="I50" s="1046"/>
      <c r="J50" s="1034"/>
    </row>
    <row r="51" spans="2:10" ht="32.25" customHeight="1">
      <c r="B51" s="3481"/>
      <c r="C51" s="2969">
        <v>100000</v>
      </c>
      <c r="D51" s="4660">
        <v>100000</v>
      </c>
      <c r="E51" s="2969">
        <v>200000</v>
      </c>
      <c r="F51" s="2968" t="s">
        <v>559</v>
      </c>
      <c r="G51" s="4667">
        <v>156000</v>
      </c>
      <c r="H51" s="1063"/>
      <c r="I51" s="1052"/>
      <c r="J51" s="1037"/>
    </row>
    <row r="52" spans="2:10">
      <c r="B52" s="2951"/>
      <c r="C52" s="2974"/>
      <c r="D52" s="2974"/>
      <c r="E52" s="2974"/>
      <c r="F52" s="2966"/>
      <c r="G52" s="1053"/>
      <c r="H52" s="1053"/>
      <c r="I52" s="1053"/>
      <c r="J52" s="1037"/>
    </row>
    <row r="53" spans="2:10">
      <c r="B53" s="2975" t="s">
        <v>680</v>
      </c>
      <c r="C53" s="2994">
        <v>0.5</v>
      </c>
      <c r="D53" s="2994">
        <v>0.5</v>
      </c>
      <c r="E53" s="2966"/>
      <c r="F53" s="2966"/>
      <c r="G53" s="1053"/>
      <c r="H53" s="1053"/>
      <c r="I53" s="1053"/>
      <c r="J53" s="1037"/>
    </row>
    <row r="54" spans="2:10">
      <c r="B54" s="1034"/>
      <c r="C54" s="1053"/>
      <c r="D54" s="1053"/>
      <c r="E54" s="1053"/>
      <c r="F54" s="1063"/>
      <c r="G54" s="1053"/>
      <c r="H54" s="1053"/>
      <c r="I54" s="1053"/>
      <c r="J54" s="1037"/>
    </row>
    <row r="55" spans="2:10" ht="20.25">
      <c r="B55" s="1084"/>
      <c r="C55" s="1054"/>
      <c r="D55" s="1054"/>
      <c r="E55" s="1054"/>
      <c r="F55" s="1063"/>
      <c r="G55" s="1053"/>
      <c r="H55" s="1053"/>
      <c r="I55" s="1053"/>
      <c r="J55" s="1037"/>
    </row>
    <row r="56" spans="2:10">
      <c r="B56" s="1037"/>
      <c r="C56" s="1037"/>
      <c r="D56" s="1037"/>
      <c r="E56" s="1037"/>
      <c r="F56" s="1063"/>
      <c r="G56" s="1053"/>
      <c r="H56" s="1053"/>
      <c r="I56" s="1053"/>
      <c r="J56" s="1037"/>
    </row>
    <row r="57" spans="2:10" ht="20.25">
      <c r="B57" s="1043"/>
      <c r="C57" s="1037"/>
      <c r="D57" s="1037"/>
      <c r="E57" s="1037"/>
      <c r="F57" s="1063"/>
      <c r="G57" s="1063"/>
      <c r="H57" s="1053"/>
      <c r="I57" s="1053"/>
      <c r="J57" s="1037"/>
    </row>
    <row r="58" spans="2:10">
      <c r="B58" s="1037"/>
      <c r="C58" s="1037"/>
      <c r="D58" s="1037"/>
      <c r="E58" s="1037"/>
      <c r="F58" s="1037"/>
      <c r="G58" s="1042"/>
      <c r="H58" s="1063"/>
      <c r="I58" s="1053"/>
      <c r="J58" s="1037"/>
    </row>
    <row r="59" spans="2:10">
      <c r="B59" s="1037"/>
      <c r="C59" s="1040"/>
      <c r="D59" s="1040"/>
      <c r="E59" s="1040"/>
      <c r="F59" s="1037"/>
      <c r="G59" s="1040"/>
      <c r="H59" s="1063"/>
      <c r="I59" s="1052"/>
      <c r="J59" s="1037"/>
    </row>
    <row r="60" spans="2:10">
      <c r="B60" s="1041"/>
      <c r="C60" s="1075"/>
      <c r="D60" s="1075"/>
      <c r="E60" s="1075"/>
      <c r="F60" s="1037"/>
      <c r="G60" s="1076"/>
      <c r="H60" s="1063"/>
      <c r="I60" s="1052"/>
      <c r="J60" s="1037"/>
    </row>
    <row r="61" spans="2:10">
      <c r="B61" s="1041"/>
      <c r="C61" s="1075"/>
      <c r="D61" s="1075"/>
      <c r="E61" s="1075"/>
      <c r="F61" s="1037"/>
      <c r="G61" s="1076"/>
      <c r="H61" s="1063"/>
      <c r="I61" s="1052"/>
      <c r="J61" s="1037"/>
    </row>
    <row r="62" spans="2:10">
      <c r="B62" s="1041"/>
      <c r="C62" s="1075"/>
      <c r="D62" s="1075"/>
      <c r="E62" s="1075"/>
      <c r="F62" s="1037"/>
      <c r="G62" s="1076"/>
      <c r="H62" s="1063"/>
      <c r="I62" s="1052"/>
      <c r="J62" s="1037"/>
    </row>
    <row r="63" spans="2:10">
      <c r="B63" s="1041"/>
      <c r="C63" s="1075"/>
      <c r="D63" s="1075"/>
      <c r="E63" s="1075"/>
      <c r="F63" s="1037"/>
      <c r="G63" s="1076"/>
      <c r="H63" s="1063"/>
      <c r="I63" s="1052"/>
      <c r="J63" s="1037"/>
    </row>
    <row r="64" spans="2:10">
      <c r="B64" s="1041"/>
      <c r="C64" s="1075"/>
      <c r="D64" s="1075"/>
      <c r="E64" s="1075"/>
      <c r="F64" s="1037"/>
      <c r="G64" s="1076"/>
      <c r="H64" s="1063"/>
      <c r="I64" s="1052"/>
      <c r="J64" s="1037"/>
    </row>
    <row r="65" spans="2:10">
      <c r="B65" s="1041"/>
      <c r="C65" s="1075"/>
      <c r="D65" s="1075"/>
      <c r="E65" s="1075"/>
      <c r="F65" s="1037"/>
      <c r="G65" s="1076"/>
      <c r="H65" s="1063"/>
      <c r="I65" s="1052"/>
      <c r="J65" s="1037"/>
    </row>
    <row r="66" spans="2:10">
      <c r="B66" s="1037"/>
      <c r="C66" s="1068"/>
      <c r="D66" s="1068"/>
      <c r="E66" s="1068"/>
      <c r="F66" s="1037"/>
      <c r="G66" s="1077"/>
      <c r="H66" s="1063"/>
      <c r="I66" s="1052"/>
      <c r="J66" s="1037"/>
    </row>
    <row r="67" spans="2:10">
      <c r="B67" s="1037"/>
      <c r="C67" s="1037"/>
      <c r="D67" s="1037"/>
      <c r="E67" s="1037"/>
      <c r="F67" s="1063"/>
      <c r="G67" s="1063"/>
      <c r="H67" s="1063"/>
      <c r="I67" s="1052"/>
      <c r="J67" s="1037"/>
    </row>
    <row r="68" spans="2:10" ht="18">
      <c r="B68" s="1074"/>
      <c r="C68" s="1037"/>
      <c r="D68" s="1037"/>
      <c r="E68" s="1037"/>
      <c r="F68" s="1063"/>
      <c r="G68" s="1078"/>
      <c r="H68" s="1063"/>
      <c r="I68" s="1052"/>
      <c r="J68" s="1037"/>
    </row>
    <row r="69" spans="2:10">
      <c r="B69" s="1037"/>
      <c r="C69" s="1037"/>
      <c r="D69" s="1037"/>
      <c r="E69" s="1037"/>
      <c r="F69" s="1063"/>
      <c r="G69" s="1066"/>
      <c r="H69" s="1063"/>
      <c r="I69" s="1052"/>
      <c r="J69" s="1037"/>
    </row>
    <row r="70" spans="2:10" ht="18.75">
      <c r="B70" s="1079"/>
      <c r="C70" s="1078"/>
      <c r="D70" s="1078"/>
      <c r="E70" s="1078"/>
      <c r="F70" s="1078"/>
      <c r="G70" s="1065"/>
      <c r="H70" s="1063"/>
      <c r="I70" s="1052"/>
      <c r="J70" s="1037"/>
    </row>
    <row r="71" spans="2:10">
      <c r="B71" s="1080"/>
      <c r="C71" s="1081"/>
      <c r="D71" s="1081"/>
      <c r="E71" s="1081"/>
      <c r="F71" s="1070"/>
      <c r="G71" s="1071"/>
      <c r="H71" s="1063"/>
      <c r="I71" s="1052"/>
      <c r="J71" s="1037"/>
    </row>
    <row r="72" spans="2:10">
      <c r="B72" s="1080"/>
      <c r="C72" s="1081"/>
      <c r="D72" s="1081"/>
      <c r="E72" s="1081"/>
      <c r="F72" s="1070"/>
      <c r="G72" s="1072"/>
      <c r="H72" s="1063"/>
      <c r="I72" s="1052"/>
      <c r="J72" s="1037"/>
    </row>
    <row r="73" spans="2:10">
      <c r="B73" s="1080"/>
      <c r="C73" s="1081"/>
      <c r="D73" s="1081"/>
      <c r="E73" s="1081"/>
      <c r="F73" s="1070"/>
      <c r="G73" s="1073"/>
      <c r="H73" s="1063"/>
      <c r="I73" s="1052"/>
      <c r="J73" s="1037"/>
    </row>
    <row r="74" spans="2:10">
      <c r="B74" s="1080"/>
      <c r="C74" s="1081"/>
      <c r="D74" s="1081"/>
      <c r="E74" s="1081"/>
      <c r="F74" s="1070"/>
      <c r="G74" s="1073"/>
      <c r="H74" s="1063"/>
      <c r="I74" s="1052"/>
      <c r="J74" s="1037"/>
    </row>
    <row r="75" spans="2:10">
      <c r="B75" s="1080"/>
      <c r="C75" s="1081"/>
      <c r="D75" s="1081"/>
      <c r="E75" s="1081"/>
      <c r="F75" s="1070"/>
      <c r="G75" s="1053"/>
      <c r="H75" s="1063"/>
      <c r="I75" s="1052"/>
      <c r="J75" s="1037"/>
    </row>
    <row r="76" spans="2:10" ht="18">
      <c r="B76" s="1080"/>
      <c r="C76" s="1081"/>
      <c r="D76" s="1081"/>
      <c r="E76" s="1081"/>
      <c r="F76" s="1070"/>
      <c r="G76" s="1078"/>
      <c r="H76" s="1063"/>
      <c r="I76" s="1052"/>
      <c r="J76" s="1037"/>
    </row>
    <row r="77" spans="2:10">
      <c r="B77" s="1037"/>
      <c r="C77" s="1037"/>
      <c r="D77" s="1037"/>
      <c r="E77" s="1037"/>
      <c r="F77" s="1053"/>
      <c r="G77" s="1066"/>
      <c r="H77" s="1063"/>
      <c r="I77" s="1052"/>
      <c r="J77" s="1037"/>
    </row>
    <row r="78" spans="2:10" ht="18">
      <c r="B78" s="1082"/>
      <c r="C78" s="1078"/>
      <c r="D78" s="1078"/>
      <c r="E78" s="1078"/>
      <c r="F78" s="1078"/>
      <c r="G78" s="1065"/>
      <c r="H78" s="1053"/>
      <c r="I78" s="1053"/>
      <c r="J78" s="1037"/>
    </row>
    <row r="79" spans="2:10">
      <c r="B79" s="5139"/>
      <c r="C79" s="5140"/>
      <c r="D79" s="5140"/>
      <c r="E79" s="5140"/>
      <c r="F79" s="5140"/>
      <c r="G79" s="1071"/>
      <c r="H79" s="1053"/>
      <c r="I79" s="1053"/>
      <c r="J79" s="1037"/>
    </row>
    <row r="80" spans="2:10">
      <c r="B80" s="5139"/>
      <c r="C80" s="5140"/>
      <c r="D80" s="5140"/>
      <c r="E80" s="5140"/>
      <c r="F80" s="5140"/>
      <c r="G80" s="1083"/>
      <c r="H80" s="1053"/>
      <c r="I80" s="1053"/>
      <c r="J80" s="1037"/>
    </row>
    <row r="81" spans="2:10">
      <c r="B81" s="5139"/>
      <c r="C81" s="5140"/>
      <c r="D81" s="5140"/>
      <c r="E81" s="5140"/>
      <c r="F81" s="5140"/>
      <c r="G81" s="1083"/>
      <c r="H81" s="1053"/>
      <c r="I81" s="1053"/>
      <c r="J81" s="1037"/>
    </row>
    <row r="82" spans="2:10">
      <c r="B82" s="5139"/>
      <c r="C82" s="5140"/>
      <c r="D82" s="5140"/>
      <c r="E82" s="5140"/>
      <c r="F82" s="5140"/>
      <c r="G82" s="1083"/>
      <c r="H82" s="1053"/>
      <c r="I82" s="1053"/>
      <c r="J82" s="1037"/>
    </row>
    <row r="83" spans="2:10">
      <c r="B83" s="5139"/>
      <c r="C83" s="5140"/>
      <c r="D83" s="5140"/>
      <c r="E83" s="5140"/>
      <c r="F83" s="5140"/>
      <c r="G83" s="1037"/>
      <c r="H83" s="1053"/>
      <c r="I83" s="1053"/>
      <c r="J83" s="1037"/>
    </row>
    <row r="84" spans="2:10" ht="15.75">
      <c r="B84" s="5139"/>
      <c r="C84" s="5140"/>
      <c r="D84" s="5140"/>
      <c r="E84" s="5140"/>
      <c r="F84" s="5140"/>
      <c r="G84" s="1065"/>
      <c r="H84" s="1054"/>
      <c r="I84" s="1054"/>
      <c r="J84" s="1037"/>
    </row>
    <row r="85" spans="2:10">
      <c r="B85" s="1037"/>
      <c r="C85" s="1037"/>
      <c r="D85" s="1037"/>
      <c r="E85" s="1037"/>
      <c r="F85" s="1037"/>
      <c r="G85" s="1066"/>
      <c r="H85" s="1037"/>
      <c r="I85" s="1037"/>
      <c r="J85" s="1037"/>
    </row>
    <row r="86" spans="2:10">
      <c r="B86" s="1037"/>
      <c r="C86" s="1069"/>
      <c r="D86" s="1069"/>
      <c r="E86" s="1069"/>
      <c r="F86" s="1037"/>
      <c r="G86" s="1065"/>
      <c r="H86" s="1037"/>
      <c r="I86" s="1037"/>
      <c r="J86" s="1037"/>
    </row>
    <row r="87" spans="2:10">
      <c r="B87" s="1037"/>
      <c r="C87" s="1069"/>
      <c r="D87" s="1069"/>
      <c r="E87" s="1069"/>
      <c r="F87" s="1037"/>
      <c r="G87" s="1037"/>
      <c r="H87" s="1037"/>
      <c r="I87" s="1037"/>
      <c r="J87" s="1037"/>
    </row>
    <row r="88" spans="2:10">
      <c r="B88" s="1037"/>
      <c r="C88" s="1037"/>
      <c r="D88" s="1037"/>
      <c r="E88" s="1037"/>
      <c r="F88" s="1037"/>
      <c r="G88" s="1037"/>
      <c r="H88" s="1037"/>
      <c r="I88" s="1037"/>
      <c r="J88" s="1037"/>
    </row>
    <row r="89" spans="2:10">
      <c r="B89" s="1037"/>
      <c r="C89" s="1037"/>
      <c r="D89" s="1037"/>
      <c r="E89" s="1037"/>
      <c r="F89" s="1037"/>
      <c r="G89" s="1037"/>
      <c r="H89" s="1037"/>
      <c r="I89" s="1037"/>
      <c r="J89" s="1037"/>
    </row>
    <row r="90" spans="2:10">
      <c r="B90" s="1037"/>
      <c r="C90" s="1037"/>
      <c r="D90" s="1037"/>
      <c r="E90" s="1037"/>
      <c r="F90" s="1037"/>
      <c r="G90" s="1037"/>
      <c r="H90" s="1037"/>
      <c r="I90" s="1037"/>
      <c r="J90" s="1037"/>
    </row>
    <row r="91" spans="2:10">
      <c r="B91" s="1037"/>
      <c r="C91" s="1037"/>
      <c r="D91" s="1037"/>
      <c r="E91" s="1037"/>
      <c r="F91" s="1037"/>
      <c r="G91" s="1037"/>
      <c r="H91" s="1037"/>
      <c r="I91" s="1037"/>
      <c r="J91" s="1037"/>
    </row>
    <row r="92" spans="2:10">
      <c r="B92" s="1074"/>
      <c r="C92" s="1037"/>
      <c r="D92" s="1037"/>
      <c r="E92" s="1037"/>
      <c r="F92" s="1037"/>
      <c r="G92" s="1037"/>
      <c r="H92" s="1037"/>
      <c r="I92" s="1037"/>
      <c r="J92" s="1037"/>
    </row>
    <row r="93" spans="2:10">
      <c r="B93" s="1037"/>
      <c r="C93" s="1037"/>
      <c r="D93" s="1037"/>
      <c r="E93" s="1037"/>
      <c r="F93" s="1037"/>
      <c r="G93" s="1037"/>
      <c r="H93" s="1037"/>
      <c r="I93" s="1037"/>
      <c r="J93" s="1037"/>
    </row>
    <row r="94" spans="2:10">
      <c r="B94" s="1037"/>
      <c r="C94" s="1037"/>
      <c r="D94" s="1037"/>
      <c r="E94" s="1037"/>
      <c r="F94" s="1037"/>
      <c r="G94" s="1037"/>
      <c r="H94" s="1037"/>
      <c r="I94" s="1037"/>
      <c r="J94" s="1037"/>
    </row>
    <row r="95" spans="2:10">
      <c r="B95" s="1037"/>
      <c r="C95" s="1037"/>
      <c r="D95" s="1037"/>
      <c r="E95" s="1037"/>
      <c r="F95" s="1037"/>
      <c r="G95" s="1037"/>
      <c r="H95" s="1037"/>
      <c r="I95" s="1037"/>
      <c r="J95" s="1037"/>
    </row>
    <row r="96" spans="2:10">
      <c r="B96" s="1037"/>
      <c r="C96" s="1037"/>
      <c r="D96" s="1037"/>
      <c r="E96" s="1037"/>
      <c r="F96" s="1037"/>
      <c r="G96" s="1037"/>
      <c r="H96" s="1037"/>
      <c r="I96" s="1037"/>
      <c r="J96" s="1037"/>
    </row>
    <row r="97" spans="2:10">
      <c r="B97" s="1037"/>
      <c r="C97" s="1037"/>
      <c r="D97" s="1037"/>
      <c r="E97" s="1037"/>
      <c r="F97" s="1037"/>
      <c r="G97" s="1037"/>
      <c r="H97" s="1037"/>
      <c r="I97" s="1037"/>
      <c r="J97" s="1037"/>
    </row>
    <row r="98" spans="2:10">
      <c r="B98" s="1037"/>
      <c r="C98" s="1037"/>
      <c r="D98" s="1037"/>
      <c r="E98" s="1037"/>
      <c r="F98" s="1037"/>
      <c r="G98" s="1037"/>
      <c r="H98" s="1037"/>
      <c r="I98" s="1037"/>
      <c r="J98" s="1037"/>
    </row>
    <row r="99" spans="2:10">
      <c r="B99" s="1037"/>
      <c r="C99" s="1037"/>
      <c r="D99" s="1037"/>
      <c r="E99" s="1037"/>
      <c r="F99" s="1037"/>
      <c r="G99" s="1037"/>
      <c r="H99" s="1037"/>
      <c r="I99" s="1037"/>
      <c r="J99" s="1037"/>
    </row>
    <row r="100" spans="2:10">
      <c r="B100" s="1037"/>
      <c r="C100" s="1037"/>
      <c r="D100" s="1037"/>
      <c r="E100" s="1037"/>
      <c r="F100" s="1037"/>
      <c r="G100" s="1037"/>
      <c r="H100" s="1037"/>
      <c r="I100" s="1037"/>
      <c r="J100" s="1037"/>
    </row>
    <row r="101" spans="2:10">
      <c r="B101" s="1037"/>
      <c r="C101" s="1037"/>
      <c r="D101" s="1037"/>
      <c r="E101" s="1037"/>
      <c r="F101" s="1037"/>
      <c r="G101" s="1037"/>
      <c r="H101" s="1037"/>
      <c r="I101" s="1037"/>
      <c r="J101" s="1037"/>
    </row>
    <row r="102" spans="2:10">
      <c r="B102" s="1037"/>
      <c r="C102" s="1037"/>
      <c r="D102" s="1037"/>
      <c r="E102" s="1037"/>
      <c r="F102" s="1037"/>
      <c r="G102" s="1037"/>
      <c r="H102" s="1037"/>
      <c r="I102" s="1037"/>
      <c r="J102" s="1037"/>
    </row>
    <row r="103" spans="2:10">
      <c r="B103" s="1037"/>
      <c r="C103" s="1037"/>
      <c r="D103" s="1037"/>
      <c r="E103" s="1037"/>
      <c r="F103" s="1037"/>
      <c r="G103" s="1037"/>
      <c r="H103" s="1037"/>
      <c r="I103" s="1037"/>
      <c r="J103" s="1037"/>
    </row>
    <row r="104" spans="2:10">
      <c r="B104" s="1037"/>
      <c r="C104" s="1037"/>
      <c r="D104" s="1037"/>
      <c r="E104" s="1037"/>
      <c r="F104" s="1037"/>
      <c r="G104" s="1037"/>
      <c r="H104" s="1037"/>
      <c r="I104" s="1037"/>
      <c r="J104" s="1037"/>
    </row>
    <row r="105" spans="2:10">
      <c r="B105" s="1037"/>
      <c r="C105" s="1037"/>
      <c r="D105" s="1037"/>
      <c r="E105" s="1037"/>
      <c r="F105" s="1037"/>
      <c r="G105" s="1037"/>
      <c r="H105" s="1037"/>
      <c r="I105" s="1037"/>
      <c r="J105" s="1037"/>
    </row>
    <row r="106" spans="2:10">
      <c r="B106" s="1037"/>
      <c r="C106" s="1037"/>
      <c r="D106" s="1037"/>
      <c r="E106" s="1037"/>
      <c r="F106" s="1037"/>
      <c r="G106" s="1037"/>
      <c r="H106" s="1037"/>
      <c r="I106" s="1037"/>
      <c r="J106" s="1037"/>
    </row>
    <row r="107" spans="2:10">
      <c r="B107" s="1037"/>
      <c r="C107" s="1037"/>
      <c r="D107" s="1037"/>
      <c r="E107" s="1037"/>
      <c r="F107" s="1037"/>
      <c r="G107" s="1037"/>
      <c r="H107" s="1037"/>
      <c r="I107" s="1037"/>
      <c r="J107" s="1037"/>
    </row>
    <row r="108" spans="2:10">
      <c r="B108" s="1037"/>
      <c r="C108" s="1037"/>
      <c r="D108" s="1037"/>
      <c r="E108" s="1037"/>
      <c r="F108" s="1037"/>
      <c r="G108" s="1037"/>
      <c r="H108" s="1037"/>
      <c r="I108" s="1037"/>
      <c r="J108" s="1037"/>
    </row>
    <row r="109" spans="2:10">
      <c r="B109" s="1037"/>
      <c r="C109" s="1037"/>
      <c r="D109" s="1037"/>
      <c r="E109" s="1037"/>
      <c r="F109" s="1037"/>
      <c r="G109" s="1037"/>
      <c r="H109" s="1037"/>
      <c r="I109" s="1037"/>
      <c r="J109" s="1037"/>
    </row>
    <row r="110" spans="2:10">
      <c r="B110" s="1037"/>
      <c r="C110" s="1037"/>
      <c r="D110" s="1037"/>
      <c r="E110" s="1037"/>
      <c r="F110" s="1037"/>
      <c r="G110" s="1037"/>
      <c r="H110" s="1037"/>
      <c r="I110" s="1037"/>
      <c r="J110" s="1037"/>
    </row>
    <row r="111" spans="2:10">
      <c r="B111" s="1037"/>
      <c r="C111" s="1037"/>
      <c r="D111" s="1037"/>
      <c r="E111" s="1037"/>
      <c r="F111" s="1037"/>
      <c r="G111" s="1037"/>
      <c r="H111" s="1037"/>
      <c r="I111" s="1037"/>
      <c r="J111" s="1037"/>
    </row>
    <row r="112" spans="2:10">
      <c r="B112" s="1037"/>
      <c r="C112" s="1037"/>
      <c r="D112" s="1037"/>
      <c r="E112" s="1037"/>
      <c r="F112" s="1037"/>
      <c r="G112" s="1037"/>
      <c r="H112" s="1037"/>
      <c r="I112" s="1037"/>
      <c r="J112" s="1037"/>
    </row>
    <row r="113" spans="2:10">
      <c r="B113" s="1037"/>
      <c r="C113" s="1037"/>
      <c r="D113" s="1037"/>
      <c r="E113" s="1037"/>
      <c r="F113" s="1037"/>
      <c r="G113" s="1037"/>
      <c r="H113" s="1037"/>
      <c r="I113" s="1037"/>
      <c r="J113" s="1037"/>
    </row>
    <row r="114" spans="2:10">
      <c r="H114" s="1037"/>
      <c r="I114" s="1037"/>
      <c r="J114" s="1037"/>
    </row>
  </sheetData>
  <sheetProtection password="9E1F" sheet="1" objects="1" scenarios="1"/>
  <customSheetViews>
    <customSheetView guid="{074EB09C-6289-46D7-9513-012B68BCA7BF}" fitToPage="1">
      <pane xSplit="1" ySplit="1" topLeftCell="B2" activePane="bottomRight" state="frozen"/>
      <selection pane="bottomRight" activeCell="B1" sqref="B1"/>
      <pageMargins left="0.32" right="0.45" top="0.4" bottom="0.75" header="0.3" footer="0.3"/>
      <pageSetup paperSize="17" scale="58" orientation="landscape" r:id="rId1"/>
    </customSheetView>
    <customSheetView guid="{AF9F1D33-B8C2-423F-86A1-47612B8F532C}" fitToPage="1">
      <pane xSplit="1" ySplit="1" topLeftCell="B20" activePane="bottomRight" state="frozenSplit"/>
      <selection pane="bottomRight" activeCell="C36" sqref="C36:D36"/>
      <pageMargins left="0.7" right="0.7" top="0.75" bottom="0.75" header="0.3" footer="0.3"/>
      <pageSetup paperSize="17" scale="60" orientation="landscape"/>
    </customSheetView>
  </customSheetViews>
  <mergeCells count="6">
    <mergeCell ref="B79:F79"/>
    <mergeCell ref="B84:F84"/>
    <mergeCell ref="B80:F80"/>
    <mergeCell ref="B81:F81"/>
    <mergeCell ref="B82:F82"/>
    <mergeCell ref="B83:F83"/>
  </mergeCells>
  <pageMargins left="0.32" right="0.45" top="0.4" bottom="0.75" header="0.3" footer="0.3"/>
  <pageSetup paperSize="17" scale="65" orientation="landscape" r:id="rId2"/>
  <drawing r:id="rId3"/>
</worksheet>
</file>

<file path=xl/worksheets/sheet52.xml><?xml version="1.0" encoding="utf-8"?>
<worksheet xmlns="http://schemas.openxmlformats.org/spreadsheetml/2006/main" xmlns:r="http://schemas.openxmlformats.org/officeDocument/2006/relationships">
  <sheetPr enableFormatConditionsCalculation="0">
    <pageSetUpPr fitToPage="1"/>
  </sheetPr>
  <dimension ref="A1:N7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ColWidth="8.85546875" defaultRowHeight="12.75"/>
  <cols>
    <col min="1" max="1" width="15.42578125" style="3064" customWidth="1"/>
    <col min="2" max="2" width="57.85546875" customWidth="1"/>
    <col min="3" max="5" width="17.42578125" customWidth="1"/>
    <col min="6" max="8" width="17.85546875" customWidth="1"/>
    <col min="9" max="9" width="20.7109375" customWidth="1"/>
    <col min="10" max="10" width="20.42578125" customWidth="1"/>
    <col min="11" max="11" width="22" customWidth="1"/>
    <col min="12" max="13" width="17.140625" customWidth="1"/>
    <col min="14" max="14" width="19.85546875" customWidth="1"/>
  </cols>
  <sheetData>
    <row r="1" spans="2:14" ht="42.75" customHeight="1">
      <c r="B1" s="2820" t="s">
        <v>738</v>
      </c>
      <c r="C1" s="1131"/>
      <c r="D1" s="1131"/>
      <c r="E1" s="1131"/>
      <c r="F1" s="1131"/>
      <c r="G1" s="1139"/>
      <c r="H1" s="1132"/>
      <c r="I1" s="1132"/>
      <c r="J1" s="1106"/>
      <c r="K1" s="1106"/>
      <c r="L1" s="1106"/>
      <c r="M1" s="1106"/>
      <c r="N1" s="1106"/>
    </row>
    <row r="2" spans="2:14" ht="20.25">
      <c r="B2" s="1111"/>
      <c r="C2" s="1131"/>
      <c r="D2" s="1131"/>
      <c r="E2" s="1131"/>
      <c r="F2" s="1131"/>
      <c r="G2" s="1139"/>
      <c r="H2" s="1132"/>
      <c r="I2" s="1132"/>
      <c r="J2" s="1106"/>
      <c r="K2" s="1106"/>
      <c r="L2" s="1106"/>
      <c r="M2" s="1106"/>
      <c r="N2" s="1106"/>
    </row>
    <row r="3" spans="2:14" ht="38.25">
      <c r="B3" s="3463"/>
      <c r="C3" s="1110" t="s">
        <v>9</v>
      </c>
      <c r="D3" s="1110" t="s">
        <v>10</v>
      </c>
      <c r="E3" s="1110" t="s">
        <v>640</v>
      </c>
      <c r="F3" s="1110" t="s">
        <v>12</v>
      </c>
      <c r="G3" s="1110" t="s">
        <v>13</v>
      </c>
      <c r="H3" s="1110" t="s">
        <v>14</v>
      </c>
      <c r="I3" s="1110" t="s">
        <v>15</v>
      </c>
      <c r="J3" s="1110" t="s">
        <v>16</v>
      </c>
      <c r="K3" s="1110" t="s">
        <v>641</v>
      </c>
      <c r="L3" s="1110" t="s">
        <v>18</v>
      </c>
      <c r="M3" s="1110" t="s">
        <v>114</v>
      </c>
      <c r="N3" s="1110" t="s">
        <v>19</v>
      </c>
    </row>
    <row r="4" spans="2:14" ht="25.5">
      <c r="B4" s="1149" t="s">
        <v>642</v>
      </c>
      <c r="C4" s="1146"/>
      <c r="D4" s="1146"/>
      <c r="E4" s="1146"/>
      <c r="F4" s="1146"/>
      <c r="G4" s="1146"/>
      <c r="H4" s="1146"/>
      <c r="I4" s="1146"/>
      <c r="J4" s="1146"/>
      <c r="K4" s="1147"/>
      <c r="L4" s="1153">
        <v>50000</v>
      </c>
      <c r="M4" s="1147"/>
      <c r="N4" s="1154" t="s">
        <v>21</v>
      </c>
    </row>
    <row r="5" spans="2:14">
      <c r="B5" s="1150" t="s">
        <v>643</v>
      </c>
      <c r="C5" s="1148">
        <v>4154.1500000000005</v>
      </c>
      <c r="D5" s="1148">
        <v>0</v>
      </c>
      <c r="E5" s="1148">
        <v>2617.1145000000006</v>
      </c>
      <c r="F5" s="1148">
        <v>0</v>
      </c>
      <c r="G5" s="1148">
        <v>0</v>
      </c>
      <c r="H5" s="1148">
        <v>0</v>
      </c>
      <c r="I5" s="1148">
        <v>0</v>
      </c>
      <c r="J5" s="1148">
        <v>12040</v>
      </c>
      <c r="K5" s="1148">
        <v>0</v>
      </c>
      <c r="L5" s="1151">
        <v>18811.264500000001</v>
      </c>
      <c r="M5" s="1152"/>
      <c r="N5" s="1155">
        <v>-0.62377470999999995</v>
      </c>
    </row>
    <row r="6" spans="2:14">
      <c r="B6" s="1108">
        <v>2012</v>
      </c>
      <c r="C6" s="1140">
        <f>C16</f>
        <v>4500</v>
      </c>
      <c r="D6" s="1141">
        <f>C17</f>
        <v>0</v>
      </c>
      <c r="E6" s="1141">
        <f>C36</f>
        <v>2800</v>
      </c>
      <c r="F6" s="1141">
        <f>C34</f>
        <v>0</v>
      </c>
      <c r="G6" s="1141">
        <f>C24</f>
        <v>0</v>
      </c>
      <c r="H6" s="1141">
        <f>C40</f>
        <v>0</v>
      </c>
      <c r="I6" s="1141">
        <f>C32</f>
        <v>20000</v>
      </c>
      <c r="J6" s="1141">
        <f>C26</f>
        <v>0</v>
      </c>
      <c r="K6" s="1141">
        <f>C13</f>
        <v>0</v>
      </c>
      <c r="L6" s="1142">
        <f>SUM(C6:K6)</f>
        <v>27300</v>
      </c>
      <c r="M6" s="1142">
        <v>0</v>
      </c>
      <c r="N6" s="1155">
        <v>0.44584007098512701</v>
      </c>
    </row>
    <row r="7" spans="2:14" s="3532" customFormat="1">
      <c r="B7" s="4262" t="s">
        <v>1168</v>
      </c>
      <c r="C7" s="1193">
        <v>4500</v>
      </c>
      <c r="D7" s="1194">
        <v>0</v>
      </c>
      <c r="E7" s="1194">
        <v>2800</v>
      </c>
      <c r="F7" s="1194">
        <v>0</v>
      </c>
      <c r="G7" s="1194">
        <v>0</v>
      </c>
      <c r="H7" s="4258">
        <v>0</v>
      </c>
      <c r="I7" s="4258">
        <v>20000</v>
      </c>
      <c r="J7" s="4258">
        <v>0</v>
      </c>
      <c r="K7" s="4258">
        <v>0</v>
      </c>
      <c r="L7" s="1195">
        <v>27300</v>
      </c>
      <c r="M7" s="1195"/>
      <c r="N7" s="1214"/>
    </row>
    <row r="8" spans="2:14" ht="13.5" thickBot="1">
      <c r="B8" s="4261" t="s">
        <v>1169</v>
      </c>
      <c r="C8" s="4208">
        <f>D16</f>
        <v>4500</v>
      </c>
      <c r="D8" s="4209">
        <f>D17</f>
        <v>0</v>
      </c>
      <c r="E8" s="4209">
        <f>D36</f>
        <v>3200</v>
      </c>
      <c r="F8" s="4209">
        <f>D34</f>
        <v>0</v>
      </c>
      <c r="G8" s="4209">
        <f>D24</f>
        <v>0</v>
      </c>
      <c r="H8" s="4216">
        <f>D40</f>
        <v>0</v>
      </c>
      <c r="I8" s="4210">
        <f>D32</f>
        <v>20000</v>
      </c>
      <c r="J8" s="4210">
        <f>D26</f>
        <v>0</v>
      </c>
      <c r="K8" s="4217">
        <f>D13</f>
        <v>0</v>
      </c>
      <c r="L8" s="4212">
        <f>SUM(C8:K8)</f>
        <v>27700</v>
      </c>
      <c r="M8" s="4212">
        <v>0</v>
      </c>
      <c r="N8" s="1155">
        <v>0</v>
      </c>
    </row>
    <row r="9" spans="2:14" ht="13.5" thickBot="1">
      <c r="B9" s="4260" t="s">
        <v>1175</v>
      </c>
      <c r="C9" s="4214">
        <f>SUM(C6+C8)</f>
        <v>9000</v>
      </c>
      <c r="D9" s="4214">
        <f t="shared" ref="D9:L9" si="0">SUM(D6+D8)</f>
        <v>0</v>
      </c>
      <c r="E9" s="4214">
        <f t="shared" si="0"/>
        <v>6000</v>
      </c>
      <c r="F9" s="4214">
        <f t="shared" si="0"/>
        <v>0</v>
      </c>
      <c r="G9" s="4214">
        <f t="shared" si="0"/>
        <v>0</v>
      </c>
      <c r="H9" s="4214">
        <f t="shared" si="0"/>
        <v>0</v>
      </c>
      <c r="I9" s="4214">
        <f t="shared" si="0"/>
        <v>40000</v>
      </c>
      <c r="J9" s="4214">
        <f t="shared" si="0"/>
        <v>0</v>
      </c>
      <c r="K9" s="4214">
        <f t="shared" si="0"/>
        <v>0</v>
      </c>
      <c r="L9" s="4214">
        <f t="shared" si="0"/>
        <v>55000</v>
      </c>
      <c r="M9" s="4215">
        <v>0</v>
      </c>
      <c r="N9" s="1106"/>
    </row>
    <row r="10" spans="2:14" ht="20.25">
      <c r="B10" s="1111"/>
      <c r="C10" s="1131"/>
      <c r="D10" s="1131"/>
      <c r="E10" s="1131"/>
      <c r="F10" s="1131"/>
      <c r="G10" s="1139"/>
      <c r="H10" s="1132"/>
      <c r="I10" s="1132"/>
      <c r="J10" s="1106"/>
      <c r="K10" s="1106"/>
      <c r="L10" s="1106"/>
      <c r="M10" s="1106"/>
      <c r="N10" s="1115"/>
    </row>
    <row r="11" spans="2:14" ht="18">
      <c r="B11" s="1112" t="s">
        <v>739</v>
      </c>
      <c r="C11" s="1139"/>
      <c r="D11" s="1139"/>
      <c r="E11" s="1139"/>
      <c r="F11" s="1130"/>
      <c r="G11" s="1130"/>
      <c r="H11" s="1130"/>
      <c r="I11" s="1130"/>
      <c r="J11" s="1106"/>
      <c r="K11" s="1106"/>
      <c r="L11" s="1106"/>
      <c r="M11" s="1106"/>
      <c r="N11" s="1106"/>
    </row>
    <row r="12" spans="2:14" ht="18">
      <c r="B12" s="1113"/>
      <c r="C12" s="1143">
        <v>2012</v>
      </c>
      <c r="D12" s="1144">
        <v>2013</v>
      </c>
      <c r="E12" s="1145" t="s">
        <v>28</v>
      </c>
      <c r="F12" s="1118"/>
      <c r="G12" s="1118"/>
      <c r="H12" s="1118"/>
      <c r="I12" s="2881"/>
      <c r="J12" s="2874"/>
      <c r="K12" s="1115"/>
      <c r="L12" s="1115"/>
      <c r="M12" s="1115"/>
      <c r="N12" s="1106"/>
    </row>
    <row r="13" spans="2:14">
      <c r="B13" s="2839" t="s">
        <v>645</v>
      </c>
      <c r="C13" s="2849">
        <v>0</v>
      </c>
      <c r="D13" s="2867">
        <v>0</v>
      </c>
      <c r="E13" s="2868">
        <f>SUM(C13:D13)</f>
        <v>0</v>
      </c>
      <c r="F13" s="1118"/>
      <c r="G13" s="1118"/>
      <c r="H13" s="1118"/>
      <c r="I13" s="2875"/>
      <c r="J13" s="2876"/>
      <c r="K13" s="1115"/>
      <c r="L13" s="1106"/>
      <c r="M13" s="1106"/>
      <c r="N13" s="1106"/>
    </row>
    <row r="14" spans="2:14" ht="18">
      <c r="B14" s="2840"/>
      <c r="C14" s="2850"/>
      <c r="D14" s="2835"/>
      <c r="E14" s="2851"/>
      <c r="F14" s="1118"/>
      <c r="G14" s="1118"/>
      <c r="H14" s="1118"/>
      <c r="I14" s="2875"/>
      <c r="J14" s="2877"/>
      <c r="K14" s="1115"/>
      <c r="L14" s="1106"/>
      <c r="M14" s="1106"/>
      <c r="N14" s="1106"/>
    </row>
    <row r="15" spans="2:14">
      <c r="B15" s="2839" t="s">
        <v>648</v>
      </c>
      <c r="C15" s="2852"/>
      <c r="D15" s="2835"/>
      <c r="E15" s="2851"/>
      <c r="F15" s="1116"/>
      <c r="G15" s="1116"/>
      <c r="H15" s="1116"/>
      <c r="I15" s="2875"/>
      <c r="J15" s="2877"/>
      <c r="K15" s="1106"/>
      <c r="L15" s="1106"/>
      <c r="M15" s="1106"/>
      <c r="N15" s="1106"/>
    </row>
    <row r="16" spans="2:14">
      <c r="B16" s="2841" t="s">
        <v>650</v>
      </c>
      <c r="C16" s="2870">
        <v>4500</v>
      </c>
      <c r="D16" s="2865">
        <v>4500</v>
      </c>
      <c r="E16" s="2863">
        <f>SUM(C16:D16)</f>
        <v>9000</v>
      </c>
      <c r="F16" s="1129">
        <v>0.05</v>
      </c>
      <c r="G16" s="1119" t="s">
        <v>651</v>
      </c>
      <c r="H16" s="1117"/>
      <c r="I16" s="2875"/>
      <c r="J16" s="2877"/>
      <c r="K16" s="1106"/>
      <c r="L16" s="1106"/>
      <c r="M16" s="1106"/>
      <c r="N16" s="1106"/>
    </row>
    <row r="17" spans="2:14">
      <c r="B17" s="2841" t="s">
        <v>655</v>
      </c>
      <c r="C17" s="2870">
        <v>0</v>
      </c>
      <c r="D17" s="2865">
        <v>0</v>
      </c>
      <c r="E17" s="3159">
        <f t="shared" ref="E17" si="1">SUM(C17:D17)</f>
        <v>0</v>
      </c>
      <c r="F17" s="1129">
        <v>0</v>
      </c>
      <c r="G17" s="1119" t="s">
        <v>651</v>
      </c>
      <c r="H17" s="1117"/>
      <c r="I17" s="2875"/>
      <c r="J17" s="2873"/>
      <c r="K17" s="1106"/>
      <c r="L17" s="1106"/>
      <c r="M17" s="1106"/>
      <c r="N17" s="1106"/>
    </row>
    <row r="18" spans="2:14">
      <c r="B18" s="2841"/>
      <c r="C18" s="2853"/>
      <c r="D18" s="2835"/>
      <c r="E18" s="2851"/>
      <c r="F18" s="1117"/>
      <c r="G18" s="1117"/>
      <c r="H18" s="1117"/>
      <c r="I18" s="2875"/>
      <c r="J18" s="2873"/>
      <c r="K18" s="1106"/>
      <c r="L18" s="1106"/>
      <c r="M18" s="1128"/>
    </row>
    <row r="19" spans="2:14">
      <c r="B19" s="2839" t="s">
        <v>481</v>
      </c>
      <c r="C19" s="2852"/>
      <c r="D19" s="2835"/>
      <c r="E19" s="2851"/>
      <c r="F19" s="1116"/>
      <c r="G19" s="1116"/>
      <c r="H19" s="1117"/>
      <c r="I19" s="2875"/>
      <c r="J19" s="2873"/>
      <c r="K19" s="1106"/>
      <c r="L19" s="1106"/>
      <c r="M19" s="1106"/>
    </row>
    <row r="20" spans="2:14">
      <c r="B20" s="2834" t="s">
        <v>656</v>
      </c>
      <c r="C20" s="2856">
        <v>0</v>
      </c>
      <c r="D20" s="2865">
        <v>0</v>
      </c>
      <c r="E20" s="2863">
        <f>SUM(C20:D20)</f>
        <v>0</v>
      </c>
      <c r="F20" s="1133"/>
      <c r="G20" s="1133"/>
      <c r="H20" s="1116"/>
      <c r="I20" s="2875"/>
      <c r="J20" s="2873"/>
      <c r="K20" s="1106"/>
      <c r="L20" s="1106"/>
      <c r="M20" s="1106"/>
    </row>
    <row r="21" spans="2:14">
      <c r="B21" s="2841" t="s">
        <v>657</v>
      </c>
      <c r="C21" s="2856">
        <v>0</v>
      </c>
      <c r="D21" s="2865">
        <v>0</v>
      </c>
      <c r="E21" s="3159">
        <f t="shared" ref="E21:E23" si="2">SUM(C21:D21)</f>
        <v>0</v>
      </c>
      <c r="F21" s="1106"/>
      <c r="G21" s="1116"/>
      <c r="H21" s="1133"/>
      <c r="I21" s="2875"/>
      <c r="J21" s="2873"/>
      <c r="K21" s="1106"/>
      <c r="L21" s="1106"/>
      <c r="M21" s="1106"/>
    </row>
    <row r="22" spans="2:14">
      <c r="B22" s="2841" t="s">
        <v>658</v>
      </c>
      <c r="C22" s="2856">
        <v>0</v>
      </c>
      <c r="D22" s="2865">
        <v>0</v>
      </c>
      <c r="E22" s="3159">
        <f t="shared" si="2"/>
        <v>0</v>
      </c>
      <c r="F22" s="1116"/>
      <c r="G22" s="1116"/>
      <c r="H22" s="1116"/>
      <c r="I22" s="2875"/>
      <c r="J22" s="2880"/>
      <c r="K22" s="1106"/>
      <c r="L22" s="1106"/>
      <c r="M22" s="1106"/>
    </row>
    <row r="23" spans="2:14">
      <c r="B23" s="2841" t="s">
        <v>660</v>
      </c>
      <c r="C23" s="2856">
        <v>0</v>
      </c>
      <c r="D23" s="2865">
        <v>0</v>
      </c>
      <c r="E23" s="3159">
        <f t="shared" si="2"/>
        <v>0</v>
      </c>
      <c r="F23" s="1116"/>
      <c r="G23" s="1116"/>
      <c r="H23" s="1134"/>
      <c r="I23" s="2871"/>
      <c r="J23" s="2872"/>
      <c r="K23" s="1106"/>
      <c r="L23" s="1106"/>
      <c r="M23" s="1106"/>
    </row>
    <row r="24" spans="2:14">
      <c r="B24" s="2834"/>
      <c r="C24" s="2854">
        <f>SUM(C20:C23)</f>
        <v>0</v>
      </c>
      <c r="D24" s="2845">
        <f>SUM(D20:D23)</f>
        <v>0</v>
      </c>
      <c r="E24" s="2869">
        <f>SUM(E20:E23)</f>
        <v>0</v>
      </c>
      <c r="F24" s="1116"/>
      <c r="G24" s="1116"/>
      <c r="H24" s="1134"/>
      <c r="I24" s="2875"/>
      <c r="J24" s="2885"/>
      <c r="K24" s="1106"/>
      <c r="L24" s="1106"/>
      <c r="M24" s="1106"/>
    </row>
    <row r="25" spans="2:14">
      <c r="B25" s="2835"/>
      <c r="C25" s="2858"/>
      <c r="D25" s="2835"/>
      <c r="E25" s="2851"/>
      <c r="F25" s="1116"/>
      <c r="G25" s="1116"/>
      <c r="H25" s="1134"/>
      <c r="I25" s="2879"/>
      <c r="J25" s="2883"/>
      <c r="K25" s="1126"/>
      <c r="L25" s="1106"/>
      <c r="M25" s="1106"/>
    </row>
    <row r="26" spans="2:14">
      <c r="B26" s="2839" t="s">
        <v>649</v>
      </c>
      <c r="C26" s="2854">
        <v>0</v>
      </c>
      <c r="D26" s="2848">
        <v>0</v>
      </c>
      <c r="E26" s="2869">
        <f>SUM(C26:D26)</f>
        <v>0</v>
      </c>
      <c r="F26" s="1116"/>
      <c r="G26" s="1116"/>
      <c r="H26" s="1134"/>
      <c r="I26" s="2879"/>
      <c r="J26" s="2882"/>
      <c r="K26" s="1127"/>
      <c r="L26" s="1106"/>
      <c r="M26" s="1106"/>
    </row>
    <row r="27" spans="2:14">
      <c r="B27" s="2835"/>
      <c r="C27" s="2858"/>
      <c r="D27" s="2835"/>
      <c r="E27" s="2851"/>
      <c r="F27" s="1116"/>
      <c r="G27" s="1116"/>
      <c r="H27" s="1134"/>
      <c r="I27" s="2879"/>
      <c r="J27" s="2882"/>
      <c r="K27" s="1127"/>
      <c r="L27" s="1106"/>
      <c r="M27" s="1106"/>
    </row>
    <row r="28" spans="2:14">
      <c r="B28" s="2838" t="s">
        <v>652</v>
      </c>
      <c r="C28" s="2858"/>
      <c r="D28" s="2835"/>
      <c r="E28" s="2851"/>
      <c r="F28" s="1134"/>
      <c r="G28" s="1134"/>
      <c r="H28" s="1134"/>
      <c r="I28" s="2878"/>
      <c r="J28" s="2884"/>
      <c r="K28" s="1106"/>
      <c r="L28" s="1106"/>
      <c r="M28" s="1106"/>
    </row>
    <row r="29" spans="2:14">
      <c r="B29" s="2834" t="s">
        <v>661</v>
      </c>
      <c r="C29" s="2858">
        <v>18600</v>
      </c>
      <c r="D29" s="2865">
        <v>18600</v>
      </c>
      <c r="E29" s="2863">
        <f>SUM(C29:D29)</f>
        <v>37200</v>
      </c>
      <c r="F29" s="1134"/>
      <c r="G29" s="1134"/>
      <c r="H29" s="1134"/>
      <c r="I29" s="1118"/>
      <c r="J29" s="1106"/>
      <c r="K29" s="1106"/>
      <c r="L29" s="1106"/>
      <c r="M29" s="1106"/>
    </row>
    <row r="30" spans="2:14">
      <c r="B30" s="2834" t="s">
        <v>662</v>
      </c>
      <c r="C30" s="2858">
        <v>200</v>
      </c>
      <c r="D30" s="2865">
        <v>200</v>
      </c>
      <c r="E30" s="3159">
        <f t="shared" ref="E30:E31" si="3">SUM(C30:D30)</f>
        <v>400</v>
      </c>
      <c r="F30" s="1134"/>
      <c r="G30" s="1134"/>
      <c r="H30" s="1134"/>
      <c r="I30" s="1118"/>
      <c r="J30" s="1106"/>
      <c r="K30" s="1106"/>
      <c r="L30" s="1106"/>
      <c r="M30" s="1106"/>
    </row>
    <row r="31" spans="2:14">
      <c r="B31" s="2835" t="s">
        <v>663</v>
      </c>
      <c r="C31" s="2858">
        <v>1200</v>
      </c>
      <c r="D31" s="2865">
        <v>1200</v>
      </c>
      <c r="E31" s="3159">
        <f t="shared" si="3"/>
        <v>2400</v>
      </c>
      <c r="F31" s="1134"/>
      <c r="G31" s="1134"/>
      <c r="H31" s="1134"/>
      <c r="I31" s="1118"/>
      <c r="J31" s="1106"/>
      <c r="K31" s="1106"/>
      <c r="L31" s="1106"/>
      <c r="M31" s="1106"/>
    </row>
    <row r="32" spans="2:14">
      <c r="B32" s="2838" t="s">
        <v>664</v>
      </c>
      <c r="C32" s="2855">
        <f>SUM(C29:C31)</f>
        <v>20000</v>
      </c>
      <c r="D32" s="2842">
        <f>SUM(D29:D31)</f>
        <v>20000</v>
      </c>
      <c r="E32" s="2869">
        <f>SUM(E29:E31)</f>
        <v>40000</v>
      </c>
      <c r="F32" s="1134"/>
      <c r="G32" s="1134"/>
      <c r="H32" s="1134"/>
      <c r="I32" s="1118"/>
      <c r="J32" s="1106"/>
      <c r="K32" s="1106"/>
      <c r="L32" s="1106"/>
      <c r="M32" s="1106"/>
    </row>
    <row r="33" spans="2:13">
      <c r="B33" s="2835"/>
      <c r="C33" s="2858"/>
      <c r="D33" s="2835"/>
      <c r="E33" s="2851"/>
      <c r="F33" s="1134"/>
      <c r="G33" s="1134"/>
      <c r="H33" s="1134"/>
      <c r="I33" s="1118"/>
      <c r="J33" s="1106"/>
      <c r="K33" s="1106"/>
      <c r="L33" s="1106"/>
      <c r="M33" s="1106"/>
    </row>
    <row r="34" spans="2:13">
      <c r="B34" s="2838" t="s">
        <v>654</v>
      </c>
      <c r="C34" s="2855">
        <v>0</v>
      </c>
      <c r="D34" s="2866">
        <v>0</v>
      </c>
      <c r="E34" s="2869">
        <f>SUM(C34:D34)</f>
        <v>0</v>
      </c>
      <c r="F34" s="1134"/>
      <c r="G34" s="1134"/>
      <c r="H34" s="1134"/>
      <c r="I34" s="1118"/>
    </row>
    <row r="35" spans="2:13">
      <c r="B35" s="2835"/>
      <c r="C35" s="2858"/>
      <c r="D35" s="2835"/>
      <c r="E35" s="2851"/>
      <c r="F35" s="1134"/>
      <c r="G35" s="1135"/>
      <c r="H35" s="1134"/>
      <c r="I35" s="1118"/>
    </row>
    <row r="36" spans="2:13">
      <c r="B36" s="4429" t="s">
        <v>1438</v>
      </c>
      <c r="C36" s="3400">
        <f>ROUND(SUM(C16:C17)*0.63, -2)</f>
        <v>2800</v>
      </c>
      <c r="D36" s="3399">
        <f>ROUND(SUM(D16:D17)*0.707, -2)</f>
        <v>3200</v>
      </c>
      <c r="E36" s="2869">
        <f>SUM(C36:D36)</f>
        <v>6000</v>
      </c>
      <c r="F36" s="1134"/>
      <c r="G36" s="1135"/>
      <c r="H36" s="1134"/>
      <c r="I36" s="1118"/>
    </row>
    <row r="37" spans="2:13">
      <c r="B37" s="2835"/>
      <c r="C37" s="2858"/>
      <c r="D37" s="2846"/>
      <c r="E37" s="2859"/>
      <c r="F37" s="1134"/>
      <c r="G37" s="1107"/>
      <c r="H37" s="1134"/>
      <c r="I37" s="1118"/>
    </row>
    <row r="38" spans="2:13">
      <c r="B38" s="2836" t="s">
        <v>14</v>
      </c>
      <c r="C38" s="2858"/>
      <c r="D38" s="2846"/>
      <c r="E38" s="2859"/>
      <c r="F38" s="1134"/>
      <c r="G38" s="1107"/>
      <c r="H38" s="1134"/>
      <c r="I38" s="1114"/>
    </row>
    <row r="39" spans="2:13">
      <c r="B39" s="2844" t="s">
        <v>699</v>
      </c>
      <c r="C39" s="2856">
        <v>0</v>
      </c>
      <c r="D39" s="2847"/>
      <c r="E39" s="2857">
        <v>0</v>
      </c>
      <c r="F39" s="1134"/>
      <c r="G39" s="1107"/>
      <c r="H39" s="1134"/>
      <c r="I39" s="1114"/>
    </row>
    <row r="40" spans="2:13">
      <c r="B40" s="2843" t="s">
        <v>672</v>
      </c>
      <c r="C40" s="2854">
        <f>SUM(C39)</f>
        <v>0</v>
      </c>
      <c r="D40" s="2845">
        <f>SUM(D39)</f>
        <v>0</v>
      </c>
      <c r="E40" s="2857">
        <f>SUM(E39)</f>
        <v>0</v>
      </c>
      <c r="F40" s="1134"/>
      <c r="G40" s="1107"/>
      <c r="H40" s="1134"/>
      <c r="I40" s="1114"/>
    </row>
    <row r="41" spans="2:13">
      <c r="B41" s="2844"/>
      <c r="C41" s="2856"/>
      <c r="D41" s="2847"/>
      <c r="E41" s="2857"/>
      <c r="F41" s="1134"/>
      <c r="G41" s="1107"/>
      <c r="H41" s="1134"/>
      <c r="I41" s="1114"/>
    </row>
    <row r="42" spans="2:13" ht="13.5" thickBot="1">
      <c r="B42" s="2844"/>
      <c r="C42" s="2856"/>
      <c r="D42" s="2847"/>
      <c r="E42" s="2857"/>
      <c r="F42" s="1134"/>
      <c r="G42" s="1107"/>
      <c r="H42" s="1134"/>
      <c r="I42" s="1114"/>
    </row>
    <row r="43" spans="2:13" ht="13.5" thickBot="1">
      <c r="B43" s="2843" t="s">
        <v>673</v>
      </c>
      <c r="C43" s="3031">
        <f>C13+C16+C17+C24+C26+C32+C34+C36+C40</f>
        <v>27300</v>
      </c>
      <c r="D43" s="3037">
        <f t="shared" ref="D43:E43" si="4">D13+D16+D17+D24+D26+D32+D34+D36+D40</f>
        <v>27700</v>
      </c>
      <c r="E43" s="3037">
        <f t="shared" si="4"/>
        <v>55000</v>
      </c>
      <c r="F43" s="1134"/>
      <c r="G43" s="1135"/>
      <c r="H43" s="1134"/>
      <c r="I43" s="1114"/>
    </row>
    <row r="44" spans="2:13">
      <c r="B44" s="2837"/>
      <c r="C44" s="2847"/>
      <c r="D44" s="2847"/>
      <c r="E44" s="2847"/>
      <c r="F44" s="1134"/>
      <c r="G44" s="1135"/>
      <c r="H44" s="1134"/>
      <c r="I44" s="1114"/>
    </row>
    <row r="45" spans="2:13">
      <c r="B45" s="2834"/>
      <c r="C45" s="2864">
        <v>2012</v>
      </c>
      <c r="D45" s="2864">
        <v>2013</v>
      </c>
      <c r="E45" s="2864" t="s">
        <v>28</v>
      </c>
      <c r="F45" s="1106"/>
      <c r="G45" s="1135"/>
      <c r="H45" s="1134"/>
      <c r="I45" s="1114"/>
    </row>
    <row r="46" spans="2:13">
      <c r="B46" s="2838" t="s">
        <v>732</v>
      </c>
      <c r="C46" s="2860">
        <v>0</v>
      </c>
      <c r="D46" s="2861">
        <v>0</v>
      </c>
      <c r="E46" s="2862">
        <v>0</v>
      </c>
      <c r="F46" s="1125" t="s">
        <v>559</v>
      </c>
      <c r="G46" s="1135"/>
      <c r="H46" s="1134"/>
      <c r="I46" s="1114"/>
    </row>
    <row r="47" spans="2:13">
      <c r="B47" s="1106"/>
      <c r="C47" s="1106"/>
      <c r="D47" s="1106"/>
      <c r="E47" s="1106"/>
      <c r="F47" s="1106"/>
      <c r="G47" s="1135"/>
      <c r="H47" s="1134"/>
      <c r="I47" s="1114"/>
    </row>
    <row r="48" spans="2:13">
      <c r="B48" s="1138"/>
      <c r="C48" s="1156"/>
      <c r="D48" s="1156"/>
      <c r="E48" s="1106"/>
      <c r="F48" s="1106"/>
      <c r="G48" s="1135"/>
      <c r="H48" s="1134"/>
      <c r="I48" s="1114"/>
    </row>
    <row r="49" spans="2:10">
      <c r="B49" s="1106"/>
      <c r="C49" s="1106"/>
      <c r="D49" s="1106"/>
      <c r="E49" s="1106"/>
      <c r="F49" s="1106"/>
      <c r="G49" s="1135"/>
      <c r="H49" s="1134"/>
      <c r="I49" s="1114"/>
    </row>
    <row r="50" spans="2:10">
      <c r="B50" s="1106"/>
      <c r="C50" s="1137"/>
      <c r="D50" s="1137"/>
      <c r="E50" s="1137"/>
      <c r="F50" s="1120"/>
      <c r="G50" s="1134"/>
      <c r="H50" s="1134"/>
      <c r="I50" s="1114"/>
      <c r="J50" s="1106"/>
    </row>
    <row r="51" spans="2:10">
      <c r="B51" s="1106"/>
      <c r="C51" s="1137"/>
      <c r="D51" s="1137"/>
      <c r="E51" s="1137"/>
      <c r="F51" s="1120"/>
      <c r="G51" s="1134"/>
      <c r="H51" s="1136"/>
      <c r="I51" s="1121"/>
      <c r="J51" s="1109"/>
    </row>
    <row r="52" spans="2:10">
      <c r="B52" s="1106"/>
      <c r="C52" s="1137"/>
      <c r="D52" s="1137"/>
      <c r="E52" s="1137"/>
      <c r="F52" s="1120"/>
      <c r="G52" s="1134"/>
      <c r="H52" s="1122"/>
      <c r="I52" s="1122"/>
      <c r="J52" s="1109"/>
    </row>
    <row r="53" spans="2:10" ht="20.25">
      <c r="B53" s="1111"/>
      <c r="C53" s="1137"/>
      <c r="D53" s="1137"/>
      <c r="E53" s="1137"/>
      <c r="F53" s="1120"/>
      <c r="G53" s="1134"/>
      <c r="H53" s="1122"/>
      <c r="I53" s="1122"/>
      <c r="J53" s="1109"/>
    </row>
    <row r="54" spans="2:10">
      <c r="B54" s="1106"/>
      <c r="C54" s="1137"/>
      <c r="D54" s="1137"/>
      <c r="E54" s="1137"/>
      <c r="F54" s="1120"/>
      <c r="G54" s="1136"/>
      <c r="H54" s="1122"/>
      <c r="I54" s="1122"/>
      <c r="J54" s="1109"/>
    </row>
    <row r="55" spans="2:10">
      <c r="B55" s="1108"/>
      <c r="C55" s="1106"/>
      <c r="D55" s="1106"/>
      <c r="E55" s="1106"/>
      <c r="F55" s="1106"/>
      <c r="G55" s="1122"/>
      <c r="H55" s="1122"/>
      <c r="I55" s="1122"/>
      <c r="J55" s="1109"/>
    </row>
    <row r="56" spans="2:10">
      <c r="B56" s="1106"/>
      <c r="C56" s="1136"/>
      <c r="D56" s="1136"/>
      <c r="E56" s="1136"/>
      <c r="F56" s="1122"/>
      <c r="G56" s="1122"/>
      <c r="H56" s="1122"/>
      <c r="I56" s="1122"/>
      <c r="J56" s="1109"/>
    </row>
    <row r="57" spans="2:10">
      <c r="B57" s="1106"/>
      <c r="C57" s="1122"/>
      <c r="D57" s="1122"/>
      <c r="E57" s="1122"/>
      <c r="F57" s="1122"/>
      <c r="G57" s="1122"/>
      <c r="H57" s="1122"/>
      <c r="I57" s="1122"/>
      <c r="J57" s="1109"/>
    </row>
    <row r="58" spans="2:10">
      <c r="B58" s="1106"/>
      <c r="C58" s="1122"/>
      <c r="D58" s="1122"/>
      <c r="E58" s="1122"/>
      <c r="F58" s="1136"/>
      <c r="G58" s="1122"/>
      <c r="H58" s="1136"/>
      <c r="I58" s="1122"/>
      <c r="J58" s="1109"/>
    </row>
    <row r="59" spans="2:10" ht="15.75">
      <c r="B59" s="1123"/>
      <c r="C59" s="1124"/>
      <c r="D59" s="1124"/>
      <c r="E59" s="1124"/>
      <c r="F59" s="1136"/>
      <c r="G59" s="1122"/>
      <c r="H59" s="1136"/>
      <c r="I59" s="1121"/>
      <c r="J59" s="1109"/>
    </row>
    <row r="60" spans="2:10">
      <c r="B60" s="1109"/>
      <c r="C60" s="1109"/>
      <c r="D60" s="1109"/>
      <c r="E60" s="1109"/>
      <c r="F60" s="1136"/>
      <c r="G60" s="1122"/>
      <c r="H60" s="1136"/>
      <c r="I60" s="1121"/>
      <c r="J60" s="1109"/>
    </row>
    <row r="61" spans="2:10">
      <c r="B61" s="1106"/>
      <c r="C61" s="1106"/>
      <c r="D61" s="1106"/>
      <c r="E61" s="1106"/>
      <c r="F61" s="1136"/>
      <c r="G61" s="1136"/>
      <c r="H61" s="1136"/>
      <c r="I61" s="1121"/>
      <c r="J61" s="1109"/>
    </row>
    <row r="62" spans="2:10">
      <c r="B62" s="1106"/>
      <c r="C62" s="1106"/>
      <c r="D62" s="1106"/>
      <c r="E62" s="1106"/>
      <c r="F62" s="1136"/>
      <c r="G62" s="1136"/>
      <c r="H62" s="1136"/>
      <c r="I62" s="1121"/>
      <c r="J62" s="1109"/>
    </row>
    <row r="63" spans="2:10">
      <c r="B63" s="1106"/>
      <c r="C63" s="1106"/>
      <c r="D63" s="1106"/>
      <c r="E63" s="1106"/>
      <c r="F63" s="1136"/>
      <c r="G63" s="1136"/>
      <c r="H63" s="1136"/>
      <c r="I63" s="1121"/>
      <c r="J63" s="1109"/>
    </row>
    <row r="64" spans="2:10">
      <c r="B64" s="1106"/>
      <c r="C64" s="1106"/>
      <c r="D64" s="1106"/>
      <c r="E64" s="1106"/>
      <c r="F64" s="1106"/>
      <c r="G64" s="1136"/>
      <c r="H64" s="1136"/>
      <c r="I64" s="1121"/>
      <c r="J64" s="1109"/>
    </row>
    <row r="65" spans="6:10">
      <c r="F65" s="1106"/>
      <c r="G65" s="1136"/>
      <c r="H65" s="1136"/>
      <c r="I65" s="1121"/>
      <c r="J65" s="1109"/>
    </row>
    <row r="66" spans="6:10">
      <c r="F66" s="1106"/>
      <c r="G66" s="1136"/>
      <c r="H66" s="1136"/>
      <c r="I66" s="1121"/>
      <c r="J66" s="1109"/>
    </row>
    <row r="67" spans="6:10">
      <c r="F67" s="1106"/>
      <c r="G67" s="1136"/>
      <c r="H67" s="1122"/>
      <c r="I67" s="1122"/>
      <c r="J67" s="1109"/>
    </row>
    <row r="68" spans="6:10">
      <c r="F68" s="1106"/>
      <c r="G68" s="1136"/>
      <c r="H68" s="1122"/>
      <c r="I68" s="1122"/>
      <c r="J68" s="1109"/>
    </row>
    <row r="69" spans="6:10">
      <c r="F69" s="1106"/>
      <c r="G69" s="1136"/>
      <c r="H69" s="1122"/>
      <c r="I69" s="1122"/>
      <c r="J69" s="1109"/>
    </row>
    <row r="70" spans="6:10">
      <c r="F70" s="1122"/>
      <c r="G70" s="1122"/>
      <c r="H70" s="1122"/>
      <c r="I70" s="1122"/>
      <c r="J70" s="1109"/>
    </row>
    <row r="71" spans="6:10">
      <c r="F71" s="1122"/>
      <c r="G71" s="1122"/>
      <c r="H71" s="1122"/>
      <c r="I71" s="1122"/>
      <c r="J71" s="1109"/>
    </row>
    <row r="72" spans="6:10">
      <c r="F72" s="1122"/>
      <c r="G72" s="1122"/>
      <c r="H72" s="1122"/>
      <c r="I72" s="1122"/>
      <c r="J72" s="1109"/>
    </row>
    <row r="73" spans="6:10" ht="15.75">
      <c r="F73" s="1124"/>
      <c r="G73" s="1122"/>
      <c r="H73" s="1124"/>
      <c r="I73" s="1124"/>
      <c r="J73" s="1109"/>
    </row>
    <row r="74" spans="6:10">
      <c r="F74" s="1109"/>
      <c r="G74" s="1122"/>
      <c r="H74" s="1109"/>
      <c r="I74" s="1109"/>
      <c r="J74" s="1109"/>
    </row>
    <row r="75" spans="6:10">
      <c r="F75" s="1106"/>
      <c r="G75" s="1122"/>
      <c r="H75" s="1106"/>
      <c r="I75" s="1106"/>
      <c r="J75" s="1106"/>
    </row>
    <row r="76" spans="6:10" ht="15.75">
      <c r="F76" s="1106"/>
      <c r="G76" s="1124"/>
      <c r="H76" s="1106"/>
      <c r="I76" s="1106"/>
      <c r="J76" s="1106"/>
    </row>
    <row r="77" spans="6:10">
      <c r="F77" s="1106"/>
      <c r="G77" s="1109"/>
      <c r="H77" s="1106"/>
      <c r="I77" s="1106"/>
      <c r="J77" s="1106"/>
    </row>
    <row r="78" spans="6:10">
      <c r="H78" s="1106"/>
      <c r="I78" s="1106"/>
      <c r="J78" s="1106"/>
    </row>
  </sheetData>
  <sheetProtection password="9E1F" sheet="1" objects="1" scenarios="1"/>
  <customSheetViews>
    <customSheetView guid="{074EB09C-6289-46D7-9513-012B68BCA7BF}" fitToPage="1">
      <pane xSplit="1" ySplit="1" topLeftCell="B2" activePane="bottomRight" state="frozen"/>
      <selection pane="bottomRight" activeCell="B1" sqref="B1"/>
      <pageMargins left="0.31" right="0.35" top="0.37" bottom="0.75" header="0.3" footer="0.3"/>
      <pageSetup paperSize="17" scale="71" orientation="landscape" r:id="rId1"/>
    </customSheetView>
    <customSheetView guid="{AF9F1D33-B8C2-423F-86A1-47612B8F532C}" fitToPage="1">
      <pane xSplit="1" ySplit="1" topLeftCell="B14" activePane="bottomRight" state="frozenSplit"/>
      <selection pane="bottomRight" activeCell="B36" sqref="B36"/>
      <pageMargins left="0.7" right="0.7" top="0.75" bottom="0.75" header="0.3" footer="0.3"/>
      <pageSetup paperSize="17" scale="71" orientation="landscape"/>
    </customSheetView>
  </customSheetViews>
  <pageMargins left="0.31" right="0.35" top="0.37" bottom="0.75" header="0.3" footer="0.3"/>
  <pageSetup paperSize="17" scale="72" orientation="landscape" r:id="rId2"/>
  <drawing r:id="rId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dimension ref="A1:N105"/>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8.85546875" defaultRowHeight="12.75"/>
  <cols>
    <col min="1" max="1" width="15.42578125" style="3064" customWidth="1"/>
    <col min="2" max="2" width="58.42578125" customWidth="1"/>
    <col min="3" max="4" width="17.42578125" customWidth="1"/>
    <col min="5" max="5" width="19.7109375" customWidth="1"/>
    <col min="6" max="6" width="15.7109375" customWidth="1"/>
    <col min="7" max="7" width="15.7109375" style="4383" customWidth="1"/>
    <col min="8" max="8" width="18.42578125" customWidth="1"/>
    <col min="9" max="9" width="21.85546875" customWidth="1"/>
    <col min="10" max="10" width="18.28515625" customWidth="1"/>
    <col min="11" max="11" width="20.7109375" customWidth="1"/>
    <col min="12" max="14" width="17" customWidth="1"/>
  </cols>
  <sheetData>
    <row r="1" spans="2:14" ht="40.5" customHeight="1">
      <c r="B1" s="1166" t="s">
        <v>740</v>
      </c>
      <c r="C1" s="1183"/>
      <c r="D1" s="1183"/>
      <c r="E1" s="1183"/>
      <c r="F1" s="1183"/>
      <c r="G1" s="4362"/>
      <c r="H1" s="1184"/>
      <c r="I1" s="1184"/>
      <c r="J1" s="1157"/>
      <c r="K1" s="1157"/>
      <c r="L1" s="1157"/>
      <c r="M1" s="1157"/>
      <c r="N1" s="1157"/>
    </row>
    <row r="2" spans="2:14" ht="21" customHeight="1">
      <c r="B2" s="1166"/>
      <c r="C2" s="1183"/>
      <c r="D2" s="1183"/>
      <c r="E2" s="1183"/>
      <c r="F2" s="1183"/>
      <c r="G2" s="4362"/>
      <c r="H2" s="1184"/>
      <c r="I2" s="1184"/>
      <c r="J2" s="1157"/>
      <c r="K2" s="1157"/>
      <c r="L2" s="1157"/>
      <c r="M2" s="1157"/>
      <c r="N2" s="1157"/>
    </row>
    <row r="3" spans="2:14" ht="38.25">
      <c r="B3" s="3463"/>
      <c r="C3" s="1162" t="s">
        <v>9</v>
      </c>
      <c r="D3" s="1162" t="s">
        <v>10</v>
      </c>
      <c r="E3" s="1162" t="s">
        <v>640</v>
      </c>
      <c r="F3" s="1162" t="s">
        <v>12</v>
      </c>
      <c r="G3" s="4363" t="s">
        <v>13</v>
      </c>
      <c r="H3" s="1162" t="s">
        <v>14</v>
      </c>
      <c r="I3" s="1162" t="s">
        <v>15</v>
      </c>
      <c r="J3" s="1162" t="s">
        <v>16</v>
      </c>
      <c r="K3" s="1162" t="s">
        <v>641</v>
      </c>
      <c r="L3" s="1162" t="s">
        <v>18</v>
      </c>
      <c r="M3" s="1206" t="s">
        <v>114</v>
      </c>
      <c r="N3" s="1163" t="s">
        <v>19</v>
      </c>
    </row>
    <row r="4" spans="2:14" ht="25.5">
      <c r="B4" s="1203" t="s">
        <v>642</v>
      </c>
      <c r="C4" s="1200"/>
      <c r="D4" s="1200"/>
      <c r="E4" s="1200"/>
      <c r="F4" s="1200"/>
      <c r="G4" s="4364"/>
      <c r="H4" s="1200"/>
      <c r="I4" s="1200"/>
      <c r="J4" s="1200"/>
      <c r="K4" s="1201"/>
      <c r="L4" s="1212">
        <v>606667</v>
      </c>
      <c r="M4" s="1208"/>
      <c r="N4" s="1213" t="s">
        <v>21</v>
      </c>
    </row>
    <row r="5" spans="2:14">
      <c r="B5" s="1204">
        <v>2011</v>
      </c>
      <c r="C5" s="1202">
        <v>26614.9</v>
      </c>
      <c r="D5" s="1202">
        <v>613.5</v>
      </c>
      <c r="E5" s="1202">
        <v>17153.892</v>
      </c>
      <c r="F5" s="1202">
        <v>6000</v>
      </c>
      <c r="G5" s="4365">
        <v>320</v>
      </c>
      <c r="H5" s="1202">
        <v>9980</v>
      </c>
      <c r="I5" s="1202">
        <v>950</v>
      </c>
      <c r="J5" s="1202">
        <v>0</v>
      </c>
      <c r="K5" s="1202">
        <v>452720</v>
      </c>
      <c r="L5" s="1205">
        <v>514352.29200000002</v>
      </c>
      <c r="M5" s="1211">
        <v>208250</v>
      </c>
      <c r="N5" s="1214">
        <v>-0.1521670174906497</v>
      </c>
    </row>
    <row r="6" spans="2:14">
      <c r="B6" s="1159">
        <v>2012</v>
      </c>
      <c r="C6" s="1193">
        <f>C19</f>
        <v>59700</v>
      </c>
      <c r="D6" s="1194">
        <f>C20</f>
        <v>8500</v>
      </c>
      <c r="E6" s="1194">
        <f>C39</f>
        <v>43000</v>
      </c>
      <c r="F6" s="1194">
        <f>C37</f>
        <v>6000</v>
      </c>
      <c r="G6" s="4366">
        <f>C27</f>
        <v>400</v>
      </c>
      <c r="H6" s="1194">
        <f>C49</f>
        <v>8650</v>
      </c>
      <c r="I6" s="1194">
        <f>C35</f>
        <v>2150</v>
      </c>
      <c r="J6" s="1194">
        <f>C29</f>
        <v>100</v>
      </c>
      <c r="K6" s="1195">
        <f>C16</f>
        <v>512400</v>
      </c>
      <c r="L6" s="1195">
        <f>SUM(C6:K6)</f>
        <v>640900</v>
      </c>
      <c r="M6" s="1207">
        <f>C64</f>
        <v>1407000</v>
      </c>
      <c r="N6" s="1214">
        <v>0.48382991943584075</v>
      </c>
    </row>
    <row r="7" spans="2:14" s="3532" customFormat="1">
      <c r="B7" s="4262" t="s">
        <v>1168</v>
      </c>
      <c r="C7" s="1193">
        <v>59700</v>
      </c>
      <c r="D7" s="1194">
        <v>8500</v>
      </c>
      <c r="E7" s="1194">
        <v>43000</v>
      </c>
      <c r="F7" s="1194">
        <v>6000</v>
      </c>
      <c r="G7" s="4366">
        <v>400</v>
      </c>
      <c r="H7" s="4258">
        <v>8650</v>
      </c>
      <c r="I7" s="4258">
        <v>2150</v>
      </c>
      <c r="J7" s="4258">
        <v>100</v>
      </c>
      <c r="K7" s="4259">
        <v>542400</v>
      </c>
      <c r="L7" s="1195">
        <v>670900</v>
      </c>
      <c r="M7" s="2933">
        <v>1399000</v>
      </c>
      <c r="N7" s="1214"/>
    </row>
    <row r="8" spans="2:14" ht="13.5" thickBot="1">
      <c r="B8" s="4261" t="s">
        <v>1169</v>
      </c>
      <c r="C8" s="4208">
        <f>D19</f>
        <v>80800</v>
      </c>
      <c r="D8" s="4209">
        <f>D20</f>
        <v>8500</v>
      </c>
      <c r="E8" s="4209">
        <f>D39</f>
        <v>63100</v>
      </c>
      <c r="F8" s="4209">
        <f>D37</f>
        <v>6000</v>
      </c>
      <c r="G8" s="4367">
        <f>D27</f>
        <v>400</v>
      </c>
      <c r="H8" s="4216">
        <f>D49</f>
        <v>8650</v>
      </c>
      <c r="I8" s="4210">
        <f>D35</f>
        <v>2150</v>
      </c>
      <c r="J8" s="4210">
        <f>D29</f>
        <v>100</v>
      </c>
      <c r="K8" s="4211">
        <f>D16</f>
        <v>614341</v>
      </c>
      <c r="L8" s="4212">
        <f>SUM(C8:K8)</f>
        <v>784041</v>
      </c>
      <c r="M8" s="4213">
        <f>H64</f>
        <v>1400163</v>
      </c>
      <c r="N8" s="1214">
        <v>0</v>
      </c>
    </row>
    <row r="9" spans="2:14" ht="13.5" thickBot="1">
      <c r="B9" s="4260" t="s">
        <v>1175</v>
      </c>
      <c r="C9" s="4214">
        <f>SUM(C6+C8)</f>
        <v>140500</v>
      </c>
      <c r="D9" s="4214">
        <f t="shared" ref="D9:M9" si="0">SUM(D6+D8)</f>
        <v>17000</v>
      </c>
      <c r="E9" s="4214">
        <f t="shared" si="0"/>
        <v>106100</v>
      </c>
      <c r="F9" s="4214">
        <f t="shared" si="0"/>
        <v>12000</v>
      </c>
      <c r="G9" s="4368">
        <f t="shared" si="0"/>
        <v>800</v>
      </c>
      <c r="H9" s="4214">
        <f t="shared" si="0"/>
        <v>17300</v>
      </c>
      <c r="I9" s="4214">
        <f t="shared" si="0"/>
        <v>4300</v>
      </c>
      <c r="J9" s="4214">
        <f t="shared" si="0"/>
        <v>200</v>
      </c>
      <c r="K9" s="4214">
        <f t="shared" si="0"/>
        <v>1126741</v>
      </c>
      <c r="L9" s="4214">
        <f t="shared" si="0"/>
        <v>1424941</v>
      </c>
      <c r="M9" s="2933">
        <f t="shared" si="0"/>
        <v>2807163</v>
      </c>
      <c r="N9" s="1157"/>
    </row>
    <row r="10" spans="2:14" ht="20.25">
      <c r="B10" s="1166"/>
      <c r="C10" s="1183"/>
      <c r="D10" s="1183"/>
      <c r="E10" s="1183"/>
      <c r="F10" s="1183"/>
      <c r="G10" s="4362"/>
      <c r="H10" s="1184"/>
      <c r="I10" s="1184"/>
      <c r="J10" s="1157"/>
      <c r="K10" s="1157"/>
      <c r="L10" s="1157"/>
      <c r="M10" s="1157"/>
      <c r="N10" s="1170"/>
    </row>
    <row r="11" spans="2:14" ht="18">
      <c r="B11" s="1167" t="s">
        <v>741</v>
      </c>
      <c r="C11" s="1190"/>
      <c r="D11" s="1190"/>
      <c r="E11" s="1190"/>
      <c r="F11" s="1182"/>
      <c r="G11" s="4369"/>
      <c r="H11" s="1182"/>
      <c r="I11" s="1182"/>
      <c r="J11" s="1157"/>
      <c r="K11" s="1157"/>
      <c r="L11" s="1157"/>
      <c r="M11" s="1157"/>
      <c r="N11" s="1157"/>
    </row>
    <row r="12" spans="2:14" ht="18">
      <c r="B12" s="1168"/>
      <c r="C12" s="1197">
        <v>2012</v>
      </c>
      <c r="D12" s="1198">
        <v>2013</v>
      </c>
      <c r="E12" s="1199" t="s">
        <v>28</v>
      </c>
      <c r="F12" s="1173"/>
      <c r="G12" s="4370"/>
      <c r="H12" s="1173"/>
      <c r="I12" s="2828"/>
      <c r="J12" s="2821"/>
      <c r="K12" s="1170"/>
      <c r="L12" s="1170"/>
      <c r="M12" s="1209"/>
      <c r="N12" s="1157"/>
    </row>
    <row r="13" spans="2:14">
      <c r="B13" s="2767" t="s">
        <v>645</v>
      </c>
      <c r="C13" s="2927"/>
      <c r="D13" s="2756"/>
      <c r="E13" s="2756"/>
      <c r="F13" s="3024"/>
      <c r="G13" s="4370"/>
      <c r="H13" s="1173"/>
      <c r="I13" s="2822"/>
      <c r="J13" s="2823"/>
      <c r="K13" s="1170"/>
      <c r="L13" s="1157"/>
      <c r="M13" s="1157"/>
      <c r="N13" s="1157"/>
    </row>
    <row r="14" spans="2:14" ht="28.5" customHeight="1">
      <c r="B14" s="3480"/>
      <c r="C14" s="3276">
        <v>380700</v>
      </c>
      <c r="D14" s="4624">
        <v>347730</v>
      </c>
      <c r="E14" s="2811">
        <f>SUM(C14:D14)</f>
        <v>728430</v>
      </c>
      <c r="F14" s="4370" t="s">
        <v>1419</v>
      </c>
      <c r="G14" s="4370"/>
      <c r="H14" s="1173"/>
      <c r="I14" s="2822"/>
      <c r="J14" s="2824"/>
      <c r="K14" s="1170"/>
      <c r="L14" s="1157"/>
      <c r="M14" s="1157"/>
      <c r="N14" s="1157"/>
    </row>
    <row r="15" spans="2:14" ht="28.5" customHeight="1">
      <c r="B15" s="3480"/>
      <c r="C15" s="3276">
        <v>131700</v>
      </c>
      <c r="D15" s="4624">
        <v>266611</v>
      </c>
      <c r="E15" s="2811">
        <f>SUM(C15:D15)</f>
        <v>398311</v>
      </c>
      <c r="F15" s="4370" t="s">
        <v>1419</v>
      </c>
      <c r="G15" s="4370"/>
      <c r="H15" s="1173"/>
      <c r="I15" s="2822"/>
      <c r="J15" s="2824"/>
      <c r="K15" s="1157"/>
      <c r="L15" s="1157"/>
      <c r="M15" s="1157"/>
      <c r="N15" s="1157"/>
    </row>
    <row r="16" spans="2:14">
      <c r="B16" s="2767"/>
      <c r="C16" s="2812">
        <f>SUM(C14:C15)</f>
        <v>512400</v>
      </c>
      <c r="D16" s="4625">
        <f>SUM(D14:D15)</f>
        <v>614341</v>
      </c>
      <c r="E16" s="2807">
        <f>SUM(E14:E15)</f>
        <v>1126741</v>
      </c>
      <c r="F16" s="2773"/>
      <c r="G16" s="4370"/>
      <c r="H16" s="1173"/>
      <c r="I16" s="2822"/>
      <c r="J16" s="2824"/>
      <c r="K16" s="1157"/>
      <c r="L16" s="1157"/>
      <c r="M16" s="1157"/>
      <c r="N16" s="1157"/>
    </row>
    <row r="17" spans="2:14" ht="18">
      <c r="B17" s="2768"/>
      <c r="C17" s="2787"/>
      <c r="D17" s="2755"/>
      <c r="E17" s="2788"/>
      <c r="F17" s="2773"/>
      <c r="G17" s="4370"/>
      <c r="H17" s="1173"/>
      <c r="I17" s="2822"/>
      <c r="J17" s="2819"/>
      <c r="K17" s="1157"/>
      <c r="L17" s="1157"/>
      <c r="M17" s="1157"/>
      <c r="N17" s="1157"/>
    </row>
    <row r="18" spans="2:14">
      <c r="B18" s="2767" t="s">
        <v>648</v>
      </c>
      <c r="C18" s="2789"/>
      <c r="D18" s="2755"/>
      <c r="E18" s="2788"/>
      <c r="F18" s="2770"/>
      <c r="G18" s="4371"/>
      <c r="H18" s="1171"/>
      <c r="I18" s="2822"/>
      <c r="J18" s="2819"/>
      <c r="K18" s="1157"/>
      <c r="L18" s="1157"/>
      <c r="M18" s="1157"/>
    </row>
    <row r="19" spans="2:14">
      <c r="B19" s="2772" t="s">
        <v>650</v>
      </c>
      <c r="C19" s="2816">
        <v>59700</v>
      </c>
      <c r="D19" s="4425">
        <v>80800</v>
      </c>
      <c r="E19" s="2801">
        <f>SUM(C19:D19)</f>
        <v>140500</v>
      </c>
      <c r="F19" s="2780">
        <v>0.67</v>
      </c>
      <c r="G19" s="4372" t="s">
        <v>651</v>
      </c>
      <c r="H19" s="1172"/>
      <c r="I19" s="2822"/>
      <c r="J19" s="2819"/>
      <c r="K19" s="1157"/>
      <c r="L19" s="1157"/>
      <c r="M19" s="1157"/>
    </row>
    <row r="20" spans="2:14">
      <c r="B20" s="2772" t="s">
        <v>655</v>
      </c>
      <c r="C20" s="2816">
        <v>8500</v>
      </c>
      <c r="D20" s="2804">
        <v>8500</v>
      </c>
      <c r="E20" s="2801">
        <f>SUM(C20:D20)</f>
        <v>17000</v>
      </c>
      <c r="F20" s="2780">
        <v>7.0000000000000007E-2</v>
      </c>
      <c r="G20" s="4372" t="s">
        <v>651</v>
      </c>
      <c r="H20" s="1172"/>
      <c r="I20" s="2822"/>
      <c r="J20" s="2819"/>
      <c r="K20" s="1157"/>
      <c r="L20" s="1157"/>
      <c r="M20" s="1157"/>
    </row>
    <row r="21" spans="2:14">
      <c r="B21" s="2772"/>
      <c r="C21" s="2790"/>
      <c r="D21" s="2755"/>
      <c r="E21" s="2788"/>
      <c r="F21" s="2771"/>
      <c r="G21" s="4373"/>
      <c r="H21" s="1172"/>
      <c r="I21" s="2822"/>
      <c r="J21" s="2819"/>
      <c r="K21" s="1157"/>
      <c r="L21" s="1157"/>
      <c r="M21" s="1210"/>
    </row>
    <row r="22" spans="2:14">
      <c r="B22" s="2767" t="s">
        <v>481</v>
      </c>
      <c r="C22" s="2789"/>
      <c r="D22" s="2755"/>
      <c r="E22" s="2788"/>
      <c r="F22" s="2770"/>
      <c r="G22" s="4371"/>
      <c r="H22" s="1172"/>
      <c r="I22" s="2822"/>
      <c r="J22" s="2827"/>
      <c r="K22" s="1157"/>
      <c r="L22" s="1157"/>
      <c r="M22" s="1157"/>
    </row>
    <row r="23" spans="2:14">
      <c r="B23" s="2756" t="s">
        <v>656</v>
      </c>
      <c r="C23" s="3110">
        <v>120</v>
      </c>
      <c r="D23" s="185">
        <v>120</v>
      </c>
      <c r="E23" s="2801">
        <f>SUM(C23:D23)</f>
        <v>240</v>
      </c>
      <c r="F23" s="2781"/>
      <c r="G23" s="4374"/>
      <c r="H23" s="1171"/>
      <c r="I23" s="2817"/>
      <c r="J23" s="2818"/>
      <c r="K23" s="1157"/>
      <c r="L23" s="1157"/>
      <c r="M23" s="1157"/>
    </row>
    <row r="24" spans="2:14">
      <c r="B24" s="2772" t="s">
        <v>657</v>
      </c>
      <c r="C24" s="3110">
        <v>190</v>
      </c>
      <c r="D24" s="185">
        <v>190</v>
      </c>
      <c r="E24" s="3159">
        <f t="shared" ref="E24:E26" si="1">SUM(C24:D24)</f>
        <v>380</v>
      </c>
      <c r="F24" s="2756"/>
      <c r="G24" s="4371"/>
      <c r="H24" s="1185"/>
      <c r="I24" s="2822"/>
      <c r="J24" s="2832"/>
      <c r="K24" s="1157"/>
      <c r="L24" s="1157"/>
      <c r="M24" s="1157"/>
    </row>
    <row r="25" spans="2:14">
      <c r="B25" s="2772" t="s">
        <v>658</v>
      </c>
      <c r="C25" s="3110">
        <v>50</v>
      </c>
      <c r="D25" s="185">
        <v>50</v>
      </c>
      <c r="E25" s="3159">
        <f t="shared" si="1"/>
        <v>100</v>
      </c>
      <c r="F25" s="2770"/>
      <c r="G25" s="4371"/>
      <c r="H25" s="1171"/>
      <c r="I25" s="2826"/>
      <c r="J25" s="2830"/>
      <c r="K25" s="1180"/>
      <c r="L25" s="1157"/>
      <c r="M25" s="1157"/>
    </row>
    <row r="26" spans="2:14">
      <c r="B26" s="2772" t="s">
        <v>660</v>
      </c>
      <c r="C26" s="2794">
        <v>40</v>
      </c>
      <c r="D26" s="2804">
        <v>40</v>
      </c>
      <c r="E26" s="3159">
        <f t="shared" si="1"/>
        <v>80</v>
      </c>
      <c r="F26" s="2770"/>
      <c r="G26" s="4371"/>
      <c r="H26" s="1186"/>
      <c r="I26" s="2826"/>
      <c r="J26" s="2829"/>
      <c r="K26" s="1181"/>
      <c r="L26" s="1157"/>
      <c r="M26" s="1157"/>
    </row>
    <row r="27" spans="2:14">
      <c r="B27" s="2756"/>
      <c r="C27" s="2791">
        <f>SUM(C23:C26)</f>
        <v>400</v>
      </c>
      <c r="D27" s="2778">
        <f>SUM(D23:D26)</f>
        <v>400</v>
      </c>
      <c r="E27" s="2808">
        <f>SUM(E23:E26)</f>
        <v>800</v>
      </c>
      <c r="F27" s="2770"/>
      <c r="G27" s="4371"/>
      <c r="H27" s="1186"/>
      <c r="I27" s="2826"/>
      <c r="J27" s="2829"/>
      <c r="K27" s="1181"/>
      <c r="L27" s="1157"/>
      <c r="M27" s="1157"/>
    </row>
    <row r="28" spans="2:14">
      <c r="B28" s="2755"/>
      <c r="C28" s="2797"/>
      <c r="D28" s="2755"/>
      <c r="E28" s="2788"/>
      <c r="F28" s="2770"/>
      <c r="G28" s="4371"/>
      <c r="H28" s="1186"/>
      <c r="I28" s="2825"/>
      <c r="J28" s="2831"/>
      <c r="K28" s="1181"/>
      <c r="L28" s="1157"/>
      <c r="M28" s="1157"/>
    </row>
    <row r="29" spans="2:14">
      <c r="B29" s="2767" t="s">
        <v>649</v>
      </c>
      <c r="C29" s="2791">
        <v>100</v>
      </c>
      <c r="D29" s="2786">
        <v>100</v>
      </c>
      <c r="E29" s="2808">
        <f>SUM(C29:D29)</f>
        <v>200</v>
      </c>
      <c r="F29" s="2770"/>
      <c r="G29" s="4371"/>
      <c r="H29" s="1186"/>
      <c r="I29" s="1157"/>
      <c r="J29" s="1157"/>
      <c r="K29" s="1157"/>
      <c r="L29" s="1157"/>
      <c r="M29" s="1157"/>
    </row>
    <row r="30" spans="2:14">
      <c r="B30" s="2755"/>
      <c r="C30" s="2797"/>
      <c r="D30" s="2755"/>
      <c r="E30" s="2788"/>
      <c r="F30" s="2770"/>
      <c r="G30" s="4371"/>
      <c r="H30" s="1186"/>
      <c r="I30" s="1157"/>
      <c r="J30" s="1157"/>
      <c r="K30" s="1157"/>
      <c r="L30" s="1157"/>
      <c r="M30" s="1157"/>
    </row>
    <row r="31" spans="2:14">
      <c r="B31" s="2766" t="s">
        <v>652</v>
      </c>
      <c r="C31" s="2797"/>
      <c r="D31" s="2755"/>
      <c r="E31" s="2788"/>
      <c r="F31" s="2782"/>
      <c r="G31" s="4375"/>
      <c r="H31" s="1186"/>
      <c r="I31" s="1157"/>
      <c r="J31" s="1157"/>
      <c r="K31" s="1157"/>
      <c r="L31" s="1157"/>
      <c r="M31" s="1157"/>
    </row>
    <row r="32" spans="2:14">
      <c r="B32" s="2756" t="s">
        <v>661</v>
      </c>
      <c r="C32" s="2797">
        <v>2000</v>
      </c>
      <c r="D32" s="2804">
        <v>2000</v>
      </c>
      <c r="E32" s="2801">
        <f>SUM(C32:D32)</f>
        <v>4000</v>
      </c>
      <c r="F32" s="2782"/>
      <c r="G32" s="4375"/>
      <c r="H32" s="1186"/>
      <c r="I32" s="1173"/>
      <c r="J32" s="1157"/>
      <c r="K32" s="1157"/>
      <c r="L32" s="1157"/>
      <c r="M32" s="1157"/>
    </row>
    <row r="33" spans="2:13">
      <c r="B33" s="2756" t="s">
        <v>662</v>
      </c>
      <c r="C33" s="2797">
        <v>20</v>
      </c>
      <c r="D33" s="2804">
        <v>20</v>
      </c>
      <c r="E33" s="3159">
        <f t="shared" ref="E33:E34" si="2">SUM(C33:D33)</f>
        <v>40</v>
      </c>
      <c r="F33" s="2782"/>
      <c r="G33" s="4375"/>
      <c r="H33" s="1186"/>
      <c r="I33" s="1173"/>
      <c r="J33" s="1157"/>
      <c r="K33" s="1157"/>
      <c r="L33" s="1157"/>
      <c r="M33" s="1157"/>
    </row>
    <row r="34" spans="2:13">
      <c r="B34" s="2755" t="s">
        <v>663</v>
      </c>
      <c r="C34" s="2797">
        <v>130</v>
      </c>
      <c r="D34" s="2804">
        <v>130</v>
      </c>
      <c r="E34" s="3159">
        <f t="shared" si="2"/>
        <v>260</v>
      </c>
      <c r="F34" s="2782"/>
      <c r="G34" s="4375"/>
      <c r="H34" s="1186"/>
      <c r="I34" s="1173"/>
    </row>
    <row r="35" spans="2:13">
      <c r="B35" s="2766" t="s">
        <v>664</v>
      </c>
      <c r="C35" s="2792">
        <f>SUM(C32:C34)</f>
        <v>2150</v>
      </c>
      <c r="D35" s="2774">
        <f>SUM(D32:D34)</f>
        <v>2150</v>
      </c>
      <c r="E35" s="2808">
        <f>SUM(E32:E34)</f>
        <v>4300</v>
      </c>
      <c r="F35" s="2782"/>
      <c r="G35" s="4375"/>
      <c r="H35" s="1186"/>
      <c r="I35" s="1173"/>
    </row>
    <row r="36" spans="2:13">
      <c r="B36" s="2755"/>
      <c r="C36" s="2797"/>
      <c r="D36" s="2755"/>
      <c r="E36" s="2788"/>
      <c r="F36" s="2782"/>
      <c r="G36" s="4375"/>
      <c r="H36" s="1186"/>
      <c r="I36" s="1173"/>
    </row>
    <row r="37" spans="2:13">
      <c r="B37" s="2766" t="s">
        <v>654</v>
      </c>
      <c r="C37" s="2792">
        <v>6000</v>
      </c>
      <c r="D37" s="2805">
        <v>6000</v>
      </c>
      <c r="E37" s="2808">
        <f>SUM(C37:D37)</f>
        <v>12000</v>
      </c>
      <c r="F37" s="2782"/>
      <c r="G37" s="4375"/>
      <c r="H37" s="1186"/>
      <c r="I37" s="1173"/>
    </row>
    <row r="38" spans="2:13">
      <c r="B38" s="2755"/>
      <c r="C38" s="2797"/>
      <c r="D38" s="2755"/>
      <c r="E38" s="2788"/>
      <c r="F38" s="2782"/>
      <c r="G38" s="4376"/>
      <c r="H38" s="1186"/>
      <c r="I38" s="1173"/>
    </row>
    <row r="39" spans="2:13">
      <c r="B39" s="4429" t="s">
        <v>1438</v>
      </c>
      <c r="C39" s="3106">
        <f>ROUND(SUM(C19:C20)*0.63, -2)</f>
        <v>43000</v>
      </c>
      <c r="D39" s="4629">
        <f>ROUND(SUM(D19:D20)*0.707, -2)</f>
        <v>63100</v>
      </c>
      <c r="E39" s="2808">
        <f>SUM(C39:D39)</f>
        <v>106100</v>
      </c>
      <c r="F39" s="2782"/>
      <c r="G39" s="4376"/>
      <c r="H39" s="1186"/>
      <c r="I39" s="1173"/>
    </row>
    <row r="40" spans="2:13">
      <c r="B40" s="2755"/>
      <c r="C40" s="2797"/>
      <c r="D40" s="2783"/>
      <c r="E40" s="2798"/>
      <c r="F40" s="2782"/>
      <c r="G40" s="3149"/>
      <c r="H40" s="1186"/>
      <c r="I40" s="1173"/>
    </row>
    <row r="41" spans="2:13">
      <c r="B41" s="2754" t="s">
        <v>14</v>
      </c>
      <c r="C41" s="2797"/>
      <c r="D41" s="2783"/>
      <c r="E41" s="2798"/>
      <c r="F41" s="2782"/>
      <c r="G41" s="3149"/>
      <c r="H41" s="1186"/>
      <c r="I41" s="1169"/>
    </row>
    <row r="42" spans="2:13">
      <c r="B42" s="2810" t="s">
        <v>646</v>
      </c>
      <c r="C42" s="2797"/>
      <c r="D42" s="2783"/>
      <c r="E42" s="2798"/>
      <c r="F42" s="2782"/>
      <c r="G42" s="3149"/>
      <c r="H42" s="1186"/>
      <c r="I42" s="1169"/>
    </row>
    <row r="43" spans="2:13">
      <c r="B43" s="2777" t="s">
        <v>686</v>
      </c>
      <c r="C43" s="2794">
        <v>3300</v>
      </c>
      <c r="D43" s="2784">
        <v>3300</v>
      </c>
      <c r="E43" s="2795">
        <f>SUM(C43:D43)</f>
        <v>6600</v>
      </c>
      <c r="F43" s="2782"/>
      <c r="G43" s="3149"/>
      <c r="H43" s="1186"/>
      <c r="I43" s="1169"/>
    </row>
    <row r="44" spans="2:13">
      <c r="B44" s="2756" t="s">
        <v>742</v>
      </c>
      <c r="C44" s="2794">
        <v>3550</v>
      </c>
      <c r="D44" s="2784">
        <v>3550</v>
      </c>
      <c r="E44" s="3158">
        <f t="shared" ref="E44:E48" si="3">SUM(C44:D44)</f>
        <v>7100</v>
      </c>
      <c r="F44" s="2756"/>
      <c r="G44" s="4376"/>
      <c r="H44" s="1186"/>
      <c r="I44" s="1169"/>
    </row>
    <row r="45" spans="2:13">
      <c r="B45" s="2810" t="s">
        <v>647</v>
      </c>
      <c r="C45" s="2794"/>
      <c r="D45" s="2784"/>
      <c r="E45" s="3158">
        <f t="shared" si="3"/>
        <v>0</v>
      </c>
      <c r="F45" s="2756"/>
      <c r="G45" s="4376"/>
      <c r="H45" s="1186"/>
      <c r="I45" s="1169"/>
    </row>
    <row r="46" spans="2:13">
      <c r="B46" s="2815" t="s">
        <v>714</v>
      </c>
      <c r="C46" s="2794">
        <v>0</v>
      </c>
      <c r="D46" s="2784">
        <v>0</v>
      </c>
      <c r="E46" s="3158">
        <f t="shared" si="3"/>
        <v>0</v>
      </c>
      <c r="F46" s="2756"/>
      <c r="G46" s="4376"/>
      <c r="H46" s="1186"/>
      <c r="I46" s="1169"/>
    </row>
    <row r="47" spans="2:13">
      <c r="B47" s="2815" t="s">
        <v>715</v>
      </c>
      <c r="C47" s="2794">
        <v>0</v>
      </c>
      <c r="D47" s="2784">
        <v>0</v>
      </c>
      <c r="E47" s="3158">
        <f t="shared" si="3"/>
        <v>0</v>
      </c>
      <c r="F47" s="2756"/>
      <c r="G47" s="4376"/>
      <c r="H47" s="1186"/>
      <c r="I47" s="1169"/>
    </row>
    <row r="48" spans="2:13">
      <c r="B48" s="2809" t="s">
        <v>717</v>
      </c>
      <c r="C48" s="2794">
        <v>1800</v>
      </c>
      <c r="D48" s="2784">
        <v>1800</v>
      </c>
      <c r="E48" s="3158">
        <f t="shared" si="3"/>
        <v>3600</v>
      </c>
      <c r="F48" s="2756"/>
      <c r="G48" s="4376"/>
      <c r="H48" s="1186"/>
      <c r="I48" s="1169"/>
    </row>
    <row r="49" spans="2:9">
      <c r="B49" s="2775" t="s">
        <v>672</v>
      </c>
      <c r="C49" s="2791">
        <f>SUM(C43:C48)</f>
        <v>8650</v>
      </c>
      <c r="D49" s="2791">
        <f>SUM(D43:D48)</f>
        <v>8650</v>
      </c>
      <c r="E49" s="2796">
        <f>SUM(E43:E48)</f>
        <v>17300</v>
      </c>
      <c r="F49" s="2782"/>
      <c r="G49" s="4376"/>
      <c r="H49" s="1186"/>
      <c r="I49" s="1169"/>
    </row>
    <row r="50" spans="2:9" ht="13.5" thickBot="1">
      <c r="B50" s="2769"/>
      <c r="C50" s="2794"/>
      <c r="D50" s="2784"/>
      <c r="E50" s="2795"/>
      <c r="F50" s="2782"/>
      <c r="G50" s="4376"/>
      <c r="H50" s="1186"/>
      <c r="I50" s="1169"/>
    </row>
    <row r="51" spans="2:9" ht="13.5" thickBot="1">
      <c r="B51" s="2775" t="s">
        <v>673</v>
      </c>
      <c r="C51" s="2793">
        <f>C16+C19+C20+C27+C29+C37+C35+C39+C49</f>
        <v>640900</v>
      </c>
      <c r="D51" s="3031">
        <f t="shared" ref="D51" si="4">D16+D19+D20+D27+D29+D37+D35+D39+D49</f>
        <v>784041</v>
      </c>
      <c r="E51" s="3031">
        <f>E16+E19+E20+E27+E29+E37+E35+E39+E49</f>
        <v>1424941</v>
      </c>
      <c r="F51" s="3035"/>
      <c r="G51" s="4376"/>
      <c r="H51" s="1186"/>
      <c r="I51" s="1169"/>
    </row>
    <row r="52" spans="2:9">
      <c r="B52" s="2753"/>
      <c r="C52" s="2784"/>
      <c r="D52" s="2784"/>
      <c r="E52" s="2784"/>
      <c r="F52" s="2782"/>
      <c r="G52" s="4376"/>
      <c r="H52" s="1186"/>
      <c r="I52" s="1169"/>
    </row>
    <row r="53" spans="2:9">
      <c r="B53" s="2756"/>
      <c r="C53" s="2803">
        <v>2012</v>
      </c>
      <c r="D53" s="2803">
        <v>2013</v>
      </c>
      <c r="E53" s="2803" t="s">
        <v>28</v>
      </c>
      <c r="F53" s="2756"/>
      <c r="G53" s="4376"/>
      <c r="H53" s="4669" t="s">
        <v>1318</v>
      </c>
      <c r="I53" s="1169"/>
    </row>
    <row r="54" spans="2:9">
      <c r="B54" s="2766" t="s">
        <v>732</v>
      </c>
      <c r="C54" s="3277"/>
      <c r="D54" s="2370"/>
      <c r="E54" s="2813"/>
      <c r="F54" s="2756"/>
      <c r="G54" s="4375"/>
      <c r="H54" s="4662"/>
      <c r="I54" s="1169"/>
    </row>
    <row r="55" spans="2:9" ht="30" customHeight="1">
      <c r="B55" s="3480"/>
      <c r="C55" s="3136"/>
      <c r="D55" s="3089"/>
      <c r="E55" s="2814"/>
      <c r="F55" s="4370" t="s">
        <v>1419</v>
      </c>
      <c r="G55" s="4375"/>
      <c r="H55" s="4662"/>
      <c r="I55" s="1169"/>
    </row>
    <row r="56" spans="2:9">
      <c r="B56" s="2809" t="s">
        <v>727</v>
      </c>
      <c r="C56" s="3138">
        <v>110000</v>
      </c>
      <c r="D56" s="4666">
        <v>121000</v>
      </c>
      <c r="E56" s="2802">
        <f>SUM(C56:D56)</f>
        <v>231000</v>
      </c>
      <c r="F56" s="2778"/>
      <c r="G56" s="4375"/>
      <c r="H56" s="4655">
        <v>100000</v>
      </c>
      <c r="I56" s="1169"/>
    </row>
    <row r="57" spans="2:9">
      <c r="B57" s="2809" t="s">
        <v>728</v>
      </c>
      <c r="C57" s="3138">
        <v>11000</v>
      </c>
      <c r="D57" s="4666">
        <v>10000</v>
      </c>
      <c r="E57" s="3161">
        <f t="shared" ref="E57:E63" si="5">SUM(C57:D57)</f>
        <v>21000</v>
      </c>
      <c r="F57" s="2778"/>
      <c r="G57" s="4375"/>
      <c r="H57" s="4661">
        <v>10000</v>
      </c>
      <c r="I57" s="1169"/>
    </row>
    <row r="58" spans="2:9">
      <c r="B58" s="2809" t="s">
        <v>743</v>
      </c>
      <c r="C58" s="3138">
        <v>12000</v>
      </c>
      <c r="D58" s="4666">
        <v>12000</v>
      </c>
      <c r="E58" s="3161">
        <f>SUM(C58:D58)</f>
        <v>24000</v>
      </c>
      <c r="F58" s="2778"/>
      <c r="G58" s="4375"/>
      <c r="H58" s="4661">
        <v>12000</v>
      </c>
      <c r="I58" s="1169"/>
    </row>
    <row r="59" spans="2:9" s="3532" customFormat="1">
      <c r="B59" s="4626" t="s">
        <v>720</v>
      </c>
      <c r="C59" s="4627"/>
      <c r="D59" s="4666">
        <v>0</v>
      </c>
      <c r="E59" s="3161"/>
      <c r="F59" s="3014"/>
      <c r="G59" s="4375"/>
      <c r="H59" s="4655">
        <v>1800</v>
      </c>
      <c r="I59" s="1169"/>
    </row>
    <row r="60" spans="2:9" ht="28.5" customHeight="1">
      <c r="B60" s="3480"/>
      <c r="C60" s="3138"/>
      <c r="D60" s="4666"/>
      <c r="E60" s="3161">
        <f t="shared" si="5"/>
        <v>0</v>
      </c>
      <c r="F60" s="4370" t="s">
        <v>1419</v>
      </c>
      <c r="G60" s="4375"/>
      <c r="H60" s="4663"/>
      <c r="I60" s="1169"/>
    </row>
    <row r="61" spans="2:9">
      <c r="B61" s="2809" t="s">
        <v>714</v>
      </c>
      <c r="C61" s="3138">
        <v>13000</v>
      </c>
      <c r="D61" s="4666">
        <v>9000</v>
      </c>
      <c r="E61" s="3161">
        <f t="shared" si="5"/>
        <v>22000</v>
      </c>
      <c r="F61" s="2778"/>
      <c r="G61" s="4375"/>
      <c r="H61" s="4655">
        <v>9000</v>
      </c>
      <c r="I61" s="1169"/>
    </row>
    <row r="62" spans="2:9">
      <c r="B62" s="2809" t="s">
        <v>715</v>
      </c>
      <c r="C62" s="3138">
        <v>1250000</v>
      </c>
      <c r="D62" s="4666">
        <v>1243000</v>
      </c>
      <c r="E62" s="3161">
        <f>SUM(C62:D62)</f>
        <v>2493000</v>
      </c>
      <c r="F62" s="2778"/>
      <c r="G62" s="4384">
        <v>18230692</v>
      </c>
      <c r="H62" s="4655">
        <v>1243000</v>
      </c>
      <c r="I62" s="1169"/>
    </row>
    <row r="63" spans="2:9">
      <c r="B63" s="5094" t="s">
        <v>717</v>
      </c>
      <c r="C63" s="3140">
        <v>11000</v>
      </c>
      <c r="D63" s="4665">
        <v>11000</v>
      </c>
      <c r="E63" s="3161">
        <f t="shared" si="5"/>
        <v>22000</v>
      </c>
      <c r="F63" s="2778"/>
      <c r="G63" s="4384" t="s">
        <v>1190</v>
      </c>
      <c r="H63" s="4655">
        <v>24363</v>
      </c>
      <c r="I63" s="1169"/>
    </row>
    <row r="64" spans="2:9">
      <c r="B64" s="2766" t="s">
        <v>744</v>
      </c>
      <c r="C64" s="2799">
        <f>SUM(C54:C63)</f>
        <v>1407000</v>
      </c>
      <c r="D64" s="2799">
        <f>SUM(D54:D63)</f>
        <v>1406000</v>
      </c>
      <c r="E64" s="2800">
        <f>SUM(E54:E63)</f>
        <v>2813000</v>
      </c>
      <c r="F64" s="2778" t="s">
        <v>559</v>
      </c>
      <c r="G64" s="4375"/>
      <c r="H64" s="4664">
        <v>1400163</v>
      </c>
      <c r="I64" s="1169"/>
    </row>
    <row r="65" spans="2:10">
      <c r="B65" s="2766"/>
      <c r="C65" s="2779"/>
      <c r="D65" s="2779"/>
      <c r="E65" s="2779"/>
      <c r="F65" s="2778"/>
      <c r="G65" s="4375"/>
      <c r="H65" s="1186"/>
      <c r="I65" s="1169"/>
    </row>
    <row r="66" spans="2:10">
      <c r="B66" s="2785" t="s">
        <v>680</v>
      </c>
      <c r="C66" s="2806">
        <v>0.50080463469584813</v>
      </c>
      <c r="D66" s="2806">
        <v>0.49919536530415193</v>
      </c>
      <c r="E66" s="2776"/>
      <c r="F66" s="2776"/>
      <c r="G66" s="4377"/>
      <c r="H66" s="1186"/>
      <c r="I66" s="1169"/>
    </row>
    <row r="67" spans="2:10">
      <c r="B67" s="1161"/>
      <c r="C67" s="1179"/>
      <c r="D67" s="1179"/>
      <c r="E67" s="1179"/>
      <c r="F67" s="1178"/>
      <c r="G67" s="4377"/>
      <c r="H67" s="1186"/>
      <c r="I67" s="1169"/>
      <c r="J67" s="1157"/>
    </row>
    <row r="68" spans="2:10">
      <c r="B68" s="1188"/>
      <c r="C68" s="1215"/>
      <c r="D68" s="1215"/>
      <c r="E68" s="1176"/>
      <c r="F68" s="1176"/>
      <c r="G68" s="4378"/>
      <c r="H68" s="1186"/>
      <c r="I68" s="1169"/>
      <c r="J68" s="1157"/>
    </row>
    <row r="69" spans="2:10">
      <c r="B69" s="1157"/>
      <c r="C69" s="1176"/>
      <c r="D69" s="1176"/>
      <c r="E69" s="1176"/>
      <c r="F69" s="1187"/>
      <c r="G69" s="4378"/>
      <c r="H69" s="1186"/>
      <c r="I69" s="1169"/>
      <c r="J69" s="1157"/>
    </row>
    <row r="70" spans="2:10" ht="20.25">
      <c r="B70" s="1166"/>
      <c r="C70" s="1177"/>
      <c r="D70" s="1177"/>
      <c r="E70" s="1177"/>
      <c r="F70" s="1187"/>
      <c r="G70" s="4378"/>
      <c r="H70" s="1186"/>
      <c r="I70" s="1169"/>
      <c r="J70" s="1157"/>
    </row>
    <row r="71" spans="2:10">
      <c r="B71" s="1160"/>
      <c r="C71" s="1160"/>
      <c r="D71" s="1160"/>
      <c r="E71" s="1160"/>
      <c r="F71" s="1187"/>
      <c r="G71" s="4378"/>
      <c r="H71" s="1187"/>
      <c r="I71" s="1175"/>
      <c r="J71" s="1160"/>
    </row>
    <row r="72" spans="2:10">
      <c r="B72" s="1189"/>
      <c r="C72" s="1157"/>
      <c r="D72" s="1157"/>
      <c r="E72" s="1157"/>
      <c r="F72" s="1187"/>
      <c r="G72" s="4378"/>
      <c r="H72" s="1176"/>
      <c r="I72" s="1176"/>
      <c r="J72" s="1160"/>
    </row>
    <row r="73" spans="2:10">
      <c r="B73" s="1157"/>
      <c r="C73" s="1157"/>
      <c r="D73" s="1157"/>
      <c r="E73" s="1157"/>
      <c r="F73" s="1157"/>
      <c r="G73" s="4378"/>
      <c r="H73" s="1176"/>
      <c r="I73" s="1176"/>
      <c r="J73" s="1160"/>
    </row>
    <row r="74" spans="2:10">
      <c r="B74" s="1157"/>
      <c r="C74" s="1164"/>
      <c r="D74" s="1164"/>
      <c r="E74" s="1164"/>
      <c r="F74" s="1157"/>
      <c r="G74" s="4377"/>
      <c r="H74" s="1176"/>
      <c r="I74" s="1176"/>
      <c r="J74" s="1160"/>
    </row>
    <row r="75" spans="2:10">
      <c r="B75" s="1165"/>
      <c r="C75" s="1191"/>
      <c r="D75" s="1191"/>
      <c r="E75" s="1191"/>
      <c r="F75" s="1158"/>
      <c r="G75" s="4379"/>
      <c r="H75" s="1176"/>
      <c r="I75" s="1176"/>
      <c r="J75" s="1160"/>
    </row>
    <row r="76" spans="2:10" ht="20.25">
      <c r="B76" s="1166"/>
      <c r="C76" s="1191"/>
      <c r="D76" s="1191"/>
      <c r="E76" s="1191"/>
      <c r="F76" s="1158"/>
      <c r="G76" s="4380"/>
      <c r="H76" s="1176"/>
      <c r="I76" s="1176"/>
      <c r="J76" s="1160"/>
    </row>
    <row r="77" spans="2:10">
      <c r="B77" s="1165"/>
      <c r="C77" s="1191"/>
      <c r="D77" s="1191"/>
      <c r="E77" s="1191"/>
      <c r="F77" s="1158"/>
      <c r="G77" s="4381"/>
      <c r="H77" s="1176"/>
      <c r="I77" s="1176"/>
      <c r="J77" s="1160"/>
    </row>
    <row r="78" spans="2:10">
      <c r="B78" s="1165"/>
      <c r="C78" s="1191"/>
      <c r="D78" s="1191"/>
      <c r="E78" s="1191"/>
      <c r="F78" s="1158"/>
      <c r="G78" s="4381"/>
      <c r="H78" s="1187"/>
      <c r="I78" s="1176"/>
      <c r="J78" s="1160"/>
    </row>
    <row r="79" spans="2:10">
      <c r="B79" s="1165"/>
      <c r="C79" s="1191"/>
      <c r="D79" s="1191"/>
      <c r="E79" s="1191"/>
      <c r="F79" s="1158"/>
      <c r="G79" s="4381"/>
      <c r="H79" s="1187"/>
      <c r="I79" s="1175"/>
      <c r="J79" s="1160"/>
    </row>
    <row r="80" spans="2:10">
      <c r="B80" s="1165"/>
      <c r="C80" s="1191"/>
      <c r="D80" s="1191"/>
      <c r="E80" s="1191"/>
      <c r="F80" s="1158"/>
      <c r="G80" s="4381"/>
      <c r="H80" s="1187"/>
      <c r="I80" s="1175"/>
      <c r="J80" s="1160"/>
    </row>
    <row r="81" spans="2:10">
      <c r="B81" s="1157"/>
      <c r="C81" s="1157"/>
      <c r="D81" s="1157"/>
      <c r="E81" s="1157"/>
      <c r="F81" s="1157"/>
      <c r="G81" s="4382"/>
      <c r="H81" s="1187"/>
      <c r="I81" s="1175"/>
      <c r="J81" s="1160"/>
    </row>
    <row r="82" spans="2:10">
      <c r="B82" s="1157"/>
      <c r="C82" s="1157"/>
      <c r="D82" s="1157"/>
      <c r="E82" s="1157"/>
      <c r="F82" s="1157"/>
      <c r="G82" s="4382"/>
      <c r="H82" s="1187"/>
      <c r="I82" s="1175"/>
      <c r="J82" s="1160"/>
    </row>
    <row r="83" spans="2:10">
      <c r="B83" s="1157"/>
      <c r="C83" s="1157"/>
      <c r="D83" s="1157"/>
      <c r="E83" s="1157"/>
      <c r="F83" s="1157"/>
      <c r="G83" s="4382"/>
      <c r="H83" s="1187"/>
      <c r="I83" s="1175"/>
      <c r="J83" s="1160"/>
    </row>
    <row r="84" spans="2:10">
      <c r="B84" s="1157"/>
      <c r="C84" s="1157"/>
      <c r="D84" s="1157"/>
      <c r="E84" s="1157"/>
      <c r="F84" s="1157"/>
      <c r="G84" s="4382"/>
      <c r="H84" s="1187"/>
      <c r="I84" s="1175"/>
      <c r="J84" s="1160"/>
    </row>
    <row r="85" spans="2:10">
      <c r="B85" s="1157"/>
      <c r="C85" s="1157"/>
      <c r="D85" s="1157"/>
      <c r="E85" s="1157"/>
      <c r="F85" s="1157"/>
      <c r="G85" s="4382"/>
      <c r="H85" s="1187"/>
      <c r="I85" s="1175"/>
      <c r="J85" s="1160"/>
    </row>
    <row r="86" spans="2:10">
      <c r="B86" s="1157"/>
      <c r="C86" s="1157"/>
      <c r="D86" s="1157"/>
      <c r="E86" s="1157"/>
      <c r="F86" s="1157"/>
      <c r="G86" s="4382"/>
      <c r="H86" s="1187"/>
      <c r="I86" s="1175"/>
      <c r="J86" s="1160"/>
    </row>
    <row r="87" spans="2:10">
      <c r="B87" s="1157"/>
      <c r="C87" s="1157"/>
      <c r="D87" s="1157"/>
      <c r="E87" s="1157"/>
      <c r="F87" s="1157"/>
      <c r="G87" s="4382"/>
      <c r="H87" s="1187"/>
      <c r="I87" s="1175"/>
      <c r="J87" s="1160"/>
    </row>
    <row r="88" spans="2:10">
      <c r="B88" s="1157"/>
      <c r="C88" s="1157"/>
      <c r="D88" s="1157"/>
      <c r="E88" s="1157"/>
      <c r="F88" s="1157"/>
      <c r="G88" s="4382"/>
      <c r="H88" s="1187"/>
      <c r="I88" s="1175"/>
      <c r="J88" s="1160"/>
    </row>
    <row r="89" spans="2:10">
      <c r="B89" s="1157"/>
      <c r="C89" s="1157"/>
      <c r="D89" s="1157"/>
      <c r="E89" s="1157"/>
      <c r="F89" s="1157"/>
      <c r="G89" s="4382"/>
      <c r="H89" s="1187"/>
      <c r="I89" s="1175"/>
      <c r="J89" s="1160"/>
    </row>
    <row r="90" spans="2:10">
      <c r="B90" s="1157"/>
      <c r="C90" s="1157"/>
      <c r="D90" s="1157"/>
      <c r="E90" s="1157"/>
      <c r="F90" s="1157"/>
      <c r="G90" s="4382"/>
      <c r="H90" s="1187"/>
      <c r="I90" s="1175"/>
      <c r="J90" s="1160"/>
    </row>
    <row r="91" spans="2:10">
      <c r="B91" s="1157"/>
      <c r="C91" s="1157"/>
      <c r="D91" s="1157"/>
      <c r="E91" s="1157"/>
      <c r="F91" s="1157"/>
      <c r="G91" s="4382"/>
      <c r="H91" s="1187"/>
      <c r="I91" s="1175"/>
      <c r="J91" s="1160"/>
    </row>
    <row r="92" spans="2:10">
      <c r="B92" s="1157"/>
      <c r="C92" s="1157"/>
      <c r="D92" s="1157"/>
      <c r="E92" s="1157"/>
      <c r="F92" s="1157"/>
      <c r="G92" s="4382"/>
      <c r="H92" s="1187"/>
      <c r="I92" s="1175"/>
      <c r="J92" s="1160"/>
    </row>
    <row r="93" spans="2:10">
      <c r="B93" s="1157"/>
      <c r="C93" s="1157"/>
      <c r="D93" s="1157"/>
      <c r="E93" s="1157"/>
      <c r="F93" s="1157"/>
      <c r="G93" s="4382"/>
      <c r="H93" s="1187"/>
      <c r="I93" s="1175"/>
      <c r="J93" s="1160"/>
    </row>
    <row r="94" spans="2:10">
      <c r="B94" s="5138"/>
      <c r="C94" s="5138"/>
      <c r="D94" s="5138"/>
      <c r="E94" s="5138"/>
      <c r="F94" s="5138"/>
      <c r="G94" s="4382"/>
      <c r="H94" s="1187"/>
      <c r="I94" s="1175"/>
      <c r="J94" s="1160"/>
    </row>
    <row r="95" spans="2:10">
      <c r="B95" s="5138"/>
      <c r="C95" s="5138"/>
      <c r="D95" s="5138"/>
      <c r="E95" s="5138"/>
      <c r="F95" s="5138"/>
      <c r="G95" s="4382"/>
      <c r="H95" s="1187"/>
      <c r="I95" s="1175"/>
      <c r="J95" s="1160"/>
    </row>
    <row r="96" spans="2:10">
      <c r="B96" s="5138"/>
      <c r="C96" s="5138"/>
      <c r="D96" s="5138"/>
      <c r="E96" s="5138"/>
      <c r="F96" s="5138"/>
      <c r="G96" s="4382"/>
      <c r="H96" s="1187"/>
      <c r="I96" s="1175"/>
      <c r="J96" s="1160"/>
    </row>
    <row r="97" spans="2:10">
      <c r="B97" s="5138"/>
      <c r="C97" s="5138"/>
      <c r="D97" s="5138"/>
      <c r="E97" s="5138"/>
      <c r="F97" s="5138"/>
      <c r="G97" s="4382"/>
      <c r="H97" s="1187"/>
      <c r="I97" s="1175"/>
      <c r="J97" s="1160"/>
    </row>
    <row r="98" spans="2:10">
      <c r="B98" s="5138"/>
      <c r="C98" s="5138"/>
      <c r="D98" s="5138"/>
      <c r="E98" s="5138"/>
      <c r="F98" s="5138"/>
      <c r="G98" s="4382"/>
      <c r="H98" s="1176"/>
      <c r="I98" s="1176"/>
      <c r="J98" s="1160"/>
    </row>
    <row r="99" spans="2:10">
      <c r="B99" s="5138"/>
      <c r="C99" s="5138"/>
      <c r="D99" s="5138"/>
      <c r="E99" s="5138"/>
      <c r="F99" s="5138"/>
      <c r="G99" s="4382"/>
      <c r="H99" s="1176"/>
      <c r="I99" s="1176"/>
      <c r="J99" s="1160"/>
    </row>
    <row r="100" spans="2:10">
      <c r="B100" s="1157"/>
      <c r="C100" s="1157"/>
      <c r="D100" s="1157"/>
      <c r="E100" s="1157"/>
      <c r="F100" s="1157"/>
      <c r="G100" s="4382"/>
      <c r="H100" s="1176"/>
      <c r="I100" s="1176"/>
      <c r="J100" s="1160"/>
    </row>
    <row r="101" spans="2:10">
      <c r="B101" s="1157"/>
      <c r="C101" s="1157"/>
      <c r="D101" s="1157"/>
      <c r="E101" s="1157"/>
      <c r="F101" s="1157"/>
      <c r="G101" s="4382"/>
      <c r="H101" s="1176"/>
      <c r="I101" s="1176"/>
      <c r="J101" s="1160"/>
    </row>
    <row r="102" spans="2:10">
      <c r="B102" s="1157"/>
      <c r="C102" s="1157"/>
      <c r="D102" s="1157"/>
      <c r="E102" s="1157"/>
      <c r="F102" s="1157"/>
      <c r="G102" s="4382"/>
      <c r="H102" s="1176"/>
      <c r="I102" s="1176"/>
      <c r="J102" s="1160"/>
    </row>
    <row r="103" spans="2:10">
      <c r="B103" s="1157"/>
      <c r="C103" s="1157"/>
      <c r="D103" s="1157"/>
      <c r="E103" s="1157"/>
      <c r="F103" s="1157"/>
      <c r="G103" s="4382"/>
      <c r="H103" s="1176"/>
      <c r="I103" s="1176"/>
      <c r="J103" s="1160"/>
    </row>
    <row r="104" spans="2:10" ht="15.75">
      <c r="B104" s="1157"/>
      <c r="C104" s="1157"/>
      <c r="D104" s="1157"/>
      <c r="E104" s="1157"/>
      <c r="F104" s="1157"/>
      <c r="G104" s="4382"/>
      <c r="H104" s="1177"/>
      <c r="I104" s="1177"/>
      <c r="J104" s="1160"/>
    </row>
    <row r="105" spans="2:10">
      <c r="H105" s="1160"/>
      <c r="I105" s="1160"/>
      <c r="J105" s="1160"/>
    </row>
  </sheetData>
  <sheetProtection password="9E1F" sheet="1" objects="1" scenarios="1"/>
  <customSheetViews>
    <customSheetView guid="{074EB09C-6289-46D7-9513-012B68BCA7BF}">
      <pane xSplit="1" ySplit="1" topLeftCell="B2" activePane="bottomRight" state="frozen"/>
      <selection pane="bottomRight" activeCell="B1" sqref="B1"/>
      <pageMargins left="0.24" right="0.7" top="0.41" bottom="0.75" header="0.3" footer="0.3"/>
      <pageSetup paperSize="17" scale="65" orientation="landscape" r:id="rId1"/>
    </customSheetView>
    <customSheetView guid="{AF9F1D33-B8C2-423F-86A1-47612B8F532C}">
      <pane xSplit="1" ySplit="1" topLeftCell="B32" activePane="bottomRight" state="frozenSplit"/>
      <selection pane="bottomRight" activeCell="C39" sqref="C39:D39"/>
      <pageMargins left="0.7" right="0.7" top="0.75" bottom="0.75" header="0.3" footer="0.3"/>
      <pageSetup paperSize="17" scale="65" orientation="landscape"/>
    </customSheetView>
  </customSheetViews>
  <mergeCells count="6">
    <mergeCell ref="B94:F94"/>
    <mergeCell ref="B99:F99"/>
    <mergeCell ref="B95:F95"/>
    <mergeCell ref="B96:F96"/>
    <mergeCell ref="B97:F97"/>
    <mergeCell ref="B98:F98"/>
  </mergeCells>
  <pageMargins left="0.24" right="0.7" top="0.41" bottom="0.75" header="0.3" footer="0.3"/>
  <pageSetup paperSize="17" scale="70" orientation="landscape" r:id="rId2"/>
  <ignoredErrors>
    <ignoredError sqref="G63" numberStoredAsText="1"/>
  </ignoredErrors>
  <drawing r:id="rId3"/>
</worksheet>
</file>

<file path=xl/worksheets/sheet54.xml><?xml version="1.0" encoding="utf-8"?>
<worksheet xmlns="http://schemas.openxmlformats.org/spreadsheetml/2006/main" xmlns:r="http://schemas.openxmlformats.org/officeDocument/2006/relationships">
  <dimension ref="A1:P101"/>
  <sheetViews>
    <sheetView zoomScaleNormal="100" workbookViewId="0">
      <pane xSplit="1" ySplit="1" topLeftCell="B2" activePane="bottomRight" state="frozen"/>
      <selection pane="topRight" activeCell="B1" sqref="B1"/>
      <selection pane="bottomLeft" activeCell="A2" sqref="A2"/>
      <selection pane="bottomRight" activeCell="B4" sqref="B4"/>
    </sheetView>
  </sheetViews>
  <sheetFormatPr defaultColWidth="8.85546875" defaultRowHeight="12.75"/>
  <cols>
    <col min="1" max="1" width="16.140625" customWidth="1"/>
    <col min="2" max="3" width="23.85546875" customWidth="1"/>
    <col min="4" max="4" width="29.7109375" customWidth="1"/>
    <col min="5" max="5" width="18.7109375" customWidth="1"/>
    <col min="6" max="15" width="16.7109375" customWidth="1"/>
    <col min="16" max="16" width="26.42578125" customWidth="1"/>
  </cols>
  <sheetData>
    <row r="1" spans="1:16" ht="45" customHeight="1">
      <c r="A1" s="3064"/>
      <c r="B1" s="3064"/>
      <c r="C1" s="3065"/>
      <c r="D1" s="3"/>
      <c r="E1" s="3064"/>
      <c r="F1" s="3064"/>
      <c r="G1" s="3064"/>
      <c r="H1" s="3064"/>
      <c r="I1" s="3064"/>
      <c r="J1" s="3064"/>
      <c r="K1" s="3064"/>
      <c r="L1" s="3064"/>
      <c r="M1" s="3064"/>
      <c r="N1" s="3064"/>
      <c r="O1" s="3064"/>
    </row>
    <row r="2" spans="1:16" ht="18.75" thickBot="1">
      <c r="A2" s="3064"/>
      <c r="B2" s="1" t="s">
        <v>767</v>
      </c>
      <c r="C2" s="2113"/>
      <c r="D2" s="3065"/>
      <c r="E2" s="3"/>
      <c r="F2" s="3064"/>
      <c r="G2" s="3064"/>
      <c r="H2" s="3064"/>
      <c r="I2" s="3064"/>
      <c r="J2" s="3064"/>
      <c r="K2" s="3064"/>
      <c r="L2" s="3064"/>
      <c r="M2" s="3064"/>
      <c r="N2" s="3064"/>
      <c r="O2" s="3064"/>
    </row>
    <row r="3" spans="1:16" ht="15.75" thickBot="1">
      <c r="A3" s="3064"/>
      <c r="B3" s="5" t="s">
        <v>5</v>
      </c>
      <c r="C3" s="167"/>
      <c r="D3" s="6" t="s">
        <v>75</v>
      </c>
      <c r="E3" s="101">
        <v>18230421</v>
      </c>
      <c r="F3" s="3064"/>
      <c r="G3" s="3064"/>
      <c r="H3" s="3064"/>
      <c r="I3" s="3064"/>
      <c r="J3" s="3064"/>
      <c r="K3" s="3064"/>
      <c r="L3" s="3064"/>
      <c r="M3" s="3064"/>
      <c r="N3" s="3064"/>
      <c r="O3" s="3064"/>
    </row>
    <row r="4" spans="1:16">
      <c r="A4" s="3064"/>
      <c r="B4" s="3064"/>
      <c r="C4" s="3065"/>
      <c r="D4" s="3"/>
      <c r="E4" s="3064"/>
      <c r="F4" s="3064"/>
      <c r="G4" s="3064"/>
      <c r="H4" s="3064"/>
      <c r="I4" s="3064"/>
      <c r="J4" s="3064"/>
      <c r="K4" s="3064"/>
      <c r="L4" s="3064"/>
      <c r="M4" s="3064"/>
      <c r="N4" s="3064"/>
      <c r="O4" s="3064"/>
    </row>
    <row r="5" spans="1:16" ht="13.5" thickBot="1">
      <c r="A5" s="69"/>
      <c r="B5" s="3064"/>
      <c r="C5" s="3064"/>
      <c r="D5" s="3065"/>
      <c r="E5" s="104" t="s">
        <v>1139</v>
      </c>
      <c r="F5" s="3064"/>
      <c r="G5" s="3064"/>
      <c r="H5" s="3064"/>
      <c r="I5" s="3064"/>
      <c r="J5" s="3064"/>
      <c r="K5" s="3064"/>
      <c r="L5" s="3064"/>
      <c r="M5" s="3064"/>
      <c r="N5" s="3064"/>
      <c r="O5" s="3064"/>
    </row>
    <row r="6" spans="1:16" ht="25.5">
      <c r="B6" s="3462"/>
      <c r="C6" s="3064"/>
      <c r="D6" s="3064"/>
      <c r="E6" s="105" t="s">
        <v>9</v>
      </c>
      <c r="F6" s="105" t="s">
        <v>10</v>
      </c>
      <c r="G6" s="105" t="s">
        <v>11</v>
      </c>
      <c r="H6" s="106" t="s">
        <v>12</v>
      </c>
      <c r="I6" s="107" t="s">
        <v>13</v>
      </c>
      <c r="J6" s="105" t="s">
        <v>14</v>
      </c>
      <c r="K6" s="105" t="s">
        <v>15</v>
      </c>
      <c r="L6" s="105" t="s">
        <v>16</v>
      </c>
      <c r="M6" s="105" t="s">
        <v>17</v>
      </c>
      <c r="N6" s="108" t="s">
        <v>18</v>
      </c>
      <c r="O6" s="1206" t="s">
        <v>114</v>
      </c>
      <c r="P6" s="2217" t="s">
        <v>19</v>
      </c>
    </row>
    <row r="7" spans="1:16">
      <c r="A7" s="109"/>
      <c r="B7" s="53"/>
      <c r="C7" s="53"/>
      <c r="D7" s="111" t="s">
        <v>20</v>
      </c>
      <c r="E7" s="112"/>
      <c r="F7" s="112"/>
      <c r="G7" s="112"/>
      <c r="H7" s="113"/>
      <c r="I7" s="114"/>
      <c r="J7" s="112"/>
      <c r="K7" s="112"/>
      <c r="L7" s="112"/>
      <c r="M7" s="112"/>
      <c r="N7" s="115">
        <v>4625000</v>
      </c>
      <c r="O7" s="112"/>
      <c r="P7" s="1345" t="s">
        <v>21</v>
      </c>
    </row>
    <row r="8" spans="1:16">
      <c r="A8" s="109"/>
      <c r="B8" s="53"/>
      <c r="C8" s="53"/>
      <c r="D8" s="111" t="s">
        <v>22</v>
      </c>
      <c r="E8" s="1334"/>
      <c r="F8" s="1334"/>
      <c r="G8" s="1334"/>
      <c r="H8" s="1334"/>
      <c r="I8" s="1334"/>
      <c r="J8" s="1334">
        <v>5260640</v>
      </c>
      <c r="K8" s="1334"/>
      <c r="L8" s="1334"/>
      <c r="M8" s="1334"/>
      <c r="N8" s="121">
        <f>SUM(E8:M8)</f>
        <v>5260640</v>
      </c>
      <c r="O8" s="3438">
        <v>23500000</v>
      </c>
      <c r="P8" s="1346">
        <f>(N8-N7)/N7</f>
        <v>0.13743567567567569</v>
      </c>
    </row>
    <row r="9" spans="1:16">
      <c r="A9" s="109"/>
      <c r="B9" s="53"/>
      <c r="C9" s="53"/>
      <c r="D9" s="53">
        <v>2012</v>
      </c>
      <c r="E9" s="118">
        <f>SUM(B24:B26)</f>
        <v>0</v>
      </c>
      <c r="F9" s="118">
        <f>SUM(B30:B32)</f>
        <v>0</v>
      </c>
      <c r="G9" s="118">
        <f>(SUM(B24:B26)+SUM(B30:B32))*0.63</f>
        <v>0</v>
      </c>
      <c r="H9" s="118">
        <f>SUM(B45:B49)+SUM(B53:B58)</f>
        <v>0</v>
      </c>
      <c r="I9" s="119">
        <f>SUM(B61:B65)</f>
        <v>0</v>
      </c>
      <c r="J9" s="118">
        <f>SUM(B69:B75)</f>
        <v>5260640</v>
      </c>
      <c r="K9" s="118">
        <f>SUM(B78:B84)</f>
        <v>0</v>
      </c>
      <c r="L9" s="118">
        <f>SUM(B87:B92)</f>
        <v>0</v>
      </c>
      <c r="M9" s="120"/>
      <c r="N9" s="121">
        <f>SUM(E9:M9)</f>
        <v>5260640</v>
      </c>
      <c r="O9" s="3439">
        <f>H22</f>
        <v>19414500</v>
      </c>
      <c r="P9" s="1346">
        <f>(N9-N8)/N8</f>
        <v>0</v>
      </c>
    </row>
    <row r="10" spans="1:16" s="3532" customFormat="1">
      <c r="A10" s="109"/>
      <c r="B10" s="3534"/>
      <c r="C10" s="3534"/>
      <c r="D10" s="4263" t="s">
        <v>1168</v>
      </c>
      <c r="E10" s="118">
        <v>0</v>
      </c>
      <c r="F10" s="118">
        <v>0</v>
      </c>
      <c r="G10" s="118">
        <v>0</v>
      </c>
      <c r="H10" s="118">
        <v>0</v>
      </c>
      <c r="I10" s="119">
        <v>0</v>
      </c>
      <c r="J10" s="118">
        <v>5260640</v>
      </c>
      <c r="K10" s="118">
        <v>0</v>
      </c>
      <c r="L10" s="118">
        <v>0</v>
      </c>
      <c r="M10" s="120"/>
      <c r="N10" s="121">
        <v>5260640</v>
      </c>
      <c r="O10" s="3439">
        <v>19414500</v>
      </c>
      <c r="P10" s="1346"/>
    </row>
    <row r="11" spans="1:16">
      <c r="A11" s="109"/>
      <c r="B11" s="53"/>
      <c r="C11" s="53"/>
      <c r="D11" s="4264" t="s">
        <v>1169</v>
      </c>
      <c r="E11" s="4218">
        <f>SUM(C24:C26)</f>
        <v>0</v>
      </c>
      <c r="F11" s="4218">
        <f>SUM(C30:C32)</f>
        <v>0</v>
      </c>
      <c r="G11" s="4218">
        <f>(SUM(C24:C26)+SUM(C30:C32))*0.63</f>
        <v>0</v>
      </c>
      <c r="H11" s="4218">
        <f>SUM(C45:C49)+SUM(C53:C58)</f>
        <v>0</v>
      </c>
      <c r="I11" s="4219">
        <f>SUM(C61:C65)</f>
        <v>0</v>
      </c>
      <c r="J11" s="4218">
        <f>SUM(C69:C75)</f>
        <v>1578192</v>
      </c>
      <c r="K11" s="4218">
        <f>SUM(C78:C84)</f>
        <v>0</v>
      </c>
      <c r="L11" s="4218">
        <f>SUM(C87:C92)</f>
        <v>0</v>
      </c>
      <c r="M11" s="4220">
        <f>SUM(C95:C98)</f>
        <v>3682448</v>
      </c>
      <c r="N11" s="4221">
        <f>SUM(E11:M11)</f>
        <v>5260640</v>
      </c>
      <c r="O11" s="4222">
        <f>I22</f>
        <v>19414500</v>
      </c>
      <c r="P11" s="1346">
        <f>(N11-N9)/N9</f>
        <v>0</v>
      </c>
    </row>
    <row r="12" spans="1:16">
      <c r="A12" s="69"/>
      <c r="B12" s="19"/>
      <c r="C12" s="19"/>
      <c r="D12" s="123" t="s">
        <v>1172</v>
      </c>
      <c r="E12" s="124">
        <f>SUM(E9+E11)</f>
        <v>0</v>
      </c>
      <c r="F12" s="124">
        <f t="shared" ref="F12:O12" si="0">SUM(F9+F11)</f>
        <v>0</v>
      </c>
      <c r="G12" s="124">
        <f t="shared" si="0"/>
        <v>0</v>
      </c>
      <c r="H12" s="124">
        <f t="shared" si="0"/>
        <v>0</v>
      </c>
      <c r="I12" s="124">
        <f t="shared" si="0"/>
        <v>0</v>
      </c>
      <c r="J12" s="124">
        <f t="shared" si="0"/>
        <v>6838832</v>
      </c>
      <c r="K12" s="124">
        <f t="shared" si="0"/>
        <v>0</v>
      </c>
      <c r="L12" s="124">
        <f t="shared" si="0"/>
        <v>0</v>
      </c>
      <c r="M12" s="124">
        <f t="shared" si="0"/>
        <v>3682448</v>
      </c>
      <c r="N12" s="124">
        <f t="shared" si="0"/>
        <v>10521280</v>
      </c>
      <c r="O12" s="4265">
        <f t="shared" si="0"/>
        <v>38829000</v>
      </c>
      <c r="P12" s="19"/>
    </row>
    <row r="13" spans="1:16" ht="25.5">
      <c r="A13" s="69"/>
      <c r="B13" s="3064"/>
      <c r="C13" s="3064"/>
      <c r="D13" s="3065"/>
      <c r="E13" s="3"/>
      <c r="F13" s="3064"/>
      <c r="G13" s="3064"/>
      <c r="H13" s="3064"/>
      <c r="I13" s="3064"/>
      <c r="J13" s="3064"/>
      <c r="K13" s="3064"/>
      <c r="L13" s="3064"/>
      <c r="M13" s="69" t="s">
        <v>23</v>
      </c>
      <c r="N13" s="3064"/>
      <c r="O13" s="3064"/>
    </row>
    <row r="14" spans="1:16">
      <c r="A14" s="69"/>
      <c r="B14" s="3064"/>
      <c r="C14" s="3064"/>
      <c r="D14" s="3065"/>
      <c r="E14" s="3"/>
      <c r="F14" s="3064"/>
      <c r="G14" s="3064"/>
      <c r="H14" s="3064"/>
      <c r="I14" s="3064"/>
      <c r="J14" s="3064"/>
      <c r="K14" s="3064"/>
      <c r="L14" s="3064"/>
      <c r="M14" s="69" t="s">
        <v>24</v>
      </c>
      <c r="N14" s="3064"/>
      <c r="O14" s="3064"/>
    </row>
    <row r="15" spans="1:16" ht="15.75">
      <c r="A15" s="69"/>
      <c r="B15" s="5143" t="s">
        <v>25</v>
      </c>
      <c r="C15" s="5145"/>
      <c r="D15" s="5145"/>
      <c r="E15" s="5144"/>
      <c r="F15" s="3437"/>
      <c r="G15" s="3437"/>
      <c r="H15" s="3064"/>
      <c r="I15" s="3064"/>
      <c r="J15" s="3064"/>
      <c r="K15" s="3064"/>
      <c r="L15" s="3064"/>
      <c r="M15" s="3064"/>
      <c r="N15" s="3064"/>
      <c r="O15" s="3064"/>
    </row>
    <row r="16" spans="1:16" ht="15.75">
      <c r="A16" s="109"/>
      <c r="B16" s="169"/>
      <c r="C16" s="129"/>
      <c r="D16" s="129"/>
      <c r="E16" s="129"/>
      <c r="F16" s="129"/>
      <c r="G16" s="129"/>
      <c r="H16" s="53"/>
      <c r="I16" s="53"/>
      <c r="J16" s="53"/>
      <c r="K16" s="53"/>
      <c r="L16" s="53"/>
      <c r="M16" s="53"/>
      <c r="N16" s="53"/>
      <c r="O16" s="53"/>
    </row>
    <row r="17" spans="1:15" ht="15.75">
      <c r="A17" s="109"/>
      <c r="B17" s="129"/>
      <c r="C17" s="129"/>
      <c r="D17" s="129"/>
      <c r="E17" s="129"/>
      <c r="F17" s="129"/>
      <c r="G17" s="129"/>
      <c r="H17" s="53"/>
      <c r="I17" s="53"/>
      <c r="J17" s="53"/>
      <c r="K17" s="53"/>
      <c r="L17" s="53"/>
      <c r="M17" s="53"/>
      <c r="N17" s="53"/>
      <c r="O17" s="53"/>
    </row>
    <row r="18" spans="1:15" ht="15.75">
      <c r="A18" s="69"/>
      <c r="B18" s="5141" t="s">
        <v>26</v>
      </c>
      <c r="C18" s="5141"/>
      <c r="D18" s="43" t="s">
        <v>27</v>
      </c>
      <c r="E18" s="44" t="s">
        <v>28</v>
      </c>
      <c r="F18" s="3064"/>
      <c r="G18" s="3064"/>
      <c r="H18" s="3064"/>
      <c r="I18" s="3064"/>
      <c r="J18" s="3064"/>
      <c r="K18" s="3064"/>
      <c r="L18" s="3064"/>
      <c r="M18" s="3064"/>
      <c r="N18" s="3064"/>
      <c r="O18" s="3064"/>
    </row>
    <row r="19" spans="1:15" ht="15.75">
      <c r="A19" s="69"/>
      <c r="B19" s="5142" t="s">
        <v>29</v>
      </c>
      <c r="C19" s="5142"/>
      <c r="D19" s="43"/>
      <c r="E19" s="44"/>
      <c r="F19" s="3064"/>
      <c r="G19" s="3064"/>
      <c r="H19" s="3064"/>
      <c r="I19" s="3064"/>
      <c r="J19" s="3066"/>
      <c r="K19" s="3066"/>
      <c r="L19" s="3066"/>
      <c r="M19" s="3066"/>
      <c r="N19" s="3064"/>
      <c r="O19" s="3064"/>
    </row>
    <row r="20" spans="1:15" ht="45.75">
      <c r="A20" s="69"/>
      <c r="B20" s="3434">
        <v>2012</v>
      </c>
      <c r="C20" s="3434">
        <v>2013</v>
      </c>
      <c r="D20" s="69" t="s">
        <v>82</v>
      </c>
      <c r="E20" s="131" t="s">
        <v>31</v>
      </c>
      <c r="F20" s="3064"/>
      <c r="G20" s="3064"/>
      <c r="H20" s="5143" t="s">
        <v>1069</v>
      </c>
      <c r="I20" s="5144"/>
      <c r="J20" s="3437"/>
      <c r="K20" s="3437"/>
      <c r="L20" s="3437"/>
      <c r="M20" s="3437"/>
      <c r="N20" s="3064"/>
      <c r="O20" s="3064"/>
    </row>
    <row r="21" spans="1:15">
      <c r="A21" s="69"/>
      <c r="B21" s="174" t="s">
        <v>9</v>
      </c>
      <c r="C21" s="174" t="s">
        <v>9</v>
      </c>
      <c r="D21" s="138"/>
      <c r="E21" s="139">
        <f>SUM(B24:B26)+SUM(C24:C26)</f>
        <v>0</v>
      </c>
      <c r="F21" s="3064"/>
      <c r="G21" s="3064"/>
      <c r="H21" s="19">
        <v>2012</v>
      </c>
      <c r="I21" s="19">
        <v>2013</v>
      </c>
      <c r="J21" s="3064"/>
      <c r="K21" s="3064"/>
      <c r="L21" s="3064"/>
      <c r="M21" s="3064"/>
      <c r="N21" s="3064"/>
      <c r="O21" s="3064"/>
    </row>
    <row r="22" spans="1:15">
      <c r="A22" s="69"/>
      <c r="B22" s="175"/>
      <c r="C22" s="175"/>
      <c r="D22" s="3065"/>
      <c r="E22" s="52"/>
      <c r="F22" s="3064"/>
      <c r="G22" s="3064"/>
      <c r="H22" s="3440">
        <v>19414500</v>
      </c>
      <c r="I22" s="3440">
        <v>19414500</v>
      </c>
      <c r="J22" s="3064"/>
      <c r="K22" s="3064"/>
      <c r="L22" s="3064"/>
      <c r="M22" s="3064"/>
      <c r="N22" s="3064"/>
      <c r="O22" s="3064"/>
    </row>
    <row r="23" spans="1:15">
      <c r="A23" s="69"/>
      <c r="B23" s="176" t="s">
        <v>32</v>
      </c>
      <c r="C23" s="176" t="s">
        <v>32</v>
      </c>
      <c r="D23" s="143" t="s">
        <v>7</v>
      </c>
      <c r="E23" s="52"/>
      <c r="F23" s="144" t="s">
        <v>7</v>
      </c>
      <c r="G23" s="3064"/>
      <c r="H23" s="3064"/>
      <c r="I23" s="3064"/>
      <c r="J23" s="3064"/>
      <c r="K23" s="3064"/>
      <c r="L23" s="3064"/>
      <c r="M23" s="3064"/>
      <c r="N23" s="84"/>
      <c r="O23" s="3064"/>
    </row>
    <row r="24" spans="1:15">
      <c r="A24" s="69"/>
      <c r="B24" s="177"/>
      <c r="C24" s="178"/>
      <c r="D24" s="145"/>
      <c r="E24" s="52"/>
      <c r="F24" s="146"/>
      <c r="G24" s="3064"/>
      <c r="H24" s="3064"/>
      <c r="I24" s="3064"/>
      <c r="J24" s="3064"/>
      <c r="K24" s="3064"/>
      <c r="L24" s="3064"/>
      <c r="M24" s="3064"/>
      <c r="N24" s="84"/>
      <c r="O24" s="3064"/>
    </row>
    <row r="25" spans="1:15">
      <c r="A25" s="69"/>
      <c r="B25" s="179"/>
      <c r="C25" s="179"/>
      <c r="D25" s="3065"/>
      <c r="E25" s="52"/>
      <c r="F25" s="3064"/>
      <c r="G25" s="3064"/>
      <c r="H25" s="3064"/>
      <c r="I25" s="3064"/>
      <c r="J25" s="3064"/>
      <c r="K25" s="3064"/>
      <c r="L25" s="3064"/>
      <c r="M25" s="3064"/>
      <c r="N25" s="3064"/>
      <c r="O25" s="3064"/>
    </row>
    <row r="26" spans="1:15">
      <c r="A26" s="69"/>
      <c r="B26" s="179"/>
      <c r="C26" s="179"/>
      <c r="D26" s="3065"/>
      <c r="E26" s="52"/>
      <c r="F26" s="3064"/>
      <c r="G26" s="3064"/>
      <c r="H26" s="3064"/>
      <c r="I26" s="3064"/>
      <c r="J26" s="3064"/>
      <c r="K26" s="3064"/>
      <c r="L26" s="3064"/>
      <c r="M26" s="3064"/>
      <c r="N26" s="3064"/>
      <c r="O26" s="3064"/>
    </row>
    <row r="27" spans="1:15">
      <c r="A27" s="109"/>
      <c r="B27" s="174" t="s">
        <v>10</v>
      </c>
      <c r="C27" s="174" t="s">
        <v>10</v>
      </c>
      <c r="D27" s="138"/>
      <c r="E27" s="139">
        <f>SUM(B30:B33)+SUM(C30:C33)</f>
        <v>0</v>
      </c>
      <c r="F27" s="53"/>
      <c r="G27" s="53"/>
      <c r="H27" s="53"/>
      <c r="I27" s="53"/>
      <c r="J27" s="53"/>
      <c r="K27" s="53"/>
      <c r="L27" s="53"/>
      <c r="M27" s="53"/>
      <c r="N27" s="53"/>
      <c r="O27" s="53"/>
    </row>
    <row r="28" spans="1:15">
      <c r="A28" s="69"/>
      <c r="B28" s="180"/>
      <c r="C28" s="180"/>
      <c r="D28" s="152"/>
      <c r="E28" s="52"/>
      <c r="F28" s="3064"/>
      <c r="G28" s="3064"/>
      <c r="H28" s="3064"/>
      <c r="I28" s="3064"/>
      <c r="J28" s="3064"/>
      <c r="K28" s="3064"/>
      <c r="L28" s="3064"/>
      <c r="M28" s="3064"/>
      <c r="N28" s="3064"/>
      <c r="O28" s="3064"/>
    </row>
    <row r="29" spans="1:15">
      <c r="A29" s="109"/>
      <c r="B29" s="176" t="s">
        <v>32</v>
      </c>
      <c r="C29" s="176" t="s">
        <v>32</v>
      </c>
      <c r="D29" s="152"/>
      <c r="E29" s="52"/>
      <c r="F29" s="53"/>
      <c r="G29" s="53"/>
      <c r="H29" s="53"/>
      <c r="I29" s="53"/>
      <c r="J29" s="53"/>
      <c r="K29" s="53"/>
      <c r="L29" s="53"/>
      <c r="M29" s="53"/>
      <c r="N29" s="53"/>
      <c r="O29" s="53"/>
    </row>
    <row r="30" spans="1:15">
      <c r="A30" s="69"/>
      <c r="B30" s="86"/>
      <c r="C30" s="181"/>
      <c r="D30" s="150"/>
      <c r="E30" s="52"/>
      <c r="F30" s="3064"/>
      <c r="G30" s="3064"/>
      <c r="H30" s="3064"/>
      <c r="I30" s="3064"/>
      <c r="J30" s="3064"/>
      <c r="K30" s="3064"/>
      <c r="L30" s="3064"/>
      <c r="M30" s="3064"/>
      <c r="N30" s="3064"/>
      <c r="O30" s="3064"/>
    </row>
    <row r="31" spans="1:15">
      <c r="A31" s="69"/>
      <c r="B31" s="181"/>
      <c r="C31" s="181"/>
      <c r="D31" s="150"/>
      <c r="E31" s="52"/>
      <c r="F31" s="3064"/>
      <c r="G31" s="3064"/>
      <c r="H31" s="3064"/>
      <c r="I31" s="3064"/>
      <c r="J31" s="3064"/>
      <c r="K31" s="3064"/>
      <c r="L31" s="3064"/>
      <c r="M31" s="3064"/>
      <c r="N31" s="3064"/>
      <c r="O31" s="3064"/>
    </row>
    <row r="32" spans="1:15">
      <c r="A32" s="69"/>
      <c r="B32" s="19"/>
      <c r="C32" s="19"/>
      <c r="D32" s="150"/>
      <c r="E32" s="52"/>
      <c r="F32" s="3064"/>
      <c r="G32" s="3064"/>
      <c r="H32" s="3064"/>
      <c r="I32" s="3064"/>
      <c r="J32" s="3064"/>
      <c r="K32" s="3064"/>
      <c r="L32" s="3064"/>
      <c r="M32" s="3064"/>
      <c r="N32" s="3064"/>
      <c r="O32" s="3064"/>
    </row>
    <row r="33" spans="1:15">
      <c r="A33" s="69"/>
      <c r="B33" s="19"/>
      <c r="C33" s="19"/>
      <c r="D33" s="150"/>
      <c r="E33" s="52"/>
      <c r="F33" s="3064"/>
      <c r="G33" s="3064"/>
      <c r="H33" s="3064"/>
      <c r="I33" s="3064"/>
      <c r="J33" s="3064"/>
      <c r="K33" s="3064"/>
      <c r="L33" s="3064"/>
      <c r="M33" s="3064"/>
      <c r="N33" s="3064"/>
      <c r="O33" s="3064"/>
    </row>
    <row r="34" spans="1:15">
      <c r="A34" s="69"/>
      <c r="B34" s="174" t="s">
        <v>11</v>
      </c>
      <c r="C34" s="174" t="s">
        <v>11</v>
      </c>
      <c r="D34" s="138"/>
      <c r="E34" s="139">
        <f>E21*0.63</f>
        <v>0</v>
      </c>
      <c r="F34" s="3064"/>
      <c r="G34" s="3064"/>
      <c r="H34" s="3064"/>
      <c r="I34" s="3064"/>
      <c r="J34" s="3064"/>
      <c r="K34" s="3064"/>
      <c r="L34" s="3064"/>
      <c r="M34" s="3064"/>
      <c r="N34" s="3064"/>
      <c r="O34" s="3064"/>
    </row>
    <row r="35" spans="1:15">
      <c r="A35" s="69"/>
      <c r="B35" s="175"/>
      <c r="C35" s="175"/>
      <c r="D35" s="3065"/>
      <c r="E35" s="68"/>
      <c r="F35" s="3064"/>
      <c r="G35" s="3064"/>
      <c r="H35" s="3064"/>
      <c r="I35" s="3064"/>
      <c r="J35" s="3064"/>
      <c r="K35" s="3064"/>
      <c r="L35" s="3064"/>
      <c r="M35" s="3064"/>
      <c r="N35" s="3064"/>
      <c r="O35" s="3064"/>
    </row>
    <row r="36" spans="1:15">
      <c r="A36" s="1343"/>
      <c r="B36" s="182" t="s">
        <v>37</v>
      </c>
      <c r="C36" s="182" t="s">
        <v>1204</v>
      </c>
      <c r="D36" s="143" t="s">
        <v>7</v>
      </c>
      <c r="E36" s="52"/>
      <c r="F36" s="157"/>
      <c r="G36" s="3064"/>
      <c r="H36" s="3064"/>
      <c r="I36" s="3064"/>
      <c r="J36" s="3064"/>
      <c r="K36" s="3064"/>
      <c r="L36" s="3064"/>
      <c r="M36" s="3064"/>
      <c r="N36" s="3064"/>
      <c r="O36" s="3064"/>
    </row>
    <row r="37" spans="1:15">
      <c r="A37" s="69"/>
      <c r="B37" s="19"/>
      <c r="C37" s="19"/>
      <c r="D37" s="150" t="s">
        <v>7</v>
      </c>
      <c r="E37" s="52"/>
      <c r="F37" s="3064"/>
      <c r="G37" s="3064"/>
      <c r="H37" s="3064"/>
      <c r="I37" s="3064"/>
      <c r="J37" s="3064"/>
      <c r="K37" s="3064"/>
      <c r="L37" s="3064"/>
      <c r="M37" s="3064"/>
      <c r="N37" s="3064"/>
      <c r="O37" s="3064"/>
    </row>
    <row r="38" spans="1:15">
      <c r="A38" s="109"/>
      <c r="B38" s="174" t="s">
        <v>38</v>
      </c>
      <c r="C38" s="174" t="s">
        <v>38</v>
      </c>
      <c r="D38" s="138"/>
      <c r="E38" s="139">
        <f>SUM(B40:B42)+SUM(C40:C42)</f>
        <v>0</v>
      </c>
      <c r="F38" s="53"/>
      <c r="G38" s="53"/>
      <c r="H38" s="53"/>
      <c r="I38" s="53"/>
      <c r="J38" s="53"/>
      <c r="K38" s="53"/>
      <c r="L38" s="53"/>
      <c r="M38" s="53"/>
      <c r="N38" s="53"/>
      <c r="O38" s="53"/>
    </row>
    <row r="39" spans="1:15">
      <c r="A39" s="69"/>
      <c r="B39" s="180"/>
      <c r="C39" s="180"/>
      <c r="D39" s="152"/>
      <c r="E39" s="52"/>
      <c r="F39" s="3064"/>
      <c r="G39" s="3064"/>
      <c r="H39" s="3064"/>
      <c r="I39" s="3064"/>
      <c r="J39" s="3064"/>
      <c r="K39" s="3064"/>
      <c r="L39" s="3064"/>
      <c r="M39" s="3064"/>
      <c r="N39" s="3064"/>
      <c r="O39" s="3064"/>
    </row>
    <row r="40" spans="1:15">
      <c r="A40" s="69"/>
      <c r="B40" s="3064"/>
      <c r="C40" s="181"/>
      <c r="D40" s="150"/>
      <c r="E40" s="52"/>
      <c r="F40" s="3064"/>
      <c r="G40" s="3064"/>
      <c r="H40" s="3064"/>
      <c r="I40" s="3064"/>
      <c r="J40" s="3064"/>
      <c r="K40" s="3064"/>
      <c r="L40" s="3064"/>
      <c r="M40" s="3064"/>
      <c r="N40" s="3064"/>
      <c r="O40" s="3064"/>
    </row>
    <row r="41" spans="1:15">
      <c r="A41" s="69"/>
      <c r="B41" s="19"/>
      <c r="C41" s="19"/>
      <c r="D41" s="150"/>
      <c r="E41" s="52"/>
      <c r="F41" s="3064"/>
      <c r="G41" s="3064"/>
      <c r="H41" s="3064"/>
      <c r="I41" s="3064"/>
      <c r="J41" s="3064"/>
      <c r="K41" s="3064"/>
      <c r="L41" s="3064"/>
      <c r="M41" s="3064"/>
      <c r="N41" s="3064"/>
      <c r="O41" s="3064"/>
    </row>
    <row r="42" spans="1:15">
      <c r="A42" s="69"/>
      <c r="B42" s="19"/>
      <c r="C42" s="19"/>
      <c r="D42" s="150"/>
      <c r="E42" s="52"/>
      <c r="F42" s="3064"/>
      <c r="G42" s="3064"/>
      <c r="H42" s="3064"/>
      <c r="I42" s="3064"/>
      <c r="J42" s="3064"/>
      <c r="K42" s="3064"/>
      <c r="L42" s="3064"/>
      <c r="M42" s="3064"/>
      <c r="N42" s="3064"/>
      <c r="O42" s="3064"/>
    </row>
    <row r="43" spans="1:15">
      <c r="A43" s="69"/>
      <c r="B43" s="174" t="s">
        <v>12</v>
      </c>
      <c r="C43" s="174" t="s">
        <v>12</v>
      </c>
      <c r="D43" s="138"/>
      <c r="E43" s="139">
        <f>SUM(B45:B50)+SUM(C45:C50)</f>
        <v>0</v>
      </c>
      <c r="F43" s="3064"/>
      <c r="G43" s="3064"/>
      <c r="H43" s="3064"/>
      <c r="I43" s="3064"/>
      <c r="J43" s="3064"/>
      <c r="K43" s="3064"/>
      <c r="L43" s="3064"/>
      <c r="M43" s="3064"/>
      <c r="N43" s="3064"/>
      <c r="O43" s="3064"/>
    </row>
    <row r="44" spans="1:15">
      <c r="A44" s="69"/>
      <c r="B44" s="183"/>
      <c r="C44" s="183"/>
      <c r="D44" s="150"/>
      <c r="E44" s="52"/>
      <c r="F44" s="3064"/>
      <c r="G44" s="3064"/>
      <c r="H44" s="3064"/>
      <c r="I44" s="3064"/>
      <c r="J44" s="3064"/>
      <c r="K44" s="3064"/>
      <c r="L44" s="3064"/>
      <c r="M44" s="3064"/>
      <c r="N44" s="3064"/>
      <c r="O44" s="3064"/>
    </row>
    <row r="45" spans="1:15">
      <c r="A45" s="69"/>
      <c r="B45" s="19"/>
      <c r="C45" s="19"/>
      <c r="D45" s="150"/>
      <c r="E45" s="52"/>
      <c r="F45" s="3064"/>
      <c r="G45" s="3064"/>
      <c r="H45" s="3064"/>
      <c r="I45" s="3064"/>
      <c r="J45" s="3064"/>
      <c r="K45" s="3064"/>
      <c r="L45" s="3064"/>
      <c r="M45" s="3064"/>
      <c r="N45" s="3064"/>
      <c r="O45" s="3064"/>
    </row>
    <row r="46" spans="1:15">
      <c r="A46" s="69"/>
      <c r="B46" s="19"/>
      <c r="C46" s="19"/>
      <c r="D46" s="150"/>
      <c r="E46" s="52"/>
      <c r="F46" s="3064"/>
      <c r="G46" s="3064"/>
      <c r="H46" s="3064"/>
      <c r="I46" s="3064"/>
      <c r="J46" s="3064"/>
      <c r="K46" s="3064"/>
      <c r="L46" s="3064"/>
      <c r="M46" s="3064"/>
      <c r="N46" s="3064"/>
      <c r="O46" s="3064"/>
    </row>
    <row r="47" spans="1:15">
      <c r="A47" s="69"/>
      <c r="B47" s="19"/>
      <c r="C47" s="19"/>
      <c r="D47" s="150"/>
      <c r="E47" s="52"/>
      <c r="F47" s="3064"/>
      <c r="G47" s="3064"/>
      <c r="H47" s="3064"/>
      <c r="I47" s="3064"/>
      <c r="J47" s="3064"/>
      <c r="K47" s="3064"/>
      <c r="L47" s="3064"/>
      <c r="M47" s="3064"/>
      <c r="N47" s="3064"/>
      <c r="O47" s="3064"/>
    </row>
    <row r="48" spans="1:15">
      <c r="A48" s="69"/>
      <c r="B48" s="19"/>
      <c r="C48" s="19"/>
      <c r="D48" s="150"/>
      <c r="E48" s="52"/>
      <c r="F48" s="3064"/>
      <c r="G48" s="3064"/>
      <c r="H48" s="3064"/>
      <c r="I48" s="3064"/>
      <c r="J48" s="3064"/>
      <c r="K48" s="3064"/>
      <c r="L48" s="3064"/>
      <c r="M48" s="3064"/>
      <c r="N48" s="3064"/>
      <c r="O48" s="3064"/>
    </row>
    <row r="49" spans="1:15">
      <c r="A49" s="69"/>
      <c r="B49" s="19"/>
      <c r="C49" s="19"/>
      <c r="D49" s="150"/>
      <c r="E49" s="52"/>
      <c r="F49" s="3064"/>
      <c r="G49" s="3064"/>
      <c r="H49" s="3064"/>
      <c r="I49" s="3064"/>
      <c r="J49" s="3064"/>
      <c r="K49" s="3064"/>
      <c r="L49" s="3064"/>
      <c r="M49" s="3064"/>
      <c r="N49" s="3064"/>
      <c r="O49" s="3064"/>
    </row>
    <row r="50" spans="1:15">
      <c r="A50" s="69"/>
      <c r="B50" s="19"/>
      <c r="C50" s="19"/>
      <c r="D50" s="150"/>
      <c r="E50" s="52"/>
      <c r="F50" s="3064"/>
      <c r="G50" s="3064"/>
      <c r="H50" s="3064"/>
      <c r="I50" s="3064"/>
      <c r="J50" s="3064"/>
      <c r="K50" s="3064"/>
      <c r="L50" s="3064"/>
      <c r="M50" s="3064"/>
      <c r="N50" s="3064"/>
      <c r="O50" s="3064"/>
    </row>
    <row r="51" spans="1:15">
      <c r="A51" s="69"/>
      <c r="B51" s="174" t="s">
        <v>39</v>
      </c>
      <c r="C51" s="174" t="s">
        <v>39</v>
      </c>
      <c r="D51" s="138"/>
      <c r="E51" s="139">
        <f>SUM(B53:B58)+SUM(C53:C58)</f>
        <v>0</v>
      </c>
      <c r="F51" s="3064"/>
      <c r="G51" s="3064"/>
      <c r="H51" s="3064"/>
      <c r="I51" s="3064"/>
      <c r="J51" s="3064"/>
      <c r="K51" s="3064"/>
      <c r="L51" s="3064"/>
      <c r="M51" s="3064"/>
      <c r="N51" s="3064"/>
      <c r="O51" s="3064"/>
    </row>
    <row r="52" spans="1:15">
      <c r="A52" s="69"/>
      <c r="B52" s="180"/>
      <c r="C52" s="180"/>
      <c r="D52" s="3064"/>
      <c r="E52" s="73"/>
      <c r="F52" s="3064"/>
      <c r="G52" s="3064"/>
      <c r="H52" s="3064"/>
      <c r="I52" s="3064"/>
      <c r="J52" s="3064"/>
      <c r="K52" s="3064"/>
      <c r="L52" s="3064"/>
      <c r="M52" s="3064"/>
      <c r="N52" s="3064"/>
      <c r="O52" s="3064"/>
    </row>
    <row r="53" spans="1:15">
      <c r="A53" s="69"/>
      <c r="B53" s="184"/>
      <c r="C53" s="184"/>
      <c r="D53" s="3064"/>
      <c r="E53" s="73"/>
      <c r="F53" s="3064"/>
      <c r="G53" s="3064"/>
      <c r="H53" s="3064"/>
      <c r="I53" s="3064"/>
      <c r="J53" s="3064"/>
      <c r="K53" s="3064"/>
      <c r="L53" s="3064"/>
      <c r="M53" s="3064"/>
      <c r="N53" s="3064"/>
      <c r="O53" s="3064"/>
    </row>
    <row r="54" spans="1:15">
      <c r="A54" s="69"/>
      <c r="B54" s="184"/>
      <c r="C54" s="184"/>
      <c r="D54" s="3064"/>
      <c r="E54" s="73"/>
      <c r="F54" s="3064"/>
      <c r="G54" s="3064"/>
      <c r="H54" s="3064"/>
      <c r="I54" s="3064"/>
      <c r="J54" s="3064"/>
      <c r="K54" s="3064"/>
      <c r="L54" s="3064"/>
      <c r="M54" s="3064"/>
      <c r="N54" s="3064"/>
      <c r="O54" s="3064"/>
    </row>
    <row r="55" spans="1:15">
      <c r="A55" s="69"/>
      <c r="B55" s="184"/>
      <c r="C55" s="184"/>
      <c r="D55" s="3064"/>
      <c r="E55" s="73"/>
      <c r="F55" s="3064"/>
      <c r="G55" s="3064"/>
      <c r="H55" s="3064"/>
      <c r="I55" s="3064"/>
      <c r="J55" s="3064"/>
      <c r="K55" s="3064"/>
      <c r="L55" s="3064"/>
      <c r="M55" s="3064"/>
      <c r="N55" s="3064"/>
      <c r="O55" s="3064"/>
    </row>
    <row r="56" spans="1:15">
      <c r="A56" s="69"/>
      <c r="B56" s="184"/>
      <c r="C56" s="184"/>
      <c r="D56" s="3064"/>
      <c r="E56" s="73"/>
      <c r="F56" s="3064"/>
      <c r="G56" s="3064"/>
      <c r="H56" s="3064"/>
      <c r="I56" s="3064"/>
      <c r="J56" s="3064"/>
      <c r="K56" s="3064"/>
      <c r="L56" s="3064"/>
      <c r="M56" s="3064"/>
      <c r="N56" s="3064"/>
      <c r="O56" s="3064"/>
    </row>
    <row r="57" spans="1:15">
      <c r="A57" s="69"/>
      <c r="B57" s="3064"/>
      <c r="C57" s="3064"/>
      <c r="D57" s="3064"/>
      <c r="E57" s="73"/>
      <c r="F57" s="3064"/>
      <c r="G57" s="3064"/>
      <c r="H57" s="3064"/>
      <c r="I57" s="3064"/>
      <c r="J57" s="3064"/>
      <c r="K57" s="3064"/>
      <c r="L57" s="3064"/>
      <c r="M57" s="3064"/>
      <c r="N57" s="3064"/>
      <c r="O57" s="3064"/>
    </row>
    <row r="58" spans="1:15">
      <c r="A58" s="69"/>
      <c r="B58" s="3064"/>
      <c r="C58" s="3064"/>
      <c r="D58" s="3065"/>
      <c r="E58" s="52"/>
      <c r="F58" s="3064"/>
      <c r="G58" s="3064"/>
      <c r="H58" s="3064"/>
      <c r="I58" s="3064"/>
      <c r="J58" s="3064"/>
      <c r="K58" s="3064"/>
      <c r="L58" s="3064"/>
      <c r="M58" s="3064"/>
      <c r="N58" s="3064"/>
      <c r="O58" s="3064"/>
    </row>
    <row r="59" spans="1:15">
      <c r="A59" s="69"/>
      <c r="B59" s="174" t="s">
        <v>13</v>
      </c>
      <c r="C59" s="174" t="s">
        <v>13</v>
      </c>
      <c r="D59" s="138"/>
      <c r="E59" s="139">
        <f>SUM(B61:B66)+SUM(C61:C66)</f>
        <v>0</v>
      </c>
      <c r="F59" s="3064"/>
      <c r="G59" s="3064"/>
      <c r="H59" s="3064"/>
      <c r="I59" s="3064"/>
      <c r="J59" s="3064"/>
      <c r="K59" s="3064"/>
      <c r="L59" s="3064"/>
      <c r="M59" s="3064"/>
      <c r="N59" s="3064"/>
      <c r="O59" s="3064"/>
    </row>
    <row r="60" spans="1:15">
      <c r="A60" s="69"/>
      <c r="B60" s="175"/>
      <c r="C60" s="175"/>
      <c r="D60" s="3065"/>
      <c r="E60" s="52"/>
      <c r="F60" s="3064"/>
      <c r="G60" s="3064"/>
      <c r="H60" s="3064"/>
      <c r="I60" s="3064"/>
      <c r="J60" s="3064"/>
      <c r="K60" s="3064"/>
      <c r="L60" s="3064"/>
      <c r="M60" s="3064"/>
      <c r="N60" s="3064"/>
      <c r="O60" s="3064"/>
    </row>
    <row r="61" spans="1:15">
      <c r="A61" s="69"/>
      <c r="B61" s="3064"/>
      <c r="C61" s="3064"/>
      <c r="D61" s="160" t="s">
        <v>70</v>
      </c>
      <c r="E61" s="52"/>
      <c r="F61" s="3064"/>
      <c r="G61" s="3064"/>
      <c r="H61" s="3064"/>
      <c r="I61" s="3064"/>
      <c r="J61" s="3064"/>
      <c r="K61" s="3064"/>
      <c r="L61" s="3064"/>
      <c r="M61" s="3064"/>
      <c r="N61" s="3064"/>
      <c r="O61" s="3064"/>
    </row>
    <row r="62" spans="1:15">
      <c r="A62" s="69"/>
      <c r="B62" s="3064" t="s">
        <v>7</v>
      </c>
      <c r="C62" s="3064"/>
      <c r="D62" s="160" t="s">
        <v>41</v>
      </c>
      <c r="E62" s="52"/>
      <c r="F62" s="3064"/>
      <c r="G62" s="3064"/>
      <c r="H62" s="3064"/>
      <c r="I62" s="3064"/>
      <c r="J62" s="3064"/>
      <c r="K62" s="3064"/>
      <c r="L62" s="3064"/>
      <c r="M62" s="3064"/>
      <c r="N62" s="3064"/>
      <c r="O62" s="3064"/>
    </row>
    <row r="63" spans="1:15">
      <c r="A63" s="69"/>
      <c r="B63" s="3064"/>
      <c r="C63" s="3064"/>
      <c r="D63" s="160" t="s">
        <v>42</v>
      </c>
      <c r="E63" s="52"/>
      <c r="F63" s="3064"/>
      <c r="G63" s="3064"/>
      <c r="H63" s="3064"/>
      <c r="I63" s="3064"/>
      <c r="J63" s="3064"/>
      <c r="K63" s="3064"/>
      <c r="L63" s="3064"/>
      <c r="M63" s="3064"/>
      <c r="N63" s="3064"/>
      <c r="O63" s="3064"/>
    </row>
    <row r="64" spans="1:15">
      <c r="A64" s="69"/>
      <c r="B64" s="3064"/>
      <c r="C64" s="3064"/>
      <c r="D64" s="160" t="s">
        <v>61</v>
      </c>
      <c r="E64" s="52"/>
      <c r="F64" s="3064"/>
      <c r="G64" s="3064"/>
      <c r="H64" s="3064"/>
      <c r="I64" s="3064"/>
      <c r="J64" s="3064"/>
      <c r="K64" s="3064"/>
      <c r="L64" s="3064"/>
      <c r="M64" s="3064"/>
      <c r="N64" s="3064"/>
      <c r="O64" s="3064"/>
    </row>
    <row r="65" spans="1:15">
      <c r="A65" s="69"/>
      <c r="B65" s="3066"/>
      <c r="C65" s="3066"/>
      <c r="D65" s="160" t="s">
        <v>44</v>
      </c>
      <c r="E65" s="52"/>
      <c r="F65" s="3064"/>
      <c r="G65" s="3064"/>
      <c r="H65" s="3064"/>
      <c r="I65" s="3064"/>
      <c r="J65" s="3064"/>
      <c r="K65" s="3064"/>
      <c r="L65" s="3064"/>
      <c r="M65" s="3064"/>
      <c r="N65" s="3064"/>
      <c r="O65" s="3064"/>
    </row>
    <row r="66" spans="1:15">
      <c r="A66" s="69"/>
      <c r="B66" s="3066"/>
      <c r="C66" s="3066"/>
      <c r="D66" s="160"/>
      <c r="E66" s="52"/>
      <c r="F66" s="3064"/>
      <c r="G66" s="3064"/>
      <c r="H66" s="3064"/>
      <c r="I66" s="3064"/>
      <c r="J66" s="3064"/>
      <c r="K66" s="3064"/>
      <c r="L66" s="3064"/>
      <c r="M66" s="3064"/>
      <c r="N66" s="3064"/>
      <c r="O66" s="3064"/>
    </row>
    <row r="67" spans="1:15">
      <c r="A67" s="69"/>
      <c r="B67" s="174" t="s">
        <v>14</v>
      </c>
      <c r="C67" s="174" t="s">
        <v>14</v>
      </c>
      <c r="D67" s="138"/>
      <c r="E67" s="139">
        <f>SUM(B69:B75)+SUM(C69:C75)</f>
        <v>6838832</v>
      </c>
      <c r="F67" s="3064"/>
      <c r="G67" s="3064"/>
      <c r="H67" s="3064"/>
      <c r="I67" s="3064"/>
      <c r="J67" s="3064"/>
      <c r="K67" s="3064"/>
      <c r="L67" s="3064"/>
      <c r="M67" s="3064"/>
      <c r="N67" s="3064"/>
      <c r="O67" s="3064"/>
    </row>
    <row r="68" spans="1:15">
      <c r="A68" s="162"/>
      <c r="B68" s="175"/>
      <c r="C68" s="175"/>
      <c r="D68" s="3065"/>
      <c r="E68" s="52"/>
      <c r="F68" s="3064"/>
      <c r="G68" s="3064"/>
      <c r="H68" s="3064"/>
      <c r="I68" s="3064"/>
      <c r="J68" s="3064"/>
      <c r="K68" s="3064"/>
      <c r="L68" s="3064"/>
      <c r="M68" s="3064"/>
      <c r="N68" s="3064"/>
      <c r="O68" s="3064"/>
    </row>
    <row r="69" spans="1:15">
      <c r="A69" s="69"/>
      <c r="B69" s="84">
        <v>5260640</v>
      </c>
      <c r="C69" s="84">
        <f>0.3*4529240</f>
        <v>1358772</v>
      </c>
      <c r="D69" s="160" t="s">
        <v>1068</v>
      </c>
      <c r="E69" s="52"/>
      <c r="F69" s="3064"/>
      <c r="G69" s="3064"/>
      <c r="H69" s="3064"/>
      <c r="I69" s="3064"/>
      <c r="J69" s="3064"/>
      <c r="K69" s="3064"/>
      <c r="L69" s="3064"/>
      <c r="M69" s="3064"/>
      <c r="N69" s="3064"/>
      <c r="O69" s="3064"/>
    </row>
    <row r="70" spans="1:15" ht="12" customHeight="1">
      <c r="A70" s="69"/>
      <c r="B70" s="84"/>
      <c r="C70" s="84"/>
      <c r="D70" s="3435" t="s">
        <v>1143</v>
      </c>
      <c r="E70" s="2201"/>
      <c r="F70" s="3064"/>
      <c r="G70" s="3064"/>
      <c r="H70" s="3064"/>
      <c r="I70" s="3064"/>
      <c r="J70" s="3064"/>
      <c r="K70" s="3064"/>
      <c r="L70" s="3064"/>
      <c r="M70" s="3064"/>
      <c r="N70" s="3064"/>
      <c r="O70" s="3064"/>
    </row>
    <row r="71" spans="1:15">
      <c r="A71" s="69"/>
      <c r="B71" s="84"/>
      <c r="C71" s="185"/>
      <c r="D71" s="3435" t="s">
        <v>1350</v>
      </c>
      <c r="E71" s="2201"/>
      <c r="F71" s="3064"/>
      <c r="G71" s="3064"/>
      <c r="H71" s="3064"/>
      <c r="I71" s="3064"/>
      <c r="J71" s="3064"/>
      <c r="K71" s="3064"/>
      <c r="L71" s="3064"/>
      <c r="M71" s="3064"/>
      <c r="N71" s="3064"/>
      <c r="O71" s="3064"/>
    </row>
    <row r="72" spans="1:15" s="4739" customFormat="1">
      <c r="A72" s="69"/>
      <c r="B72" s="3496"/>
      <c r="C72" s="185"/>
      <c r="D72" s="4940"/>
      <c r="E72" s="52"/>
    </row>
    <row r="73" spans="1:15">
      <c r="A73" s="69"/>
      <c r="B73" s="84"/>
      <c r="C73" s="84">
        <f>0.3*('22) Detail_BEM Sch 258 Elec'!D43)</f>
        <v>219420</v>
      </c>
      <c r="D73" s="160" t="s">
        <v>1351</v>
      </c>
      <c r="E73" s="52"/>
      <c r="F73" s="3064"/>
      <c r="G73" s="3064"/>
      <c r="H73" s="3064"/>
      <c r="I73" s="3064"/>
      <c r="J73" s="3064"/>
      <c r="K73" s="3064"/>
      <c r="L73" s="3064"/>
      <c r="M73" s="3064"/>
      <c r="N73" s="3064"/>
      <c r="O73" s="3064"/>
    </row>
    <row r="74" spans="1:15">
      <c r="A74" s="69"/>
      <c r="B74" s="84"/>
      <c r="C74" s="84"/>
      <c r="D74" s="4054" t="s">
        <v>1144</v>
      </c>
      <c r="E74" s="52"/>
      <c r="F74" s="3064"/>
      <c r="G74" s="3064"/>
      <c r="H74" s="3064"/>
      <c r="I74" s="3064"/>
      <c r="J74" s="3064"/>
      <c r="K74" s="3064"/>
      <c r="L74" s="3064"/>
      <c r="M74" s="3064"/>
      <c r="N74" s="3064"/>
      <c r="O74" s="3064"/>
    </row>
    <row r="75" spans="1:15">
      <c r="A75" s="69"/>
      <c r="B75" s="84"/>
      <c r="C75" s="84"/>
      <c r="D75" s="3065"/>
      <c r="E75" s="52"/>
      <c r="F75" s="3064"/>
      <c r="G75" s="3064"/>
      <c r="H75" s="3064"/>
      <c r="I75" s="3064"/>
      <c r="J75" s="3064"/>
      <c r="K75" s="3064"/>
      <c r="L75" s="3064"/>
      <c r="M75" s="3064"/>
      <c r="N75" s="3064"/>
      <c r="O75" s="3064"/>
    </row>
    <row r="76" spans="1:15">
      <c r="A76" s="69"/>
      <c r="B76" s="174" t="s">
        <v>15</v>
      </c>
      <c r="C76" s="174" t="s">
        <v>15</v>
      </c>
      <c r="D76" s="138"/>
      <c r="E76" s="139">
        <f>SUM(B78:B84)+SUM(C78:C84)</f>
        <v>0</v>
      </c>
      <c r="F76" s="3064"/>
      <c r="G76" s="3064"/>
      <c r="H76" s="3064"/>
      <c r="I76" s="3064"/>
      <c r="J76" s="3064"/>
      <c r="K76" s="3064"/>
      <c r="L76" s="3064"/>
      <c r="M76" s="3064"/>
      <c r="N76" s="3064"/>
      <c r="O76" s="3064"/>
    </row>
    <row r="77" spans="1:15">
      <c r="A77" s="69"/>
      <c r="B77" s="180"/>
      <c r="C77" s="180"/>
      <c r="D77" s="3065"/>
      <c r="E77" s="52"/>
      <c r="F77" s="3064"/>
      <c r="G77" s="3064"/>
      <c r="H77" s="3064"/>
      <c r="I77" s="3064"/>
      <c r="J77" s="3064"/>
      <c r="K77" s="3064"/>
      <c r="L77" s="3064"/>
      <c r="M77" s="3064"/>
      <c r="N77" s="3064"/>
      <c r="O77" s="3064"/>
    </row>
    <row r="78" spans="1:15">
      <c r="A78" s="109"/>
      <c r="B78" s="184"/>
      <c r="C78" s="184"/>
      <c r="D78" s="163"/>
      <c r="E78" s="52"/>
      <c r="F78" s="53"/>
      <c r="G78" s="53"/>
      <c r="H78" s="53"/>
      <c r="I78" s="53"/>
      <c r="J78" s="53"/>
      <c r="K78" s="53"/>
      <c r="L78" s="53"/>
      <c r="M78" s="53"/>
      <c r="N78" s="53"/>
      <c r="O78" s="53"/>
    </row>
    <row r="79" spans="1:15">
      <c r="A79" s="109"/>
      <c r="B79" s="184"/>
      <c r="C79" s="184"/>
      <c r="D79" s="163"/>
      <c r="E79" s="52"/>
      <c r="F79" s="53"/>
      <c r="G79" s="53"/>
      <c r="H79" s="53"/>
      <c r="I79" s="53"/>
      <c r="J79" s="53"/>
      <c r="K79" s="53"/>
      <c r="L79" s="53"/>
      <c r="M79" s="53"/>
      <c r="N79" s="53"/>
      <c r="O79" s="53"/>
    </row>
    <row r="80" spans="1:15">
      <c r="A80" s="109"/>
      <c r="B80" s="184"/>
      <c r="C80" s="184"/>
      <c r="D80" s="163"/>
      <c r="E80" s="52"/>
      <c r="F80" s="53"/>
      <c r="G80" s="53"/>
      <c r="H80" s="53"/>
      <c r="I80" s="53"/>
      <c r="J80" s="53"/>
      <c r="K80" s="53"/>
      <c r="L80" s="53"/>
      <c r="M80" s="53"/>
      <c r="N80" s="53"/>
      <c r="O80" s="53"/>
    </row>
    <row r="81" spans="1:15">
      <c r="A81" s="109"/>
      <c r="B81" s="184"/>
      <c r="C81" s="184"/>
      <c r="D81" s="163"/>
      <c r="E81" s="52"/>
      <c r="F81" s="53"/>
      <c r="G81" s="53"/>
      <c r="H81" s="53"/>
      <c r="I81" s="53"/>
      <c r="J81" s="53"/>
      <c r="K81" s="53"/>
      <c r="L81" s="53"/>
      <c r="M81" s="53"/>
      <c r="N81" s="53"/>
      <c r="O81" s="53"/>
    </row>
    <row r="82" spans="1:15">
      <c r="A82" s="109"/>
      <c r="B82" s="184"/>
      <c r="C82" s="184"/>
      <c r="D82" s="163"/>
      <c r="E82" s="52"/>
      <c r="F82" s="53"/>
      <c r="G82" s="53"/>
      <c r="H82" s="53"/>
      <c r="I82" s="53"/>
      <c r="J82" s="53"/>
      <c r="K82" s="53"/>
      <c r="L82" s="53"/>
      <c r="M82" s="53"/>
      <c r="N82" s="53"/>
      <c r="O82" s="53"/>
    </row>
    <row r="83" spans="1:15">
      <c r="A83" s="69"/>
      <c r="B83" s="3064"/>
      <c r="C83" s="3064"/>
      <c r="D83" s="150"/>
      <c r="E83" s="52"/>
      <c r="F83" s="3064"/>
      <c r="G83" s="3064"/>
      <c r="H83" s="3064"/>
      <c r="I83" s="3064"/>
      <c r="J83" s="3064"/>
      <c r="K83" s="3064"/>
      <c r="L83" s="3064"/>
      <c r="M83" s="3064"/>
      <c r="N83" s="3064"/>
      <c r="O83" s="3064"/>
    </row>
    <row r="84" spans="1:15">
      <c r="A84" s="69"/>
      <c r="B84" s="3064"/>
      <c r="C84" s="3064"/>
      <c r="D84" s="150"/>
      <c r="E84" s="52"/>
      <c r="F84" s="3064"/>
      <c r="G84" s="3064"/>
      <c r="H84" s="3064"/>
      <c r="I84" s="3064"/>
      <c r="J84" s="3064"/>
      <c r="K84" s="3064"/>
      <c r="L84" s="3064"/>
      <c r="M84" s="3064"/>
      <c r="N84" s="3064"/>
      <c r="O84" s="3064"/>
    </row>
    <row r="85" spans="1:15">
      <c r="A85" s="69"/>
      <c r="B85" s="174" t="s">
        <v>16</v>
      </c>
      <c r="C85" s="174" t="s">
        <v>16</v>
      </c>
      <c r="D85" s="138"/>
      <c r="E85" s="139">
        <f>SUM(B87:B92)+SUM(C87:C92)</f>
        <v>0</v>
      </c>
      <c r="F85" s="3064"/>
      <c r="G85" s="3064"/>
      <c r="H85" s="3064"/>
      <c r="I85" s="3064"/>
      <c r="J85" s="3064"/>
      <c r="K85" s="3064"/>
      <c r="L85" s="3064"/>
      <c r="M85" s="3064"/>
      <c r="N85" s="3064"/>
      <c r="O85" s="3064"/>
    </row>
    <row r="86" spans="1:15">
      <c r="A86" s="109"/>
      <c r="B86" s="180"/>
      <c r="C86" s="180"/>
      <c r="D86" s="163"/>
      <c r="E86" s="52"/>
      <c r="F86" s="53"/>
      <c r="G86" s="53"/>
      <c r="H86" s="53"/>
      <c r="I86" s="53"/>
      <c r="J86" s="53"/>
      <c r="K86" s="53"/>
      <c r="L86" s="53"/>
      <c r="M86" s="53"/>
      <c r="N86" s="53"/>
      <c r="O86" s="53"/>
    </row>
    <row r="87" spans="1:15">
      <c r="A87" s="109"/>
      <c r="B87" s="191"/>
      <c r="C87" s="191"/>
      <c r="D87" s="165"/>
      <c r="E87" s="52"/>
      <c r="F87" s="53"/>
      <c r="G87" s="53"/>
      <c r="H87" s="53"/>
      <c r="I87" s="53"/>
      <c r="J87" s="53"/>
      <c r="K87" s="53"/>
      <c r="L87" s="53"/>
      <c r="M87" s="53"/>
      <c r="N87" s="53"/>
      <c r="O87" s="53"/>
    </row>
    <row r="88" spans="1:15">
      <c r="A88" s="109"/>
      <c r="B88" s="192"/>
      <c r="C88" s="192"/>
      <c r="D88" s="53"/>
      <c r="E88" s="52"/>
      <c r="F88" s="53"/>
      <c r="G88" s="53"/>
      <c r="H88" s="53"/>
      <c r="I88" s="53"/>
      <c r="J88" s="53"/>
      <c r="K88" s="53"/>
      <c r="L88" s="53"/>
      <c r="M88" s="53"/>
      <c r="N88" s="53"/>
      <c r="O88" s="53"/>
    </row>
    <row r="89" spans="1:15">
      <c r="A89" s="109"/>
      <c r="B89" s="191"/>
      <c r="C89" s="191"/>
      <c r="D89" s="165"/>
      <c r="E89" s="52"/>
      <c r="F89" s="53"/>
      <c r="G89" s="53"/>
      <c r="H89" s="53"/>
      <c r="I89" s="53"/>
      <c r="J89" s="53"/>
      <c r="K89" s="53"/>
      <c r="L89" s="53"/>
      <c r="M89" s="53"/>
      <c r="N89" s="53"/>
      <c r="O89" s="53"/>
    </row>
    <row r="90" spans="1:15">
      <c r="A90" s="109"/>
      <c r="B90" s="191"/>
      <c r="C90" s="191"/>
      <c r="D90" s="163"/>
      <c r="E90" s="52"/>
      <c r="F90" s="53"/>
      <c r="G90" s="53"/>
      <c r="H90" s="53"/>
      <c r="I90" s="53"/>
      <c r="J90" s="53"/>
      <c r="K90" s="53"/>
      <c r="L90" s="53"/>
      <c r="M90" s="53"/>
      <c r="N90" s="53"/>
      <c r="O90" s="53"/>
    </row>
    <row r="91" spans="1:15">
      <c r="A91" s="109"/>
      <c r="B91" s="191"/>
      <c r="C91" s="191"/>
      <c r="D91" s="163"/>
      <c r="E91" s="52"/>
      <c r="F91" s="53"/>
      <c r="G91" s="53"/>
      <c r="H91" s="53"/>
      <c r="I91" s="53"/>
      <c r="J91" s="53"/>
      <c r="K91" s="53"/>
      <c r="L91" s="53"/>
      <c r="M91" s="53"/>
      <c r="N91" s="53"/>
      <c r="O91" s="53"/>
    </row>
    <row r="92" spans="1:15">
      <c r="A92" s="69"/>
      <c r="B92" s="179"/>
      <c r="C92" s="179"/>
      <c r="D92" s="3065"/>
      <c r="E92" s="52"/>
      <c r="F92" s="3064"/>
      <c r="G92" s="3064"/>
      <c r="H92" s="3064"/>
      <c r="I92" s="3064"/>
      <c r="J92" s="3064"/>
      <c r="K92" s="3064"/>
      <c r="L92" s="3064"/>
      <c r="M92" s="3064"/>
      <c r="N92" s="3064"/>
      <c r="O92" s="3064"/>
    </row>
    <row r="93" spans="1:15" ht="25.5">
      <c r="A93" s="69"/>
      <c r="B93" s="174" t="s">
        <v>17</v>
      </c>
      <c r="C93" s="174" t="s">
        <v>17</v>
      </c>
      <c r="D93" s="138"/>
      <c r="E93" s="139">
        <f>SUM(B95:B98)+SUM(C95:C98)</f>
        <v>3682448</v>
      </c>
      <c r="F93" s="3064"/>
      <c r="G93" s="3064"/>
      <c r="H93" s="3064"/>
      <c r="I93" s="3064"/>
      <c r="J93" s="3064"/>
      <c r="K93" s="3064"/>
      <c r="L93" s="3064"/>
      <c r="M93" s="3064"/>
      <c r="N93" s="3064"/>
      <c r="O93" s="3064"/>
    </row>
    <row r="94" spans="1:15">
      <c r="A94" s="109"/>
      <c r="B94" s="180"/>
      <c r="C94" s="180"/>
      <c r="D94" s="163"/>
      <c r="E94" s="52"/>
      <c r="F94" s="53"/>
      <c r="G94" s="53"/>
      <c r="H94" s="53"/>
      <c r="I94" s="53"/>
      <c r="J94" s="53"/>
      <c r="K94" s="53"/>
      <c r="L94" s="53"/>
      <c r="M94" s="53"/>
      <c r="N94" s="53"/>
      <c r="O94" s="53"/>
    </row>
    <row r="95" spans="1:15" s="4946" customFormat="1" ht="30.75" customHeight="1">
      <c r="A95" s="4941"/>
      <c r="B95" s="4942"/>
      <c r="C95" s="4942">
        <f>0.7*('22) Detail_BEM Sch 258 Elec'!D43)</f>
        <v>511979.99999999994</v>
      </c>
      <c r="D95" s="4943" t="s">
        <v>1352</v>
      </c>
      <c r="E95" s="4944"/>
      <c r="F95" s="4945"/>
      <c r="G95" s="4945"/>
      <c r="H95" s="4945"/>
      <c r="I95" s="4945"/>
      <c r="J95" s="4945"/>
      <c r="K95" s="4945"/>
      <c r="L95" s="4945"/>
      <c r="M95" s="4945"/>
      <c r="N95" s="4945"/>
      <c r="O95" s="4945"/>
    </row>
    <row r="96" spans="1:15">
      <c r="A96" s="69"/>
      <c r="B96" s="3436"/>
      <c r="C96" s="3436">
        <f>0.7*4529240</f>
        <v>3170468</v>
      </c>
      <c r="D96" s="4711" t="s">
        <v>1353</v>
      </c>
      <c r="E96" s="3"/>
      <c r="F96" s="3064"/>
      <c r="G96" s="3064"/>
      <c r="H96" s="3064"/>
      <c r="I96" s="3064"/>
      <c r="J96" s="3064"/>
      <c r="K96" s="3064"/>
      <c r="L96" s="3064"/>
      <c r="M96" s="3064"/>
      <c r="N96" s="3064"/>
      <c r="O96" s="3064"/>
    </row>
    <row r="97" spans="1:15">
      <c r="A97" s="69"/>
      <c r="B97" s="3436"/>
      <c r="C97" s="3436"/>
      <c r="D97" s="3065"/>
      <c r="E97" s="3"/>
      <c r="F97" s="3064"/>
      <c r="G97" s="3064"/>
      <c r="H97" s="3064"/>
      <c r="I97" s="3064"/>
      <c r="J97" s="3064"/>
      <c r="K97" s="3064"/>
      <c r="L97" s="3064"/>
      <c r="M97" s="3064"/>
      <c r="N97" s="3064"/>
      <c r="O97" s="3064"/>
    </row>
    <row r="98" spans="1:15">
      <c r="A98" s="69"/>
      <c r="B98" s="3436"/>
      <c r="C98" s="3436"/>
      <c r="D98" s="3065"/>
      <c r="E98" s="3"/>
      <c r="F98" s="3064"/>
      <c r="G98" s="3064"/>
      <c r="H98" s="3064"/>
      <c r="I98" s="3064"/>
      <c r="J98" s="3064"/>
      <c r="K98" s="3064"/>
      <c r="L98" s="3064"/>
      <c r="M98" s="3064"/>
      <c r="N98" s="3064"/>
      <c r="O98" s="3064"/>
    </row>
    <row r="99" spans="1:15">
      <c r="B99" s="86" t="s">
        <v>54</v>
      </c>
      <c r="C99" s="3064"/>
    </row>
    <row r="100" spans="1:15">
      <c r="B100" s="86" t="s">
        <v>55</v>
      </c>
      <c r="C100" s="3064"/>
    </row>
    <row r="101" spans="1:15">
      <c r="B101" s="86" t="s">
        <v>56</v>
      </c>
      <c r="C101" s="3064"/>
    </row>
  </sheetData>
  <sheetProtection password="9E1F" sheet="1" objects="1" scenarios="1"/>
  <customSheetViews>
    <customSheetView guid="{074EB09C-6289-46D7-9513-012B68BCA7BF}">
      <pane xSplit="1" ySplit="1" topLeftCell="B2" activePane="bottomRight" state="frozen"/>
      <selection pane="bottomRight" activeCell="B4" sqref="B4"/>
      <pageMargins left="0.22" right="0.21" top="0.45" bottom="0.4" header="0.3" footer="0.3"/>
      <pageSetup paperSize="17" scale="52" orientation="landscape" r:id="rId1"/>
    </customSheetView>
    <customSheetView guid="{AF9F1D33-B8C2-423F-86A1-47612B8F532C}">
      <pane xSplit="1" ySplit="1" topLeftCell="B2" activePane="bottomRight" state="frozenSplit"/>
      <selection pane="bottomRight" activeCell="C37" sqref="C37"/>
      <pageMargins left="0.7" right="0.7" top="0.75" bottom="0.75" header="0.3" footer="0.3"/>
      <pageSetup paperSize="17" scale="52" orientation="landscape"/>
    </customSheetView>
  </customSheetViews>
  <mergeCells count="4">
    <mergeCell ref="B18:C18"/>
    <mergeCell ref="B19:C19"/>
    <mergeCell ref="H20:I20"/>
    <mergeCell ref="B15:E15"/>
  </mergeCells>
  <pageMargins left="0.22" right="0.21" top="0.45" bottom="0.4" header="0.3" footer="0.3"/>
  <pageSetup paperSize="17" scale="52" orientation="landscape" r:id="rId2"/>
  <drawing r:id="rId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dimension ref="A1:N137"/>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ColWidth="8.85546875" defaultRowHeight="12.75"/>
  <cols>
    <col min="1" max="1" width="15.42578125" style="3064" customWidth="1"/>
    <col min="2" max="2" width="56" bestFit="1" customWidth="1"/>
    <col min="3" max="3" width="13.140625" customWidth="1"/>
    <col min="4" max="4" width="13.42578125" customWidth="1"/>
    <col min="5" max="5" width="15.140625" customWidth="1"/>
    <col min="6" max="6" width="16.140625" customWidth="1"/>
    <col min="7" max="7" width="17.85546875" bestFit="1" customWidth="1"/>
    <col min="8" max="8" width="15.42578125" customWidth="1"/>
    <col min="9" max="9" width="17.140625" customWidth="1"/>
    <col min="10" max="10" width="15.42578125" customWidth="1"/>
    <col min="11" max="11" width="20.42578125" customWidth="1"/>
    <col min="12" max="12" width="15" customWidth="1"/>
    <col min="13" max="13" width="15.42578125" customWidth="1"/>
    <col min="14" max="14" width="19.42578125" customWidth="1"/>
  </cols>
  <sheetData>
    <row r="1" spans="2:14" ht="45.75" customHeight="1">
      <c r="B1" s="2424" t="s">
        <v>952</v>
      </c>
      <c r="C1" s="2425"/>
      <c r="D1" s="2425"/>
      <c r="E1" s="2452"/>
      <c r="F1" s="2426"/>
      <c r="G1" s="2426"/>
      <c r="H1" s="2410"/>
      <c r="I1" s="2410"/>
      <c r="J1" s="2410"/>
      <c r="K1" s="2410"/>
      <c r="L1" s="2410"/>
      <c r="M1" s="2410"/>
      <c r="N1" s="2410"/>
    </row>
    <row r="2" spans="2:14" ht="20.25">
      <c r="B2" s="2424"/>
      <c r="C2" s="2425"/>
      <c r="D2" s="2425"/>
      <c r="E2" s="2452"/>
      <c r="F2" s="2426"/>
      <c r="G2" s="2426"/>
      <c r="H2" s="2410"/>
      <c r="I2" s="2410"/>
      <c r="J2" s="2410"/>
      <c r="K2" s="2410"/>
      <c r="L2" s="2410"/>
      <c r="M2" s="2410"/>
      <c r="N2" s="2410"/>
    </row>
    <row r="3" spans="2:14" ht="38.25">
      <c r="B3" s="3460"/>
      <c r="C3" s="2476" t="s">
        <v>9</v>
      </c>
      <c r="D3" s="2417" t="s">
        <v>10</v>
      </c>
      <c r="E3" s="2417" t="s">
        <v>640</v>
      </c>
      <c r="F3" s="2418" t="s">
        <v>12</v>
      </c>
      <c r="G3" s="2418" t="s">
        <v>13</v>
      </c>
      <c r="H3" s="2418" t="s">
        <v>14</v>
      </c>
      <c r="I3" s="2418" t="s">
        <v>15</v>
      </c>
      <c r="J3" s="2418" t="s">
        <v>16</v>
      </c>
      <c r="K3" s="2418" t="s">
        <v>641</v>
      </c>
      <c r="L3" s="2418" t="s">
        <v>18</v>
      </c>
      <c r="M3" s="2479" t="s">
        <v>114</v>
      </c>
      <c r="N3" s="2419" t="s">
        <v>19</v>
      </c>
    </row>
    <row r="4" spans="2:14" ht="25.5">
      <c r="B4" s="4906" t="s">
        <v>642</v>
      </c>
      <c r="C4" s="2482"/>
      <c r="D4" s="2482"/>
      <c r="E4" s="2482"/>
      <c r="F4" s="2482"/>
      <c r="G4" s="2482"/>
      <c r="H4" s="2482"/>
      <c r="I4" s="2482"/>
      <c r="J4" s="2482"/>
      <c r="K4" s="2483"/>
      <c r="L4" s="2485">
        <v>0</v>
      </c>
      <c r="M4" s="2484"/>
      <c r="N4" s="2498" t="s">
        <v>21</v>
      </c>
    </row>
    <row r="5" spans="2:14">
      <c r="B5" s="4907" t="s">
        <v>643</v>
      </c>
      <c r="C5" s="2474"/>
      <c r="D5" s="2474">
        <v>0</v>
      </c>
      <c r="E5" s="2474">
        <v>0</v>
      </c>
      <c r="F5" s="2474">
        <v>0</v>
      </c>
      <c r="G5" s="2474">
        <v>0</v>
      </c>
      <c r="H5" s="2474">
        <v>0</v>
      </c>
      <c r="I5" s="2474">
        <v>0</v>
      </c>
      <c r="J5" s="2474">
        <v>0</v>
      </c>
      <c r="K5" s="2475">
        <v>0</v>
      </c>
      <c r="L5" s="2477">
        <v>0</v>
      </c>
      <c r="M5" s="2478">
        <v>0</v>
      </c>
      <c r="N5" s="2498" t="s">
        <v>21</v>
      </c>
    </row>
    <row r="6" spans="2:14">
      <c r="B6" s="4908">
        <v>2012</v>
      </c>
      <c r="C6" s="4161">
        <f>C18</f>
        <v>191100</v>
      </c>
      <c r="D6" s="4162">
        <v>0</v>
      </c>
      <c r="E6" s="4162">
        <f>C39</f>
        <v>120400</v>
      </c>
      <c r="F6" s="4162">
        <v>0</v>
      </c>
      <c r="G6" s="4162">
        <v>0</v>
      </c>
      <c r="H6" s="4162">
        <v>0</v>
      </c>
      <c r="I6" s="4162">
        <v>0</v>
      </c>
      <c r="J6" s="4162">
        <v>0</v>
      </c>
      <c r="K6" s="4163">
        <v>0</v>
      </c>
      <c r="L6" s="4163">
        <f>SUM(C6:K6)</f>
        <v>311500</v>
      </c>
      <c r="M6" s="2480">
        <v>8078500</v>
      </c>
      <c r="N6" s="2498" t="s">
        <v>21</v>
      </c>
    </row>
    <row r="7" spans="2:14">
      <c r="B7" s="4909" t="s">
        <v>1168</v>
      </c>
      <c r="C7" s="4161">
        <v>0</v>
      </c>
      <c r="D7" s="4162">
        <v>0</v>
      </c>
      <c r="E7" s="4162">
        <v>0</v>
      </c>
      <c r="F7" s="4162">
        <v>0</v>
      </c>
      <c r="G7" s="4162">
        <v>0</v>
      </c>
      <c r="H7" s="4164">
        <v>0</v>
      </c>
      <c r="I7" s="4165">
        <v>0</v>
      </c>
      <c r="J7" s="4165">
        <v>0</v>
      </c>
      <c r="K7" s="4166">
        <v>0</v>
      </c>
      <c r="L7" s="4163">
        <v>0</v>
      </c>
      <c r="M7" s="2480">
        <v>8078500</v>
      </c>
      <c r="N7" s="2486">
        <v>0</v>
      </c>
    </row>
    <row r="8" spans="2:14" s="4739" customFormat="1" ht="13.5" thickBot="1">
      <c r="B8" s="4905" t="s">
        <v>1316</v>
      </c>
      <c r="C8" s="4902">
        <f>D18</f>
        <v>0</v>
      </c>
      <c r="D8" s="4902">
        <v>0</v>
      </c>
      <c r="E8" s="4902">
        <f>D39</f>
        <v>0</v>
      </c>
      <c r="F8" s="4902">
        <f>D37</f>
        <v>0</v>
      </c>
      <c r="G8" s="4902">
        <f>D27</f>
        <v>0</v>
      </c>
      <c r="H8" s="4910">
        <f>D50</f>
        <v>0</v>
      </c>
      <c r="I8" s="4911">
        <f>D35</f>
        <v>0</v>
      </c>
      <c r="J8" s="4911">
        <f>D29</f>
        <v>0</v>
      </c>
      <c r="K8" s="4903"/>
      <c r="L8" s="4902">
        <f>D52</f>
        <v>0</v>
      </c>
      <c r="M8" s="2493">
        <f>G67</f>
        <v>2148000</v>
      </c>
      <c r="N8" s="4904"/>
    </row>
    <row r="9" spans="2:14" ht="13.5" thickBot="1">
      <c r="B9" s="2447" t="s">
        <v>153</v>
      </c>
      <c r="C9" s="4167">
        <f>SUM(C6:C7)</f>
        <v>191100</v>
      </c>
      <c r="D9" s="4168">
        <v>0</v>
      </c>
      <c r="E9" s="4168">
        <f>SUM(E6:E7)</f>
        <v>120400</v>
      </c>
      <c r="F9" s="4168">
        <v>0</v>
      </c>
      <c r="G9" s="4168">
        <v>0</v>
      </c>
      <c r="H9" s="4168">
        <v>0</v>
      </c>
      <c r="I9" s="4168">
        <v>0</v>
      </c>
      <c r="J9" s="4168">
        <v>0</v>
      </c>
      <c r="K9" s="4169">
        <f>D13</f>
        <v>0</v>
      </c>
      <c r="L9" s="4168">
        <f>SUM(L4:L7)</f>
        <v>311500</v>
      </c>
      <c r="M9" s="2481">
        <f>M6+M8</f>
        <v>10226500</v>
      </c>
      <c r="N9" s="2410"/>
    </row>
    <row r="10" spans="2:14" ht="18">
      <c r="B10" s="2447"/>
      <c r="C10" s="2425"/>
      <c r="D10" s="2425"/>
      <c r="E10" s="2452"/>
      <c r="F10" s="2426"/>
      <c r="G10" s="2426"/>
      <c r="H10" s="2410"/>
      <c r="I10" s="2410"/>
      <c r="J10" s="2410"/>
      <c r="K10" s="2410"/>
      <c r="L10" s="2410"/>
      <c r="M10" s="2410"/>
      <c r="N10" s="2410"/>
    </row>
    <row r="11" spans="2:14" ht="18">
      <c r="B11" s="2427" t="s">
        <v>644</v>
      </c>
      <c r="C11" s="2469">
        <v>2012</v>
      </c>
      <c r="D11" s="2470">
        <v>2013</v>
      </c>
      <c r="E11" s="2470" t="s">
        <v>28</v>
      </c>
      <c r="F11" s="2471"/>
      <c r="G11" s="2449"/>
      <c r="H11" s="2449"/>
      <c r="I11" s="2449"/>
      <c r="J11" s="2410"/>
      <c r="K11" s="2410"/>
      <c r="L11" s="2410"/>
      <c r="M11" s="2410"/>
      <c r="N11" s="2410"/>
    </row>
    <row r="12" spans="2:14" ht="18">
      <c r="B12" s="2467"/>
      <c r="C12" s="2410"/>
      <c r="D12" s="2410"/>
      <c r="E12" s="2410"/>
      <c r="F12" s="2456"/>
      <c r="G12" s="2436"/>
      <c r="H12" s="2436"/>
      <c r="I12" s="3429"/>
      <c r="J12" s="3420"/>
      <c r="K12" s="3420"/>
      <c r="L12" s="2431"/>
      <c r="M12" s="2410"/>
      <c r="N12" s="2410"/>
    </row>
    <row r="13" spans="2:14">
      <c r="B13" s="2421" t="s">
        <v>645</v>
      </c>
      <c r="C13" s="2455">
        <v>0</v>
      </c>
      <c r="D13" s="2490">
        <v>0</v>
      </c>
      <c r="E13" s="2491">
        <v>0</v>
      </c>
      <c r="F13" s="2436"/>
      <c r="G13" s="2436"/>
      <c r="H13" s="2436"/>
      <c r="I13" s="3421"/>
      <c r="J13" s="3422"/>
      <c r="K13" s="3420"/>
      <c r="L13" s="2410"/>
      <c r="M13" s="2410"/>
      <c r="N13" s="2410"/>
    </row>
    <row r="14" spans="2:14" ht="18">
      <c r="B14" s="2428"/>
      <c r="C14" s="2456"/>
      <c r="D14" s="2412"/>
      <c r="E14" s="2457"/>
      <c r="F14" s="2436"/>
      <c r="G14" s="2436"/>
      <c r="H14" s="2436"/>
      <c r="I14" s="3421"/>
      <c r="J14" s="3423"/>
      <c r="K14" s="3420"/>
      <c r="L14" s="2410"/>
      <c r="M14" s="2410"/>
      <c r="N14" s="2410"/>
    </row>
    <row r="15" spans="2:14">
      <c r="B15" s="2421" t="s">
        <v>648</v>
      </c>
      <c r="C15" s="2458"/>
      <c r="D15" s="2412"/>
      <c r="E15" s="2457"/>
      <c r="F15" s="2432"/>
      <c r="G15" s="2432"/>
      <c r="H15" s="2432"/>
      <c r="I15" s="3421"/>
      <c r="J15" s="3423"/>
      <c r="K15" s="3417"/>
      <c r="L15" s="2410"/>
      <c r="M15" s="2410"/>
      <c r="N15" s="2410"/>
    </row>
    <row r="16" spans="2:14">
      <c r="B16" s="2435" t="s">
        <v>650</v>
      </c>
      <c r="C16" s="2514">
        <v>9100</v>
      </c>
      <c r="D16" s="4678"/>
      <c r="E16" s="2472">
        <f>SUM(C16:D16)</f>
        <v>9100</v>
      </c>
      <c r="F16" s="2448">
        <v>0.1</v>
      </c>
      <c r="G16" s="2437" t="s">
        <v>651</v>
      </c>
      <c r="H16" s="2433"/>
      <c r="I16" s="3421"/>
      <c r="J16" s="3419"/>
      <c r="K16" s="3417"/>
      <c r="L16" s="2410"/>
      <c r="M16" s="2410"/>
      <c r="N16" s="2410"/>
    </row>
    <row r="17" spans="2:14">
      <c r="B17" s="3411" t="s">
        <v>1066</v>
      </c>
      <c r="C17" s="3414">
        <v>182000</v>
      </c>
      <c r="D17" s="4679"/>
      <c r="E17" s="3413">
        <f>SUM(C17:D17)</f>
        <v>182000</v>
      </c>
      <c r="F17" s="2448"/>
      <c r="G17" s="2437"/>
      <c r="H17" s="2433"/>
      <c r="I17" s="3421"/>
      <c r="J17" s="3419"/>
      <c r="K17" s="3417"/>
      <c r="L17" s="2410"/>
      <c r="M17" s="2410"/>
      <c r="N17" s="2410"/>
    </row>
    <row r="18" spans="2:14">
      <c r="B18" s="3415" t="s">
        <v>1067</v>
      </c>
      <c r="C18" s="3412">
        <f>SUM(C16:C17)</f>
        <v>191100</v>
      </c>
      <c r="D18" s="4973">
        <f t="shared" ref="D18:E18" si="0">SUM(D16:D17)</f>
        <v>0</v>
      </c>
      <c r="E18" s="4972">
        <f t="shared" si="0"/>
        <v>191100</v>
      </c>
      <c r="F18" s="2448"/>
      <c r="G18" s="2437"/>
      <c r="H18" s="2433"/>
      <c r="I18" s="3421"/>
      <c r="J18" s="3419"/>
      <c r="K18" s="3417"/>
    </row>
    <row r="19" spans="2:14">
      <c r="B19" s="2435"/>
      <c r="C19" s="2459"/>
      <c r="D19" s="2487"/>
      <c r="E19" s="2472"/>
      <c r="F19" s="2448"/>
      <c r="G19" s="2437"/>
      <c r="H19" s="2433"/>
      <c r="I19" s="3421"/>
      <c r="J19" s="3419"/>
      <c r="K19" s="3417"/>
    </row>
    <row r="20" spans="2:14">
      <c r="B20" s="2435"/>
      <c r="C20" s="2459"/>
      <c r="D20" s="2487"/>
      <c r="E20" s="2472"/>
      <c r="F20" s="2448"/>
      <c r="G20" s="2437"/>
      <c r="H20" s="2432"/>
      <c r="I20" s="3421"/>
      <c r="J20" s="3419"/>
      <c r="K20" s="3417"/>
    </row>
    <row r="21" spans="2:14">
      <c r="B21" s="2435"/>
      <c r="C21" s="2460"/>
      <c r="D21" s="2412"/>
      <c r="E21" s="2457"/>
      <c r="F21" s="2433"/>
      <c r="G21" s="2433"/>
      <c r="H21" s="2434"/>
      <c r="I21" s="3421"/>
      <c r="J21" s="3428"/>
      <c r="K21" s="3417"/>
    </row>
    <row r="22" spans="2:14">
      <c r="B22" s="2421" t="s">
        <v>481</v>
      </c>
      <c r="C22" s="2458"/>
      <c r="D22" s="2412"/>
      <c r="E22" s="2457"/>
      <c r="F22" s="2432"/>
      <c r="G22" s="2432"/>
      <c r="H22" s="2432"/>
      <c r="I22" s="3417"/>
      <c r="J22" s="3418"/>
      <c r="K22" s="3417"/>
    </row>
    <row r="23" spans="2:14">
      <c r="B23" s="2410" t="s">
        <v>656</v>
      </c>
      <c r="C23" s="2461">
        <v>0</v>
      </c>
      <c r="D23" s="2487">
        <v>0</v>
      </c>
      <c r="E23" s="2472">
        <v>0</v>
      </c>
      <c r="F23" s="2434"/>
      <c r="G23" s="2434"/>
      <c r="H23" s="2423"/>
      <c r="I23" s="3421"/>
      <c r="J23" s="3433"/>
      <c r="K23" s="3417"/>
    </row>
    <row r="24" spans="2:14">
      <c r="B24" s="2435" t="s">
        <v>657</v>
      </c>
      <c r="C24" s="2462">
        <v>0</v>
      </c>
      <c r="D24" s="2487">
        <v>0</v>
      </c>
      <c r="E24" s="2472">
        <v>0</v>
      </c>
      <c r="F24" s="2410"/>
      <c r="G24" s="2432"/>
      <c r="H24" s="2423"/>
      <c r="I24" s="3426"/>
      <c r="J24" s="3431"/>
      <c r="K24" s="3424"/>
    </row>
    <row r="25" spans="2:14">
      <c r="B25" s="2435" t="s">
        <v>658</v>
      </c>
      <c r="C25" s="2461">
        <v>0</v>
      </c>
      <c r="D25" s="2487">
        <v>0</v>
      </c>
      <c r="E25" s="2472">
        <v>0</v>
      </c>
      <c r="F25" s="2432"/>
      <c r="G25" s="2432"/>
      <c r="H25" s="2423"/>
      <c r="I25" s="3426"/>
      <c r="J25" s="3430"/>
      <c r="K25" s="3427"/>
    </row>
    <row r="26" spans="2:14">
      <c r="B26" s="2435" t="s">
        <v>660</v>
      </c>
      <c r="C26" s="2461">
        <v>0</v>
      </c>
      <c r="D26" s="2487">
        <v>0</v>
      </c>
      <c r="E26" s="2472">
        <v>0</v>
      </c>
      <c r="F26" s="2432"/>
      <c r="G26" s="2432"/>
      <c r="H26" s="2423"/>
      <c r="I26" s="3426"/>
      <c r="J26" s="3430"/>
      <c r="K26" s="3427"/>
    </row>
    <row r="27" spans="2:14">
      <c r="B27" s="2410"/>
      <c r="C27" s="2463">
        <v>0</v>
      </c>
      <c r="D27" s="2444">
        <v>0</v>
      </c>
      <c r="E27" s="2492">
        <v>0</v>
      </c>
      <c r="F27" s="2432"/>
      <c r="G27" s="2432"/>
      <c r="H27" s="2423"/>
      <c r="I27" s="3425"/>
      <c r="J27" s="3432"/>
      <c r="K27" s="3417"/>
    </row>
    <row r="28" spans="2:14">
      <c r="B28" s="2412"/>
      <c r="C28" s="2464"/>
      <c r="D28" s="2412"/>
      <c r="E28" s="2457"/>
      <c r="F28" s="2432"/>
      <c r="G28" s="2432"/>
      <c r="H28" s="2423"/>
      <c r="I28" s="2446"/>
      <c r="J28" s="2450"/>
      <c r="K28" s="2410"/>
    </row>
    <row r="29" spans="2:14">
      <c r="B29" s="2421" t="s">
        <v>649</v>
      </c>
      <c r="C29" s="2463">
        <v>0</v>
      </c>
      <c r="D29" s="2453">
        <v>0</v>
      </c>
      <c r="E29" s="2492">
        <v>0</v>
      </c>
      <c r="F29" s="2432"/>
      <c r="G29" s="2432"/>
      <c r="H29" s="2423"/>
      <c r="I29" s="2436"/>
      <c r="J29" s="2410"/>
      <c r="K29" s="2410"/>
    </row>
    <row r="30" spans="2:14">
      <c r="B30" s="2412"/>
      <c r="C30" s="2464"/>
      <c r="D30" s="2412"/>
      <c r="E30" s="2457"/>
      <c r="F30" s="2432"/>
      <c r="G30" s="2432"/>
      <c r="H30" s="2423"/>
      <c r="I30" s="3466" t="s">
        <v>1074</v>
      </c>
      <c r="J30" s="3465"/>
      <c r="K30" s="3465"/>
      <c r="L30" s="3465"/>
    </row>
    <row r="31" spans="2:14">
      <c r="B31" s="2416" t="s">
        <v>652</v>
      </c>
      <c r="C31" s="2464"/>
      <c r="D31" s="2412"/>
      <c r="E31" s="2457"/>
      <c r="F31" s="2423"/>
      <c r="G31" s="2423"/>
      <c r="H31" s="2423"/>
      <c r="I31" s="3471"/>
      <c r="J31" s="3472" t="s">
        <v>1075</v>
      </c>
      <c r="K31" s="3473">
        <v>1635600</v>
      </c>
      <c r="L31" s="3470"/>
    </row>
    <row r="32" spans="2:14">
      <c r="B32" s="2410" t="s">
        <v>661</v>
      </c>
      <c r="C32" s="2464">
        <v>0</v>
      </c>
      <c r="D32" s="2487">
        <v>0</v>
      </c>
      <c r="E32" s="2472">
        <v>0</v>
      </c>
      <c r="F32" s="2423"/>
      <c r="G32" s="2423"/>
      <c r="H32" s="2423"/>
      <c r="I32" s="3469"/>
      <c r="J32" s="3467" t="s">
        <v>1076</v>
      </c>
      <c r="K32" s="3474">
        <v>2258600</v>
      </c>
      <c r="L32" s="3468"/>
    </row>
    <row r="33" spans="2:12">
      <c r="B33" s="2410" t="s">
        <v>662</v>
      </c>
      <c r="C33" s="2464">
        <v>0</v>
      </c>
      <c r="D33" s="2487">
        <v>0</v>
      </c>
      <c r="E33" s="2472">
        <v>0</v>
      </c>
      <c r="F33" s="2423"/>
      <c r="G33" s="2423"/>
      <c r="H33" s="2423"/>
      <c r="I33" s="3475"/>
      <c r="J33" s="3476"/>
      <c r="K33" s="3477">
        <v>0.1397908027480349</v>
      </c>
      <c r="L33" s="3478" t="s">
        <v>659</v>
      </c>
    </row>
    <row r="34" spans="2:12">
      <c r="B34" s="2412" t="s">
        <v>663</v>
      </c>
      <c r="C34" s="2464">
        <v>0</v>
      </c>
      <c r="D34" s="2487">
        <v>0</v>
      </c>
      <c r="E34" s="2472">
        <v>0</v>
      </c>
      <c r="F34" s="2423"/>
      <c r="G34" s="2423"/>
      <c r="H34" s="2423"/>
      <c r="I34" s="2436"/>
    </row>
    <row r="35" spans="2:12">
      <c r="B35" s="2416" t="s">
        <v>664</v>
      </c>
      <c r="C35" s="2465">
        <v>0</v>
      </c>
      <c r="D35" s="2438">
        <v>0</v>
      </c>
      <c r="E35" s="2492">
        <v>0</v>
      </c>
      <c r="F35" s="2423"/>
      <c r="G35" s="2423"/>
      <c r="H35" s="2423"/>
      <c r="I35" s="2436"/>
    </row>
    <row r="36" spans="2:12">
      <c r="B36" s="2412"/>
      <c r="C36" s="2464"/>
      <c r="D36" s="2412"/>
      <c r="E36" s="2457"/>
      <c r="F36" s="2423"/>
      <c r="G36" s="2423"/>
      <c r="H36" s="2423"/>
      <c r="I36" s="2436"/>
    </row>
    <row r="37" spans="2:12">
      <c r="B37" s="2416" t="s">
        <v>654</v>
      </c>
      <c r="C37" s="2420">
        <v>0</v>
      </c>
      <c r="D37" s="2488">
        <v>0</v>
      </c>
      <c r="E37" s="2492">
        <v>0</v>
      </c>
      <c r="F37" s="2423"/>
      <c r="G37" s="2423"/>
      <c r="H37" s="2423"/>
      <c r="I37" s="2436"/>
    </row>
    <row r="38" spans="2:12">
      <c r="B38" s="2412"/>
      <c r="C38" s="2464"/>
      <c r="D38" s="2412"/>
      <c r="E38" s="2457"/>
      <c r="F38" s="2423"/>
      <c r="G38" s="2422"/>
      <c r="H38" s="2423"/>
      <c r="I38" s="2429"/>
    </row>
    <row r="39" spans="2:12">
      <c r="B39" s="4429" t="s">
        <v>1438</v>
      </c>
      <c r="C39" s="3400">
        <f>ROUND(SUM(C18)*0.63, -2)</f>
        <v>120400</v>
      </c>
      <c r="D39" s="3399">
        <f>ROUND(SUM(D18)*0.707, -2)</f>
        <v>0</v>
      </c>
      <c r="E39" s="3416">
        <f>SUM(C39:D39)</f>
        <v>120400</v>
      </c>
      <c r="F39" s="2423"/>
      <c r="G39" s="2422"/>
      <c r="H39" s="2423"/>
      <c r="I39" s="2429"/>
    </row>
    <row r="40" spans="2:12">
      <c r="B40" s="2412"/>
      <c r="C40" s="2464"/>
      <c r="D40" s="2412"/>
      <c r="E40" s="2457"/>
      <c r="F40" s="2423"/>
      <c r="G40" s="2411"/>
      <c r="H40" s="2423"/>
      <c r="I40" s="2429"/>
    </row>
    <row r="41" spans="2:12">
      <c r="B41" s="2413" t="s">
        <v>14</v>
      </c>
      <c r="C41" s="2464"/>
      <c r="D41" s="2412"/>
      <c r="E41" s="2457"/>
      <c r="F41" s="2423"/>
      <c r="G41" s="2411"/>
      <c r="H41" s="2423"/>
      <c r="I41" s="2429"/>
    </row>
    <row r="42" spans="2:12">
      <c r="B42" s="2410"/>
      <c r="C42" s="2461">
        <v>0</v>
      </c>
      <c r="D42" s="2487">
        <v>0</v>
      </c>
      <c r="E42" s="2472">
        <v>0</v>
      </c>
      <c r="F42" s="2423"/>
      <c r="G42" s="2411"/>
      <c r="H42" s="2423"/>
      <c r="I42" s="2429"/>
    </row>
    <row r="43" spans="2:12">
      <c r="B43" s="2443"/>
      <c r="C43" s="2461">
        <v>0</v>
      </c>
      <c r="D43" s="2487">
        <v>0</v>
      </c>
      <c r="E43" s="2472">
        <v>0</v>
      </c>
      <c r="F43" s="2423"/>
      <c r="G43" s="2411"/>
      <c r="H43" s="2423"/>
      <c r="I43" s="2429"/>
    </row>
    <row r="44" spans="2:12">
      <c r="B44" s="2443"/>
      <c r="C44" s="2461"/>
      <c r="D44" s="2487">
        <v>0</v>
      </c>
      <c r="E44" s="2472">
        <v>0</v>
      </c>
      <c r="F44" s="2423"/>
      <c r="G44" s="2411"/>
      <c r="H44" s="2423"/>
      <c r="I44" s="2429"/>
    </row>
    <row r="45" spans="2:12">
      <c r="B45" s="2443"/>
      <c r="C45" s="2461"/>
      <c r="D45" s="2487">
        <v>0</v>
      </c>
      <c r="E45" s="2472">
        <v>0</v>
      </c>
      <c r="F45" s="2423"/>
      <c r="G45" s="2411"/>
      <c r="H45" s="2423"/>
      <c r="I45" s="2429"/>
    </row>
    <row r="46" spans="2:12">
      <c r="B46" s="2443"/>
      <c r="C46" s="2461"/>
      <c r="D46" s="2487">
        <v>0</v>
      </c>
      <c r="E46" s="2472">
        <v>0</v>
      </c>
      <c r="F46" s="2423"/>
      <c r="G46" s="2411"/>
      <c r="H46" s="2423"/>
      <c r="I46" s="2429"/>
    </row>
    <row r="47" spans="2:12">
      <c r="B47" s="2443"/>
      <c r="C47" s="2461"/>
      <c r="D47" s="2487">
        <v>0</v>
      </c>
      <c r="E47" s="2472">
        <v>0</v>
      </c>
      <c r="F47" s="2423"/>
      <c r="G47" s="2411"/>
      <c r="H47" s="2423"/>
      <c r="I47" s="2429"/>
    </row>
    <row r="48" spans="2:12">
      <c r="B48" s="2443"/>
      <c r="C48" s="2461"/>
      <c r="D48" s="2487">
        <v>0</v>
      </c>
      <c r="E48" s="2472">
        <v>0</v>
      </c>
      <c r="F48" s="2423"/>
      <c r="G48" s="2422"/>
      <c r="H48" s="2423"/>
      <c r="I48" s="2429"/>
    </row>
    <row r="49" spans="2:10">
      <c r="B49" s="2443"/>
      <c r="C49" s="2461"/>
      <c r="D49" s="2487">
        <v>0</v>
      </c>
      <c r="E49" s="2472">
        <v>0</v>
      </c>
      <c r="F49" s="2423"/>
      <c r="G49" s="2422"/>
      <c r="H49" s="2423"/>
      <c r="I49" s="2429"/>
    </row>
    <row r="50" spans="2:10">
      <c r="B50" s="2441"/>
      <c r="C50" s="2463"/>
      <c r="D50" s="2463">
        <v>0</v>
      </c>
      <c r="E50" s="2492">
        <v>0</v>
      </c>
      <c r="F50" s="2423"/>
      <c r="G50" s="2422"/>
      <c r="H50" s="2423"/>
      <c r="I50" s="2429"/>
      <c r="J50" s="2410"/>
    </row>
    <row r="51" spans="2:10" ht="13.5" thickBot="1">
      <c r="B51" s="2430"/>
      <c r="C51" s="2461"/>
      <c r="D51" s="2412"/>
      <c r="E51" s="2457"/>
      <c r="F51" s="2423"/>
      <c r="G51" s="2422"/>
      <c r="H51" s="2439"/>
      <c r="I51" s="2440"/>
      <c r="J51" s="2414"/>
    </row>
    <row r="52" spans="2:10" ht="13.5" thickBot="1">
      <c r="B52" s="2441" t="s">
        <v>673</v>
      </c>
      <c r="C52" s="2466">
        <f>C13+C18+C27+C29+C35+C37+C39+C50</f>
        <v>311500</v>
      </c>
      <c r="D52" s="2466">
        <f t="shared" ref="D52:E52" si="1">D13+D18+D27+D29+D35+D37+D39+D50</f>
        <v>0</v>
      </c>
      <c r="E52" s="2466">
        <f t="shared" si="1"/>
        <v>311500</v>
      </c>
      <c r="F52" s="2423"/>
      <c r="G52" s="2422"/>
      <c r="H52" s="2442"/>
      <c r="I52" s="2442"/>
      <c r="J52" s="2414"/>
    </row>
    <row r="53" spans="2:10">
      <c r="B53" s="2414"/>
      <c r="C53" s="2494"/>
      <c r="D53" s="2415"/>
      <c r="E53" s="2415"/>
      <c r="F53" s="2423"/>
      <c r="G53" s="2422"/>
      <c r="H53" s="2442"/>
      <c r="I53" s="2442"/>
      <c r="J53" s="2414"/>
    </row>
    <row r="54" spans="2:10">
      <c r="B54" s="2416" t="s">
        <v>674</v>
      </c>
      <c r="C54" s="2473">
        <v>2012</v>
      </c>
      <c r="D54" s="2473">
        <v>2013</v>
      </c>
      <c r="E54" s="2473" t="s">
        <v>28</v>
      </c>
      <c r="F54" s="2423"/>
      <c r="G54" s="4669" t="s">
        <v>1318</v>
      </c>
      <c r="H54" s="2442"/>
      <c r="I54" s="2442"/>
      <c r="J54" s="2414"/>
    </row>
    <row r="55" spans="2:10">
      <c r="B55" s="2499" t="s">
        <v>953</v>
      </c>
      <c r="C55" s="2410"/>
      <c r="D55" s="2410"/>
      <c r="E55" s="2410"/>
      <c r="F55" s="2410"/>
      <c r="G55" s="4662"/>
      <c r="H55" s="2442"/>
      <c r="I55" s="2442"/>
      <c r="J55" s="2414"/>
    </row>
    <row r="56" spans="2:10">
      <c r="B56" s="2500" t="s">
        <v>954</v>
      </c>
      <c r="C56" s="2495">
        <v>28000</v>
      </c>
      <c r="D56" s="4628">
        <v>0</v>
      </c>
      <c r="E56" s="2493">
        <f>C56+D56</f>
        <v>28000</v>
      </c>
      <c r="F56" s="2439" t="s">
        <v>675</v>
      </c>
      <c r="G56" s="4662"/>
      <c r="H56" s="2442"/>
      <c r="I56" s="2442"/>
      <c r="J56" s="2414"/>
    </row>
    <row r="57" spans="2:10">
      <c r="B57" s="2500" t="s">
        <v>955</v>
      </c>
      <c r="C57" s="2495">
        <v>1500</v>
      </c>
      <c r="D57" s="4628">
        <v>0</v>
      </c>
      <c r="E57" s="2493">
        <f t="shared" ref="E57:E66" si="2">C57+D57</f>
        <v>1500</v>
      </c>
      <c r="F57" s="2439" t="s">
        <v>675</v>
      </c>
      <c r="G57" s="4655"/>
      <c r="H57" s="2442"/>
      <c r="I57" s="2442"/>
      <c r="J57" s="2414"/>
    </row>
    <row r="58" spans="2:10">
      <c r="B58" s="2500" t="s">
        <v>956</v>
      </c>
      <c r="C58" s="2495">
        <v>14000</v>
      </c>
      <c r="D58" s="4628">
        <v>0</v>
      </c>
      <c r="E58" s="2493">
        <f t="shared" si="2"/>
        <v>14000</v>
      </c>
      <c r="F58" s="2439" t="s">
        <v>675</v>
      </c>
      <c r="G58" s="4661"/>
      <c r="H58" s="2442"/>
      <c r="I58" s="2442"/>
      <c r="J58" s="2414"/>
    </row>
    <row r="59" spans="2:10">
      <c r="B59" s="2500" t="s">
        <v>957</v>
      </c>
      <c r="C59" s="2495">
        <v>12000</v>
      </c>
      <c r="D59" s="4628">
        <v>0</v>
      </c>
      <c r="E59" s="2493">
        <f t="shared" si="2"/>
        <v>12000</v>
      </c>
      <c r="F59" s="2439" t="s">
        <v>675</v>
      </c>
      <c r="G59" s="4661"/>
      <c r="H59" s="2442"/>
      <c r="I59" s="2442"/>
      <c r="J59" s="2414"/>
    </row>
    <row r="60" spans="2:10">
      <c r="B60" s="2500" t="s">
        <v>958</v>
      </c>
      <c r="C60" s="2495">
        <v>500</v>
      </c>
      <c r="D60" s="4628">
        <v>0</v>
      </c>
      <c r="E60" s="2493">
        <f t="shared" si="2"/>
        <v>500</v>
      </c>
      <c r="F60" s="2439" t="s">
        <v>675</v>
      </c>
      <c r="G60" s="4655"/>
      <c r="H60" s="2442"/>
      <c r="I60" s="2442"/>
      <c r="J60" s="2414"/>
    </row>
    <row r="61" spans="2:10">
      <c r="B61" s="2500" t="s">
        <v>959</v>
      </c>
      <c r="C61" s="2495">
        <v>0</v>
      </c>
      <c r="D61" s="2493">
        <v>0</v>
      </c>
      <c r="E61" s="2493">
        <f t="shared" si="2"/>
        <v>0</v>
      </c>
      <c r="F61" s="2439" t="s">
        <v>675</v>
      </c>
      <c r="G61" s="4663"/>
      <c r="H61" s="2442"/>
      <c r="I61" s="2442"/>
      <c r="J61" s="2414"/>
    </row>
    <row r="62" spans="2:10">
      <c r="B62" s="2500" t="s">
        <v>960</v>
      </c>
      <c r="C62" s="2495">
        <v>17500</v>
      </c>
      <c r="D62" s="4628">
        <v>35000</v>
      </c>
      <c r="E62" s="2493">
        <f t="shared" si="2"/>
        <v>52500</v>
      </c>
      <c r="F62" s="2439" t="s">
        <v>675</v>
      </c>
      <c r="G62" s="4681">
        <v>35000</v>
      </c>
      <c r="H62" s="2442"/>
      <c r="I62" s="2442"/>
      <c r="J62" s="2414"/>
    </row>
    <row r="63" spans="2:10">
      <c r="B63" s="2500" t="s">
        <v>961</v>
      </c>
      <c r="C63" s="2495">
        <v>19000</v>
      </c>
      <c r="D63" s="4628">
        <v>38000</v>
      </c>
      <c r="E63" s="2493">
        <f t="shared" si="2"/>
        <v>57000</v>
      </c>
      <c r="F63" s="2439" t="s">
        <v>675</v>
      </c>
      <c r="G63" s="4681">
        <v>38000</v>
      </c>
      <c r="H63" s="2439"/>
      <c r="I63" s="2442"/>
      <c r="J63" s="2414"/>
    </row>
    <row r="64" spans="2:10">
      <c r="B64" s="2499" t="s">
        <v>962</v>
      </c>
      <c r="C64" s="2495"/>
      <c r="D64" s="2493"/>
      <c r="E64" s="2493">
        <f t="shared" si="2"/>
        <v>0</v>
      </c>
      <c r="F64" s="2439" t="s">
        <v>675</v>
      </c>
      <c r="G64" s="4682"/>
      <c r="H64" s="2439"/>
      <c r="I64" s="2440"/>
      <c r="J64" s="2414"/>
    </row>
    <row r="65" spans="2:10">
      <c r="B65" s="2500" t="s">
        <v>963</v>
      </c>
      <c r="C65" s="2512">
        <v>850000</v>
      </c>
      <c r="D65" s="4628">
        <v>425000</v>
      </c>
      <c r="E65" s="2493">
        <f t="shared" si="2"/>
        <v>1275000</v>
      </c>
      <c r="F65" s="2496" t="s">
        <v>675</v>
      </c>
      <c r="G65" s="4681">
        <v>425000</v>
      </c>
      <c r="H65" s="2439"/>
      <c r="I65" s="2440"/>
      <c r="J65" s="2414"/>
    </row>
    <row r="66" spans="2:10">
      <c r="B66" s="2500" t="s">
        <v>964</v>
      </c>
      <c r="C66" s="2512">
        <v>7136000</v>
      </c>
      <c r="D66" s="4628">
        <v>1650000</v>
      </c>
      <c r="E66" s="2493">
        <f t="shared" si="2"/>
        <v>8786000</v>
      </c>
      <c r="F66" s="2496" t="s">
        <v>675</v>
      </c>
      <c r="G66" s="4681">
        <v>1650000</v>
      </c>
      <c r="H66" s="2439"/>
      <c r="I66" s="2440"/>
      <c r="J66" s="2414"/>
    </row>
    <row r="67" spans="2:10">
      <c r="B67" s="2497" t="s">
        <v>114</v>
      </c>
      <c r="C67" s="2513">
        <f>SUM(C56:C66)</f>
        <v>8078500</v>
      </c>
      <c r="D67" s="2513">
        <f t="shared" ref="D67" si="3">SUM(D56:D66)</f>
        <v>2148000</v>
      </c>
      <c r="E67" s="2513">
        <f>SUM(E56:E66)</f>
        <v>10226500</v>
      </c>
      <c r="F67" s="2442" t="s">
        <v>675</v>
      </c>
      <c r="G67" s="4680">
        <f>SUM(G62:G66)</f>
        <v>2148000</v>
      </c>
      <c r="H67" s="2439"/>
      <c r="I67" s="2440"/>
      <c r="J67" s="2414"/>
    </row>
    <row r="68" spans="2:10">
      <c r="B68" s="2410"/>
      <c r="C68" s="2439"/>
      <c r="D68" s="2410"/>
      <c r="E68" s="2410"/>
      <c r="F68" s="2442"/>
      <c r="H68" s="2439"/>
      <c r="I68" s="2440"/>
      <c r="J68" s="2414"/>
    </row>
    <row r="69" spans="2:10">
      <c r="B69" s="2451" t="s">
        <v>680</v>
      </c>
      <c r="C69" s="2489">
        <v>0.5</v>
      </c>
      <c r="D69" s="2489">
        <v>0.5</v>
      </c>
      <c r="E69" s="2410"/>
      <c r="F69" s="2442"/>
      <c r="G69" s="2442"/>
    </row>
    <row r="70" spans="2:10">
      <c r="B70" s="2410"/>
      <c r="C70" s="2442"/>
      <c r="D70" s="2410"/>
      <c r="E70" s="2410"/>
      <c r="F70" s="2439"/>
      <c r="G70" s="2442"/>
    </row>
    <row r="71" spans="2:10">
      <c r="G71" s="2442"/>
    </row>
    <row r="72" spans="2:10">
      <c r="G72" s="2442"/>
      <c r="H72" s="2410"/>
      <c r="I72" s="2410"/>
      <c r="J72" s="2410"/>
    </row>
    <row r="73" spans="2:10">
      <c r="G73" s="2442"/>
    </row>
    <row r="74" spans="2:10" ht="20.25">
      <c r="B74" s="2424" t="s">
        <v>681</v>
      </c>
      <c r="C74" s="2410"/>
      <c r="D74" s="2410"/>
      <c r="E74" s="2410"/>
      <c r="F74" s="2410"/>
    </row>
    <row r="77" spans="2:10">
      <c r="G77" s="2410"/>
    </row>
    <row r="86" spans="2:5">
      <c r="B86" s="5146"/>
      <c r="C86" s="5146"/>
      <c r="D86" s="5146"/>
      <c r="E86" s="5146"/>
    </row>
    <row r="94" spans="2:5">
      <c r="B94" s="5146"/>
      <c r="C94" s="5146"/>
      <c r="D94" s="5146"/>
      <c r="E94" s="5146"/>
    </row>
    <row r="95" spans="2:5">
      <c r="B95" s="5146"/>
      <c r="C95" s="5146"/>
      <c r="D95" s="5146"/>
      <c r="E95" s="2410"/>
    </row>
    <row r="96" spans="2:5">
      <c r="B96" s="5146"/>
      <c r="C96" s="5146"/>
      <c r="D96" s="5146"/>
      <c r="E96" s="2410"/>
    </row>
    <row r="97" spans="2:10">
      <c r="B97" s="5146"/>
      <c r="C97" s="5146"/>
      <c r="D97" s="5146"/>
      <c r="E97" s="2410"/>
    </row>
    <row r="98" spans="2:10">
      <c r="B98" s="5146"/>
      <c r="C98" s="5146"/>
      <c r="D98" s="5146"/>
      <c r="E98" s="2410"/>
      <c r="H98" s="2410"/>
      <c r="I98" s="2410"/>
      <c r="J98" s="2410"/>
    </row>
    <row r="99" spans="2:10">
      <c r="B99" s="5146"/>
      <c r="C99" s="5146"/>
      <c r="D99" s="5146"/>
      <c r="E99" s="2410"/>
    </row>
    <row r="100" spans="2:10">
      <c r="B100" s="5146"/>
      <c r="C100" s="5146"/>
      <c r="D100" s="5146"/>
      <c r="E100" s="2410"/>
      <c r="F100" s="2410"/>
    </row>
    <row r="103" spans="2:10">
      <c r="G103" s="2410"/>
    </row>
    <row r="105" spans="2:10">
      <c r="H105" s="2431"/>
      <c r="I105" s="2431"/>
      <c r="J105" s="2431"/>
    </row>
    <row r="106" spans="2:10">
      <c r="H106" s="2431"/>
      <c r="I106" s="2431"/>
      <c r="J106" s="2431"/>
    </row>
    <row r="107" spans="2:10">
      <c r="B107" s="2414"/>
      <c r="C107" s="2431"/>
      <c r="D107" s="2431"/>
      <c r="E107" s="2431"/>
      <c r="F107" s="2431"/>
      <c r="H107" s="2431"/>
      <c r="I107" s="2431"/>
      <c r="J107" s="2431"/>
    </row>
    <row r="108" spans="2:10">
      <c r="B108" s="2414"/>
      <c r="C108" s="2431"/>
      <c r="D108" s="2431"/>
      <c r="E108" s="2431"/>
      <c r="F108" s="2431"/>
      <c r="H108" s="2431"/>
      <c r="I108" s="2431"/>
      <c r="J108" s="2431"/>
    </row>
    <row r="109" spans="2:10">
      <c r="B109" s="2414"/>
      <c r="C109" s="2431"/>
      <c r="D109" s="2431"/>
      <c r="E109" s="2431"/>
      <c r="F109" s="2431"/>
      <c r="H109" s="2431"/>
      <c r="I109" s="2431"/>
      <c r="J109" s="2431"/>
    </row>
    <row r="110" spans="2:10">
      <c r="B110" s="2414"/>
      <c r="C110" s="2431"/>
      <c r="D110" s="2431"/>
      <c r="E110" s="2431"/>
      <c r="F110" s="2431"/>
      <c r="G110" s="2431"/>
      <c r="H110" s="2431"/>
      <c r="I110" s="2431"/>
      <c r="J110" s="2431"/>
    </row>
    <row r="111" spans="2:10">
      <c r="B111" s="2414"/>
      <c r="C111" s="2431"/>
      <c r="D111" s="2431"/>
      <c r="E111" s="2431"/>
      <c r="F111" s="2431"/>
      <c r="G111" s="2431"/>
      <c r="H111" s="2431"/>
      <c r="I111" s="2431"/>
      <c r="J111" s="2431"/>
    </row>
    <row r="112" spans="2:10">
      <c r="B112" s="2414"/>
      <c r="C112" s="2431"/>
      <c r="D112" s="2431"/>
      <c r="E112" s="2431"/>
      <c r="F112" s="2431"/>
      <c r="G112" s="2431"/>
      <c r="H112" s="2431"/>
      <c r="I112" s="2431"/>
      <c r="J112" s="2431"/>
    </row>
    <row r="113" spans="2:10">
      <c r="B113" s="2414"/>
      <c r="C113" s="2431"/>
      <c r="D113" s="2431"/>
      <c r="E113" s="2431"/>
      <c r="F113" s="2431"/>
      <c r="G113" s="2431"/>
      <c r="H113" s="2431"/>
      <c r="I113" s="2431"/>
      <c r="J113" s="2431"/>
    </row>
    <row r="114" spans="2:10">
      <c r="B114" s="2414"/>
      <c r="C114" s="2431"/>
      <c r="D114" s="2431"/>
      <c r="E114" s="2431"/>
      <c r="F114" s="2431"/>
      <c r="G114" s="2431"/>
      <c r="H114" s="2431"/>
      <c r="I114" s="2431"/>
      <c r="J114" s="2431"/>
    </row>
    <row r="115" spans="2:10">
      <c r="B115" s="2414"/>
      <c r="C115" s="2431"/>
      <c r="D115" s="2431"/>
      <c r="E115" s="2431"/>
      <c r="F115" s="2431"/>
      <c r="G115" s="2431"/>
      <c r="H115" s="3406"/>
      <c r="I115" s="3407"/>
      <c r="J115" s="2431"/>
    </row>
    <row r="116" spans="2:10">
      <c r="B116" s="2414"/>
      <c r="C116" s="2431"/>
      <c r="D116" s="2431"/>
      <c r="E116" s="2431"/>
      <c r="F116" s="2431"/>
      <c r="G116" s="2431"/>
      <c r="H116" s="3409"/>
      <c r="I116" s="3410"/>
      <c r="J116" s="2431"/>
    </row>
    <row r="117" spans="2:10">
      <c r="B117" s="2501"/>
      <c r="C117" s="2502"/>
      <c r="D117" s="2503"/>
      <c r="E117" s="2502"/>
      <c r="F117" s="2503"/>
      <c r="G117" s="2431"/>
      <c r="H117" s="3403"/>
      <c r="I117" s="3404"/>
      <c r="J117" s="2431"/>
    </row>
    <row r="118" spans="2:10">
      <c r="B118" s="2504"/>
      <c r="C118" s="2505"/>
      <c r="D118" s="2505"/>
      <c r="E118" s="2505"/>
      <c r="F118" s="2505"/>
      <c r="G118" s="2431"/>
      <c r="H118" s="3403"/>
      <c r="I118" s="3404"/>
      <c r="J118" s="2431"/>
    </row>
    <row r="119" spans="2:10">
      <c r="B119" s="2506"/>
      <c r="C119" s="2507"/>
      <c r="D119" s="2508"/>
      <c r="E119" s="2507"/>
      <c r="F119" s="2508"/>
      <c r="G119" s="2431"/>
      <c r="H119" s="3403"/>
      <c r="I119" s="3404"/>
      <c r="J119" s="2431"/>
    </row>
    <row r="120" spans="2:10">
      <c r="B120" s="2506"/>
      <c r="C120" s="2507"/>
      <c r="D120" s="2508"/>
      <c r="E120" s="2507"/>
      <c r="F120" s="2508"/>
      <c r="G120" s="3405"/>
      <c r="H120" s="3403"/>
      <c r="I120" s="3404"/>
      <c r="J120" s="2431"/>
    </row>
    <row r="121" spans="2:10">
      <c r="B121" s="2509"/>
      <c r="C121" s="2510"/>
      <c r="D121" s="2511"/>
      <c r="E121" s="2510"/>
      <c r="F121" s="2511"/>
      <c r="G121" s="3408"/>
      <c r="H121" s="2431"/>
      <c r="I121" s="2431"/>
      <c r="J121" s="2431"/>
    </row>
    <row r="122" spans="2:10">
      <c r="B122" s="2506"/>
      <c r="C122" s="2507"/>
      <c r="D122" s="2508"/>
      <c r="E122" s="2507"/>
      <c r="F122" s="2508"/>
      <c r="G122" s="3402"/>
      <c r="H122" s="2431"/>
      <c r="I122" s="2431"/>
      <c r="J122" s="2431"/>
    </row>
    <row r="123" spans="2:10">
      <c r="B123" s="2414"/>
      <c r="C123" s="2431"/>
      <c r="D123" s="2431"/>
      <c r="E123" s="2431"/>
      <c r="F123" s="2431"/>
      <c r="G123" s="3402"/>
      <c r="H123" s="2431"/>
      <c r="I123" s="2431"/>
      <c r="J123" s="2431"/>
    </row>
    <row r="124" spans="2:10">
      <c r="B124" s="2414"/>
      <c r="C124" s="2431"/>
      <c r="D124" s="2431"/>
      <c r="E124" s="2431"/>
      <c r="F124" s="2431"/>
      <c r="G124" s="3402"/>
      <c r="H124" s="2431"/>
      <c r="I124" s="2431"/>
      <c r="J124" s="2431"/>
    </row>
    <row r="125" spans="2:10">
      <c r="B125" s="2414"/>
      <c r="C125" s="2431"/>
      <c r="D125" s="2431"/>
      <c r="E125" s="2431"/>
      <c r="F125" s="2431"/>
      <c r="G125" s="3402"/>
      <c r="H125" s="2431"/>
      <c r="I125" s="2431"/>
      <c r="J125" s="2431"/>
    </row>
    <row r="126" spans="2:10">
      <c r="B126" s="2414"/>
      <c r="C126" s="2431"/>
      <c r="D126" s="2431"/>
      <c r="E126" s="2431"/>
      <c r="F126" s="2431"/>
      <c r="G126" s="2431"/>
      <c r="H126" s="2431"/>
      <c r="I126" s="2431"/>
      <c r="J126" s="2431"/>
    </row>
    <row r="127" spans="2:10">
      <c r="B127" s="2414"/>
      <c r="C127" s="2431"/>
      <c r="D127" s="2431"/>
      <c r="E127" s="2431"/>
      <c r="F127" s="2431"/>
      <c r="G127" s="2431"/>
      <c r="H127" s="2431"/>
      <c r="I127" s="2431"/>
      <c r="J127" s="2431"/>
    </row>
    <row r="128" spans="2:10">
      <c r="B128" s="2414"/>
      <c r="C128" s="2431"/>
      <c r="D128" s="2431"/>
      <c r="E128" s="2431"/>
      <c r="F128" s="2431"/>
      <c r="G128" s="2431"/>
      <c r="H128" s="2431"/>
      <c r="I128" s="2431"/>
      <c r="J128" s="2431"/>
    </row>
    <row r="129" spans="2:10">
      <c r="B129" s="2414"/>
      <c r="C129" s="2431"/>
      <c r="D129" s="2431"/>
      <c r="E129" s="2431"/>
      <c r="F129" s="2431"/>
      <c r="G129" s="2431"/>
      <c r="H129" s="2431"/>
      <c r="I129" s="2431"/>
      <c r="J129" s="2431"/>
    </row>
    <row r="130" spans="2:10">
      <c r="B130" s="2414"/>
      <c r="C130" s="2431"/>
      <c r="D130" s="2431"/>
      <c r="E130" s="2431"/>
      <c r="F130" s="2431"/>
      <c r="G130" s="2431"/>
      <c r="H130" s="2431"/>
      <c r="I130" s="2431"/>
      <c r="J130" s="2431"/>
    </row>
    <row r="131" spans="2:10">
      <c r="B131" s="2414"/>
      <c r="C131" s="2431"/>
      <c r="D131" s="2431"/>
      <c r="E131" s="2431"/>
      <c r="F131" s="2431"/>
      <c r="G131" s="2431"/>
      <c r="H131" s="2431"/>
      <c r="I131" s="2431"/>
      <c r="J131" s="2431"/>
    </row>
    <row r="132" spans="2:10">
      <c r="B132" s="2414"/>
      <c r="C132" s="2431"/>
      <c r="D132" s="2431"/>
      <c r="E132" s="2431"/>
      <c r="F132" s="2431"/>
      <c r="G132" s="2431"/>
      <c r="H132" s="2431"/>
      <c r="I132" s="2431"/>
      <c r="J132" s="2431"/>
    </row>
    <row r="133" spans="2:10">
      <c r="B133" s="2414"/>
      <c r="C133" s="2431"/>
      <c r="D133" s="2431"/>
      <c r="E133" s="2431"/>
      <c r="F133" s="2431"/>
      <c r="G133" s="2431"/>
    </row>
    <row r="134" spans="2:10">
      <c r="B134" s="2414"/>
      <c r="C134" s="2431"/>
      <c r="D134" s="2431"/>
      <c r="E134" s="2431"/>
      <c r="F134" s="2431"/>
      <c r="G134" s="2431"/>
    </row>
    <row r="135" spans="2:10">
      <c r="G135" s="2431"/>
    </row>
    <row r="136" spans="2:10">
      <c r="G136" s="2431"/>
    </row>
    <row r="137" spans="2:10">
      <c r="G137" s="2431"/>
    </row>
  </sheetData>
  <sheetProtection password="9E1F" sheet="1" objects="1" scenarios="1"/>
  <customSheetViews>
    <customSheetView guid="{074EB09C-6289-46D7-9513-012B68BCA7BF}">
      <pane xSplit="1" ySplit="1" topLeftCell="B2" activePane="bottomRight" state="frozen"/>
      <selection pane="bottomRight" activeCell="B2" sqref="B2"/>
      <pageMargins left="0.7" right="0.24" top="0.38" bottom="0.75" header="0.3" footer="0.3"/>
      <pageSetup paperSize="17" scale="60" orientation="landscape" r:id="rId1"/>
    </customSheetView>
    <customSheetView guid="{AF9F1D33-B8C2-423F-86A1-47612B8F532C}">
      <pane xSplit="1" ySplit="1" topLeftCell="B8" activePane="bottomRight" state="frozenSplit"/>
      <selection pane="bottomRight" activeCell="B38" sqref="B38"/>
      <pageMargins left="0.7" right="0.7" top="0.75" bottom="0.75" header="0.3" footer="0.3"/>
      <pageSetup paperSize="17" scale="60" orientation="landscape"/>
    </customSheetView>
  </customSheetViews>
  <mergeCells count="8">
    <mergeCell ref="B86:E86"/>
    <mergeCell ref="B94:E94"/>
    <mergeCell ref="B95:D95"/>
    <mergeCell ref="B100:D100"/>
    <mergeCell ref="B96:D96"/>
    <mergeCell ref="B97:D97"/>
    <mergeCell ref="B98:D98"/>
    <mergeCell ref="B99:D99"/>
  </mergeCells>
  <pageMargins left="0.7" right="0.24" top="0.38" bottom="0.75" header="0.3" footer="0.3"/>
  <pageSetup paperSize="17" scale="60" orientation="landscape" r:id="rId2"/>
  <drawing r:id="rId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sheetPr enableFormatConditionsCalculation="0">
    <tabColor rgb="FFFF0000"/>
  </sheetPr>
  <dimension ref="A1"/>
  <sheetViews>
    <sheetView topLeftCell="A42" workbookViewId="0">
      <selection activeCell="K42" sqref="K42"/>
    </sheetView>
  </sheetViews>
  <sheetFormatPr defaultColWidth="8.85546875" defaultRowHeight="12.75"/>
  <sheetData>
    <row r="1" spans="1:1">
      <c r="A1" t="s">
        <v>1</v>
      </c>
    </row>
  </sheetData>
  <customSheetViews>
    <customSheetView guid="{074EB09C-6289-46D7-9513-012B68BCA7BF}">
      <selection activeCell="K69" sqref="K69"/>
      <pageMargins left="0.7" right="0.7" top="0.75" bottom="0.75" header="0.3" footer="0.3"/>
      <pageSetup orientation="portrait" r:id="rId1"/>
    </customSheetView>
    <customSheetView guid="{AF9F1D33-B8C2-423F-86A1-47612B8F532C}">
      <selection activeCell="I41" sqref="I41"/>
      <pageMargins left="0.7" right="0.7" top="0.75" bottom="0.75" header="0.3" footer="0.3"/>
      <pageSetup orientation="portrait"/>
    </customSheetView>
  </customSheetView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X113"/>
  <sheetViews>
    <sheetView zoomScaleNormal="100" workbookViewId="0">
      <pane xSplit="1" ySplit="1" topLeftCell="B2" activePane="bottomRight" state="frozen"/>
      <selection pane="topRight" activeCell="B1" sqref="B1"/>
      <selection pane="bottomLeft" activeCell="A2" sqref="A2"/>
      <selection pane="bottomRight" activeCell="I7" sqref="I7"/>
    </sheetView>
  </sheetViews>
  <sheetFormatPr defaultColWidth="8.85546875" defaultRowHeight="12.75"/>
  <cols>
    <col min="1" max="1" width="16.140625" style="3064" customWidth="1"/>
    <col min="2" max="2" width="19.7109375" customWidth="1"/>
    <col min="3" max="3" width="20.28515625" customWidth="1"/>
    <col min="4" max="4" width="14" customWidth="1"/>
    <col min="5" max="5" width="13.140625" customWidth="1"/>
    <col min="6" max="6" width="14.85546875" customWidth="1"/>
    <col min="7" max="7" width="15" customWidth="1"/>
    <col min="8" max="8" width="13.42578125" customWidth="1"/>
    <col min="9" max="10" width="12.7109375" customWidth="1"/>
    <col min="11" max="11" width="16.42578125" customWidth="1"/>
    <col min="12" max="12" width="14.42578125" customWidth="1"/>
    <col min="13" max="16" width="12.7109375" customWidth="1"/>
    <col min="17" max="18" width="13" customWidth="1"/>
    <col min="22" max="22" width="10.42578125" customWidth="1"/>
  </cols>
  <sheetData>
    <row r="1" spans="1:22" ht="42" customHeight="1" thickBot="1">
      <c r="B1" s="3461"/>
      <c r="C1" s="1350"/>
      <c r="D1" s="1350"/>
      <c r="E1" s="1350"/>
      <c r="F1" s="1360"/>
      <c r="G1" s="1360">
        <v>18230610</v>
      </c>
      <c r="H1" s="1360" t="s">
        <v>791</v>
      </c>
      <c r="I1" s="1360"/>
      <c r="J1" s="1350"/>
      <c r="K1" s="1350"/>
      <c r="L1" s="1350"/>
      <c r="M1" s="1350"/>
      <c r="N1" s="1350"/>
      <c r="O1" s="1350"/>
      <c r="P1" s="1350"/>
      <c r="Q1" s="1350"/>
      <c r="R1" s="1350"/>
      <c r="S1" s="1350"/>
      <c r="T1" s="1350"/>
      <c r="U1" s="1350"/>
      <c r="V1" s="1350"/>
    </row>
    <row r="2" spans="1:22" ht="16.5" thickBot="1">
      <c r="B2" s="1360" t="s">
        <v>109</v>
      </c>
      <c r="C2" s="3310" t="s">
        <v>792</v>
      </c>
      <c r="D2" s="4158" t="s">
        <v>1373</v>
      </c>
      <c r="E2" s="4975"/>
      <c r="F2" s="1350"/>
      <c r="G2" s="1362" t="s">
        <v>8</v>
      </c>
      <c r="H2" s="1350"/>
      <c r="I2" s="1350"/>
      <c r="J2" s="1350"/>
      <c r="K2" s="1350"/>
      <c r="L2" s="1350"/>
      <c r="M2" s="1350"/>
      <c r="N2" s="1350"/>
      <c r="O2" s="1350"/>
      <c r="P2" s="1350"/>
      <c r="Q2" s="5152" t="s">
        <v>556</v>
      </c>
      <c r="R2" s="5152"/>
      <c r="S2" s="5153" t="s">
        <v>110</v>
      </c>
      <c r="T2" s="5154"/>
      <c r="U2" s="5155"/>
      <c r="V2" s="5147" t="s">
        <v>111</v>
      </c>
    </row>
    <row r="3" spans="1:22" ht="16.5" thickBot="1">
      <c r="B3" s="1384" t="s">
        <v>6</v>
      </c>
      <c r="C3" s="1384">
        <v>18230610</v>
      </c>
      <c r="D3" s="4159"/>
      <c r="E3" s="1350"/>
      <c r="F3" s="1350"/>
      <c r="G3" s="1373" t="s">
        <v>9</v>
      </c>
      <c r="H3" s="1372" t="s">
        <v>10</v>
      </c>
      <c r="I3" s="1372" t="s">
        <v>11</v>
      </c>
      <c r="J3" s="1372" t="s">
        <v>12</v>
      </c>
      <c r="K3" s="1372" t="s">
        <v>13</v>
      </c>
      <c r="L3" s="1372" t="s">
        <v>14</v>
      </c>
      <c r="M3" s="1372" t="s">
        <v>15</v>
      </c>
      <c r="N3" s="1372" t="s">
        <v>16</v>
      </c>
      <c r="O3" s="1372" t="s">
        <v>112</v>
      </c>
      <c r="P3" s="1372" t="s">
        <v>113</v>
      </c>
      <c r="Q3" s="1374" t="s">
        <v>18</v>
      </c>
      <c r="R3" s="1374" t="s">
        <v>114</v>
      </c>
      <c r="S3" s="1364" t="s">
        <v>115</v>
      </c>
      <c r="T3" s="1364" t="s">
        <v>12</v>
      </c>
      <c r="U3" s="1365" t="s">
        <v>116</v>
      </c>
      <c r="V3" s="5148"/>
    </row>
    <row r="4" spans="1:22" ht="16.5" thickBot="1">
      <c r="B4" s="1384" t="s">
        <v>117</v>
      </c>
      <c r="C4" s="1384" t="s">
        <v>791</v>
      </c>
      <c r="D4" s="1350"/>
      <c r="E4" s="1350"/>
      <c r="F4" s="1360">
        <v>2011</v>
      </c>
      <c r="G4" s="1400">
        <v>353763</v>
      </c>
      <c r="H4" s="1401">
        <v>0</v>
      </c>
      <c r="I4" s="1401">
        <v>0</v>
      </c>
      <c r="J4" s="1401">
        <v>222871</v>
      </c>
      <c r="K4" s="1401">
        <v>6000</v>
      </c>
      <c r="L4" s="1401">
        <v>2000</v>
      </c>
      <c r="M4" s="1401">
        <v>300</v>
      </c>
      <c r="N4" s="1401">
        <v>15000</v>
      </c>
      <c r="O4" s="1401">
        <v>0</v>
      </c>
      <c r="P4" s="1401">
        <v>0</v>
      </c>
      <c r="Q4" s="1405">
        <v>599934</v>
      </c>
      <c r="R4" s="3260" t="s">
        <v>675</v>
      </c>
      <c r="S4" s="1424">
        <v>0</v>
      </c>
      <c r="T4" s="1424">
        <v>0.37149253084505962</v>
      </c>
      <c r="U4" s="1424">
        <v>3.3337000403377707E-3</v>
      </c>
      <c r="V4" s="1426" t="e">
        <v>#DIV/0!</v>
      </c>
    </row>
    <row r="5" spans="1:22" ht="16.5" thickBot="1">
      <c r="B5" s="1360" t="s">
        <v>33</v>
      </c>
      <c r="C5" s="1350"/>
      <c r="D5" s="1350"/>
      <c r="E5" s="1350"/>
      <c r="F5" s="1360">
        <v>2012</v>
      </c>
      <c r="G5" s="1402">
        <f>D14</f>
        <v>602139.72</v>
      </c>
      <c r="H5" s="1403">
        <f>D25</f>
        <v>0</v>
      </c>
      <c r="I5" s="1403">
        <f>D30</f>
        <v>379348.02359999996</v>
      </c>
      <c r="J5" s="1403">
        <f>D35</f>
        <v>0</v>
      </c>
      <c r="K5" s="1403">
        <f>D40</f>
        <v>29145.7</v>
      </c>
      <c r="L5" s="1403">
        <f>D45</f>
        <v>21054</v>
      </c>
      <c r="M5" s="1403">
        <f>D50</f>
        <v>5220</v>
      </c>
      <c r="N5" s="1403">
        <f>D55</f>
        <v>0</v>
      </c>
      <c r="O5" s="1403">
        <f>D60</f>
        <v>0</v>
      </c>
      <c r="P5" s="1403">
        <f>D61</f>
        <v>0</v>
      </c>
      <c r="Q5" s="1404">
        <f>SUM(G5:P5)</f>
        <v>1036907.4435999999</v>
      </c>
      <c r="R5" s="3261" t="s">
        <v>675</v>
      </c>
      <c r="S5" s="1425">
        <v>0</v>
      </c>
      <c r="T5" s="1425">
        <v>0</v>
      </c>
      <c r="U5" s="1425">
        <v>3.7131666719412678E-3</v>
      </c>
      <c r="V5" s="1427" t="e">
        <v>#DIV/0!</v>
      </c>
    </row>
    <row r="6" spans="1:22" s="3532" customFormat="1" ht="16.5" thickBot="1">
      <c r="B6" s="3331"/>
      <c r="C6" s="4117"/>
      <c r="D6" s="4117"/>
      <c r="E6" s="4117"/>
      <c r="F6" s="4266" t="s">
        <v>1168</v>
      </c>
      <c r="G6" s="2062">
        <v>602139.72</v>
      </c>
      <c r="H6" s="4155">
        <v>0</v>
      </c>
      <c r="I6" s="4155">
        <v>379348.02359999996</v>
      </c>
      <c r="J6" s="4155">
        <v>0</v>
      </c>
      <c r="K6" s="4155">
        <v>29145.7</v>
      </c>
      <c r="L6" s="4155">
        <v>21054</v>
      </c>
      <c r="M6" s="4155">
        <v>5220</v>
      </c>
      <c r="N6" s="4155">
        <v>0</v>
      </c>
      <c r="O6" s="4155">
        <v>0</v>
      </c>
      <c r="P6" s="4155">
        <v>0</v>
      </c>
      <c r="Q6" s="2064">
        <v>1036907.4435999999</v>
      </c>
      <c r="R6" s="3261" t="s">
        <v>675</v>
      </c>
      <c r="S6" s="3637">
        <v>0</v>
      </c>
      <c r="T6" s="3637">
        <v>0</v>
      </c>
      <c r="U6" s="3637">
        <v>3.7131666719412678E-3</v>
      </c>
      <c r="V6" s="1427" t="e">
        <v>#DIV/0!</v>
      </c>
    </row>
    <row r="7" spans="1:22" ht="16.5" thickBot="1">
      <c r="B7" s="1350"/>
      <c r="C7" s="1360" t="s">
        <v>793</v>
      </c>
      <c r="D7" s="1350"/>
      <c r="E7" s="1350"/>
      <c r="F7" s="4223" t="s">
        <v>1169</v>
      </c>
      <c r="G7" s="4224">
        <f>E14</f>
        <v>602139.72</v>
      </c>
      <c r="H7" s="4225">
        <f>E25</f>
        <v>0</v>
      </c>
      <c r="I7" s="4225">
        <f>E30</f>
        <v>425712.78203999996</v>
      </c>
      <c r="J7" s="4225">
        <f>E35</f>
        <v>0</v>
      </c>
      <c r="K7" s="4225">
        <f>E40</f>
        <v>29145.7</v>
      </c>
      <c r="L7" s="4225">
        <f>E45</f>
        <v>21054</v>
      </c>
      <c r="M7" s="4225">
        <f>E50</f>
        <v>5220</v>
      </c>
      <c r="N7" s="4225">
        <f>E55</f>
        <v>0</v>
      </c>
      <c r="O7" s="4225">
        <f>E60</f>
        <v>0</v>
      </c>
      <c r="P7" s="4225">
        <f>E61</f>
        <v>0</v>
      </c>
      <c r="Q7" s="4226">
        <f>SUM(G7:P7)</f>
        <v>1083272.2020399999</v>
      </c>
      <c r="R7" s="4227" t="s">
        <v>675</v>
      </c>
      <c r="S7" s="1425">
        <v>0</v>
      </c>
      <c r="T7" s="1425">
        <v>0</v>
      </c>
      <c r="U7" s="1425">
        <v>3.7131666719412678E-3</v>
      </c>
      <c r="V7" s="1427" t="e">
        <v>#DIV/0!</v>
      </c>
    </row>
    <row r="8" spans="1:22" ht="16.5" thickBot="1">
      <c r="B8" s="1350"/>
      <c r="C8" s="1419" t="s">
        <v>794</v>
      </c>
      <c r="D8" s="1350"/>
      <c r="E8" s="1350"/>
      <c r="F8" s="1986" t="s">
        <v>1172</v>
      </c>
      <c r="G8" s="1409">
        <f>SUM(G5+G7)</f>
        <v>1204279.44</v>
      </c>
      <c r="H8" s="3335">
        <f t="shared" ref="H8:Q8" si="0">SUM(H5+H7)</f>
        <v>0</v>
      </c>
      <c r="I8" s="3335">
        <f t="shared" si="0"/>
        <v>805060.80563999992</v>
      </c>
      <c r="J8" s="3335">
        <f t="shared" si="0"/>
        <v>0</v>
      </c>
      <c r="K8" s="3335">
        <f t="shared" si="0"/>
        <v>58291.4</v>
      </c>
      <c r="L8" s="3335">
        <f t="shared" si="0"/>
        <v>42108</v>
      </c>
      <c r="M8" s="3335">
        <f t="shared" si="0"/>
        <v>10440</v>
      </c>
      <c r="N8" s="3335">
        <f t="shared" si="0"/>
        <v>0</v>
      </c>
      <c r="O8" s="3335">
        <f t="shared" si="0"/>
        <v>0</v>
      </c>
      <c r="P8" s="3335">
        <f t="shared" si="0"/>
        <v>0</v>
      </c>
      <c r="Q8" s="3335">
        <f t="shared" si="0"/>
        <v>2120179.6456399998</v>
      </c>
      <c r="R8" s="3262" t="s">
        <v>675</v>
      </c>
      <c r="S8" s="1425">
        <v>0</v>
      </c>
      <c r="T8" s="1425">
        <v>0</v>
      </c>
      <c r="U8" s="1425">
        <v>3.7131666719412678E-3</v>
      </c>
      <c r="V8" s="1427" t="e">
        <v>#DIV/0!</v>
      </c>
    </row>
    <row r="9" spans="1:22" s="2203" customFormat="1" ht="15.75">
      <c r="A9" s="3064"/>
      <c r="B9" s="2001"/>
      <c r="C9" s="2086"/>
      <c r="D9" s="2001"/>
      <c r="E9" s="2001"/>
      <c r="F9" s="2073"/>
      <c r="G9" s="2212"/>
      <c r="H9" s="2212"/>
      <c r="I9" s="2212"/>
      <c r="J9" s="2212"/>
      <c r="K9" s="2212"/>
      <c r="L9" s="2212"/>
      <c r="M9" s="2212"/>
      <c r="N9" s="2212"/>
      <c r="O9" s="2212"/>
      <c r="P9" s="2216"/>
      <c r="Q9" s="2212"/>
      <c r="R9" s="2213"/>
      <c r="S9" s="2214"/>
      <c r="T9" s="2214"/>
      <c r="U9" s="2214"/>
      <c r="V9" s="2215"/>
    </row>
    <row r="11" spans="1:22" ht="13.5" thickBot="1">
      <c r="B11" s="1350"/>
      <c r="C11" s="1396" t="s">
        <v>118</v>
      </c>
      <c r="D11" s="5149" t="s">
        <v>119</v>
      </c>
      <c r="E11" s="5149"/>
      <c r="F11" s="1350"/>
      <c r="G11" s="1350"/>
      <c r="H11" s="1350"/>
      <c r="I11" s="5150" t="s">
        <v>120</v>
      </c>
      <c r="J11" s="5150"/>
      <c r="K11" s="5150"/>
      <c r="L11" s="5150"/>
      <c r="M11" s="5151" t="s">
        <v>119</v>
      </c>
      <c r="N11" s="5151"/>
      <c r="O11" s="1350"/>
      <c r="P11" s="1350"/>
      <c r="Q11" s="1350"/>
      <c r="R11" s="1350"/>
      <c r="S11" s="1350"/>
      <c r="T11" s="1350"/>
      <c r="U11" s="1350"/>
      <c r="V11" s="1350"/>
    </row>
    <row r="12" spans="1:22" ht="16.5" thickBot="1">
      <c r="B12" s="1399" t="s">
        <v>121</v>
      </c>
      <c r="C12" s="5156" t="s">
        <v>122</v>
      </c>
      <c r="D12" s="5156"/>
      <c r="E12" s="5156"/>
      <c r="F12" s="5157"/>
      <c r="G12" s="1350"/>
      <c r="H12" s="1350"/>
      <c r="I12" s="5153" t="s">
        <v>123</v>
      </c>
      <c r="J12" s="5154"/>
      <c r="K12" s="5154"/>
      <c r="L12" s="5155"/>
      <c r="M12" s="5153" t="s">
        <v>124</v>
      </c>
      <c r="N12" s="5154"/>
      <c r="O12" s="5155"/>
      <c r="P12" s="5153" t="s">
        <v>125</v>
      </c>
      <c r="Q12" s="5154"/>
      <c r="R12" s="5155"/>
      <c r="S12" s="1350"/>
      <c r="T12" s="4897"/>
      <c r="U12" s="4056"/>
      <c r="V12" s="1350"/>
    </row>
    <row r="13" spans="1:22" ht="16.5" thickBot="1">
      <c r="B13" s="1406">
        <v>2011</v>
      </c>
      <c r="C13" s="1398" t="s">
        <v>127</v>
      </c>
      <c r="D13" s="1394">
        <v>2012</v>
      </c>
      <c r="E13" s="1394">
        <v>2013</v>
      </c>
      <c r="F13" s="1394" t="s">
        <v>128</v>
      </c>
      <c r="G13" s="1350"/>
      <c r="H13" s="1363"/>
      <c r="I13" s="5158" t="s">
        <v>129</v>
      </c>
      <c r="J13" s="5159"/>
      <c r="K13" s="5160"/>
      <c r="L13" s="1390" t="s">
        <v>130</v>
      </c>
      <c r="M13" s="1391" t="s">
        <v>131</v>
      </c>
      <c r="N13" s="1392" t="s">
        <v>132</v>
      </c>
      <c r="O13" s="1393" t="s">
        <v>133</v>
      </c>
      <c r="P13" s="1391" t="s">
        <v>134</v>
      </c>
      <c r="Q13" s="1391" t="s">
        <v>135</v>
      </c>
      <c r="R13" s="1393" t="s">
        <v>136</v>
      </c>
      <c r="S13" s="1350"/>
      <c r="T13" s="4898"/>
      <c r="U13" s="4056"/>
      <c r="V13" s="1350"/>
    </row>
    <row r="14" spans="1:22" ht="13.5" thickBot="1">
      <c r="B14" s="3228">
        <v>353763</v>
      </c>
      <c r="C14" s="3225" t="s">
        <v>138</v>
      </c>
      <c r="D14" s="3226">
        <f>SUM(D15:D24)</f>
        <v>602139.72</v>
      </c>
      <c r="E14" s="3255">
        <f>SUM(E15:E24)</f>
        <v>602139.72</v>
      </c>
      <c r="F14" s="3227">
        <f>SUM(D14:E14)</f>
        <v>1204279.44</v>
      </c>
      <c r="G14" s="1350"/>
      <c r="H14" s="1366"/>
      <c r="I14" s="1387" t="s">
        <v>368</v>
      </c>
      <c r="J14" s="1388"/>
      <c r="K14" s="1389"/>
      <c r="L14" s="1410">
        <v>0</v>
      </c>
      <c r="M14" s="1356">
        <v>0</v>
      </c>
      <c r="N14" s="1356">
        <v>0</v>
      </c>
      <c r="O14" s="1367">
        <v>0</v>
      </c>
      <c r="P14" s="1411">
        <v>0</v>
      </c>
      <c r="Q14" s="1411">
        <v>0</v>
      </c>
      <c r="R14" s="1412">
        <v>0</v>
      </c>
      <c r="S14" s="1350"/>
      <c r="T14" s="4056"/>
      <c r="U14" s="4056"/>
      <c r="V14" s="1350"/>
    </row>
    <row r="15" spans="1:22">
      <c r="B15" s="3229"/>
      <c r="C15" s="3220" t="s">
        <v>1443</v>
      </c>
      <c r="D15" s="3221">
        <v>69132</v>
      </c>
      <c r="E15" s="3221">
        <v>69132</v>
      </c>
      <c r="F15" s="3221">
        <f>SUM(D15:E15)</f>
        <v>138264</v>
      </c>
      <c r="G15" s="1350"/>
      <c r="H15" s="1366"/>
      <c r="I15" s="1387" t="s">
        <v>369</v>
      </c>
      <c r="J15" s="1388"/>
      <c r="K15" s="1389"/>
      <c r="L15" s="1410">
        <v>0</v>
      </c>
      <c r="M15" s="1356">
        <v>0</v>
      </c>
      <c r="N15" s="1356">
        <v>0</v>
      </c>
      <c r="O15" s="1367">
        <v>0</v>
      </c>
      <c r="P15" s="1411">
        <v>0</v>
      </c>
      <c r="Q15" s="1411">
        <v>0</v>
      </c>
      <c r="R15" s="1412">
        <v>0</v>
      </c>
      <c r="S15" s="1350"/>
      <c r="T15" s="4056"/>
      <c r="U15" s="4056"/>
      <c r="V15" s="1350"/>
    </row>
    <row r="16" spans="1:22">
      <c r="B16" s="3230"/>
      <c r="C16" s="3220" t="s">
        <v>1444</v>
      </c>
      <c r="D16" s="3223">
        <v>69132</v>
      </c>
      <c r="E16" s="3223">
        <v>69132</v>
      </c>
      <c r="F16" s="3253">
        <f t="shared" ref="F16:F20" si="1">SUM(D16:E16)</f>
        <v>138264</v>
      </c>
      <c r="G16" s="1350"/>
      <c r="H16" s="1366"/>
      <c r="I16" s="1387" t="s">
        <v>370</v>
      </c>
      <c r="J16" s="1388"/>
      <c r="K16" s="1389"/>
      <c r="L16" s="1410">
        <v>0</v>
      </c>
      <c r="M16" s="1356">
        <v>0</v>
      </c>
      <c r="N16" s="1356">
        <v>0</v>
      </c>
      <c r="O16" s="1367">
        <v>0</v>
      </c>
      <c r="P16" s="1411">
        <v>0</v>
      </c>
      <c r="Q16" s="1411">
        <v>0</v>
      </c>
      <c r="R16" s="1412">
        <v>0</v>
      </c>
      <c r="S16" s="1350"/>
      <c r="T16" s="4056"/>
      <c r="U16" s="4056"/>
      <c r="V16" s="1350"/>
    </row>
    <row r="17" spans="2:22">
      <c r="B17" s="3230"/>
      <c r="C17" s="3220" t="s">
        <v>1445</v>
      </c>
      <c r="D17" s="3223">
        <v>69132</v>
      </c>
      <c r="E17" s="3223">
        <v>69132</v>
      </c>
      <c r="F17" s="3253">
        <f t="shared" si="1"/>
        <v>138264</v>
      </c>
      <c r="G17" s="1350"/>
      <c r="H17" s="1366"/>
      <c r="I17" s="1387" t="s">
        <v>188</v>
      </c>
      <c r="J17" s="1388"/>
      <c r="K17" s="1389"/>
      <c r="L17" s="1410">
        <v>0</v>
      </c>
      <c r="M17" s="1356">
        <v>0</v>
      </c>
      <c r="N17" s="1356">
        <v>0</v>
      </c>
      <c r="O17" s="1367">
        <v>0</v>
      </c>
      <c r="P17" s="1411">
        <v>0</v>
      </c>
      <c r="Q17" s="1411">
        <v>0</v>
      </c>
      <c r="R17" s="1412">
        <v>0</v>
      </c>
      <c r="S17" s="1350"/>
      <c r="T17" s="4056"/>
      <c r="U17" s="4056"/>
      <c r="V17" s="1350"/>
    </row>
    <row r="18" spans="2:22">
      <c r="B18" s="3230"/>
      <c r="C18" s="3220" t="s">
        <v>1446</v>
      </c>
      <c r="D18" s="3223">
        <v>69132</v>
      </c>
      <c r="E18" s="3223">
        <v>69132</v>
      </c>
      <c r="F18" s="3253">
        <f t="shared" si="1"/>
        <v>138264</v>
      </c>
      <c r="G18" s="1350"/>
      <c r="H18" s="1366"/>
      <c r="I18" s="1387" t="s">
        <v>189</v>
      </c>
      <c r="J18" s="1388"/>
      <c r="K18" s="1389"/>
      <c r="L18" s="1410">
        <v>0</v>
      </c>
      <c r="M18" s="1356">
        <v>0</v>
      </c>
      <c r="N18" s="1356">
        <v>0</v>
      </c>
      <c r="O18" s="1367">
        <v>0</v>
      </c>
      <c r="P18" s="1411">
        <v>0</v>
      </c>
      <c r="Q18" s="1411">
        <v>0</v>
      </c>
      <c r="R18" s="1412">
        <v>0</v>
      </c>
      <c r="S18" s="1350"/>
      <c r="T18" s="4056"/>
      <c r="U18" s="4056"/>
      <c r="V18" s="1350"/>
    </row>
    <row r="19" spans="2:22">
      <c r="B19" s="3230"/>
      <c r="C19" s="3220" t="s">
        <v>1447</v>
      </c>
      <c r="D19" s="3223">
        <v>69132</v>
      </c>
      <c r="E19" s="3223">
        <v>69132</v>
      </c>
      <c r="F19" s="3253">
        <f t="shared" si="1"/>
        <v>138264</v>
      </c>
      <c r="G19" s="1350"/>
      <c r="H19" s="1366"/>
      <c r="I19" s="1387" t="s">
        <v>190</v>
      </c>
      <c r="J19" s="1388"/>
      <c r="K19" s="1389"/>
      <c r="L19" s="1410">
        <v>0</v>
      </c>
      <c r="M19" s="1356">
        <v>0</v>
      </c>
      <c r="N19" s="1356">
        <v>0</v>
      </c>
      <c r="O19" s="1367">
        <v>0</v>
      </c>
      <c r="P19" s="1411">
        <v>0</v>
      </c>
      <c r="Q19" s="1411">
        <v>0</v>
      </c>
      <c r="R19" s="1412">
        <v>0</v>
      </c>
      <c r="S19" s="1350"/>
      <c r="T19" s="4056"/>
      <c r="U19" s="3535"/>
    </row>
    <row r="20" spans="2:22">
      <c r="B20" s="3230"/>
      <c r="C20" s="3220" t="s">
        <v>1448</v>
      </c>
      <c r="D20" s="3223">
        <v>69132</v>
      </c>
      <c r="E20" s="3223">
        <v>69132</v>
      </c>
      <c r="F20" s="3253">
        <f t="shared" si="1"/>
        <v>138264</v>
      </c>
      <c r="G20" s="1350"/>
      <c r="H20" s="1366"/>
      <c r="I20" s="1387" t="s">
        <v>191</v>
      </c>
      <c r="J20" s="1388"/>
      <c r="K20" s="1389"/>
      <c r="L20" s="1410">
        <v>0</v>
      </c>
      <c r="M20" s="1356">
        <v>0</v>
      </c>
      <c r="N20" s="1356">
        <v>0</v>
      </c>
      <c r="O20" s="1367">
        <v>0</v>
      </c>
      <c r="P20" s="1411">
        <v>0</v>
      </c>
      <c r="Q20" s="1411">
        <v>0</v>
      </c>
      <c r="R20" s="1412">
        <v>0</v>
      </c>
      <c r="S20" s="1350"/>
      <c r="T20" s="4056"/>
      <c r="U20" s="3535"/>
    </row>
    <row r="21" spans="2:22">
      <c r="B21" s="3516"/>
      <c r="C21" s="3220" t="s">
        <v>1449</v>
      </c>
      <c r="D21" s="3515">
        <v>69132</v>
      </c>
      <c r="E21" s="3515">
        <v>69132</v>
      </c>
      <c r="F21" s="3514">
        <v>138264</v>
      </c>
      <c r="G21" s="2001"/>
      <c r="H21" s="1366"/>
      <c r="I21" s="1387" t="s">
        <v>192</v>
      </c>
      <c r="J21" s="1388"/>
      <c r="K21" s="1389"/>
      <c r="L21" s="1410">
        <v>0</v>
      </c>
      <c r="M21" s="1356">
        <v>0</v>
      </c>
      <c r="N21" s="1356">
        <v>0</v>
      </c>
      <c r="O21" s="1367">
        <v>0</v>
      </c>
      <c r="P21" s="1411">
        <v>0</v>
      </c>
      <c r="Q21" s="1411">
        <v>0</v>
      </c>
      <c r="R21" s="1412">
        <v>0</v>
      </c>
      <c r="S21" s="1350"/>
      <c r="T21" s="4056"/>
      <c r="U21" s="3535"/>
    </row>
    <row r="22" spans="2:22">
      <c r="B22" s="3516"/>
      <c r="C22" s="3220" t="s">
        <v>1450</v>
      </c>
      <c r="D22" s="3515">
        <v>18665.64</v>
      </c>
      <c r="E22" s="3515">
        <v>18665.64</v>
      </c>
      <c r="F22" s="3514">
        <v>37331.279999999999</v>
      </c>
      <c r="G22" s="3502"/>
      <c r="H22" s="3504"/>
      <c r="I22" s="1387" t="s">
        <v>193</v>
      </c>
      <c r="J22" s="1388"/>
      <c r="K22" s="1389"/>
      <c r="L22" s="1410">
        <v>0</v>
      </c>
      <c r="M22" s="1356">
        <v>0</v>
      </c>
      <c r="N22" s="1356">
        <v>0</v>
      </c>
      <c r="O22" s="1367">
        <v>0</v>
      </c>
      <c r="P22" s="1411">
        <v>0</v>
      </c>
      <c r="Q22" s="1411">
        <v>0</v>
      </c>
      <c r="R22" s="1412">
        <v>0</v>
      </c>
      <c r="S22" s="1350"/>
      <c r="T22" s="4056"/>
      <c r="U22" s="3535"/>
    </row>
    <row r="23" spans="2:22">
      <c r="B23" s="3516"/>
      <c r="C23" s="3220" t="s">
        <v>1451</v>
      </c>
      <c r="D23" s="3515">
        <v>69132</v>
      </c>
      <c r="E23" s="3515">
        <v>69132</v>
      </c>
      <c r="F23" s="3514">
        <v>138264</v>
      </c>
      <c r="G23" s="3502"/>
      <c r="H23" s="3504"/>
      <c r="I23" s="1387" t="s">
        <v>194</v>
      </c>
      <c r="J23" s="1388"/>
      <c r="K23" s="1389"/>
      <c r="L23" s="1410">
        <v>0</v>
      </c>
      <c r="M23" s="1356">
        <v>0</v>
      </c>
      <c r="N23" s="1356">
        <v>0</v>
      </c>
      <c r="O23" s="1367">
        <v>0</v>
      </c>
      <c r="P23" s="1411">
        <v>0</v>
      </c>
      <c r="Q23" s="1411">
        <v>0</v>
      </c>
      <c r="R23" s="1412">
        <v>0</v>
      </c>
      <c r="S23" s="1350"/>
      <c r="T23" s="4056"/>
      <c r="U23" s="3535"/>
    </row>
    <row r="24" spans="2:22" ht="13.5" thickBot="1">
      <c r="B24" s="3516"/>
      <c r="C24" s="3513" t="s">
        <v>995</v>
      </c>
      <c r="D24" s="3617">
        <f>0.44*69132</f>
        <v>30418.080000000002</v>
      </c>
      <c r="E24" s="3617">
        <f>0.44*69132</f>
        <v>30418.080000000002</v>
      </c>
      <c r="F24" s="3514">
        <f>SUM(D24:E24)</f>
        <v>60836.160000000003</v>
      </c>
      <c r="G24" s="3502"/>
      <c r="H24" s="3504"/>
      <c r="I24" s="1387" t="s">
        <v>195</v>
      </c>
      <c r="J24" s="1388"/>
      <c r="K24" s="1389"/>
      <c r="L24" s="1410">
        <v>0</v>
      </c>
      <c r="M24" s="1356">
        <v>0</v>
      </c>
      <c r="N24" s="1356">
        <v>0</v>
      </c>
      <c r="O24" s="1367">
        <v>0</v>
      </c>
      <c r="P24" s="1411">
        <v>0</v>
      </c>
      <c r="Q24" s="1411">
        <v>0</v>
      </c>
      <c r="R24" s="1412">
        <v>0</v>
      </c>
      <c r="S24" s="1350"/>
      <c r="T24" s="4056"/>
      <c r="U24" s="3535"/>
    </row>
    <row r="25" spans="2:22" ht="13.5" thickBot="1">
      <c r="B25" s="3228">
        <v>0</v>
      </c>
      <c r="C25" s="3225" t="s">
        <v>143</v>
      </c>
      <c r="D25" s="3226">
        <v>0</v>
      </c>
      <c r="E25" s="3226">
        <v>0</v>
      </c>
      <c r="F25" s="3227">
        <v>0</v>
      </c>
      <c r="G25" s="1350"/>
      <c r="H25" s="1366"/>
      <c r="I25" s="1387" t="s">
        <v>196</v>
      </c>
      <c r="J25" s="1388"/>
      <c r="K25" s="1389"/>
      <c r="L25" s="1410">
        <v>0</v>
      </c>
      <c r="M25" s="1356">
        <v>0</v>
      </c>
      <c r="N25" s="1356">
        <v>0</v>
      </c>
      <c r="O25" s="1367">
        <v>0</v>
      </c>
      <c r="P25" s="1411">
        <v>0</v>
      </c>
      <c r="Q25" s="1411">
        <v>0</v>
      </c>
      <c r="R25" s="1412">
        <v>0</v>
      </c>
      <c r="S25" s="1350"/>
      <c r="T25" s="4056"/>
      <c r="U25" s="3535"/>
    </row>
    <row r="26" spans="2:22">
      <c r="B26" s="3229"/>
      <c r="C26" s="3220" t="s">
        <v>139</v>
      </c>
      <c r="D26" s="3221">
        <v>0</v>
      </c>
      <c r="E26" s="3221">
        <v>0</v>
      </c>
      <c r="F26" s="3221">
        <v>0</v>
      </c>
      <c r="G26" s="1350"/>
      <c r="H26" s="1366"/>
      <c r="I26" s="1387" t="s">
        <v>197</v>
      </c>
      <c r="J26" s="1388"/>
      <c r="K26" s="1389"/>
      <c r="L26" s="1410">
        <v>0</v>
      </c>
      <c r="M26" s="1356">
        <v>0</v>
      </c>
      <c r="N26" s="1356">
        <v>0</v>
      </c>
      <c r="O26" s="1367">
        <v>0</v>
      </c>
      <c r="P26" s="1411">
        <v>0</v>
      </c>
      <c r="Q26" s="1411">
        <v>0</v>
      </c>
      <c r="R26" s="1412">
        <v>0</v>
      </c>
      <c r="S26" s="1350"/>
      <c r="T26" s="4056"/>
      <c r="U26" s="3535"/>
    </row>
    <row r="27" spans="2:22">
      <c r="B27" s="3230"/>
      <c r="C27" s="3219" t="s">
        <v>140</v>
      </c>
      <c r="D27" s="3222">
        <v>0</v>
      </c>
      <c r="E27" s="3222">
        <v>0</v>
      </c>
      <c r="F27" s="3221">
        <v>0</v>
      </c>
      <c r="G27" s="1350"/>
      <c r="H27" s="1366"/>
      <c r="I27" s="1387" t="s">
        <v>198</v>
      </c>
      <c r="J27" s="1388"/>
      <c r="K27" s="1389"/>
      <c r="L27" s="1410">
        <v>0</v>
      </c>
      <c r="M27" s="1356">
        <v>0</v>
      </c>
      <c r="N27" s="1356">
        <v>0</v>
      </c>
      <c r="O27" s="1367">
        <v>0</v>
      </c>
      <c r="P27" s="1411">
        <v>0</v>
      </c>
      <c r="Q27" s="1411">
        <v>0</v>
      </c>
      <c r="R27" s="1412">
        <v>0</v>
      </c>
      <c r="S27" s="1350"/>
      <c r="T27" s="4056"/>
      <c r="U27" s="3535"/>
    </row>
    <row r="28" spans="2:22">
      <c r="B28" s="3230"/>
      <c r="C28" s="3219" t="s">
        <v>141</v>
      </c>
      <c r="D28" s="3223">
        <v>0</v>
      </c>
      <c r="E28" s="3223">
        <v>0</v>
      </c>
      <c r="F28" s="3221">
        <v>0</v>
      </c>
      <c r="G28" s="1355"/>
      <c r="H28" s="1366"/>
      <c r="I28" s="1387" t="s">
        <v>199</v>
      </c>
      <c r="J28" s="1388"/>
      <c r="K28" s="1389"/>
      <c r="L28" s="1410">
        <v>0</v>
      </c>
      <c r="M28" s="1356">
        <v>0</v>
      </c>
      <c r="N28" s="1356">
        <v>0</v>
      </c>
      <c r="O28" s="1367">
        <v>0</v>
      </c>
      <c r="P28" s="1411">
        <v>0</v>
      </c>
      <c r="Q28" s="1411">
        <v>0</v>
      </c>
      <c r="R28" s="1412">
        <v>0</v>
      </c>
      <c r="S28" s="1350"/>
      <c r="T28" s="4056"/>
      <c r="U28" s="3535"/>
    </row>
    <row r="29" spans="2:22" ht="13.5" thickBot="1">
      <c r="B29" s="3230"/>
      <c r="C29" s="3219" t="s">
        <v>142</v>
      </c>
      <c r="D29" s="3223">
        <v>0</v>
      </c>
      <c r="E29" s="3223">
        <v>0</v>
      </c>
      <c r="F29" s="3221">
        <v>0</v>
      </c>
      <c r="G29" s="1350"/>
      <c r="H29" s="1366"/>
      <c r="I29" s="1387" t="s">
        <v>200</v>
      </c>
      <c r="J29" s="1388"/>
      <c r="K29" s="1389"/>
      <c r="L29" s="1410">
        <v>0</v>
      </c>
      <c r="M29" s="1356">
        <v>0</v>
      </c>
      <c r="N29" s="1356">
        <v>0</v>
      </c>
      <c r="O29" s="1367">
        <v>0</v>
      </c>
      <c r="P29" s="1411">
        <v>0</v>
      </c>
      <c r="Q29" s="1411">
        <v>0</v>
      </c>
      <c r="R29" s="1412">
        <v>0</v>
      </c>
      <c r="S29" s="1350"/>
      <c r="T29" s="4056"/>
      <c r="U29" s="3535"/>
    </row>
    <row r="30" spans="2:22" ht="13.5" thickBot="1">
      <c r="B30" s="3228">
        <v>222871</v>
      </c>
      <c r="C30" s="3225" t="s">
        <v>144</v>
      </c>
      <c r="D30" s="3226">
        <f>D14*0.63</f>
        <v>379348.02359999996</v>
      </c>
      <c r="E30" s="3255">
        <f>E14*0.707</f>
        <v>425712.78203999996</v>
      </c>
      <c r="F30" s="3227">
        <f>SUM(D30:E30)</f>
        <v>805060.80563999992</v>
      </c>
      <c r="G30" s="1350"/>
      <c r="H30" s="1366"/>
      <c r="I30" s="1387" t="s">
        <v>201</v>
      </c>
      <c r="J30" s="1388"/>
      <c r="K30" s="1389"/>
      <c r="L30" s="1410">
        <v>0</v>
      </c>
      <c r="M30" s="1356">
        <v>0</v>
      </c>
      <c r="N30" s="1356">
        <v>0</v>
      </c>
      <c r="O30" s="1367">
        <v>0</v>
      </c>
      <c r="P30" s="1411">
        <v>0</v>
      </c>
      <c r="Q30" s="1411">
        <v>0</v>
      </c>
      <c r="R30" s="1412">
        <v>0</v>
      </c>
      <c r="S30" s="1350"/>
      <c r="T30" s="4056"/>
      <c r="U30" s="3535"/>
    </row>
    <row r="31" spans="2:22">
      <c r="B31" s="3229"/>
      <c r="C31" s="3220"/>
      <c r="D31" s="3221"/>
      <c r="E31" s="3221"/>
      <c r="F31" s="3221"/>
      <c r="G31" s="1350"/>
      <c r="H31" s="1366"/>
      <c r="I31" s="1387" t="s">
        <v>202</v>
      </c>
      <c r="J31" s="1388"/>
      <c r="K31" s="1389"/>
      <c r="L31" s="1410">
        <v>0</v>
      </c>
      <c r="M31" s="1356">
        <v>0</v>
      </c>
      <c r="N31" s="1356">
        <v>0</v>
      </c>
      <c r="O31" s="1367">
        <v>0</v>
      </c>
      <c r="P31" s="1411">
        <v>0</v>
      </c>
      <c r="Q31" s="1411">
        <v>0</v>
      </c>
      <c r="R31" s="1412">
        <v>0</v>
      </c>
      <c r="S31" s="1350"/>
      <c r="T31" s="4056"/>
      <c r="U31" s="3535"/>
    </row>
    <row r="32" spans="2:22">
      <c r="B32" s="3229"/>
      <c r="C32" s="3220"/>
      <c r="D32" s="3222"/>
      <c r="E32" s="3222"/>
      <c r="F32" s="3221"/>
      <c r="G32" s="1350"/>
      <c r="H32" s="1366"/>
      <c r="I32" s="1387" t="s">
        <v>203</v>
      </c>
      <c r="J32" s="1388"/>
      <c r="K32" s="1389"/>
      <c r="L32" s="1410">
        <v>0</v>
      </c>
      <c r="M32" s="1356">
        <v>0</v>
      </c>
      <c r="N32" s="1356">
        <v>0</v>
      </c>
      <c r="O32" s="1367">
        <v>0</v>
      </c>
      <c r="P32" s="1411">
        <v>0</v>
      </c>
      <c r="Q32" s="1411">
        <v>0</v>
      </c>
      <c r="R32" s="1412">
        <v>0</v>
      </c>
      <c r="S32" s="1350"/>
      <c r="T32" s="4056"/>
      <c r="U32" s="3535"/>
    </row>
    <row r="33" spans="2:21">
      <c r="B33" s="3230"/>
      <c r="C33" s="3219"/>
      <c r="D33" s="3223"/>
      <c r="E33" s="3223"/>
      <c r="F33" s="3223"/>
      <c r="G33" s="1350"/>
      <c r="H33" s="1366"/>
      <c r="I33" s="1387" t="s">
        <v>204</v>
      </c>
      <c r="J33" s="1388"/>
      <c r="K33" s="1389"/>
      <c r="L33" s="1410">
        <v>0</v>
      </c>
      <c r="M33" s="1356">
        <v>0</v>
      </c>
      <c r="N33" s="1356">
        <v>0</v>
      </c>
      <c r="O33" s="1367">
        <v>0</v>
      </c>
      <c r="P33" s="1411">
        <v>0</v>
      </c>
      <c r="Q33" s="1411">
        <v>0</v>
      </c>
      <c r="R33" s="1412">
        <v>0</v>
      </c>
      <c r="S33" s="1350"/>
      <c r="T33" s="4056"/>
      <c r="U33" s="3535"/>
    </row>
    <row r="34" spans="2:21" ht="13.5" thickBot="1">
      <c r="B34" s="3230"/>
      <c r="C34" s="3219"/>
      <c r="D34" s="3223"/>
      <c r="E34" s="3223"/>
      <c r="F34" s="3223"/>
      <c r="G34" s="1350"/>
      <c r="H34" s="1366"/>
      <c r="I34" s="1387" t="s">
        <v>205</v>
      </c>
      <c r="J34" s="1388"/>
      <c r="K34" s="1389"/>
      <c r="L34" s="1410">
        <v>0</v>
      </c>
      <c r="M34" s="1356">
        <v>0</v>
      </c>
      <c r="N34" s="1356">
        <v>0</v>
      </c>
      <c r="O34" s="1367">
        <v>0</v>
      </c>
      <c r="P34" s="1411">
        <v>0</v>
      </c>
      <c r="Q34" s="1411">
        <v>0</v>
      </c>
      <c r="R34" s="1412">
        <v>0</v>
      </c>
      <c r="S34" s="1350"/>
      <c r="T34" s="4056"/>
      <c r="U34" s="3535"/>
    </row>
    <row r="35" spans="2:21" ht="13.5" thickBot="1">
      <c r="B35" s="3228">
        <v>0</v>
      </c>
      <c r="C35" s="3225" t="s">
        <v>145</v>
      </c>
      <c r="D35" s="3226">
        <v>0</v>
      </c>
      <c r="E35" s="3226">
        <v>0</v>
      </c>
      <c r="F35" s="3227">
        <v>0</v>
      </c>
      <c r="G35" s="1350"/>
      <c r="H35" s="1366"/>
      <c r="I35" s="1387" t="s">
        <v>206</v>
      </c>
      <c r="J35" s="1388"/>
      <c r="K35" s="1389"/>
      <c r="L35" s="1410">
        <v>0</v>
      </c>
      <c r="M35" s="1356">
        <v>0</v>
      </c>
      <c r="N35" s="1356">
        <v>0</v>
      </c>
      <c r="O35" s="1367">
        <v>0</v>
      </c>
      <c r="P35" s="1411">
        <v>0</v>
      </c>
      <c r="Q35" s="1411">
        <v>0</v>
      </c>
      <c r="R35" s="1412">
        <v>0</v>
      </c>
      <c r="S35" s="1350"/>
      <c r="T35" s="4056"/>
      <c r="U35" s="3535"/>
    </row>
    <row r="36" spans="2:21">
      <c r="B36" s="3229"/>
      <c r="C36" s="3220" t="s">
        <v>139</v>
      </c>
      <c r="D36" s="3221">
        <v>0</v>
      </c>
      <c r="E36" s="3221"/>
      <c r="F36" s="3221">
        <v>0</v>
      </c>
      <c r="G36" s="1350"/>
      <c r="H36" s="1366"/>
      <c r="I36" s="1387" t="s">
        <v>207</v>
      </c>
      <c r="J36" s="1388"/>
      <c r="K36" s="1389"/>
      <c r="L36" s="1410">
        <v>0</v>
      </c>
      <c r="M36" s="1356">
        <v>0</v>
      </c>
      <c r="N36" s="1356">
        <v>0</v>
      </c>
      <c r="O36" s="1367">
        <v>0</v>
      </c>
      <c r="P36" s="1411">
        <v>0</v>
      </c>
      <c r="Q36" s="1411">
        <v>0</v>
      </c>
      <c r="R36" s="1412">
        <v>0</v>
      </c>
      <c r="S36" s="1350"/>
      <c r="T36" s="4056"/>
      <c r="U36" s="3535"/>
    </row>
    <row r="37" spans="2:21">
      <c r="B37" s="3230"/>
      <c r="C37" s="3219" t="s">
        <v>140</v>
      </c>
      <c r="D37" s="3222">
        <v>0</v>
      </c>
      <c r="E37" s="3222"/>
      <c r="F37" s="3221">
        <v>0</v>
      </c>
      <c r="G37" s="1350"/>
      <c r="H37" s="1366"/>
      <c r="I37" s="1387" t="s">
        <v>208</v>
      </c>
      <c r="J37" s="1388"/>
      <c r="K37" s="1389"/>
      <c r="L37" s="1410">
        <v>0</v>
      </c>
      <c r="M37" s="1356">
        <v>0</v>
      </c>
      <c r="N37" s="1356">
        <v>0</v>
      </c>
      <c r="O37" s="1367">
        <v>0</v>
      </c>
      <c r="P37" s="1411">
        <v>0</v>
      </c>
      <c r="Q37" s="1411">
        <v>0</v>
      </c>
      <c r="R37" s="1412">
        <v>0</v>
      </c>
      <c r="S37" s="1350"/>
      <c r="T37" s="4056"/>
      <c r="U37" s="3535"/>
    </row>
    <row r="38" spans="2:21">
      <c r="B38" s="3230"/>
      <c r="C38" s="3219" t="s">
        <v>141</v>
      </c>
      <c r="D38" s="3222">
        <v>0</v>
      </c>
      <c r="E38" s="3222"/>
      <c r="F38" s="3221">
        <v>0</v>
      </c>
      <c r="G38" s="1350"/>
      <c r="H38" s="1366"/>
      <c r="I38" s="1387" t="s">
        <v>209</v>
      </c>
      <c r="J38" s="1388"/>
      <c r="K38" s="1389"/>
      <c r="L38" s="1410">
        <v>0</v>
      </c>
      <c r="M38" s="1356">
        <v>0</v>
      </c>
      <c r="N38" s="1356">
        <v>0</v>
      </c>
      <c r="O38" s="1367">
        <v>0</v>
      </c>
      <c r="P38" s="1411">
        <v>0</v>
      </c>
      <c r="Q38" s="1411">
        <v>0</v>
      </c>
      <c r="R38" s="1412">
        <v>0</v>
      </c>
      <c r="S38" s="1350"/>
      <c r="T38" s="4056"/>
      <c r="U38" s="3535"/>
    </row>
    <row r="39" spans="2:21" ht="13.5" thickBot="1">
      <c r="B39" s="3230"/>
      <c r="C39" s="3219" t="s">
        <v>142</v>
      </c>
      <c r="D39" s="3222">
        <v>0</v>
      </c>
      <c r="E39" s="3222"/>
      <c r="F39" s="3221">
        <v>0</v>
      </c>
      <c r="G39" s="1350"/>
      <c r="H39" s="1366"/>
      <c r="I39" s="1387" t="s">
        <v>210</v>
      </c>
      <c r="J39" s="1388"/>
      <c r="K39" s="1389"/>
      <c r="L39" s="1410">
        <v>0</v>
      </c>
      <c r="M39" s="1356">
        <v>0</v>
      </c>
      <c r="N39" s="1356">
        <v>0</v>
      </c>
      <c r="O39" s="1367">
        <v>0</v>
      </c>
      <c r="P39" s="1411">
        <v>0</v>
      </c>
      <c r="Q39" s="1411">
        <v>0</v>
      </c>
      <c r="R39" s="1412">
        <v>0</v>
      </c>
      <c r="S39" s="1350"/>
      <c r="T39" s="4056"/>
      <c r="U39" s="3535"/>
    </row>
    <row r="40" spans="2:21" ht="13.5" thickBot="1">
      <c r="B40" s="3228">
        <v>6000</v>
      </c>
      <c r="C40" s="3225" t="s">
        <v>146</v>
      </c>
      <c r="D40" s="3226">
        <f>SUM(D41:D44)</f>
        <v>29145.7</v>
      </c>
      <c r="E40" s="3255">
        <f>SUM(E41:E44)</f>
        <v>29145.7</v>
      </c>
      <c r="F40" s="3227">
        <f t="shared" ref="F40:F54" si="2">SUM(D40:E40)</f>
        <v>58291.4</v>
      </c>
      <c r="G40" s="1350"/>
      <c r="H40" s="1366"/>
      <c r="I40" s="1387" t="s">
        <v>211</v>
      </c>
      <c r="J40" s="1388"/>
      <c r="K40" s="1389"/>
      <c r="L40" s="1410">
        <v>0</v>
      </c>
      <c r="M40" s="1356">
        <v>0</v>
      </c>
      <c r="N40" s="1356">
        <v>0</v>
      </c>
      <c r="O40" s="1367">
        <v>0</v>
      </c>
      <c r="P40" s="1411">
        <v>0</v>
      </c>
      <c r="Q40" s="1411">
        <v>0</v>
      </c>
      <c r="R40" s="1412">
        <v>0</v>
      </c>
      <c r="S40" s="1350"/>
      <c r="T40" s="4056"/>
      <c r="U40" s="3535"/>
    </row>
    <row r="41" spans="2:21">
      <c r="B41" s="3230"/>
      <c r="C41" s="3219" t="s">
        <v>795</v>
      </c>
      <c r="D41" s="3517">
        <v>16321.9</v>
      </c>
      <c r="E41" s="3517">
        <v>16321.9</v>
      </c>
      <c r="F41" s="3221">
        <f t="shared" si="2"/>
        <v>32643.8</v>
      </c>
      <c r="G41" s="1350"/>
      <c r="H41" s="1366"/>
      <c r="I41" s="1387" t="s">
        <v>212</v>
      </c>
      <c r="J41" s="1388"/>
      <c r="K41" s="1389"/>
      <c r="L41" s="1410">
        <v>0</v>
      </c>
      <c r="M41" s="1356">
        <v>0</v>
      </c>
      <c r="N41" s="1356">
        <v>0</v>
      </c>
      <c r="O41" s="1367">
        <v>0</v>
      </c>
      <c r="P41" s="1411">
        <v>0</v>
      </c>
      <c r="Q41" s="1411">
        <v>0</v>
      </c>
      <c r="R41" s="1412">
        <v>0</v>
      </c>
      <c r="S41" s="1350"/>
      <c r="T41" s="4056"/>
      <c r="U41" s="3535"/>
    </row>
    <row r="42" spans="2:21">
      <c r="B42" s="3230"/>
      <c r="C42" s="3219" t="s">
        <v>796</v>
      </c>
      <c r="D42" s="3517">
        <v>3205.95</v>
      </c>
      <c r="E42" s="3517">
        <v>3205.95</v>
      </c>
      <c r="F42" s="3253">
        <f t="shared" si="2"/>
        <v>6411.9</v>
      </c>
      <c r="G42" s="1350"/>
      <c r="H42" s="1366"/>
      <c r="I42" s="1387" t="s">
        <v>213</v>
      </c>
      <c r="J42" s="1388"/>
      <c r="K42" s="1389"/>
      <c r="L42" s="1410">
        <v>0</v>
      </c>
      <c r="M42" s="1356">
        <v>0</v>
      </c>
      <c r="N42" s="1356">
        <v>0</v>
      </c>
      <c r="O42" s="1367">
        <v>0</v>
      </c>
      <c r="P42" s="1411">
        <v>0</v>
      </c>
      <c r="Q42" s="1411">
        <v>0</v>
      </c>
      <c r="R42" s="1412">
        <v>0</v>
      </c>
      <c r="S42" s="1350"/>
      <c r="T42" s="4056"/>
      <c r="U42" s="3535"/>
    </row>
    <row r="43" spans="2:21">
      <c r="B43" s="3230"/>
      <c r="C43" s="3219" t="s">
        <v>797</v>
      </c>
      <c r="D43" s="3517">
        <v>6411.9</v>
      </c>
      <c r="E43" s="3517">
        <v>6411.9</v>
      </c>
      <c r="F43" s="3253">
        <f t="shared" si="2"/>
        <v>12823.8</v>
      </c>
      <c r="G43" s="1350"/>
      <c r="H43" s="1366"/>
      <c r="I43" s="1387" t="s">
        <v>214</v>
      </c>
      <c r="J43" s="1388"/>
      <c r="K43" s="1389"/>
      <c r="L43" s="1410">
        <v>0</v>
      </c>
      <c r="M43" s="1356">
        <v>0</v>
      </c>
      <c r="N43" s="1356">
        <v>0</v>
      </c>
      <c r="O43" s="1367">
        <v>0</v>
      </c>
      <c r="P43" s="1411">
        <v>0</v>
      </c>
      <c r="Q43" s="1411">
        <v>0</v>
      </c>
      <c r="R43" s="1412">
        <v>0</v>
      </c>
      <c r="S43" s="1350"/>
      <c r="T43" s="4056"/>
      <c r="U43" s="3535"/>
    </row>
    <row r="44" spans="2:21" ht="13.5" thickBot="1">
      <c r="B44" s="3230"/>
      <c r="C44" s="3219" t="s">
        <v>798</v>
      </c>
      <c r="D44" s="3517">
        <v>3205.95</v>
      </c>
      <c r="E44" s="3517">
        <v>3205.95</v>
      </c>
      <c r="F44" s="3253">
        <f t="shared" si="2"/>
        <v>6411.9</v>
      </c>
      <c r="G44" s="1350"/>
      <c r="H44" s="1366"/>
      <c r="I44" s="1387" t="s">
        <v>215</v>
      </c>
      <c r="J44" s="1388"/>
      <c r="K44" s="1389"/>
      <c r="L44" s="1410">
        <v>0</v>
      </c>
      <c r="M44" s="1356">
        <v>0</v>
      </c>
      <c r="N44" s="1356">
        <v>0</v>
      </c>
      <c r="O44" s="1367">
        <v>0</v>
      </c>
      <c r="P44" s="1411">
        <v>0</v>
      </c>
      <c r="Q44" s="1411">
        <v>0</v>
      </c>
      <c r="R44" s="1412">
        <v>0</v>
      </c>
      <c r="S44" s="1350"/>
      <c r="T44" s="4056"/>
      <c r="U44" s="3535"/>
    </row>
    <row r="45" spans="2:21" ht="13.5" thickBot="1">
      <c r="B45" s="3228">
        <v>2000</v>
      </c>
      <c r="C45" s="3225" t="s">
        <v>147</v>
      </c>
      <c r="D45" s="3226">
        <f>SUM(D46:D49)</f>
        <v>21054</v>
      </c>
      <c r="E45" s="3255">
        <f>SUM(E46:E49)</f>
        <v>21054</v>
      </c>
      <c r="F45" s="3227">
        <f t="shared" si="2"/>
        <v>42108</v>
      </c>
      <c r="G45" s="1350"/>
      <c r="H45" s="1366"/>
      <c r="I45" s="1387" t="s">
        <v>216</v>
      </c>
      <c r="J45" s="1388"/>
      <c r="K45" s="1389"/>
      <c r="L45" s="1410">
        <v>0</v>
      </c>
      <c r="M45" s="1356">
        <v>0</v>
      </c>
      <c r="N45" s="1356">
        <v>0</v>
      </c>
      <c r="O45" s="1367">
        <v>0</v>
      </c>
      <c r="P45" s="1411">
        <v>0</v>
      </c>
      <c r="Q45" s="1411">
        <v>0</v>
      </c>
      <c r="R45" s="1412">
        <v>0</v>
      </c>
      <c r="S45" s="1350"/>
      <c r="T45" s="4056"/>
      <c r="U45" s="3535"/>
    </row>
    <row r="46" spans="2:21">
      <c r="B46" s="3230"/>
      <c r="C46" s="3219" t="s">
        <v>799</v>
      </c>
      <c r="D46" s="3518">
        <v>1044</v>
      </c>
      <c r="E46" s="3518">
        <v>1044</v>
      </c>
      <c r="F46" s="3221">
        <f t="shared" si="2"/>
        <v>2088</v>
      </c>
      <c r="G46" s="1350"/>
      <c r="H46" s="1366"/>
      <c r="I46" s="1387" t="s">
        <v>217</v>
      </c>
      <c r="J46" s="1388"/>
      <c r="K46" s="1389"/>
      <c r="L46" s="1410">
        <v>0</v>
      </c>
      <c r="M46" s="1356">
        <v>0</v>
      </c>
      <c r="N46" s="1356">
        <v>0</v>
      </c>
      <c r="O46" s="1367">
        <v>0</v>
      </c>
      <c r="P46" s="1411">
        <v>0</v>
      </c>
      <c r="Q46" s="1411">
        <v>0</v>
      </c>
      <c r="R46" s="1412">
        <v>0</v>
      </c>
      <c r="S46" s="1350"/>
      <c r="T46" s="4056"/>
      <c r="U46" s="3535"/>
    </row>
    <row r="47" spans="2:21">
      <c r="B47" s="3230"/>
      <c r="C47" s="3219" t="s">
        <v>678</v>
      </c>
      <c r="D47" s="3518">
        <v>2610</v>
      </c>
      <c r="E47" s="3518">
        <v>2610</v>
      </c>
      <c r="F47" s="3253">
        <f t="shared" si="2"/>
        <v>5220</v>
      </c>
      <c r="G47" s="1350"/>
      <c r="H47" s="1366"/>
      <c r="I47" s="1387" t="s">
        <v>218</v>
      </c>
      <c r="J47" s="1388"/>
      <c r="K47" s="1389"/>
      <c r="L47" s="1410">
        <v>0</v>
      </c>
      <c r="M47" s="1356">
        <v>0</v>
      </c>
      <c r="N47" s="1356">
        <v>0</v>
      </c>
      <c r="O47" s="1367">
        <v>0</v>
      </c>
      <c r="P47" s="1411">
        <v>0</v>
      </c>
      <c r="Q47" s="1411">
        <v>0</v>
      </c>
      <c r="R47" s="1412">
        <v>0</v>
      </c>
      <c r="S47" s="1350"/>
      <c r="T47" s="4056"/>
      <c r="U47" s="3535"/>
    </row>
    <row r="48" spans="2:21">
      <c r="B48" s="3230"/>
      <c r="C48" s="3219" t="s">
        <v>988</v>
      </c>
      <c r="D48" s="3518">
        <v>17400</v>
      </c>
      <c r="E48" s="3518">
        <v>17400</v>
      </c>
      <c r="F48" s="3253">
        <f t="shared" si="2"/>
        <v>34800</v>
      </c>
      <c r="G48" s="1350"/>
      <c r="H48" s="1366"/>
      <c r="I48" s="1387" t="s">
        <v>219</v>
      </c>
      <c r="J48" s="1388"/>
      <c r="K48" s="1389"/>
      <c r="L48" s="1410">
        <v>0</v>
      </c>
      <c r="M48" s="1356">
        <v>0</v>
      </c>
      <c r="N48" s="1356">
        <v>0</v>
      </c>
      <c r="O48" s="1367">
        <v>0</v>
      </c>
      <c r="P48" s="1411">
        <v>0</v>
      </c>
      <c r="Q48" s="1411">
        <v>0</v>
      </c>
      <c r="R48" s="1412">
        <v>0</v>
      </c>
      <c r="S48" s="1350"/>
      <c r="T48" s="4056"/>
      <c r="U48" s="3535"/>
    </row>
    <row r="49" spans="2:24" ht="13.5" thickBot="1">
      <c r="B49" s="3230"/>
      <c r="C49" s="3219" t="s">
        <v>142</v>
      </c>
      <c r="D49" s="3222">
        <v>0</v>
      </c>
      <c r="E49" s="3222"/>
      <c r="F49" s="3253">
        <f t="shared" si="2"/>
        <v>0</v>
      </c>
      <c r="G49" s="1350"/>
      <c r="H49" s="1366"/>
      <c r="I49" s="1387" t="s">
        <v>220</v>
      </c>
      <c r="J49" s="1388"/>
      <c r="K49" s="1389"/>
      <c r="L49" s="1410">
        <v>0</v>
      </c>
      <c r="M49" s="1356">
        <v>0</v>
      </c>
      <c r="N49" s="1356">
        <v>0</v>
      </c>
      <c r="O49" s="1367">
        <v>0</v>
      </c>
      <c r="P49" s="1411">
        <v>0</v>
      </c>
      <c r="Q49" s="1411">
        <v>0</v>
      </c>
      <c r="R49" s="1412">
        <v>0</v>
      </c>
      <c r="S49" s="1350"/>
      <c r="T49" s="4056"/>
      <c r="U49" s="3535"/>
    </row>
    <row r="50" spans="2:24" ht="13.5" thickBot="1">
      <c r="B50" s="3228">
        <v>300</v>
      </c>
      <c r="C50" s="3225" t="s">
        <v>148</v>
      </c>
      <c r="D50" s="3226">
        <f>SUM(D51:D54)</f>
        <v>5220</v>
      </c>
      <c r="E50" s="3255">
        <f>SUM(E51:E54)</f>
        <v>5220</v>
      </c>
      <c r="F50" s="3227">
        <f t="shared" si="2"/>
        <v>10440</v>
      </c>
      <c r="G50" s="1350"/>
      <c r="H50" s="1366"/>
      <c r="I50" s="1387" t="s">
        <v>221</v>
      </c>
      <c r="J50" s="1388"/>
      <c r="K50" s="1389"/>
      <c r="L50" s="1410">
        <v>0</v>
      </c>
      <c r="M50" s="1356">
        <v>0</v>
      </c>
      <c r="N50" s="1356">
        <v>0</v>
      </c>
      <c r="O50" s="1367">
        <v>0</v>
      </c>
      <c r="P50" s="1411">
        <v>0</v>
      </c>
      <c r="Q50" s="1411">
        <v>0</v>
      </c>
      <c r="R50" s="1412">
        <v>0</v>
      </c>
      <c r="S50" s="1350"/>
      <c r="T50" s="4056"/>
      <c r="U50" s="3535"/>
    </row>
    <row r="51" spans="2:24">
      <c r="B51" s="3230"/>
      <c r="C51" s="3219" t="s">
        <v>800</v>
      </c>
      <c r="D51" s="3519">
        <v>3045</v>
      </c>
      <c r="E51" s="3519">
        <v>3045</v>
      </c>
      <c r="F51" s="3221">
        <f t="shared" si="2"/>
        <v>6090</v>
      </c>
      <c r="G51" s="1350"/>
      <c r="H51" s="1366"/>
      <c r="I51" s="1387" t="s">
        <v>222</v>
      </c>
      <c r="J51" s="1388"/>
      <c r="K51" s="1389"/>
      <c r="L51" s="1410">
        <v>0</v>
      </c>
      <c r="M51" s="1356">
        <v>0</v>
      </c>
      <c r="N51" s="1356">
        <v>0</v>
      </c>
      <c r="O51" s="1367">
        <v>0</v>
      </c>
      <c r="P51" s="1411">
        <v>0</v>
      </c>
      <c r="Q51" s="1411">
        <v>0</v>
      </c>
      <c r="R51" s="1412">
        <v>0</v>
      </c>
      <c r="S51" s="1350"/>
      <c r="T51" s="4056"/>
      <c r="U51" s="4056"/>
      <c r="V51" s="1350"/>
      <c r="W51" s="1350"/>
      <c r="X51" s="1350"/>
    </row>
    <row r="52" spans="2:24">
      <c r="B52" s="3230"/>
      <c r="C52" s="3219" t="s">
        <v>801</v>
      </c>
      <c r="D52" s="3519">
        <v>2175</v>
      </c>
      <c r="E52" s="3519">
        <v>2175</v>
      </c>
      <c r="F52" s="3253">
        <f t="shared" si="2"/>
        <v>4350</v>
      </c>
      <c r="G52" s="1350"/>
      <c r="H52" s="1366"/>
      <c r="I52" s="1387" t="s">
        <v>223</v>
      </c>
      <c r="J52" s="1388"/>
      <c r="K52" s="1389"/>
      <c r="L52" s="1410">
        <v>0</v>
      </c>
      <c r="M52" s="1356">
        <v>0</v>
      </c>
      <c r="N52" s="1356">
        <v>0</v>
      </c>
      <c r="O52" s="1367">
        <v>0</v>
      </c>
      <c r="P52" s="1411">
        <v>0</v>
      </c>
      <c r="Q52" s="1411">
        <v>0</v>
      </c>
      <c r="R52" s="1412">
        <v>0</v>
      </c>
      <c r="S52" s="1350"/>
      <c r="T52" s="4056"/>
      <c r="U52" s="4056"/>
      <c r="V52" s="1350"/>
      <c r="W52" s="1350"/>
      <c r="X52" s="1350"/>
    </row>
    <row r="53" spans="2:24">
      <c r="B53" s="3230"/>
      <c r="C53" s="3219" t="s">
        <v>141</v>
      </c>
      <c r="D53" s="3222">
        <v>0</v>
      </c>
      <c r="E53" s="3222"/>
      <c r="F53" s="3253">
        <f t="shared" si="2"/>
        <v>0</v>
      </c>
      <c r="G53" s="1350"/>
      <c r="H53" s="1366"/>
      <c r="I53" s="1387" t="s">
        <v>224</v>
      </c>
      <c r="J53" s="1388"/>
      <c r="K53" s="1389"/>
      <c r="L53" s="1410">
        <v>0</v>
      </c>
      <c r="M53" s="1356">
        <v>0</v>
      </c>
      <c r="N53" s="1356">
        <v>0</v>
      </c>
      <c r="O53" s="1367">
        <v>0</v>
      </c>
      <c r="P53" s="1411">
        <v>0</v>
      </c>
      <c r="Q53" s="1411">
        <v>0</v>
      </c>
      <c r="R53" s="1412">
        <v>0</v>
      </c>
      <c r="S53" s="1350"/>
      <c r="T53" s="4056"/>
      <c r="U53" s="4056"/>
      <c r="V53" s="1350"/>
      <c r="W53" s="1350"/>
      <c r="X53" s="1350"/>
    </row>
    <row r="54" spans="2:24" ht="13.5" thickBot="1">
      <c r="B54" s="3230"/>
      <c r="C54" s="3219" t="s">
        <v>142</v>
      </c>
      <c r="D54" s="3222">
        <v>0</v>
      </c>
      <c r="E54" s="3222"/>
      <c r="F54" s="3253">
        <f t="shared" si="2"/>
        <v>0</v>
      </c>
      <c r="G54" s="1350"/>
      <c r="H54" s="1350"/>
      <c r="I54" s="1387" t="s">
        <v>225</v>
      </c>
      <c r="J54" s="1388"/>
      <c r="K54" s="1389"/>
      <c r="L54" s="1410">
        <v>0</v>
      </c>
      <c r="M54" s="1356">
        <v>0</v>
      </c>
      <c r="N54" s="1356">
        <v>0</v>
      </c>
      <c r="O54" s="1367">
        <v>0</v>
      </c>
      <c r="P54" s="1411">
        <v>0</v>
      </c>
      <c r="Q54" s="1411">
        <v>0</v>
      </c>
      <c r="R54" s="1412">
        <v>0</v>
      </c>
      <c r="S54" s="1350"/>
      <c r="T54" s="4056"/>
      <c r="U54" s="4056"/>
      <c r="V54" s="1350"/>
      <c r="W54" s="1350"/>
      <c r="X54" s="1350"/>
    </row>
    <row r="55" spans="2:24" ht="13.5" thickBot="1">
      <c r="B55" s="3228">
        <v>15000</v>
      </c>
      <c r="C55" s="3225" t="s">
        <v>149</v>
      </c>
      <c r="D55" s="3226">
        <v>0</v>
      </c>
      <c r="E55" s="3226">
        <v>0</v>
      </c>
      <c r="F55" s="3227">
        <v>0</v>
      </c>
      <c r="G55" s="1350"/>
      <c r="H55" s="1350"/>
      <c r="I55" s="1387" t="s">
        <v>226</v>
      </c>
      <c r="J55" s="1388"/>
      <c r="K55" s="1389"/>
      <c r="L55" s="1410">
        <v>0</v>
      </c>
      <c r="M55" s="1356">
        <v>0</v>
      </c>
      <c r="N55" s="1356">
        <v>0</v>
      </c>
      <c r="O55" s="1367">
        <v>0</v>
      </c>
      <c r="P55" s="1411">
        <v>0</v>
      </c>
      <c r="Q55" s="1411">
        <v>0</v>
      </c>
      <c r="R55" s="1412">
        <v>0</v>
      </c>
      <c r="S55" s="1350"/>
      <c r="T55" s="4056"/>
      <c r="U55" s="4056"/>
      <c r="V55" s="1350"/>
      <c r="W55" s="1350"/>
      <c r="X55" s="1350"/>
    </row>
    <row r="56" spans="2:24">
      <c r="B56" s="3230"/>
      <c r="C56" s="3219"/>
      <c r="D56" s="3222">
        <v>0</v>
      </c>
      <c r="E56" s="3222"/>
      <c r="F56" s="3221">
        <v>0</v>
      </c>
      <c r="G56" s="1350"/>
      <c r="H56" s="1350"/>
      <c r="I56" s="1350"/>
      <c r="J56" s="1350"/>
      <c r="K56" s="1350"/>
      <c r="L56" s="1350"/>
      <c r="M56" s="1350"/>
      <c r="N56" s="1350"/>
      <c r="O56" s="1350"/>
      <c r="P56" s="1413">
        <v>0</v>
      </c>
      <c r="Q56" s="1413">
        <v>0</v>
      </c>
      <c r="R56" s="1413">
        <v>0</v>
      </c>
      <c r="S56" s="1350"/>
      <c r="T56" s="4899"/>
      <c r="U56" s="4056"/>
      <c r="V56" s="1350"/>
      <c r="W56" s="1350"/>
      <c r="X56" s="1350"/>
    </row>
    <row r="57" spans="2:24">
      <c r="B57" s="3230"/>
      <c r="C57" s="3219" t="s">
        <v>140</v>
      </c>
      <c r="D57" s="3222">
        <v>0</v>
      </c>
      <c r="E57" s="3222"/>
      <c r="F57" s="3221">
        <v>0</v>
      </c>
      <c r="G57" s="1350"/>
      <c r="H57" s="1350"/>
      <c r="I57" s="1350"/>
      <c r="J57" s="1350"/>
      <c r="K57" s="1350"/>
      <c r="L57" s="1350"/>
      <c r="M57" s="1350"/>
      <c r="N57" s="1350"/>
      <c r="O57" s="1350"/>
      <c r="P57" s="1350"/>
      <c r="Q57" s="1350"/>
      <c r="R57" s="1350"/>
      <c r="S57" s="1350"/>
      <c r="T57" s="4056"/>
      <c r="U57" s="4056"/>
      <c r="V57" s="1350"/>
      <c r="W57" s="1350"/>
      <c r="X57" s="1350"/>
    </row>
    <row r="58" spans="2:24">
      <c r="B58" s="3230"/>
      <c r="C58" s="3219" t="s">
        <v>141</v>
      </c>
      <c r="D58" s="3222">
        <v>0</v>
      </c>
      <c r="E58" s="3222"/>
      <c r="F58" s="3221">
        <v>0</v>
      </c>
      <c r="G58" s="1375" t="s">
        <v>151</v>
      </c>
      <c r="H58" s="1350"/>
      <c r="I58" s="1350"/>
      <c r="J58" s="1350"/>
      <c r="K58" s="1350"/>
      <c r="L58" s="1350"/>
      <c r="M58" s="1350"/>
      <c r="N58" s="1350"/>
      <c r="O58" s="1350"/>
      <c r="P58" s="1350"/>
      <c r="Q58" s="1350"/>
      <c r="R58" s="1350"/>
      <c r="S58" s="1350"/>
      <c r="T58" s="1350"/>
      <c r="U58" s="1350"/>
      <c r="V58" s="1350"/>
      <c r="W58" s="1350"/>
      <c r="X58" s="1350"/>
    </row>
    <row r="59" spans="2:24" ht="13.5" thickBot="1">
      <c r="B59" s="3230"/>
      <c r="C59" s="3219" t="s">
        <v>142</v>
      </c>
      <c r="D59" s="3222">
        <v>0</v>
      </c>
      <c r="E59" s="3222"/>
      <c r="F59" s="3221">
        <v>0</v>
      </c>
      <c r="G59" s="1350"/>
      <c r="H59" s="1350"/>
      <c r="I59" s="3502"/>
      <c r="J59" s="3502"/>
      <c r="K59" s="3502"/>
      <c r="L59" s="3502"/>
      <c r="M59" s="3502"/>
      <c r="N59" s="3502"/>
      <c r="O59" s="3502"/>
      <c r="P59" s="3502"/>
      <c r="Q59" s="3502"/>
      <c r="R59" s="3502"/>
      <c r="S59" s="3502"/>
      <c r="T59" s="3502"/>
      <c r="U59" s="3502"/>
      <c r="V59" s="3502"/>
      <c r="W59" s="3502"/>
      <c r="X59" s="3502"/>
    </row>
    <row r="60" spans="2:24" ht="13.5" thickBot="1">
      <c r="B60" s="3228">
        <v>0</v>
      </c>
      <c r="C60" s="3225" t="s">
        <v>150</v>
      </c>
      <c r="D60" s="3226">
        <v>0</v>
      </c>
      <c r="E60" s="3226">
        <v>0</v>
      </c>
      <c r="F60" s="3227">
        <v>0</v>
      </c>
      <c r="G60" s="1350"/>
      <c r="H60" s="1350"/>
      <c r="I60" s="1350"/>
      <c r="J60" s="1350"/>
      <c r="K60" s="1350"/>
      <c r="L60" s="1350"/>
      <c r="M60" s="1350"/>
      <c r="N60" s="1350"/>
      <c r="O60" s="1350"/>
      <c r="P60" s="1350"/>
      <c r="Q60" s="1350"/>
      <c r="R60" s="1350"/>
      <c r="S60" s="1350"/>
      <c r="T60" s="1350"/>
      <c r="U60" s="1350"/>
      <c r="V60" s="1350"/>
      <c r="W60" s="1350"/>
      <c r="X60" s="1350"/>
    </row>
    <row r="61" spans="2:24" ht="13.5" thickBot="1">
      <c r="B61" s="3228">
        <v>0</v>
      </c>
      <c r="C61" s="3225" t="s">
        <v>152</v>
      </c>
      <c r="D61" s="3226">
        <v>0</v>
      </c>
      <c r="E61" s="3226">
        <v>0</v>
      </c>
      <c r="F61" s="3227">
        <v>0</v>
      </c>
      <c r="G61" s="1350"/>
      <c r="H61" s="1350"/>
      <c r="I61" s="3503"/>
      <c r="J61" s="3503"/>
      <c r="K61" s="3503"/>
      <c r="L61" s="3503"/>
      <c r="M61" s="3503"/>
      <c r="N61" s="3503"/>
      <c r="O61" s="3503"/>
      <c r="P61" s="3503"/>
      <c r="Q61" s="3503"/>
      <c r="R61" s="3503"/>
      <c r="S61" s="3503"/>
      <c r="T61" s="3503"/>
      <c r="U61" s="3503"/>
      <c r="V61" s="3503"/>
      <c r="W61" s="3503"/>
      <c r="X61" s="3503"/>
    </row>
    <row r="62" spans="2:24">
      <c r="B62" s="3224">
        <v>599934</v>
      </c>
      <c r="C62" s="3218" t="s">
        <v>153</v>
      </c>
      <c r="D62" s="3224">
        <f>D14+D25+D30+D35+D40+D45+D50+D55+D60+D61</f>
        <v>1036907.4435999999</v>
      </c>
      <c r="E62" s="3242">
        <f>E14+E25+E30+E35+E40+E45+E50+E55+E60+E61</f>
        <v>1083272.2020399999</v>
      </c>
      <c r="F62" s="3242">
        <f>F14+F25+F30+F35+F40+F45+F50+F55+F60+F61</f>
        <v>2120179.6456399998</v>
      </c>
      <c r="G62" s="1350"/>
      <c r="H62" s="3502"/>
      <c r="I62" s="3503"/>
      <c r="J62" s="3503"/>
      <c r="K62" s="3503"/>
      <c r="L62" s="3503"/>
      <c r="M62" s="3503"/>
      <c r="N62" s="3503"/>
      <c r="O62" s="3503"/>
      <c r="P62" s="3503"/>
      <c r="Q62" s="3503"/>
      <c r="R62" s="3503"/>
      <c r="S62" s="3503"/>
      <c r="T62" s="3503"/>
      <c r="U62" s="3503"/>
      <c r="V62" s="3503"/>
      <c r="W62" s="3503"/>
      <c r="X62" s="3503"/>
    </row>
    <row r="63" spans="2:24">
      <c r="B63" s="1350"/>
      <c r="C63" s="1351" t="s">
        <v>155</v>
      </c>
      <c r="D63" s="1352">
        <v>0</v>
      </c>
      <c r="E63" s="1352">
        <v>0</v>
      </c>
      <c r="F63" s="1352">
        <v>0</v>
      </c>
      <c r="G63" s="1421">
        <v>0</v>
      </c>
      <c r="H63" s="1422" t="s">
        <v>156</v>
      </c>
      <c r="I63" s="3503"/>
      <c r="J63" s="3503"/>
      <c r="K63" s="3503"/>
      <c r="L63" s="3503"/>
      <c r="M63" s="3503"/>
      <c r="N63" s="3503"/>
      <c r="O63" s="3503"/>
      <c r="P63" s="3503"/>
      <c r="Q63" s="3503"/>
      <c r="R63" s="3503"/>
      <c r="S63" s="3503"/>
      <c r="T63" s="3503"/>
      <c r="U63" s="3503"/>
      <c r="V63" s="3503"/>
      <c r="W63" s="3503"/>
      <c r="X63" s="3503"/>
    </row>
    <row r="64" spans="2:24">
      <c r="B64" s="1350"/>
      <c r="C64" s="3482"/>
      <c r="D64" s="3483"/>
      <c r="E64" s="3483"/>
      <c r="F64" s="3483"/>
      <c r="G64" s="3484"/>
      <c r="H64" s="3482"/>
      <c r="I64" s="1350"/>
      <c r="J64" s="1350"/>
      <c r="K64" s="1350"/>
      <c r="L64" s="1350"/>
      <c r="M64" s="1350"/>
      <c r="N64" s="1350"/>
      <c r="O64" s="1350"/>
      <c r="P64" s="1350"/>
      <c r="Q64" s="1350"/>
      <c r="R64" s="1350"/>
      <c r="S64" s="1350"/>
      <c r="T64" s="1350"/>
      <c r="U64" s="1350"/>
      <c r="V64" s="1350"/>
      <c r="W64" s="1350"/>
      <c r="X64" s="1350"/>
    </row>
    <row r="65" spans="2:24" ht="13.5" thickBot="1">
      <c r="B65" s="3502"/>
      <c r="C65" s="3482"/>
      <c r="D65" s="3483"/>
      <c r="E65" s="3483"/>
      <c r="F65" s="3483"/>
      <c r="G65" s="3484"/>
      <c r="H65" s="3482"/>
      <c r="I65" s="1350"/>
      <c r="J65" s="1350"/>
      <c r="K65" s="1397"/>
      <c r="L65" s="1350"/>
      <c r="M65" s="1350"/>
      <c r="N65" s="1350"/>
      <c r="O65" s="1350"/>
      <c r="P65" s="1350"/>
      <c r="Q65" s="1350"/>
      <c r="R65" s="1350"/>
      <c r="S65" s="1350"/>
      <c r="T65" s="1350"/>
      <c r="U65" s="1350"/>
      <c r="V65" s="1350"/>
      <c r="W65" s="1350"/>
      <c r="X65" s="1350"/>
    </row>
    <row r="66" spans="2:24" ht="16.5" thickBot="1">
      <c r="B66" s="3502"/>
      <c r="C66" s="3482"/>
      <c r="D66" s="3483"/>
      <c r="E66" s="3483"/>
      <c r="F66" s="3483"/>
      <c r="G66" s="3484"/>
      <c r="H66" s="3482"/>
      <c r="I66" s="3215"/>
      <c r="J66" s="3215"/>
      <c r="K66" s="3216"/>
      <c r="L66" s="5153" t="s">
        <v>160</v>
      </c>
      <c r="M66" s="5154"/>
      <c r="N66" s="5154"/>
      <c r="O66" s="5154"/>
      <c r="P66" s="5154"/>
      <c r="Q66" s="5154"/>
      <c r="R66" s="5155"/>
      <c r="S66" s="5153" t="s">
        <v>161</v>
      </c>
      <c r="T66" s="5154"/>
      <c r="U66" s="5155"/>
      <c r="V66" s="5153" t="s">
        <v>110</v>
      </c>
      <c r="W66" s="5154"/>
      <c r="X66" s="5155"/>
    </row>
    <row r="67" spans="2:24" ht="13.5" thickBot="1">
      <c r="B67" s="3502"/>
      <c r="C67" s="1350"/>
      <c r="D67" s="1350"/>
      <c r="E67" s="1350"/>
      <c r="F67" s="1350"/>
      <c r="G67" s="1350"/>
      <c r="H67" s="1350"/>
      <c r="I67" s="1358" t="s">
        <v>167</v>
      </c>
      <c r="J67" s="1358" t="s">
        <v>168</v>
      </c>
      <c r="K67" s="1359" t="s">
        <v>169</v>
      </c>
      <c r="L67" s="1414" t="s">
        <v>170</v>
      </c>
      <c r="M67" s="1415" t="s">
        <v>171</v>
      </c>
      <c r="N67" s="1376" t="s">
        <v>802</v>
      </c>
      <c r="O67" s="1376" t="s">
        <v>803</v>
      </c>
      <c r="P67" s="1416" t="s">
        <v>804</v>
      </c>
      <c r="Q67" s="1416" t="s">
        <v>805</v>
      </c>
      <c r="R67" s="1383" t="s">
        <v>806</v>
      </c>
      <c r="S67" s="1364" t="s">
        <v>177</v>
      </c>
      <c r="T67" s="1364" t="s">
        <v>178</v>
      </c>
      <c r="U67" s="1365" t="s">
        <v>179</v>
      </c>
      <c r="V67" s="1364" t="s">
        <v>115</v>
      </c>
      <c r="W67" s="1364" t="s">
        <v>12</v>
      </c>
      <c r="X67" s="1365" t="s">
        <v>116</v>
      </c>
    </row>
    <row r="68" spans="2:24" ht="16.5" thickBot="1">
      <c r="B68" s="1385" t="s">
        <v>157</v>
      </c>
      <c r="C68" s="1386"/>
      <c r="D68" s="3217" t="s">
        <v>158</v>
      </c>
      <c r="E68" s="3213"/>
      <c r="F68" s="3213"/>
      <c r="G68" s="3213"/>
      <c r="H68" s="3213"/>
      <c r="I68" s="1420">
        <v>0</v>
      </c>
      <c r="J68" s="1356">
        <v>0</v>
      </c>
      <c r="K68" s="1356"/>
      <c r="L68" s="1377" t="e">
        <v>#N/A</v>
      </c>
      <c r="M68" s="1377" t="e">
        <v>#N/A</v>
      </c>
      <c r="N68" s="1417" t="e">
        <v>#DIV/0!</v>
      </c>
      <c r="O68" s="1417" t="e">
        <v>#DIV/0!</v>
      </c>
      <c r="P68" s="1417" t="e">
        <v>#N/A</v>
      </c>
      <c r="Q68" s="1417" t="e">
        <v>#N/A</v>
      </c>
      <c r="R68" s="1417" t="e">
        <v>#N/A</v>
      </c>
      <c r="S68" s="1370">
        <v>0</v>
      </c>
      <c r="T68" s="1370">
        <v>0</v>
      </c>
      <c r="U68" s="1370">
        <v>0</v>
      </c>
      <c r="V68" s="1423" t="e">
        <v>#DIV/0!</v>
      </c>
      <c r="W68" s="1423" t="e">
        <v>#DIV/0!</v>
      </c>
      <c r="X68" s="1423" t="e">
        <v>#DIV/0!</v>
      </c>
    </row>
    <row r="69" spans="2:24" ht="16.5" thickBot="1">
      <c r="B69" s="3214" t="s">
        <v>159</v>
      </c>
      <c r="C69" s="3215"/>
      <c r="D69" s="3215"/>
      <c r="E69" s="3215"/>
      <c r="F69" s="3215"/>
      <c r="G69" s="3215"/>
      <c r="H69" s="3215"/>
      <c r="I69" s="1420">
        <v>0</v>
      </c>
      <c r="J69" s="1356">
        <v>0</v>
      </c>
      <c r="K69" s="1356"/>
      <c r="L69" s="1377" t="e">
        <v>#N/A</v>
      </c>
      <c r="M69" s="1377" t="e">
        <v>#N/A</v>
      </c>
      <c r="N69" s="1417" t="e">
        <v>#DIV/0!</v>
      </c>
      <c r="O69" s="1417" t="e">
        <v>#DIV/0!</v>
      </c>
      <c r="P69" s="1417" t="e">
        <v>#N/A</v>
      </c>
      <c r="Q69" s="1417" t="e">
        <v>#N/A</v>
      </c>
      <c r="R69" s="1417" t="e">
        <v>#N/A</v>
      </c>
      <c r="S69" s="1370">
        <v>0</v>
      </c>
      <c r="T69" s="1370">
        <v>0</v>
      </c>
      <c r="U69" s="1370">
        <v>0</v>
      </c>
      <c r="V69" s="1423" t="e">
        <v>#DIV/0!</v>
      </c>
      <c r="W69" s="1423" t="e">
        <v>#DIV/0!</v>
      </c>
      <c r="X69" s="1423" t="e">
        <v>#DIV/0!</v>
      </c>
    </row>
    <row r="70" spans="2:24" ht="13.5" thickBot="1">
      <c r="B70" s="1357" t="s">
        <v>162</v>
      </c>
      <c r="C70" s="1358" t="s">
        <v>129</v>
      </c>
      <c r="D70" s="1358" t="s">
        <v>130</v>
      </c>
      <c r="E70" s="1358" t="s">
        <v>163</v>
      </c>
      <c r="F70" s="1358" t="s">
        <v>164</v>
      </c>
      <c r="G70" s="1358" t="s">
        <v>165</v>
      </c>
      <c r="H70" s="1358" t="s">
        <v>166</v>
      </c>
      <c r="I70" s="1420">
        <v>0</v>
      </c>
      <c r="J70" s="1356">
        <v>0</v>
      </c>
      <c r="K70" s="1356"/>
      <c r="L70" s="1377" t="e">
        <v>#N/A</v>
      </c>
      <c r="M70" s="1377" t="e">
        <v>#N/A</v>
      </c>
      <c r="N70" s="1417" t="e">
        <v>#DIV/0!</v>
      </c>
      <c r="O70" s="1417" t="e">
        <v>#DIV/0!</v>
      </c>
      <c r="P70" s="1417" t="e">
        <v>#N/A</v>
      </c>
      <c r="Q70" s="1417" t="e">
        <v>#N/A</v>
      </c>
      <c r="R70" s="1417" t="e">
        <v>#N/A</v>
      </c>
      <c r="S70" s="1370">
        <v>0</v>
      </c>
      <c r="T70" s="1370">
        <v>0</v>
      </c>
      <c r="U70" s="1370">
        <v>0</v>
      </c>
      <c r="V70" s="1423" t="e">
        <v>#DIV/0!</v>
      </c>
      <c r="W70" s="1423" t="e">
        <v>#DIV/0!</v>
      </c>
      <c r="X70" s="1423" t="e">
        <v>#DIV/0!</v>
      </c>
    </row>
    <row r="71" spans="2:24">
      <c r="B71" s="1356"/>
      <c r="C71" s="1354" t="s">
        <v>368</v>
      </c>
      <c r="D71" s="1356">
        <v>0</v>
      </c>
      <c r="E71" s="1356" t="s">
        <v>559</v>
      </c>
      <c r="F71" s="1354" t="s">
        <v>186</v>
      </c>
      <c r="G71" s="1361">
        <v>0</v>
      </c>
      <c r="H71" s="1361">
        <v>0</v>
      </c>
      <c r="I71" s="1420">
        <v>0</v>
      </c>
      <c r="J71" s="1356">
        <v>0</v>
      </c>
      <c r="K71" s="1356"/>
      <c r="L71" s="1377" t="e">
        <v>#N/A</v>
      </c>
      <c r="M71" s="1377" t="e">
        <v>#N/A</v>
      </c>
      <c r="N71" s="1417" t="e">
        <v>#DIV/0!</v>
      </c>
      <c r="O71" s="1417" t="e">
        <v>#DIV/0!</v>
      </c>
      <c r="P71" s="1417" t="e">
        <v>#N/A</v>
      </c>
      <c r="Q71" s="1417" t="e">
        <v>#N/A</v>
      </c>
      <c r="R71" s="1417" t="e">
        <v>#N/A</v>
      </c>
      <c r="S71" s="1370">
        <v>0</v>
      </c>
      <c r="T71" s="1370">
        <v>0</v>
      </c>
      <c r="U71" s="1370">
        <v>0</v>
      </c>
      <c r="V71" s="1423" t="e">
        <v>#DIV/0!</v>
      </c>
      <c r="W71" s="1423" t="e">
        <v>#DIV/0!</v>
      </c>
      <c r="X71" s="1423" t="e">
        <v>#DIV/0!</v>
      </c>
    </row>
    <row r="72" spans="2:24">
      <c r="B72" s="1354"/>
      <c r="C72" s="1354" t="s">
        <v>369</v>
      </c>
      <c r="D72" s="1354">
        <v>0</v>
      </c>
      <c r="E72" s="1354" t="s">
        <v>559</v>
      </c>
      <c r="F72" s="1354" t="s">
        <v>186</v>
      </c>
      <c r="G72" s="1361">
        <v>0</v>
      </c>
      <c r="H72" s="1361">
        <v>0</v>
      </c>
      <c r="I72" s="1420">
        <v>0</v>
      </c>
      <c r="J72" s="1356">
        <v>0</v>
      </c>
      <c r="K72" s="1356"/>
      <c r="L72" s="1377" t="e">
        <v>#N/A</v>
      </c>
      <c r="M72" s="1377" t="e">
        <v>#N/A</v>
      </c>
      <c r="N72" s="1417" t="e">
        <v>#DIV/0!</v>
      </c>
      <c r="O72" s="1417" t="e">
        <v>#DIV/0!</v>
      </c>
      <c r="P72" s="1417" t="e">
        <v>#N/A</v>
      </c>
      <c r="Q72" s="1417" t="e">
        <v>#N/A</v>
      </c>
      <c r="R72" s="1417" t="e">
        <v>#N/A</v>
      </c>
      <c r="S72" s="1370">
        <v>0</v>
      </c>
      <c r="T72" s="1370">
        <v>0</v>
      </c>
      <c r="U72" s="1370">
        <v>0</v>
      </c>
      <c r="V72" s="1423" t="e">
        <v>#DIV/0!</v>
      </c>
      <c r="W72" s="1423" t="e">
        <v>#DIV/0!</v>
      </c>
      <c r="X72" s="1423" t="e">
        <v>#DIV/0!</v>
      </c>
    </row>
    <row r="73" spans="2:24">
      <c r="B73" s="1354"/>
      <c r="C73" s="1354" t="s">
        <v>370</v>
      </c>
      <c r="D73" s="1354">
        <v>0</v>
      </c>
      <c r="E73" s="1354" t="s">
        <v>559</v>
      </c>
      <c r="F73" s="1354" t="s">
        <v>186</v>
      </c>
      <c r="G73" s="1361">
        <v>0</v>
      </c>
      <c r="H73" s="1361">
        <v>0</v>
      </c>
      <c r="I73" s="1420">
        <v>0</v>
      </c>
      <c r="J73" s="1356">
        <v>0</v>
      </c>
      <c r="K73" s="1356"/>
      <c r="L73" s="1377" t="e">
        <v>#N/A</v>
      </c>
      <c r="M73" s="1377" t="e">
        <v>#N/A</v>
      </c>
      <c r="N73" s="1417" t="e">
        <v>#DIV/0!</v>
      </c>
      <c r="O73" s="1417" t="e">
        <v>#DIV/0!</v>
      </c>
      <c r="P73" s="1417" t="e">
        <v>#N/A</v>
      </c>
      <c r="Q73" s="1417" t="e">
        <v>#N/A</v>
      </c>
      <c r="R73" s="1417" t="e">
        <v>#N/A</v>
      </c>
      <c r="S73" s="1370">
        <v>0</v>
      </c>
      <c r="T73" s="1370">
        <v>0</v>
      </c>
      <c r="U73" s="1370">
        <v>0</v>
      </c>
      <c r="V73" s="1423" t="e">
        <v>#DIV/0!</v>
      </c>
      <c r="W73" s="1423" t="e">
        <v>#DIV/0!</v>
      </c>
      <c r="X73" s="1423" t="e">
        <v>#DIV/0!</v>
      </c>
    </row>
    <row r="74" spans="2:24">
      <c r="B74" s="1354"/>
      <c r="C74" s="1354" t="s">
        <v>188</v>
      </c>
      <c r="D74" s="1354">
        <v>0</v>
      </c>
      <c r="E74" s="1354" t="s">
        <v>559</v>
      </c>
      <c r="F74" s="1354" t="s">
        <v>186</v>
      </c>
      <c r="G74" s="1361">
        <v>0</v>
      </c>
      <c r="H74" s="1361">
        <v>0</v>
      </c>
      <c r="I74" s="1368">
        <v>0</v>
      </c>
      <c r="J74" s="1356">
        <v>0</v>
      </c>
      <c r="K74" s="1356"/>
      <c r="L74" s="1377" t="e">
        <v>#N/A</v>
      </c>
      <c r="M74" s="1377" t="e">
        <v>#N/A</v>
      </c>
      <c r="N74" s="1417" t="e">
        <v>#DIV/0!</v>
      </c>
      <c r="O74" s="1417" t="e">
        <v>#DIV/0!</v>
      </c>
      <c r="P74" s="1417" t="e">
        <v>#N/A</v>
      </c>
      <c r="Q74" s="1417" t="e">
        <v>#N/A</v>
      </c>
      <c r="R74" s="1417" t="e">
        <v>#N/A</v>
      </c>
      <c r="S74" s="1370">
        <v>0</v>
      </c>
      <c r="T74" s="1370">
        <v>0</v>
      </c>
      <c r="U74" s="1370">
        <v>0</v>
      </c>
      <c r="V74" s="1423" t="e">
        <v>#DIV/0!</v>
      </c>
      <c r="W74" s="1423" t="e">
        <v>#DIV/0!</v>
      </c>
      <c r="X74" s="1423" t="e">
        <v>#DIV/0!</v>
      </c>
    </row>
    <row r="75" spans="2:24">
      <c r="B75" s="1354"/>
      <c r="C75" s="1354" t="s">
        <v>189</v>
      </c>
      <c r="D75" s="1354">
        <v>0</v>
      </c>
      <c r="E75" s="1354" t="s">
        <v>559</v>
      </c>
      <c r="F75" s="1354" t="s">
        <v>186</v>
      </c>
      <c r="G75" s="1361">
        <v>0</v>
      </c>
      <c r="H75" s="1361">
        <v>0</v>
      </c>
      <c r="I75" s="1368">
        <v>0</v>
      </c>
      <c r="J75" s="1356"/>
      <c r="K75" s="1356"/>
      <c r="L75" s="1377" t="e">
        <v>#N/A</v>
      </c>
      <c r="M75" s="1377" t="e">
        <v>#N/A</v>
      </c>
      <c r="N75" s="1417" t="e">
        <v>#DIV/0!</v>
      </c>
      <c r="O75" s="1417" t="e">
        <v>#DIV/0!</v>
      </c>
      <c r="P75" s="1417" t="e">
        <v>#N/A</v>
      </c>
      <c r="Q75" s="1417" t="e">
        <v>#N/A</v>
      </c>
      <c r="R75" s="1417" t="e">
        <v>#N/A</v>
      </c>
      <c r="S75" s="1370">
        <v>0</v>
      </c>
      <c r="T75" s="1370">
        <v>0</v>
      </c>
      <c r="U75" s="1370">
        <v>0</v>
      </c>
      <c r="V75" s="1423" t="e">
        <v>#DIV/0!</v>
      </c>
      <c r="W75" s="1423" t="e">
        <v>#DIV/0!</v>
      </c>
      <c r="X75" s="1423" t="e">
        <v>#DIV/0!</v>
      </c>
    </row>
    <row r="76" spans="2:24">
      <c r="B76" s="1354"/>
      <c r="C76" s="1354" t="s">
        <v>190</v>
      </c>
      <c r="D76" s="1354">
        <v>0</v>
      </c>
      <c r="E76" s="1354" t="s">
        <v>559</v>
      </c>
      <c r="F76" s="1354" t="s">
        <v>186</v>
      </c>
      <c r="G76" s="1361">
        <v>0</v>
      </c>
      <c r="H76" s="1361">
        <v>0</v>
      </c>
      <c r="I76" s="1368">
        <v>0</v>
      </c>
      <c r="J76" s="1356"/>
      <c r="K76" s="1356"/>
      <c r="L76" s="1377" t="e">
        <v>#N/A</v>
      </c>
      <c r="M76" s="1377" t="e">
        <v>#N/A</v>
      </c>
      <c r="N76" s="1417" t="e">
        <v>#DIV/0!</v>
      </c>
      <c r="O76" s="1417" t="e">
        <v>#DIV/0!</v>
      </c>
      <c r="P76" s="1417" t="e">
        <v>#N/A</v>
      </c>
      <c r="Q76" s="1417" t="e">
        <v>#N/A</v>
      </c>
      <c r="R76" s="1417" t="e">
        <v>#N/A</v>
      </c>
      <c r="S76" s="1370">
        <v>0</v>
      </c>
      <c r="T76" s="1370">
        <v>0</v>
      </c>
      <c r="U76" s="1370">
        <v>0</v>
      </c>
      <c r="V76" s="1423" t="e">
        <v>#DIV/0!</v>
      </c>
      <c r="W76" s="1423" t="e">
        <v>#DIV/0!</v>
      </c>
      <c r="X76" s="1423" t="e">
        <v>#DIV/0!</v>
      </c>
    </row>
    <row r="77" spans="2:24">
      <c r="B77" s="1354"/>
      <c r="C77" s="1354" t="s">
        <v>191</v>
      </c>
      <c r="D77" s="1356">
        <v>0</v>
      </c>
      <c r="E77" s="1354" t="s">
        <v>559</v>
      </c>
      <c r="F77" s="1354" t="s">
        <v>186</v>
      </c>
      <c r="G77" s="1361"/>
      <c r="H77" s="1361"/>
      <c r="I77" s="1368">
        <v>0</v>
      </c>
      <c r="J77" s="1356"/>
      <c r="K77" s="1356"/>
      <c r="L77" s="1377" t="e">
        <v>#N/A</v>
      </c>
      <c r="M77" s="1377" t="e">
        <v>#N/A</v>
      </c>
      <c r="N77" s="1417" t="e">
        <v>#DIV/0!</v>
      </c>
      <c r="O77" s="1417" t="e">
        <v>#DIV/0!</v>
      </c>
      <c r="P77" s="1417" t="e">
        <v>#N/A</v>
      </c>
      <c r="Q77" s="1417" t="e">
        <v>#N/A</v>
      </c>
      <c r="R77" s="1417" t="e">
        <v>#N/A</v>
      </c>
      <c r="S77" s="1370">
        <v>0</v>
      </c>
      <c r="T77" s="1370">
        <v>0</v>
      </c>
      <c r="U77" s="1370">
        <v>0</v>
      </c>
      <c r="V77" s="1423" t="e">
        <v>#DIV/0!</v>
      </c>
      <c r="W77" s="1423" t="e">
        <v>#DIV/0!</v>
      </c>
      <c r="X77" s="1423" t="e">
        <v>#DIV/0!</v>
      </c>
    </row>
    <row r="78" spans="2:24">
      <c r="B78" s="1354"/>
      <c r="C78" s="1354" t="s">
        <v>192</v>
      </c>
      <c r="D78" s="1354">
        <v>0</v>
      </c>
      <c r="E78" s="1354" t="s">
        <v>559</v>
      </c>
      <c r="F78" s="1354" t="s">
        <v>186</v>
      </c>
      <c r="G78" s="1361"/>
      <c r="H78" s="1361"/>
      <c r="I78" s="1368">
        <v>0</v>
      </c>
      <c r="J78" s="1356"/>
      <c r="K78" s="1356"/>
      <c r="L78" s="1377" t="e">
        <v>#N/A</v>
      </c>
      <c r="M78" s="1377" t="e">
        <v>#N/A</v>
      </c>
      <c r="N78" s="1417" t="e">
        <v>#DIV/0!</v>
      </c>
      <c r="O78" s="1417" t="e">
        <v>#DIV/0!</v>
      </c>
      <c r="P78" s="1417" t="e">
        <v>#N/A</v>
      </c>
      <c r="Q78" s="1417" t="e">
        <v>#N/A</v>
      </c>
      <c r="R78" s="1417" t="e">
        <v>#N/A</v>
      </c>
      <c r="S78" s="1370">
        <v>0</v>
      </c>
      <c r="T78" s="1370">
        <v>0</v>
      </c>
      <c r="U78" s="1370">
        <v>0</v>
      </c>
      <c r="V78" s="1423" t="e">
        <v>#DIV/0!</v>
      </c>
      <c r="W78" s="1423" t="e">
        <v>#DIV/0!</v>
      </c>
      <c r="X78" s="1423" t="e">
        <v>#DIV/0!</v>
      </c>
    </row>
    <row r="79" spans="2:24">
      <c r="B79" s="1354"/>
      <c r="C79" s="1354" t="s">
        <v>193</v>
      </c>
      <c r="D79" s="1356">
        <v>0</v>
      </c>
      <c r="E79" s="1354" t="s">
        <v>559</v>
      </c>
      <c r="F79" s="1354" t="s">
        <v>186</v>
      </c>
      <c r="G79" s="1361"/>
      <c r="H79" s="1361"/>
      <c r="I79" s="1368">
        <v>0</v>
      </c>
      <c r="J79" s="1356"/>
      <c r="K79" s="1356"/>
      <c r="L79" s="1377" t="e">
        <v>#N/A</v>
      </c>
      <c r="M79" s="1377" t="e">
        <v>#N/A</v>
      </c>
      <c r="N79" s="1417" t="e">
        <v>#DIV/0!</v>
      </c>
      <c r="O79" s="1417" t="e">
        <v>#DIV/0!</v>
      </c>
      <c r="P79" s="1417" t="e">
        <v>#N/A</v>
      </c>
      <c r="Q79" s="1417" t="e">
        <v>#N/A</v>
      </c>
      <c r="R79" s="1417" t="e">
        <v>#N/A</v>
      </c>
      <c r="S79" s="1370">
        <v>0</v>
      </c>
      <c r="T79" s="1370">
        <v>0</v>
      </c>
      <c r="U79" s="1370">
        <v>0</v>
      </c>
      <c r="V79" s="1423" t="e">
        <v>#DIV/0!</v>
      </c>
      <c r="W79" s="1423" t="e">
        <v>#DIV/0!</v>
      </c>
      <c r="X79" s="1423" t="e">
        <v>#DIV/0!</v>
      </c>
    </row>
    <row r="80" spans="2:24">
      <c r="B80" s="1354"/>
      <c r="C80" s="1354" t="s">
        <v>194</v>
      </c>
      <c r="D80" s="1354">
        <v>0</v>
      </c>
      <c r="E80" s="1354" t="s">
        <v>559</v>
      </c>
      <c r="F80" s="1354" t="s">
        <v>186</v>
      </c>
      <c r="G80" s="1361"/>
      <c r="H80" s="1361"/>
      <c r="I80" s="1368">
        <v>0</v>
      </c>
      <c r="J80" s="1356"/>
      <c r="K80" s="1356"/>
      <c r="L80" s="1377" t="e">
        <v>#N/A</v>
      </c>
      <c r="M80" s="1377" t="e">
        <v>#N/A</v>
      </c>
      <c r="N80" s="1417" t="e">
        <v>#DIV/0!</v>
      </c>
      <c r="O80" s="1417" t="e">
        <v>#DIV/0!</v>
      </c>
      <c r="P80" s="1417" t="e">
        <v>#N/A</v>
      </c>
      <c r="Q80" s="1417" t="e">
        <v>#N/A</v>
      </c>
      <c r="R80" s="1417" t="e">
        <v>#N/A</v>
      </c>
      <c r="S80" s="1370">
        <v>0</v>
      </c>
      <c r="T80" s="1370">
        <v>0</v>
      </c>
      <c r="U80" s="1370">
        <v>0</v>
      </c>
      <c r="V80" s="1423" t="e">
        <v>#DIV/0!</v>
      </c>
      <c r="W80" s="1423" t="e">
        <v>#DIV/0!</v>
      </c>
      <c r="X80" s="1423" t="e">
        <v>#DIV/0!</v>
      </c>
    </row>
    <row r="81" spans="2:24">
      <c r="B81" s="1354"/>
      <c r="C81" s="1354" t="s">
        <v>195</v>
      </c>
      <c r="D81" s="1356">
        <v>0</v>
      </c>
      <c r="E81" s="1354" t="s">
        <v>559</v>
      </c>
      <c r="F81" s="1354" t="s">
        <v>186</v>
      </c>
      <c r="G81" s="1361"/>
      <c r="H81" s="1361"/>
      <c r="I81" s="1368">
        <v>0</v>
      </c>
      <c r="J81" s="1356"/>
      <c r="K81" s="1356"/>
      <c r="L81" s="1377" t="e">
        <v>#N/A</v>
      </c>
      <c r="M81" s="1377" t="e">
        <v>#N/A</v>
      </c>
      <c r="N81" s="1417" t="e">
        <v>#DIV/0!</v>
      </c>
      <c r="O81" s="1417" t="e">
        <v>#DIV/0!</v>
      </c>
      <c r="P81" s="1417" t="e">
        <v>#N/A</v>
      </c>
      <c r="Q81" s="1417" t="e">
        <v>#N/A</v>
      </c>
      <c r="R81" s="1417" t="e">
        <v>#N/A</v>
      </c>
      <c r="S81" s="1370">
        <v>0</v>
      </c>
      <c r="T81" s="1370">
        <v>0</v>
      </c>
      <c r="U81" s="1370">
        <v>0</v>
      </c>
      <c r="V81" s="1423" t="e">
        <v>#DIV/0!</v>
      </c>
      <c r="W81" s="1423" t="e">
        <v>#DIV/0!</v>
      </c>
      <c r="X81" s="1423" t="e">
        <v>#DIV/0!</v>
      </c>
    </row>
    <row r="82" spans="2:24">
      <c r="B82" s="1354"/>
      <c r="C82" s="1354" t="s">
        <v>196</v>
      </c>
      <c r="D82" s="1354">
        <v>0</v>
      </c>
      <c r="E82" s="1354" t="s">
        <v>559</v>
      </c>
      <c r="F82" s="1354" t="s">
        <v>186</v>
      </c>
      <c r="G82" s="1361"/>
      <c r="H82" s="1361"/>
      <c r="I82" s="1368">
        <v>0</v>
      </c>
      <c r="J82" s="1356"/>
      <c r="K82" s="1356"/>
      <c r="L82" s="1377" t="e">
        <v>#N/A</v>
      </c>
      <c r="M82" s="1377" t="e">
        <v>#N/A</v>
      </c>
      <c r="N82" s="1417" t="e">
        <v>#DIV/0!</v>
      </c>
      <c r="O82" s="1417" t="e">
        <v>#DIV/0!</v>
      </c>
      <c r="P82" s="1417" t="e">
        <v>#N/A</v>
      </c>
      <c r="Q82" s="1417" t="e">
        <v>#N/A</v>
      </c>
      <c r="R82" s="1417" t="e">
        <v>#N/A</v>
      </c>
      <c r="S82" s="1370">
        <v>0</v>
      </c>
      <c r="T82" s="1370">
        <v>0</v>
      </c>
      <c r="U82" s="1370">
        <v>0</v>
      </c>
      <c r="V82" s="1423" t="e">
        <v>#DIV/0!</v>
      </c>
      <c r="W82" s="1423" t="e">
        <v>#DIV/0!</v>
      </c>
      <c r="X82" s="1423" t="e">
        <v>#DIV/0!</v>
      </c>
    </row>
    <row r="83" spans="2:24">
      <c r="B83" s="1354"/>
      <c r="C83" s="1354" t="s">
        <v>197</v>
      </c>
      <c r="D83" s="1356">
        <v>0</v>
      </c>
      <c r="E83" s="1354" t="s">
        <v>559</v>
      </c>
      <c r="F83" s="1354" t="s">
        <v>186</v>
      </c>
      <c r="G83" s="1361"/>
      <c r="H83" s="1361"/>
      <c r="I83" s="1368">
        <v>0</v>
      </c>
      <c r="J83" s="1356"/>
      <c r="K83" s="1356"/>
      <c r="L83" s="1377" t="e">
        <v>#N/A</v>
      </c>
      <c r="M83" s="1377" t="e">
        <v>#N/A</v>
      </c>
      <c r="N83" s="1417" t="e">
        <v>#DIV/0!</v>
      </c>
      <c r="O83" s="1417" t="e">
        <v>#DIV/0!</v>
      </c>
      <c r="P83" s="1417" t="e">
        <v>#N/A</v>
      </c>
      <c r="Q83" s="1417" t="e">
        <v>#N/A</v>
      </c>
      <c r="R83" s="1417" t="e">
        <v>#N/A</v>
      </c>
      <c r="S83" s="1370">
        <v>0</v>
      </c>
      <c r="T83" s="1370">
        <v>0</v>
      </c>
      <c r="U83" s="1370">
        <v>0</v>
      </c>
      <c r="V83" s="1423" t="e">
        <v>#DIV/0!</v>
      </c>
      <c r="W83" s="1423" t="e">
        <v>#DIV/0!</v>
      </c>
      <c r="X83" s="1423" t="e">
        <v>#DIV/0!</v>
      </c>
    </row>
    <row r="84" spans="2:24">
      <c r="B84" s="1354"/>
      <c r="C84" s="1354" t="s">
        <v>198</v>
      </c>
      <c r="D84" s="1354">
        <v>0</v>
      </c>
      <c r="E84" s="1354" t="s">
        <v>559</v>
      </c>
      <c r="F84" s="1354" t="s">
        <v>186</v>
      </c>
      <c r="G84" s="1361"/>
      <c r="H84" s="1361"/>
      <c r="I84" s="1368">
        <v>0</v>
      </c>
      <c r="J84" s="1356"/>
      <c r="K84" s="1356"/>
      <c r="L84" s="1377" t="e">
        <v>#REF!</v>
      </c>
      <c r="M84" s="1377" t="e">
        <v>#REF!</v>
      </c>
      <c r="N84" s="1417" t="e">
        <v>#DIV/0!</v>
      </c>
      <c r="O84" s="1417" t="e">
        <v>#DIV/0!</v>
      </c>
      <c r="P84" s="1417" t="e">
        <v>#REF!</v>
      </c>
      <c r="Q84" s="1417" t="e">
        <v>#REF!</v>
      </c>
      <c r="R84" s="1417" t="e">
        <v>#N/A</v>
      </c>
      <c r="S84" s="1370">
        <v>0</v>
      </c>
      <c r="T84" s="1370">
        <v>0</v>
      </c>
      <c r="U84" s="1370">
        <v>0</v>
      </c>
      <c r="V84" s="1423" t="e">
        <v>#DIV/0!</v>
      </c>
      <c r="W84" s="1423" t="e">
        <v>#DIV/0!</v>
      </c>
      <c r="X84" s="1423" t="e">
        <v>#DIV/0!</v>
      </c>
    </row>
    <row r="85" spans="2:24">
      <c r="B85" s="1354"/>
      <c r="C85" s="1354" t="s">
        <v>199</v>
      </c>
      <c r="D85" s="1356">
        <v>0</v>
      </c>
      <c r="E85" s="1354" t="s">
        <v>559</v>
      </c>
      <c r="F85" s="1354" t="s">
        <v>186</v>
      </c>
      <c r="G85" s="1361"/>
      <c r="H85" s="1361"/>
      <c r="I85" s="1368">
        <v>0</v>
      </c>
      <c r="J85" s="1356"/>
      <c r="K85" s="1356"/>
      <c r="L85" s="1377" t="e">
        <v>#REF!</v>
      </c>
      <c r="M85" s="1377" t="e">
        <v>#REF!</v>
      </c>
      <c r="N85" s="1417" t="e">
        <v>#DIV/0!</v>
      </c>
      <c r="O85" s="1417" t="e">
        <v>#DIV/0!</v>
      </c>
      <c r="P85" s="1417" t="e">
        <v>#REF!</v>
      </c>
      <c r="Q85" s="1417" t="e">
        <v>#REF!</v>
      </c>
      <c r="R85" s="1417" t="e">
        <v>#N/A</v>
      </c>
      <c r="S85" s="1370">
        <v>0</v>
      </c>
      <c r="T85" s="1370">
        <v>0</v>
      </c>
      <c r="U85" s="1370">
        <v>0</v>
      </c>
      <c r="V85" s="1423" t="e">
        <v>#DIV/0!</v>
      </c>
      <c r="W85" s="1423" t="e">
        <v>#DIV/0!</v>
      </c>
      <c r="X85" s="1423" t="e">
        <v>#DIV/0!</v>
      </c>
    </row>
    <row r="86" spans="2:24">
      <c r="B86" s="1354"/>
      <c r="C86" s="1354" t="s">
        <v>200</v>
      </c>
      <c r="D86" s="1354">
        <v>0</v>
      </c>
      <c r="E86" s="1354" t="s">
        <v>559</v>
      </c>
      <c r="F86" s="1354" t="s">
        <v>186</v>
      </c>
      <c r="G86" s="1361"/>
      <c r="H86" s="1361"/>
      <c r="I86" s="1368">
        <v>0</v>
      </c>
      <c r="J86" s="1356"/>
      <c r="K86" s="1356"/>
      <c r="L86" s="1377" t="e">
        <v>#REF!</v>
      </c>
      <c r="M86" s="1377" t="e">
        <v>#REF!</v>
      </c>
      <c r="N86" s="1417" t="e">
        <v>#DIV/0!</v>
      </c>
      <c r="O86" s="1417" t="e">
        <v>#DIV/0!</v>
      </c>
      <c r="P86" s="1417" t="e">
        <v>#REF!</v>
      </c>
      <c r="Q86" s="1417" t="e">
        <v>#REF!</v>
      </c>
      <c r="R86" s="1417" t="e">
        <v>#N/A</v>
      </c>
      <c r="S86" s="1370">
        <v>0</v>
      </c>
      <c r="T86" s="1370">
        <v>0</v>
      </c>
      <c r="U86" s="1370">
        <v>0</v>
      </c>
      <c r="V86" s="1423" t="e">
        <v>#DIV/0!</v>
      </c>
      <c r="W86" s="1423" t="e">
        <v>#DIV/0!</v>
      </c>
      <c r="X86" s="1423" t="e">
        <v>#DIV/0!</v>
      </c>
    </row>
    <row r="87" spans="2:24">
      <c r="B87" s="1354"/>
      <c r="C87" s="1354" t="s">
        <v>201</v>
      </c>
      <c r="D87" s="1356">
        <v>0</v>
      </c>
      <c r="E87" s="1354" t="s">
        <v>559</v>
      </c>
      <c r="F87" s="1354" t="s">
        <v>186</v>
      </c>
      <c r="G87" s="1361"/>
      <c r="H87" s="1361"/>
      <c r="I87" s="1368">
        <v>0</v>
      </c>
      <c r="J87" s="1356"/>
      <c r="K87" s="1356"/>
      <c r="L87" s="1377" t="e">
        <v>#REF!</v>
      </c>
      <c r="M87" s="1377" t="e">
        <v>#REF!</v>
      </c>
      <c r="N87" s="1417" t="e">
        <v>#DIV/0!</v>
      </c>
      <c r="O87" s="1417" t="e">
        <v>#DIV/0!</v>
      </c>
      <c r="P87" s="1417" t="e">
        <v>#REF!</v>
      </c>
      <c r="Q87" s="1417" t="e">
        <v>#REF!</v>
      </c>
      <c r="R87" s="1417" t="e">
        <v>#N/A</v>
      </c>
      <c r="S87" s="1370">
        <v>0</v>
      </c>
      <c r="T87" s="1370">
        <v>0</v>
      </c>
      <c r="U87" s="1370">
        <v>0</v>
      </c>
    </row>
    <row r="88" spans="2:24">
      <c r="B88" s="1354"/>
      <c r="C88" s="1354" t="s">
        <v>202</v>
      </c>
      <c r="D88" s="1354">
        <v>0</v>
      </c>
      <c r="E88" s="1354" t="s">
        <v>559</v>
      </c>
      <c r="F88" s="1354" t="s">
        <v>186</v>
      </c>
      <c r="G88" s="1361"/>
      <c r="H88" s="1361"/>
      <c r="I88" s="1368">
        <v>0</v>
      </c>
      <c r="J88" s="1356"/>
      <c r="K88" s="1356"/>
      <c r="L88" s="1377" t="e">
        <v>#REF!</v>
      </c>
      <c r="M88" s="1377" t="e">
        <v>#REF!</v>
      </c>
      <c r="N88" s="1417" t="e">
        <v>#DIV/0!</v>
      </c>
      <c r="O88" s="1417" t="e">
        <v>#DIV/0!</v>
      </c>
      <c r="P88" s="1417" t="e">
        <v>#REF!</v>
      </c>
      <c r="Q88" s="1417" t="e">
        <v>#REF!</v>
      </c>
      <c r="R88" s="1417" t="e">
        <v>#N/A</v>
      </c>
      <c r="S88" s="1370">
        <v>0</v>
      </c>
      <c r="T88" s="1370">
        <v>0</v>
      </c>
      <c r="U88" s="1370">
        <v>0</v>
      </c>
    </row>
    <row r="89" spans="2:24">
      <c r="B89" s="1354"/>
      <c r="C89" s="1354" t="s">
        <v>203</v>
      </c>
      <c r="D89" s="1354">
        <v>0</v>
      </c>
      <c r="E89" s="1354" t="s">
        <v>559</v>
      </c>
      <c r="F89" s="1354" t="s">
        <v>186</v>
      </c>
      <c r="G89" s="1361"/>
      <c r="H89" s="1361"/>
      <c r="I89" s="1368">
        <v>0</v>
      </c>
      <c r="J89" s="1356"/>
      <c r="K89" s="1356"/>
      <c r="L89" s="1377" t="e">
        <v>#REF!</v>
      </c>
      <c r="M89" s="1377" t="e">
        <v>#REF!</v>
      </c>
      <c r="N89" s="1417" t="e">
        <v>#DIV/0!</v>
      </c>
      <c r="O89" s="1417" t="e">
        <v>#DIV/0!</v>
      </c>
      <c r="P89" s="1417" t="e">
        <v>#REF!</v>
      </c>
      <c r="Q89" s="1417" t="e">
        <v>#REF!</v>
      </c>
      <c r="R89" s="1417" t="e">
        <v>#N/A</v>
      </c>
      <c r="S89" s="1370">
        <v>0</v>
      </c>
      <c r="T89" s="1370">
        <v>0</v>
      </c>
      <c r="U89" s="1370">
        <v>0</v>
      </c>
    </row>
    <row r="90" spans="2:24">
      <c r="B90" s="1354"/>
      <c r="C90" s="1354" t="s">
        <v>204</v>
      </c>
      <c r="D90" s="1354">
        <v>0</v>
      </c>
      <c r="E90" s="1354" t="s">
        <v>559</v>
      </c>
      <c r="F90" s="1354" t="s">
        <v>186</v>
      </c>
      <c r="G90" s="1361"/>
      <c r="H90" s="1361"/>
      <c r="I90" s="1368">
        <v>0</v>
      </c>
      <c r="J90" s="1356"/>
      <c r="K90" s="1356"/>
      <c r="L90" s="1377" t="e">
        <v>#REF!</v>
      </c>
      <c r="M90" s="1377" t="e">
        <v>#REF!</v>
      </c>
      <c r="N90" s="1417" t="e">
        <v>#DIV/0!</v>
      </c>
      <c r="O90" s="1417" t="e">
        <v>#DIV/0!</v>
      </c>
      <c r="P90" s="1417" t="e">
        <v>#REF!</v>
      </c>
      <c r="Q90" s="1417" t="e">
        <v>#REF!</v>
      </c>
      <c r="R90" s="1417" t="e">
        <v>#N/A</v>
      </c>
      <c r="S90" s="1370">
        <v>0</v>
      </c>
      <c r="T90" s="1370">
        <v>0</v>
      </c>
      <c r="U90" s="1370">
        <v>0</v>
      </c>
    </row>
    <row r="91" spans="2:24">
      <c r="B91" s="1354"/>
      <c r="C91" s="1354" t="s">
        <v>205</v>
      </c>
      <c r="D91" s="1395">
        <v>0</v>
      </c>
      <c r="E91" s="1354" t="s">
        <v>559</v>
      </c>
      <c r="F91" s="1354" t="s">
        <v>186</v>
      </c>
      <c r="G91" s="1361"/>
      <c r="H91" s="1361"/>
      <c r="I91" s="1368">
        <v>0</v>
      </c>
      <c r="J91" s="1356"/>
      <c r="K91" s="1356"/>
      <c r="L91" s="1377" t="e">
        <v>#REF!</v>
      </c>
      <c r="M91" s="1377" t="e">
        <v>#REF!</v>
      </c>
      <c r="N91" s="1417" t="e">
        <v>#DIV/0!</v>
      </c>
      <c r="O91" s="1417" t="e">
        <v>#DIV/0!</v>
      </c>
      <c r="P91" s="1417" t="e">
        <v>#REF!</v>
      </c>
      <c r="Q91" s="1417" t="e">
        <v>#REF!</v>
      </c>
      <c r="R91" s="1417" t="e">
        <v>#N/A</v>
      </c>
      <c r="S91" s="1370">
        <v>0</v>
      </c>
      <c r="T91" s="1370">
        <v>0</v>
      </c>
      <c r="U91" s="1370">
        <v>0</v>
      </c>
    </row>
    <row r="92" spans="2:24">
      <c r="B92" s="1354"/>
      <c r="C92" s="1354" t="s">
        <v>206</v>
      </c>
      <c r="D92" s="1395">
        <v>0</v>
      </c>
      <c r="E92" s="1354" t="s">
        <v>559</v>
      </c>
      <c r="F92" s="1354" t="s">
        <v>186</v>
      </c>
      <c r="G92" s="1361"/>
      <c r="H92" s="1361"/>
      <c r="I92" s="1368">
        <v>0</v>
      </c>
      <c r="J92" s="1356"/>
      <c r="K92" s="1356"/>
      <c r="L92" s="1377" t="e">
        <v>#REF!</v>
      </c>
      <c r="M92" s="1377" t="e">
        <v>#REF!</v>
      </c>
      <c r="N92" s="1417" t="e">
        <v>#DIV/0!</v>
      </c>
      <c r="O92" s="1417" t="e">
        <v>#DIV/0!</v>
      </c>
      <c r="P92" s="1417" t="e">
        <v>#REF!</v>
      </c>
      <c r="Q92" s="1417" t="e">
        <v>#REF!</v>
      </c>
      <c r="R92" s="1417" t="e">
        <v>#N/A</v>
      </c>
      <c r="S92" s="1370">
        <v>0</v>
      </c>
      <c r="T92" s="1370">
        <v>0</v>
      </c>
      <c r="U92" s="1370">
        <v>0</v>
      </c>
    </row>
    <row r="93" spans="2:24">
      <c r="B93" s="1354"/>
      <c r="C93" s="1354" t="s">
        <v>207</v>
      </c>
      <c r="D93" s="1395">
        <v>0</v>
      </c>
      <c r="E93" s="1354" t="s">
        <v>559</v>
      </c>
      <c r="F93" s="1354" t="s">
        <v>186</v>
      </c>
      <c r="G93" s="1361"/>
      <c r="H93" s="1361"/>
      <c r="I93" s="1368">
        <v>0</v>
      </c>
      <c r="J93" s="1356"/>
      <c r="K93" s="1356"/>
      <c r="L93" s="1377" t="e">
        <v>#REF!</v>
      </c>
      <c r="M93" s="1377" t="e">
        <v>#REF!</v>
      </c>
      <c r="N93" s="1417" t="e">
        <v>#DIV/0!</v>
      </c>
      <c r="O93" s="1417" t="e">
        <v>#DIV/0!</v>
      </c>
      <c r="P93" s="1417" t="e">
        <v>#REF!</v>
      </c>
      <c r="Q93" s="1417" t="e">
        <v>#REF!</v>
      </c>
      <c r="R93" s="1417" t="e">
        <v>#N/A</v>
      </c>
      <c r="S93" s="1370">
        <v>0</v>
      </c>
      <c r="T93" s="1370">
        <v>0</v>
      </c>
      <c r="U93" s="1370">
        <v>0</v>
      </c>
    </row>
    <row r="94" spans="2:24">
      <c r="B94" s="1354"/>
      <c r="C94" s="1354" t="s">
        <v>208</v>
      </c>
      <c r="D94" s="1395">
        <v>0</v>
      </c>
      <c r="E94" s="1354" t="s">
        <v>559</v>
      </c>
      <c r="F94" s="1354" t="s">
        <v>186</v>
      </c>
      <c r="G94" s="1361"/>
      <c r="H94" s="1361"/>
      <c r="I94" s="1368">
        <v>0</v>
      </c>
      <c r="J94" s="1356"/>
      <c r="K94" s="1356"/>
      <c r="L94" s="1377" t="e">
        <v>#REF!</v>
      </c>
      <c r="M94" s="1377" t="e">
        <v>#REF!</v>
      </c>
      <c r="N94" s="1417" t="e">
        <v>#DIV/0!</v>
      </c>
      <c r="O94" s="1417" t="e">
        <v>#DIV/0!</v>
      </c>
      <c r="P94" s="1417" t="e">
        <v>#REF!</v>
      </c>
      <c r="Q94" s="1417" t="e">
        <v>#REF!</v>
      </c>
      <c r="R94" s="1417" t="e">
        <v>#N/A</v>
      </c>
      <c r="S94" s="1370">
        <v>0</v>
      </c>
      <c r="T94" s="1370">
        <v>0</v>
      </c>
      <c r="U94" s="1370">
        <v>0</v>
      </c>
    </row>
    <row r="95" spans="2:24">
      <c r="B95" s="1354"/>
      <c r="C95" s="1354" t="s">
        <v>209</v>
      </c>
      <c r="D95" s="1395">
        <v>0</v>
      </c>
      <c r="E95" s="1354" t="s">
        <v>559</v>
      </c>
      <c r="F95" s="1354" t="s">
        <v>186</v>
      </c>
      <c r="G95" s="1361"/>
      <c r="H95" s="1361"/>
      <c r="I95" s="1368">
        <v>0</v>
      </c>
      <c r="J95" s="1356"/>
      <c r="K95" s="1356"/>
      <c r="L95" s="1377" t="e">
        <v>#REF!</v>
      </c>
      <c r="M95" s="1377" t="e">
        <v>#REF!</v>
      </c>
      <c r="N95" s="1417" t="e">
        <v>#DIV/0!</v>
      </c>
      <c r="O95" s="1417" t="e">
        <v>#DIV/0!</v>
      </c>
      <c r="P95" s="1417" t="e">
        <v>#REF!</v>
      </c>
      <c r="Q95" s="1417" t="e">
        <v>#REF!</v>
      </c>
      <c r="R95" s="1417" t="e">
        <v>#N/A</v>
      </c>
      <c r="S95" s="1370">
        <v>0</v>
      </c>
      <c r="T95" s="1370">
        <v>0</v>
      </c>
      <c r="U95" s="1370">
        <v>0</v>
      </c>
    </row>
    <row r="96" spans="2:24">
      <c r="B96" s="1354"/>
      <c r="C96" s="1354" t="s">
        <v>210</v>
      </c>
      <c r="D96" s="1395">
        <v>0</v>
      </c>
      <c r="E96" s="1354" t="s">
        <v>559</v>
      </c>
      <c r="F96" s="1354" t="s">
        <v>186</v>
      </c>
      <c r="G96" s="1361"/>
      <c r="H96" s="1361"/>
      <c r="I96" s="1368">
        <v>0</v>
      </c>
      <c r="J96" s="1356"/>
      <c r="K96" s="1356"/>
      <c r="L96" s="1377" t="e">
        <v>#REF!</v>
      </c>
      <c r="M96" s="1377" t="e">
        <v>#REF!</v>
      </c>
      <c r="N96" s="1417" t="e">
        <v>#DIV/0!</v>
      </c>
      <c r="O96" s="1417" t="e">
        <v>#DIV/0!</v>
      </c>
      <c r="P96" s="1417" t="e">
        <v>#REF!</v>
      </c>
      <c r="Q96" s="1417" t="e">
        <v>#REF!</v>
      </c>
      <c r="R96" s="1417" t="e">
        <v>#N/A</v>
      </c>
      <c r="S96" s="1370">
        <v>0</v>
      </c>
      <c r="T96" s="1370">
        <v>0</v>
      </c>
      <c r="U96" s="1370">
        <v>0</v>
      </c>
    </row>
    <row r="97" spans="2:21">
      <c r="B97" s="1354"/>
      <c r="C97" s="1354" t="s">
        <v>211</v>
      </c>
      <c r="D97" s="1395">
        <v>0</v>
      </c>
      <c r="E97" s="1354" t="s">
        <v>559</v>
      </c>
      <c r="F97" s="1354" t="s">
        <v>186</v>
      </c>
      <c r="G97" s="1361"/>
      <c r="H97" s="1361"/>
      <c r="I97" s="1368">
        <v>0</v>
      </c>
      <c r="J97" s="1356"/>
      <c r="K97" s="1356"/>
      <c r="L97" s="1377" t="e">
        <v>#REF!</v>
      </c>
      <c r="M97" s="1377" t="e">
        <v>#REF!</v>
      </c>
      <c r="N97" s="1417" t="e">
        <v>#DIV/0!</v>
      </c>
      <c r="O97" s="1417" t="e">
        <v>#DIV/0!</v>
      </c>
      <c r="P97" s="1417" t="e">
        <v>#REF!</v>
      </c>
      <c r="Q97" s="1417" t="e">
        <v>#REF!</v>
      </c>
      <c r="R97" s="1417" t="e">
        <v>#N/A</v>
      </c>
      <c r="S97" s="1370">
        <v>0</v>
      </c>
      <c r="T97" s="1370">
        <v>0</v>
      </c>
      <c r="U97" s="1370">
        <v>0</v>
      </c>
    </row>
    <row r="98" spans="2:21">
      <c r="B98" s="1354"/>
      <c r="C98" s="1354" t="s">
        <v>212</v>
      </c>
      <c r="D98" s="1395">
        <v>0</v>
      </c>
      <c r="E98" s="1354" t="s">
        <v>559</v>
      </c>
      <c r="F98" s="1354" t="s">
        <v>186</v>
      </c>
      <c r="G98" s="1361"/>
      <c r="H98" s="1361"/>
      <c r="I98" s="1368">
        <v>0</v>
      </c>
      <c r="J98" s="1356"/>
      <c r="K98" s="1356"/>
      <c r="L98" s="1377" t="e">
        <v>#REF!</v>
      </c>
      <c r="M98" s="1377" t="e">
        <v>#REF!</v>
      </c>
      <c r="N98" s="1417" t="e">
        <v>#DIV/0!</v>
      </c>
      <c r="O98" s="1417" t="e">
        <v>#DIV/0!</v>
      </c>
      <c r="P98" s="1417" t="e">
        <v>#REF!</v>
      </c>
      <c r="Q98" s="1417" t="e">
        <v>#REF!</v>
      </c>
      <c r="R98" s="1417" t="e">
        <v>#N/A</v>
      </c>
      <c r="S98" s="1370">
        <v>0</v>
      </c>
      <c r="T98" s="1370">
        <v>0</v>
      </c>
      <c r="U98" s="1370">
        <v>0</v>
      </c>
    </row>
    <row r="99" spans="2:21">
      <c r="B99" s="1354"/>
      <c r="C99" s="1354" t="s">
        <v>213</v>
      </c>
      <c r="D99" s="1395">
        <v>0</v>
      </c>
      <c r="E99" s="1354" t="s">
        <v>559</v>
      </c>
      <c r="F99" s="1354" t="s">
        <v>186</v>
      </c>
      <c r="G99" s="1361"/>
      <c r="H99" s="1361"/>
      <c r="I99" s="1368">
        <v>0</v>
      </c>
      <c r="J99" s="1356"/>
      <c r="K99" s="1356"/>
      <c r="L99" s="1377" t="e">
        <v>#REF!</v>
      </c>
      <c r="M99" s="1377" t="e">
        <v>#REF!</v>
      </c>
      <c r="N99" s="1417" t="e">
        <v>#DIV/0!</v>
      </c>
      <c r="O99" s="1417" t="e">
        <v>#DIV/0!</v>
      </c>
      <c r="P99" s="1417" t="e">
        <v>#REF!</v>
      </c>
      <c r="Q99" s="1417" t="e">
        <v>#REF!</v>
      </c>
      <c r="R99" s="1417" t="e">
        <v>#N/A</v>
      </c>
      <c r="S99" s="1370">
        <v>0</v>
      </c>
      <c r="T99" s="1370">
        <v>0</v>
      </c>
      <c r="U99" s="1370">
        <v>0</v>
      </c>
    </row>
    <row r="100" spans="2:21">
      <c r="B100" s="1354"/>
      <c r="C100" s="1354" t="s">
        <v>214</v>
      </c>
      <c r="D100" s="1395">
        <v>0</v>
      </c>
      <c r="E100" s="1354" t="s">
        <v>559</v>
      </c>
      <c r="F100" s="1354" t="s">
        <v>186</v>
      </c>
      <c r="G100" s="1361"/>
      <c r="H100" s="1361"/>
      <c r="I100" s="1368">
        <v>0</v>
      </c>
      <c r="J100" s="1356"/>
      <c r="K100" s="1356"/>
      <c r="L100" s="1377" t="e">
        <v>#REF!</v>
      </c>
      <c r="M100" s="1377" t="e">
        <v>#REF!</v>
      </c>
      <c r="N100" s="1417" t="e">
        <v>#DIV/0!</v>
      </c>
      <c r="O100" s="1417" t="e">
        <v>#DIV/0!</v>
      </c>
      <c r="P100" s="1417" t="e">
        <v>#REF!</v>
      </c>
      <c r="Q100" s="1417" t="e">
        <v>#REF!</v>
      </c>
      <c r="R100" s="1417" t="e">
        <v>#N/A</v>
      </c>
      <c r="S100" s="1370">
        <v>0</v>
      </c>
      <c r="T100" s="1370">
        <v>0</v>
      </c>
      <c r="U100" s="1370">
        <v>0</v>
      </c>
    </row>
    <row r="101" spans="2:21">
      <c r="B101" s="1354"/>
      <c r="C101" s="1354" t="s">
        <v>215</v>
      </c>
      <c r="D101" s="1395">
        <v>0</v>
      </c>
      <c r="E101" s="1354" t="s">
        <v>559</v>
      </c>
      <c r="F101" s="1354" t="s">
        <v>186</v>
      </c>
      <c r="G101" s="1361"/>
      <c r="H101" s="1361"/>
      <c r="I101" s="1368">
        <v>0</v>
      </c>
      <c r="J101" s="1356"/>
      <c r="K101" s="1356"/>
      <c r="L101" s="1377" t="e">
        <v>#REF!</v>
      </c>
      <c r="M101" s="1377" t="e">
        <v>#REF!</v>
      </c>
      <c r="N101" s="1417" t="e">
        <v>#DIV/0!</v>
      </c>
      <c r="O101" s="1417" t="e">
        <v>#DIV/0!</v>
      </c>
      <c r="P101" s="1417" t="e">
        <v>#REF!</v>
      </c>
      <c r="Q101" s="1417" t="e">
        <v>#REF!</v>
      </c>
      <c r="R101" s="1417" t="e">
        <v>#N/A</v>
      </c>
      <c r="S101" s="1370">
        <v>0</v>
      </c>
      <c r="T101" s="1370">
        <v>0</v>
      </c>
      <c r="U101" s="1370">
        <v>0</v>
      </c>
    </row>
    <row r="102" spans="2:21">
      <c r="B102" s="1354"/>
      <c r="C102" s="1354" t="s">
        <v>216</v>
      </c>
      <c r="D102" s="1395">
        <v>0</v>
      </c>
      <c r="E102" s="1354" t="s">
        <v>559</v>
      </c>
      <c r="F102" s="1354" t="s">
        <v>186</v>
      </c>
      <c r="G102" s="1361"/>
      <c r="H102" s="1361"/>
      <c r="I102" s="1368">
        <v>0</v>
      </c>
      <c r="J102" s="1356"/>
      <c r="K102" s="1356"/>
      <c r="L102" s="1377" t="e">
        <v>#REF!</v>
      </c>
      <c r="M102" s="1377" t="e">
        <v>#REF!</v>
      </c>
      <c r="N102" s="1417" t="e">
        <v>#DIV/0!</v>
      </c>
      <c r="O102" s="1417" t="e">
        <v>#DIV/0!</v>
      </c>
      <c r="P102" s="1417" t="e">
        <v>#REF!</v>
      </c>
      <c r="Q102" s="1417" t="e">
        <v>#REF!</v>
      </c>
      <c r="R102" s="1417" t="e">
        <v>#N/A</v>
      </c>
      <c r="S102" s="1370">
        <v>0</v>
      </c>
      <c r="T102" s="1370">
        <v>0</v>
      </c>
      <c r="U102" s="1370">
        <v>0</v>
      </c>
    </row>
    <row r="103" spans="2:21">
      <c r="B103" s="1354"/>
      <c r="C103" s="1354" t="s">
        <v>217</v>
      </c>
      <c r="D103" s="1395">
        <v>0</v>
      </c>
      <c r="E103" s="1354" t="s">
        <v>559</v>
      </c>
      <c r="F103" s="1354" t="s">
        <v>186</v>
      </c>
      <c r="G103" s="1361"/>
      <c r="H103" s="1361"/>
      <c r="I103" s="1368">
        <v>0</v>
      </c>
      <c r="J103" s="1356"/>
      <c r="K103" s="1356"/>
      <c r="L103" s="1377" t="e">
        <v>#REF!</v>
      </c>
      <c r="M103" s="1377" t="e">
        <v>#REF!</v>
      </c>
      <c r="N103" s="1417" t="e">
        <v>#DIV/0!</v>
      </c>
      <c r="O103" s="1417" t="e">
        <v>#DIV/0!</v>
      </c>
      <c r="P103" s="1417" t="e">
        <v>#REF!</v>
      </c>
      <c r="Q103" s="1417" t="e">
        <v>#REF!</v>
      </c>
      <c r="R103" s="1417" t="e">
        <v>#N/A</v>
      </c>
      <c r="S103" s="1370">
        <v>0</v>
      </c>
      <c r="T103" s="1370">
        <v>0</v>
      </c>
      <c r="U103" s="1370">
        <v>0</v>
      </c>
    </row>
    <row r="104" spans="2:21">
      <c r="B104" s="1354"/>
      <c r="C104" s="1354" t="s">
        <v>218</v>
      </c>
      <c r="D104" s="1395">
        <v>0</v>
      </c>
      <c r="E104" s="1354" t="s">
        <v>559</v>
      </c>
      <c r="F104" s="1354" t="s">
        <v>186</v>
      </c>
      <c r="G104" s="1361"/>
      <c r="H104" s="1361"/>
      <c r="I104" s="1368">
        <v>0</v>
      </c>
      <c r="J104" s="1356"/>
      <c r="K104" s="1356"/>
      <c r="L104" s="1377" t="e">
        <v>#REF!</v>
      </c>
      <c r="M104" s="1377" t="e">
        <v>#REF!</v>
      </c>
      <c r="N104" s="1417" t="e">
        <v>#DIV/0!</v>
      </c>
      <c r="O104" s="1417" t="e">
        <v>#DIV/0!</v>
      </c>
      <c r="P104" s="1417" t="e">
        <v>#REF!</v>
      </c>
      <c r="Q104" s="1417" t="e">
        <v>#REF!</v>
      </c>
      <c r="R104" s="1417" t="e">
        <v>#N/A</v>
      </c>
      <c r="S104" s="1370">
        <v>0</v>
      </c>
      <c r="T104" s="1370">
        <v>0</v>
      </c>
      <c r="U104" s="1370">
        <v>0</v>
      </c>
    </row>
    <row r="105" spans="2:21">
      <c r="B105" s="1354"/>
      <c r="C105" s="1354" t="s">
        <v>219</v>
      </c>
      <c r="D105" s="1395">
        <v>0</v>
      </c>
      <c r="E105" s="1354" t="s">
        <v>559</v>
      </c>
      <c r="F105" s="1354" t="s">
        <v>186</v>
      </c>
      <c r="G105" s="1361"/>
      <c r="H105" s="1361"/>
      <c r="I105" s="1368">
        <v>0</v>
      </c>
      <c r="J105" s="1356"/>
      <c r="K105" s="1356"/>
      <c r="L105" s="1377" t="e">
        <v>#REF!</v>
      </c>
      <c r="M105" s="1377" t="e">
        <v>#REF!</v>
      </c>
      <c r="N105" s="1417" t="e">
        <v>#DIV/0!</v>
      </c>
      <c r="O105" s="1417" t="e">
        <v>#DIV/0!</v>
      </c>
      <c r="P105" s="1417" t="e">
        <v>#REF!</v>
      </c>
      <c r="Q105" s="1417" t="e">
        <v>#REF!</v>
      </c>
      <c r="R105" s="1417" t="e">
        <v>#N/A</v>
      </c>
      <c r="S105" s="1370">
        <v>0</v>
      </c>
      <c r="T105" s="1370">
        <v>0</v>
      </c>
      <c r="U105" s="1370">
        <v>0</v>
      </c>
    </row>
    <row r="106" spans="2:21">
      <c r="B106" s="1354"/>
      <c r="C106" s="1354" t="s">
        <v>220</v>
      </c>
      <c r="D106" s="1395">
        <v>0</v>
      </c>
      <c r="E106" s="1354" t="s">
        <v>559</v>
      </c>
      <c r="F106" s="1354" t="s">
        <v>186</v>
      </c>
      <c r="G106" s="1361"/>
      <c r="H106" s="1361"/>
      <c r="I106" s="1368">
        <v>0</v>
      </c>
      <c r="J106" s="1356"/>
      <c r="K106" s="1356"/>
      <c r="L106" s="1377" t="e">
        <v>#REF!</v>
      </c>
      <c r="M106" s="1377" t="e">
        <v>#REF!</v>
      </c>
      <c r="N106" s="1417" t="e">
        <v>#DIV/0!</v>
      </c>
      <c r="O106" s="1417" t="e">
        <v>#DIV/0!</v>
      </c>
      <c r="P106" s="1417" t="e">
        <v>#REF!</v>
      </c>
      <c r="Q106" s="1417" t="e">
        <v>#REF!</v>
      </c>
      <c r="R106" s="1417" t="e">
        <v>#N/A</v>
      </c>
      <c r="S106" s="1370">
        <v>0</v>
      </c>
      <c r="T106" s="1370">
        <v>0</v>
      </c>
      <c r="U106" s="1370">
        <v>0</v>
      </c>
    </row>
    <row r="107" spans="2:21">
      <c r="B107" s="1354"/>
      <c r="C107" s="1354" t="s">
        <v>221</v>
      </c>
      <c r="D107" s="1395">
        <v>0</v>
      </c>
      <c r="E107" s="1354" t="s">
        <v>559</v>
      </c>
      <c r="F107" s="1354" t="s">
        <v>186</v>
      </c>
      <c r="G107" s="1361"/>
      <c r="H107" s="1361"/>
      <c r="I107" s="1368">
        <v>0</v>
      </c>
      <c r="J107" s="1356"/>
      <c r="K107" s="1356"/>
      <c r="L107" s="1377" t="e">
        <v>#REF!</v>
      </c>
      <c r="M107" s="1377" t="e">
        <v>#REF!</v>
      </c>
      <c r="N107" s="1417" t="e">
        <v>#DIV/0!</v>
      </c>
      <c r="O107" s="1417" t="e">
        <v>#DIV/0!</v>
      </c>
      <c r="P107" s="1417" t="e">
        <v>#REF!</v>
      </c>
      <c r="Q107" s="1417" t="e">
        <v>#REF!</v>
      </c>
      <c r="R107" s="1417" t="e">
        <v>#N/A</v>
      </c>
      <c r="S107" s="1370">
        <v>0</v>
      </c>
      <c r="T107" s="1370">
        <v>0</v>
      </c>
      <c r="U107" s="1370">
        <v>0</v>
      </c>
    </row>
    <row r="108" spans="2:21">
      <c r="B108" s="1354"/>
      <c r="C108" s="1354" t="s">
        <v>222</v>
      </c>
      <c r="D108" s="1395">
        <v>0</v>
      </c>
      <c r="E108" s="1354" t="s">
        <v>559</v>
      </c>
      <c r="F108" s="1354" t="s">
        <v>186</v>
      </c>
      <c r="G108" s="1361"/>
      <c r="H108" s="1361"/>
      <c r="I108" s="1368">
        <v>0</v>
      </c>
      <c r="J108" s="1356"/>
      <c r="K108" s="1356"/>
      <c r="L108" s="1377" t="e">
        <v>#REF!</v>
      </c>
      <c r="M108" s="1377" t="e">
        <v>#REF!</v>
      </c>
      <c r="N108" s="1417" t="e">
        <v>#DIV/0!</v>
      </c>
      <c r="O108" s="1417" t="e">
        <v>#DIV/0!</v>
      </c>
      <c r="P108" s="1417" t="e">
        <v>#REF!</v>
      </c>
      <c r="Q108" s="1417" t="e">
        <v>#REF!</v>
      </c>
      <c r="R108" s="1417" t="e">
        <v>#N/A</v>
      </c>
      <c r="S108" s="1370">
        <v>0</v>
      </c>
      <c r="T108" s="1370">
        <v>0</v>
      </c>
      <c r="U108" s="1370">
        <v>0</v>
      </c>
    </row>
    <row r="109" spans="2:21" ht="13.5" thickBot="1">
      <c r="B109" s="1354"/>
      <c r="C109" s="1354" t="s">
        <v>223</v>
      </c>
      <c r="D109" s="1395">
        <v>0</v>
      </c>
      <c r="E109" s="1354" t="s">
        <v>559</v>
      </c>
      <c r="F109" s="1354" t="s">
        <v>186</v>
      </c>
      <c r="G109" s="1361"/>
      <c r="H109" s="1361"/>
      <c r="I109" s="1368">
        <v>0</v>
      </c>
      <c r="J109" s="1356"/>
      <c r="K109" s="1356"/>
      <c r="L109" s="1380" t="e">
        <v>#REF!</v>
      </c>
      <c r="M109" s="1380" t="e">
        <v>#REF!</v>
      </c>
      <c r="N109" s="1418" t="e">
        <v>#DIV/0!</v>
      </c>
      <c r="O109" s="1418" t="e">
        <v>#DIV/0!</v>
      </c>
      <c r="P109" s="1417" t="e">
        <v>#REF!</v>
      </c>
      <c r="Q109" s="1418" t="e">
        <v>#REF!</v>
      </c>
      <c r="R109" s="1418" t="e">
        <v>#N/A</v>
      </c>
      <c r="S109" s="1370">
        <v>0</v>
      </c>
      <c r="T109" s="1370">
        <v>0</v>
      </c>
      <c r="U109" s="1370">
        <v>0</v>
      </c>
    </row>
    <row r="110" spans="2:21" ht="13.5" thickBot="1">
      <c r="B110" s="1354"/>
      <c r="C110" s="1354" t="s">
        <v>224</v>
      </c>
      <c r="D110" s="1395">
        <v>0</v>
      </c>
      <c r="E110" s="1354" t="s">
        <v>559</v>
      </c>
      <c r="F110" s="1354" t="s">
        <v>186</v>
      </c>
      <c r="G110" s="1361"/>
      <c r="H110" s="1361"/>
      <c r="I110" s="1378">
        <v>0</v>
      </c>
      <c r="J110" s="1353" t="e">
        <v>#DIV/0!</v>
      </c>
      <c r="K110" s="1351"/>
      <c r="L110" s="1381" t="e">
        <v>#N/A</v>
      </c>
      <c r="M110" s="1382" t="e">
        <v>#N/A</v>
      </c>
      <c r="N110" s="1407" t="e">
        <v>#DIV/0!</v>
      </c>
      <c r="O110" s="1407" t="e">
        <v>#DIV/0!</v>
      </c>
      <c r="P110" s="1407" t="e">
        <v>#N/A</v>
      </c>
      <c r="Q110" s="1408" t="e">
        <v>#N/A</v>
      </c>
      <c r="R110" s="1408" t="e">
        <v>#DIV/0!</v>
      </c>
      <c r="S110" s="1371">
        <v>0</v>
      </c>
      <c r="T110" s="1371">
        <v>0</v>
      </c>
      <c r="U110" s="1371">
        <v>0</v>
      </c>
    </row>
    <row r="111" spans="2:21">
      <c r="B111" s="1354"/>
      <c r="C111" s="1354" t="s">
        <v>225</v>
      </c>
      <c r="D111" s="1395">
        <v>0</v>
      </c>
      <c r="E111" s="1354" t="s">
        <v>559</v>
      </c>
      <c r="F111" s="1354" t="s">
        <v>186</v>
      </c>
      <c r="G111" s="1361"/>
      <c r="H111" s="1361"/>
    </row>
    <row r="112" spans="2:21">
      <c r="B112" s="1354"/>
      <c r="C112" s="1354" t="s">
        <v>226</v>
      </c>
      <c r="D112" s="1395">
        <v>0</v>
      </c>
      <c r="E112" s="1354" t="s">
        <v>559</v>
      </c>
      <c r="F112" s="1354" t="s">
        <v>186</v>
      </c>
      <c r="G112" s="1361"/>
      <c r="H112" s="1361"/>
    </row>
    <row r="113" spans="2:8">
      <c r="B113" s="1350"/>
      <c r="C113" s="1350"/>
      <c r="D113" s="1350"/>
      <c r="E113" s="1350"/>
      <c r="F113" s="1350"/>
      <c r="G113" s="1379">
        <v>0</v>
      </c>
      <c r="H113" s="1369">
        <v>0</v>
      </c>
    </row>
  </sheetData>
  <sheetProtection password="9E1F" sheet="1" objects="1" scenarios="1"/>
  <customSheetViews>
    <customSheetView guid="{074EB09C-6289-46D7-9513-012B68BCA7BF}" fitToPage="1">
      <pane xSplit="1" ySplit="1" topLeftCell="B2" activePane="bottomRight" state="frozen"/>
      <selection pane="bottomRight" activeCell="B7" sqref="B7"/>
      <pageMargins left="0.24" right="0.28000000000000003" top="0.37" bottom="0.43" header="0.3" footer="0.3"/>
      <pageSetup paperSize="17" scale="49" orientation="landscape" r:id="rId1"/>
    </customSheetView>
    <customSheetView guid="{AF9F1D33-B8C2-423F-86A1-47612B8F532C}" fitToPage="1">
      <pane xSplit="1" ySplit="1" topLeftCell="B14" activePane="bottomRight" state="frozenSplit"/>
      <selection pane="bottomRight" activeCell="E31" sqref="E31"/>
      <pageMargins left="0.7" right="0.7" top="0.75" bottom="0.75" header="0.3" footer="0.3"/>
      <pageSetup paperSize="17" scale="49" orientation="landscape"/>
    </customSheetView>
  </customSheetViews>
  <mergeCells count="14">
    <mergeCell ref="S66:U66"/>
    <mergeCell ref="V66:X66"/>
    <mergeCell ref="C12:F12"/>
    <mergeCell ref="I12:L12"/>
    <mergeCell ref="M12:O12"/>
    <mergeCell ref="P12:R12"/>
    <mergeCell ref="I13:K13"/>
    <mergeCell ref="L66:R66"/>
    <mergeCell ref="V2:V3"/>
    <mergeCell ref="D11:E11"/>
    <mergeCell ref="I11:L11"/>
    <mergeCell ref="M11:N11"/>
    <mergeCell ref="Q2:R2"/>
    <mergeCell ref="S2:U2"/>
  </mergeCells>
  <pageMargins left="0.24" right="0.28000000000000003" top="0.37" bottom="0.43" header="0.3" footer="0.3"/>
  <pageSetup paperSize="17" scale="48" orientation="landscape" r:id="rId2"/>
  <drawing r:id="rId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Y107"/>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8.85546875" defaultRowHeight="12.75"/>
  <cols>
    <col min="1" max="1" width="16" style="3064" customWidth="1"/>
    <col min="2" max="2" width="15.7109375" customWidth="1"/>
    <col min="3" max="3" width="34.140625" customWidth="1"/>
    <col min="4" max="4" width="15.5703125" customWidth="1"/>
    <col min="5" max="6" width="14.140625" customWidth="1"/>
    <col min="7" max="7" width="12.140625" customWidth="1"/>
    <col min="8" max="12" width="19.140625" customWidth="1"/>
    <col min="13" max="13" width="15.140625" customWidth="1"/>
    <col min="14" max="14" width="12.7109375" customWidth="1"/>
    <col min="15" max="15" width="15.42578125" customWidth="1"/>
    <col min="16" max="22" width="15.140625" customWidth="1"/>
  </cols>
  <sheetData>
    <row r="1" spans="1:22" ht="42.75" customHeight="1" thickBot="1">
      <c r="B1" s="3461"/>
      <c r="C1" s="1905"/>
      <c r="D1" s="1905"/>
      <c r="E1" s="1905"/>
      <c r="F1" s="1916"/>
      <c r="G1" s="1916">
        <v>18230602</v>
      </c>
      <c r="H1" s="3331" t="s">
        <v>1158</v>
      </c>
      <c r="I1" s="1916"/>
      <c r="J1" s="1905"/>
      <c r="K1" s="1905"/>
      <c r="L1" s="1905"/>
      <c r="M1" s="1905"/>
      <c r="N1" s="1905"/>
      <c r="O1" s="1905"/>
      <c r="P1" s="1905"/>
      <c r="Q1" s="1905"/>
      <c r="R1" s="1905"/>
      <c r="S1" s="1905"/>
      <c r="T1" s="1905"/>
      <c r="U1" s="1905"/>
      <c r="V1" s="1905"/>
    </row>
    <row r="2" spans="1:22" ht="16.5" thickBot="1">
      <c r="B2" s="1916" t="s">
        <v>109</v>
      </c>
      <c r="C2" s="4428" t="s">
        <v>1200</v>
      </c>
      <c r="D2" s="1905"/>
      <c r="E2" s="1905"/>
      <c r="F2" s="1905"/>
      <c r="G2" s="1922" t="s">
        <v>8</v>
      </c>
      <c r="H2" s="1905"/>
      <c r="I2" s="1905"/>
      <c r="J2" s="1905"/>
      <c r="K2" s="1905"/>
      <c r="L2" s="1905"/>
      <c r="M2" s="1905"/>
      <c r="N2" s="1905"/>
      <c r="O2" s="1905"/>
      <c r="P2" s="1905"/>
      <c r="Q2" s="5152"/>
      <c r="R2" s="5152"/>
      <c r="S2" s="5153" t="s">
        <v>110</v>
      </c>
      <c r="T2" s="5154"/>
      <c r="U2" s="5155"/>
      <c r="V2" s="5147" t="s">
        <v>111</v>
      </c>
    </row>
    <row r="3" spans="1:22" ht="16.5" thickBot="1">
      <c r="B3" s="1948" t="s">
        <v>6</v>
      </c>
      <c r="C3" s="4358">
        <v>18230487</v>
      </c>
      <c r="D3" s="1905"/>
      <c r="E3" s="1905"/>
      <c r="F3" s="1905"/>
      <c r="G3" s="1934" t="s">
        <v>9</v>
      </c>
      <c r="H3" s="1932" t="s">
        <v>10</v>
      </c>
      <c r="I3" s="1932" t="s">
        <v>11</v>
      </c>
      <c r="J3" s="1932" t="s">
        <v>12</v>
      </c>
      <c r="K3" s="1932" t="s">
        <v>13</v>
      </c>
      <c r="L3" s="1932" t="s">
        <v>14</v>
      </c>
      <c r="M3" s="1932" t="s">
        <v>15</v>
      </c>
      <c r="N3" s="1932" t="s">
        <v>16</v>
      </c>
      <c r="O3" s="1932" t="s">
        <v>112</v>
      </c>
      <c r="P3" s="1932" t="s">
        <v>113</v>
      </c>
      <c r="Q3" s="1935" t="s">
        <v>18</v>
      </c>
      <c r="R3" s="1935" t="s">
        <v>114</v>
      </c>
      <c r="S3" s="1924" t="s">
        <v>115</v>
      </c>
      <c r="T3" s="1924" t="s">
        <v>12</v>
      </c>
      <c r="U3" s="1925" t="s">
        <v>116</v>
      </c>
      <c r="V3" s="5148"/>
    </row>
    <row r="4" spans="1:22" ht="16.5" thickBot="1">
      <c r="B4" s="1948" t="s">
        <v>117</v>
      </c>
      <c r="C4" s="4358" t="s">
        <v>1155</v>
      </c>
      <c r="D4" s="1905"/>
      <c r="E4" s="1905"/>
      <c r="F4" s="1916">
        <v>2011</v>
      </c>
      <c r="G4" s="1970">
        <v>0</v>
      </c>
      <c r="H4" s="1971">
        <v>0</v>
      </c>
      <c r="I4" s="1971">
        <v>0</v>
      </c>
      <c r="J4" s="1971">
        <v>50400</v>
      </c>
      <c r="K4" s="1971">
        <v>300</v>
      </c>
      <c r="L4" s="1971">
        <v>20796</v>
      </c>
      <c r="M4" s="1971">
        <v>0</v>
      </c>
      <c r="N4" s="1971">
        <v>0</v>
      </c>
      <c r="O4" s="1971">
        <v>0</v>
      </c>
      <c r="P4" s="1971">
        <v>0</v>
      </c>
      <c r="Q4" s="1975">
        <v>71496</v>
      </c>
      <c r="R4" s="1989">
        <v>0</v>
      </c>
      <c r="S4" s="1996">
        <v>0</v>
      </c>
      <c r="T4" s="1996">
        <v>0.70493454179254789</v>
      </c>
      <c r="U4" s="1996">
        <v>0.2908694192682108</v>
      </c>
      <c r="V4" s="1998" t="e">
        <v>#DIV/0!</v>
      </c>
    </row>
    <row r="5" spans="1:22" ht="16.5" thickBot="1">
      <c r="B5" s="1916" t="s">
        <v>33</v>
      </c>
      <c r="C5" s="4386"/>
      <c r="D5" s="4160"/>
      <c r="E5" s="1905"/>
      <c r="F5" s="1916">
        <v>2012</v>
      </c>
      <c r="G5" s="1972">
        <f>D14</f>
        <v>172537.96</v>
      </c>
      <c r="H5" s="1973">
        <f>D19</f>
        <v>0</v>
      </c>
      <c r="I5" s="1973">
        <f>D24</f>
        <v>108698.91479999998</v>
      </c>
      <c r="J5" s="1973">
        <f>D29</f>
        <v>14748.8</v>
      </c>
      <c r="K5" s="1973">
        <f>D34</f>
        <v>2445.58</v>
      </c>
      <c r="L5" s="1973">
        <f>D39</f>
        <v>104412.4</v>
      </c>
      <c r="M5" s="1973">
        <f>D45</f>
        <v>7604</v>
      </c>
      <c r="N5" s="1973">
        <f>D50</f>
        <v>3915</v>
      </c>
      <c r="O5" s="1973">
        <v>0</v>
      </c>
      <c r="P5" s="1973">
        <v>0</v>
      </c>
      <c r="Q5" s="1974">
        <f>SUM(G5:P5)</f>
        <v>414362.65480000002</v>
      </c>
      <c r="R5" s="1990">
        <v>0</v>
      </c>
      <c r="S5" s="1997">
        <v>0</v>
      </c>
      <c r="T5" s="1997">
        <v>4.0968345455626984E-2</v>
      </c>
      <c r="U5" s="1997">
        <v>0.16967525733501002</v>
      </c>
      <c r="V5" s="1999" t="e">
        <v>#DIV/0!</v>
      </c>
    </row>
    <row r="6" spans="1:22" s="3532" customFormat="1" ht="16.5" thickBot="1">
      <c r="B6" s="3331"/>
      <c r="C6" s="4117"/>
      <c r="D6" s="4160"/>
      <c r="E6" s="4117"/>
      <c r="F6" s="4266" t="s">
        <v>1168</v>
      </c>
      <c r="G6" s="4267">
        <v>174797.16999999998</v>
      </c>
      <c r="H6" s="4268">
        <v>0</v>
      </c>
      <c r="I6" s="4268">
        <v>110122.21709999999</v>
      </c>
      <c r="J6" s="4268">
        <v>7900.8</v>
      </c>
      <c r="K6" s="4268">
        <v>2445.58</v>
      </c>
      <c r="L6" s="4268">
        <v>119825.4</v>
      </c>
      <c r="M6" s="4268">
        <v>7604</v>
      </c>
      <c r="N6" s="4268">
        <v>3825</v>
      </c>
      <c r="O6" s="4268">
        <v>0</v>
      </c>
      <c r="P6" s="4268">
        <v>0</v>
      </c>
      <c r="Q6" s="2064">
        <v>426520.16709999996</v>
      </c>
      <c r="R6" s="4269">
        <v>0</v>
      </c>
      <c r="S6" s="3637">
        <v>0</v>
      </c>
      <c r="T6" s="3637">
        <v>2.130196584504641E-2</v>
      </c>
      <c r="U6" s="3637">
        <v>0.20534636967832373</v>
      </c>
      <c r="V6" s="2096"/>
    </row>
    <row r="7" spans="1:22" ht="16.5" thickBot="1">
      <c r="B7" s="1905"/>
      <c r="C7" s="1916" t="s">
        <v>807</v>
      </c>
      <c r="D7" s="1905"/>
      <c r="E7" s="1905"/>
      <c r="F7" s="4223" t="s">
        <v>1169</v>
      </c>
      <c r="G7" s="4228">
        <f>E14</f>
        <v>82000</v>
      </c>
      <c r="H7" s="4229">
        <f>E19</f>
        <v>0</v>
      </c>
      <c r="I7" s="4229">
        <f>E24</f>
        <v>57974</v>
      </c>
      <c r="J7" s="4229">
        <f>E29</f>
        <v>22648.799999999999</v>
      </c>
      <c r="K7" s="4229">
        <f>E34</f>
        <v>2445.58</v>
      </c>
      <c r="L7" s="4229">
        <f>E39</f>
        <v>128525.4</v>
      </c>
      <c r="M7" s="4229">
        <f>E45</f>
        <v>0</v>
      </c>
      <c r="N7" s="4229">
        <f>E50</f>
        <v>3825</v>
      </c>
      <c r="O7" s="4229">
        <v>0</v>
      </c>
      <c r="P7" s="4229">
        <v>0</v>
      </c>
      <c r="Q7" s="4226">
        <f>SUM(G7:P7)</f>
        <v>297418.77999999997</v>
      </c>
      <c r="R7" s="4230">
        <v>0</v>
      </c>
      <c r="S7" s="1997">
        <v>0</v>
      </c>
      <c r="T7" s="1997">
        <v>2.130196584504641E-2</v>
      </c>
      <c r="U7" s="1997">
        <v>0.20534636967832373</v>
      </c>
      <c r="V7" s="1999" t="e">
        <v>#DIV/0!</v>
      </c>
    </row>
    <row r="8" spans="1:22" ht="16.5" thickBot="1">
      <c r="B8" s="1905"/>
      <c r="C8" s="2086" t="s">
        <v>1431</v>
      </c>
      <c r="D8" s="1905"/>
      <c r="E8" s="1905"/>
      <c r="F8" s="1986" t="s">
        <v>1170</v>
      </c>
      <c r="G8" s="1987">
        <f>SUM(G5+G7)</f>
        <v>254537.96</v>
      </c>
      <c r="H8" s="1987">
        <f t="shared" ref="H8:Q8" si="0">SUM(H5+H7)</f>
        <v>0</v>
      </c>
      <c r="I8" s="1987">
        <f t="shared" si="0"/>
        <v>166672.91479999997</v>
      </c>
      <c r="J8" s="1987">
        <f t="shared" si="0"/>
        <v>37397.599999999999</v>
      </c>
      <c r="K8" s="1987">
        <f t="shared" si="0"/>
        <v>4891.16</v>
      </c>
      <c r="L8" s="1987">
        <f t="shared" si="0"/>
        <v>232937.8</v>
      </c>
      <c r="M8" s="1987">
        <f t="shared" si="0"/>
        <v>7604</v>
      </c>
      <c r="N8" s="1987">
        <f t="shared" si="0"/>
        <v>7740</v>
      </c>
      <c r="O8" s="1987">
        <f t="shared" si="0"/>
        <v>0</v>
      </c>
      <c r="P8" s="1987">
        <f t="shared" si="0"/>
        <v>0</v>
      </c>
      <c r="Q8" s="1987">
        <f t="shared" si="0"/>
        <v>711781.43479999993</v>
      </c>
      <c r="R8" s="1991">
        <v>0</v>
      </c>
      <c r="S8" s="1997">
        <v>0</v>
      </c>
      <c r="T8" s="1997">
        <v>3.0971407649094999E-2</v>
      </c>
      <c r="U8" s="1997">
        <v>0.18780782157139186</v>
      </c>
      <c r="V8" s="1999" t="e">
        <v>#DIV/0!</v>
      </c>
    </row>
    <row r="9" spans="1:22">
      <c r="P9" s="2216"/>
      <c r="Q9" s="84"/>
    </row>
    <row r="10" spans="1:22" s="2203" customFormat="1">
      <c r="A10" s="3064"/>
      <c r="P10" s="2216"/>
    </row>
    <row r="11" spans="1:22" ht="13.5" thickBot="1">
      <c r="B11" s="1905"/>
      <c r="C11" s="1967" t="s">
        <v>118</v>
      </c>
      <c r="D11" s="5149" t="s">
        <v>119</v>
      </c>
      <c r="E11" s="5149"/>
      <c r="F11" s="1905"/>
      <c r="G11" s="1905"/>
      <c r="H11" s="1905"/>
      <c r="I11" s="5150" t="s">
        <v>120</v>
      </c>
      <c r="J11" s="5150"/>
      <c r="K11" s="5150"/>
      <c r="L11" s="5150"/>
      <c r="M11" s="5151" t="s">
        <v>119</v>
      </c>
      <c r="N11" s="5151"/>
      <c r="O11" s="1905"/>
      <c r="P11" s="1905"/>
      <c r="Q11" s="1905"/>
      <c r="R11" s="1905"/>
      <c r="S11" s="1905"/>
      <c r="T11" s="1905"/>
      <c r="U11" s="1905"/>
      <c r="V11" s="1905"/>
    </row>
    <row r="12" spans="1:22" ht="16.5" thickBot="1">
      <c r="B12" s="1969" t="s">
        <v>121</v>
      </c>
      <c r="C12" s="5156" t="s">
        <v>122</v>
      </c>
      <c r="D12" s="5156"/>
      <c r="E12" s="5156"/>
      <c r="F12" s="5157"/>
      <c r="G12" s="1905"/>
      <c r="H12" s="1905"/>
      <c r="I12" s="5153" t="s">
        <v>123</v>
      </c>
      <c r="J12" s="5154"/>
      <c r="K12" s="5154"/>
      <c r="L12" s="5155"/>
      <c r="M12" s="5153" t="s">
        <v>124</v>
      </c>
      <c r="N12" s="5154"/>
      <c r="O12" s="5155"/>
      <c r="P12" s="5153" t="s">
        <v>125</v>
      </c>
      <c r="Q12" s="5154"/>
      <c r="R12" s="5155"/>
      <c r="S12" s="1905"/>
      <c r="T12" s="4897"/>
      <c r="U12" s="4056"/>
      <c r="V12" s="1905"/>
    </row>
    <row r="13" spans="1:22" ht="16.5" thickBot="1">
      <c r="B13" s="1979">
        <v>2011</v>
      </c>
      <c r="C13" s="1968" t="s">
        <v>127</v>
      </c>
      <c r="D13" s="1962">
        <v>2012</v>
      </c>
      <c r="E13" s="1962">
        <v>2013</v>
      </c>
      <c r="F13" s="1962" t="s">
        <v>128</v>
      </c>
      <c r="G13" s="1905"/>
      <c r="H13" s="1923"/>
      <c r="I13" s="5158" t="s">
        <v>129</v>
      </c>
      <c r="J13" s="5159"/>
      <c r="K13" s="5160"/>
      <c r="L13" s="1958" t="s">
        <v>130</v>
      </c>
      <c r="M13" s="1959" t="s">
        <v>131</v>
      </c>
      <c r="N13" s="1960" t="s">
        <v>132</v>
      </c>
      <c r="O13" s="1961" t="s">
        <v>133</v>
      </c>
      <c r="P13" s="1959" t="s">
        <v>134</v>
      </c>
      <c r="Q13" s="1959" t="s">
        <v>135</v>
      </c>
      <c r="R13" s="1961" t="s">
        <v>136</v>
      </c>
      <c r="S13" s="1905"/>
      <c r="T13" s="4898"/>
      <c r="U13" s="4056"/>
      <c r="V13" s="1905"/>
    </row>
    <row r="14" spans="1:22" ht="13.5" thickBot="1">
      <c r="B14" s="1976">
        <v>0</v>
      </c>
      <c r="C14" s="1936" t="s">
        <v>138</v>
      </c>
      <c r="D14" s="1937">
        <f>SUM(D15:D18)</f>
        <v>172537.96</v>
      </c>
      <c r="E14" s="3255">
        <f>SUM(E15:E18)</f>
        <v>82000</v>
      </c>
      <c r="F14" s="1938">
        <f>SUM(D14:E14)</f>
        <v>254537.96</v>
      </c>
      <c r="G14" s="1905"/>
      <c r="H14" s="1926"/>
      <c r="I14" s="1955" t="s">
        <v>368</v>
      </c>
      <c r="J14" s="1956"/>
      <c r="K14" s="1957"/>
      <c r="L14" s="1965">
        <v>0</v>
      </c>
      <c r="M14" s="1912"/>
      <c r="N14" s="1912"/>
      <c r="O14" s="1927">
        <v>0</v>
      </c>
      <c r="P14" s="1963">
        <v>0</v>
      </c>
      <c r="Q14" s="1963">
        <v>0</v>
      </c>
      <c r="R14" s="1964">
        <v>0</v>
      </c>
      <c r="S14" s="1905"/>
      <c r="T14" s="4900"/>
      <c r="U14" s="4056"/>
      <c r="V14" s="1905"/>
    </row>
    <row r="15" spans="1:22">
      <c r="B15" s="1977"/>
      <c r="C15" s="4058" t="s">
        <v>1432</v>
      </c>
      <c r="D15" s="1918">
        <v>110073.97</v>
      </c>
      <c r="E15" s="4453">
        <v>50000</v>
      </c>
      <c r="F15" s="1918">
        <f>SUM(D15:E15)</f>
        <v>160073.97</v>
      </c>
      <c r="G15" s="1905"/>
      <c r="H15" s="1926"/>
      <c r="I15" s="1951" t="s">
        <v>369</v>
      </c>
      <c r="J15" s="1952"/>
      <c r="K15" s="1953"/>
      <c r="L15" s="1965">
        <v>0</v>
      </c>
      <c r="M15" s="1912"/>
      <c r="N15" s="1912"/>
      <c r="O15" s="1927">
        <v>0</v>
      </c>
      <c r="P15" s="1963">
        <v>0</v>
      </c>
      <c r="Q15" s="1963">
        <v>0</v>
      </c>
      <c r="R15" s="1964">
        <v>0</v>
      </c>
      <c r="S15" s="1905"/>
      <c r="T15" s="4900"/>
      <c r="U15" s="4056"/>
      <c r="V15" s="1905"/>
    </row>
    <row r="16" spans="1:22">
      <c r="B16" s="1978"/>
      <c r="C16" s="4058" t="s">
        <v>1433</v>
      </c>
      <c r="D16" s="1918">
        <v>55786.99</v>
      </c>
      <c r="E16" s="4453">
        <v>23000</v>
      </c>
      <c r="F16" s="3253">
        <f t="shared" ref="F16:F18" si="1">SUM(D16:E16)</f>
        <v>78786.989999999991</v>
      </c>
      <c r="G16" s="1905"/>
      <c r="H16" s="1926"/>
      <c r="I16" s="1951" t="s">
        <v>370</v>
      </c>
      <c r="J16" s="1952"/>
      <c r="K16" s="1953"/>
      <c r="L16" s="1965">
        <v>0</v>
      </c>
      <c r="M16" s="1912">
        <v>0</v>
      </c>
      <c r="N16" s="1912">
        <v>0</v>
      </c>
      <c r="O16" s="1927">
        <v>0</v>
      </c>
      <c r="P16" s="1963">
        <v>0</v>
      </c>
      <c r="Q16" s="1963">
        <v>0</v>
      </c>
      <c r="R16" s="1964">
        <v>0</v>
      </c>
      <c r="S16" s="1905"/>
      <c r="T16" s="4900"/>
      <c r="U16" s="4056"/>
      <c r="V16" s="1905"/>
    </row>
    <row r="17" spans="2:22">
      <c r="B17" s="1978"/>
      <c r="C17" s="4752" t="s">
        <v>1334</v>
      </c>
      <c r="D17" s="1920"/>
      <c r="E17" s="4581">
        <v>9000</v>
      </c>
      <c r="F17" s="3253">
        <f t="shared" si="1"/>
        <v>9000</v>
      </c>
      <c r="G17" s="1905"/>
      <c r="H17" s="1926"/>
      <c r="I17" s="1951" t="s">
        <v>188</v>
      </c>
      <c r="J17" s="1952"/>
      <c r="K17" s="1953"/>
      <c r="L17" s="1965">
        <v>0</v>
      </c>
      <c r="M17" s="1912">
        <v>0</v>
      </c>
      <c r="N17" s="1912">
        <v>0</v>
      </c>
      <c r="O17" s="1927">
        <v>0</v>
      </c>
      <c r="P17" s="1963">
        <v>0</v>
      </c>
      <c r="Q17" s="1963">
        <v>0</v>
      </c>
      <c r="R17" s="1964">
        <v>0</v>
      </c>
      <c r="S17" s="1905"/>
      <c r="T17" s="4900"/>
      <c r="U17" s="4056"/>
      <c r="V17" s="1905"/>
    </row>
    <row r="18" spans="2:22" ht="13.5" thickBot="1">
      <c r="B18" s="1978"/>
      <c r="C18" s="1911" t="s">
        <v>816</v>
      </c>
      <c r="D18" s="1920">
        <v>6677</v>
      </c>
      <c r="E18" s="4581">
        <v>0</v>
      </c>
      <c r="F18" s="3253">
        <f t="shared" si="1"/>
        <v>6677</v>
      </c>
      <c r="G18" s="1905"/>
      <c r="H18" s="1926"/>
      <c r="I18" s="1951" t="s">
        <v>189</v>
      </c>
      <c r="J18" s="1952"/>
      <c r="K18" s="1953"/>
      <c r="L18" s="1965">
        <v>0</v>
      </c>
      <c r="M18" s="1912">
        <v>0</v>
      </c>
      <c r="N18" s="1912">
        <v>0</v>
      </c>
      <c r="O18" s="1927">
        <v>0</v>
      </c>
      <c r="P18" s="1963">
        <v>0</v>
      </c>
      <c r="Q18" s="1963">
        <v>0</v>
      </c>
      <c r="R18" s="1964">
        <v>0</v>
      </c>
      <c r="S18" s="1905"/>
      <c r="T18" s="4900"/>
      <c r="U18" s="4056"/>
      <c r="V18" s="1905"/>
    </row>
    <row r="19" spans="2:22" ht="13.5" thickBot="1">
      <c r="B19" s="1976">
        <v>0</v>
      </c>
      <c r="C19" s="1936" t="s">
        <v>143</v>
      </c>
      <c r="D19" s="3255">
        <f>SUM(D20:D23)</f>
        <v>0</v>
      </c>
      <c r="E19" s="3255">
        <f>SUM(E20:E23)</f>
        <v>0</v>
      </c>
      <c r="F19" s="3234">
        <f>SUM(D19:E19)</f>
        <v>0</v>
      </c>
      <c r="G19" s="1905"/>
      <c r="H19" s="1926"/>
      <c r="I19" s="1951" t="s">
        <v>190</v>
      </c>
      <c r="J19" s="1952"/>
      <c r="K19" s="1953"/>
      <c r="L19" s="1965">
        <v>0</v>
      </c>
      <c r="M19" s="1912">
        <v>0</v>
      </c>
      <c r="N19" s="1912">
        <v>0</v>
      </c>
      <c r="O19" s="1927">
        <v>0</v>
      </c>
      <c r="P19" s="1963">
        <v>0</v>
      </c>
      <c r="Q19" s="1963">
        <v>0</v>
      </c>
      <c r="R19" s="1964">
        <v>0</v>
      </c>
      <c r="S19" s="1905"/>
      <c r="T19" s="4900"/>
      <c r="U19" s="3535"/>
    </row>
    <row r="20" spans="2:22">
      <c r="B20" s="1977"/>
      <c r="C20" s="1911" t="s">
        <v>139</v>
      </c>
      <c r="D20" s="1918">
        <v>0</v>
      </c>
      <c r="E20" s="1918">
        <v>0</v>
      </c>
      <c r="F20" s="1918">
        <f>SUM(D20:E20)</f>
        <v>0</v>
      </c>
      <c r="G20" s="1905"/>
      <c r="H20" s="1926"/>
      <c r="I20" s="1951" t="s">
        <v>191</v>
      </c>
      <c r="J20" s="1952"/>
      <c r="K20" s="1953"/>
      <c r="L20" s="1965">
        <v>0</v>
      </c>
      <c r="M20" s="1912">
        <v>0</v>
      </c>
      <c r="N20" s="1912">
        <v>0</v>
      </c>
      <c r="O20" s="1927">
        <v>0</v>
      </c>
      <c r="P20" s="1963">
        <v>0</v>
      </c>
      <c r="Q20" s="1963">
        <v>0</v>
      </c>
      <c r="R20" s="1964">
        <v>0</v>
      </c>
      <c r="S20" s="1905"/>
      <c r="T20" s="4900"/>
      <c r="U20" s="3535"/>
    </row>
    <row r="21" spans="2:22">
      <c r="B21" s="1978"/>
      <c r="C21" s="1911" t="s">
        <v>140</v>
      </c>
      <c r="D21" s="1918">
        <v>0</v>
      </c>
      <c r="E21" s="1918">
        <v>0</v>
      </c>
      <c r="F21" s="3253">
        <f t="shared" ref="F21:F23" si="2">SUM(D21:E21)</f>
        <v>0</v>
      </c>
      <c r="G21" s="1905"/>
      <c r="H21" s="1926"/>
      <c r="I21" s="1951" t="s">
        <v>192</v>
      </c>
      <c r="J21" s="1952"/>
      <c r="K21" s="1953"/>
      <c r="L21" s="1965">
        <v>0</v>
      </c>
      <c r="M21" s="1912">
        <v>0</v>
      </c>
      <c r="N21" s="1912">
        <v>0</v>
      </c>
      <c r="O21" s="1927">
        <v>0</v>
      </c>
      <c r="P21" s="1963">
        <v>0</v>
      </c>
      <c r="Q21" s="1963">
        <v>0</v>
      </c>
      <c r="R21" s="1964">
        <v>0</v>
      </c>
      <c r="S21" s="1905"/>
      <c r="T21" s="4900"/>
      <c r="U21" s="3535"/>
    </row>
    <row r="22" spans="2:22">
      <c r="B22" s="1978"/>
      <c r="C22" s="1911" t="s">
        <v>141</v>
      </c>
      <c r="D22" s="1920">
        <v>0</v>
      </c>
      <c r="E22" s="1920"/>
      <c r="F22" s="3253">
        <f t="shared" si="2"/>
        <v>0</v>
      </c>
      <c r="G22" s="1905"/>
      <c r="H22" s="1926"/>
      <c r="I22" s="1951" t="s">
        <v>193</v>
      </c>
      <c r="J22" s="1952"/>
      <c r="K22" s="1953"/>
      <c r="L22" s="1965">
        <v>0</v>
      </c>
      <c r="M22" s="1912">
        <v>0</v>
      </c>
      <c r="N22" s="1912">
        <v>0</v>
      </c>
      <c r="O22" s="1927">
        <v>0</v>
      </c>
      <c r="P22" s="1963">
        <v>0</v>
      </c>
      <c r="Q22" s="1963">
        <v>0</v>
      </c>
      <c r="R22" s="1964">
        <v>0</v>
      </c>
      <c r="S22" s="1905"/>
      <c r="T22" s="4900"/>
      <c r="U22" s="3535"/>
    </row>
    <row r="23" spans="2:22" ht="13.5" thickBot="1">
      <c r="B23" s="1978"/>
      <c r="C23" s="1911" t="s">
        <v>142</v>
      </c>
      <c r="D23" s="1920">
        <v>0</v>
      </c>
      <c r="E23" s="1920"/>
      <c r="F23" s="3253">
        <f t="shared" si="2"/>
        <v>0</v>
      </c>
      <c r="G23" s="1905"/>
      <c r="H23" s="1926"/>
      <c r="I23" s="1951" t="s">
        <v>194</v>
      </c>
      <c r="J23" s="1952"/>
      <c r="K23" s="1953"/>
      <c r="L23" s="1965">
        <v>0</v>
      </c>
      <c r="M23" s="1912">
        <v>0</v>
      </c>
      <c r="N23" s="1912">
        <v>0</v>
      </c>
      <c r="O23" s="1927">
        <v>0</v>
      </c>
      <c r="P23" s="1963">
        <v>0</v>
      </c>
      <c r="Q23" s="1963">
        <v>0</v>
      </c>
      <c r="R23" s="1964">
        <v>0</v>
      </c>
      <c r="S23" s="1905"/>
      <c r="T23" s="4900"/>
      <c r="U23" s="3535"/>
    </row>
    <row r="24" spans="2:22" ht="13.5" thickBot="1">
      <c r="B24" s="1976">
        <v>0</v>
      </c>
      <c r="C24" s="1936" t="s">
        <v>144</v>
      </c>
      <c r="D24" s="3255">
        <f>SUM(D25:D28)</f>
        <v>108698.91479999998</v>
      </c>
      <c r="E24" s="3255">
        <f>SUM(E25:E28)</f>
        <v>57974</v>
      </c>
      <c r="F24" s="3234">
        <f>SUM(D24:E24)</f>
        <v>166672.91479999997</v>
      </c>
      <c r="G24" s="1910"/>
      <c r="H24" s="1926"/>
      <c r="I24" s="1951" t="s">
        <v>195</v>
      </c>
      <c r="J24" s="1952"/>
      <c r="K24" s="1953"/>
      <c r="L24" s="1965">
        <v>0</v>
      </c>
      <c r="M24" s="1912">
        <v>0</v>
      </c>
      <c r="N24" s="1912">
        <v>0</v>
      </c>
      <c r="O24" s="1927">
        <v>0</v>
      </c>
      <c r="P24" s="1963">
        <v>0</v>
      </c>
      <c r="Q24" s="1963">
        <v>0</v>
      </c>
      <c r="R24" s="1964">
        <v>0</v>
      </c>
      <c r="S24" s="1905"/>
      <c r="T24" s="4900"/>
      <c r="U24" s="3535"/>
    </row>
    <row r="25" spans="2:22">
      <c r="B25" s="1977"/>
      <c r="C25" s="3220" t="s">
        <v>1202</v>
      </c>
      <c r="D25" s="1918">
        <f>0.63*D15</f>
        <v>69346.6011</v>
      </c>
      <c r="E25" s="1918">
        <f>0.707*E14</f>
        <v>57974</v>
      </c>
      <c r="F25" s="1918">
        <f>SUM(D25:E25)</f>
        <v>127320.6011</v>
      </c>
      <c r="G25" s="1905"/>
      <c r="H25" s="1926"/>
      <c r="I25" s="1951" t="s">
        <v>196</v>
      </c>
      <c r="J25" s="1952"/>
      <c r="K25" s="1953"/>
      <c r="L25" s="1965">
        <v>0</v>
      </c>
      <c r="M25" s="1912">
        <v>0</v>
      </c>
      <c r="N25" s="1912">
        <v>0</v>
      </c>
      <c r="O25" s="1927">
        <v>0</v>
      </c>
      <c r="P25" s="1963">
        <v>0</v>
      </c>
      <c r="Q25" s="1963">
        <v>0</v>
      </c>
      <c r="R25" s="1964">
        <v>0</v>
      </c>
      <c r="S25" s="1905"/>
      <c r="T25" s="4900"/>
      <c r="U25" s="3535"/>
    </row>
    <row r="26" spans="2:22">
      <c r="B26" s="1977"/>
      <c r="C26" s="3220" t="s">
        <v>1203</v>
      </c>
      <c r="D26" s="1919">
        <f>0.63*D16</f>
        <v>35145.803699999997</v>
      </c>
      <c r="E26" s="1919">
        <f>0.707*E19</f>
        <v>0</v>
      </c>
      <c r="F26" s="3253">
        <f t="shared" ref="F26:F28" si="3">SUM(D26:E26)</f>
        <v>35145.803699999997</v>
      </c>
      <c r="G26" s="1905"/>
      <c r="H26" s="1926"/>
      <c r="I26" s="1951" t="s">
        <v>197</v>
      </c>
      <c r="J26" s="1952"/>
      <c r="K26" s="1953"/>
      <c r="L26" s="1965">
        <v>0</v>
      </c>
      <c r="M26" s="1912">
        <v>0</v>
      </c>
      <c r="N26" s="1912">
        <v>0</v>
      </c>
      <c r="O26" s="1927">
        <v>0</v>
      </c>
      <c r="P26" s="1963">
        <v>0</v>
      </c>
      <c r="Q26" s="1963">
        <v>0</v>
      </c>
      <c r="R26" s="1964">
        <v>0</v>
      </c>
      <c r="S26" s="1905"/>
      <c r="T26" s="4900"/>
      <c r="U26" s="3535"/>
    </row>
    <row r="27" spans="2:22">
      <c r="B27" s="1978"/>
      <c r="C27" s="3220"/>
      <c r="D27" s="1920">
        <f>0.63*D18</f>
        <v>4206.51</v>
      </c>
      <c r="E27" s="4138"/>
      <c r="F27" s="3253">
        <f t="shared" si="3"/>
        <v>4206.51</v>
      </c>
      <c r="G27" s="1905"/>
      <c r="H27" s="1926"/>
      <c r="I27" s="1951" t="s">
        <v>198</v>
      </c>
      <c r="J27" s="1952"/>
      <c r="K27" s="1953"/>
      <c r="L27" s="1965">
        <v>0</v>
      </c>
      <c r="M27" s="1912">
        <v>0</v>
      </c>
      <c r="N27" s="1912">
        <v>0</v>
      </c>
      <c r="O27" s="1927">
        <v>0</v>
      </c>
      <c r="P27" s="1963">
        <v>0</v>
      </c>
      <c r="Q27" s="1963">
        <v>0</v>
      </c>
      <c r="R27" s="1964">
        <v>0</v>
      </c>
      <c r="S27" s="1905"/>
      <c r="T27" s="4900"/>
      <c r="U27" s="3535"/>
    </row>
    <row r="28" spans="2:22" ht="13.5" thickBot="1">
      <c r="B28" s="1978"/>
      <c r="C28" s="1911"/>
      <c r="D28" s="1920"/>
      <c r="E28" s="1920"/>
      <c r="F28" s="3253">
        <f t="shared" si="3"/>
        <v>0</v>
      </c>
      <c r="G28" s="1905"/>
      <c r="H28" s="1926"/>
      <c r="I28" s="1951" t="s">
        <v>199</v>
      </c>
      <c r="J28" s="1952"/>
      <c r="K28" s="1953"/>
      <c r="L28" s="1965">
        <v>0</v>
      </c>
      <c r="M28" s="1912">
        <v>0</v>
      </c>
      <c r="N28" s="1912">
        <v>0</v>
      </c>
      <c r="O28" s="1927">
        <v>0</v>
      </c>
      <c r="P28" s="1963">
        <v>0</v>
      </c>
      <c r="Q28" s="1963">
        <v>0</v>
      </c>
      <c r="R28" s="1964">
        <v>0</v>
      </c>
      <c r="S28" s="1905"/>
      <c r="T28" s="4900"/>
      <c r="U28" s="3535"/>
    </row>
    <row r="29" spans="2:22" ht="13.5" thickBot="1">
      <c r="B29" s="1976">
        <v>50400</v>
      </c>
      <c r="C29" s="1936" t="s">
        <v>145</v>
      </c>
      <c r="D29" s="3255">
        <f>SUM(D30:D33)</f>
        <v>14748.8</v>
      </c>
      <c r="E29" s="3255">
        <f>SUM(E30:E33)</f>
        <v>22648.799999999999</v>
      </c>
      <c r="F29" s="3234">
        <f>SUM(D29:E29)</f>
        <v>37397.599999999999</v>
      </c>
      <c r="G29" s="1905"/>
      <c r="H29" s="1926"/>
      <c r="I29" s="1951" t="s">
        <v>200</v>
      </c>
      <c r="J29" s="1952"/>
      <c r="K29" s="1953"/>
      <c r="L29" s="1965">
        <v>0</v>
      </c>
      <c r="M29" s="1912">
        <v>0</v>
      </c>
      <c r="N29" s="1912">
        <v>0</v>
      </c>
      <c r="O29" s="1927">
        <v>0</v>
      </c>
      <c r="P29" s="1963">
        <v>0</v>
      </c>
      <c r="Q29" s="1963">
        <v>0</v>
      </c>
      <c r="R29" s="1964">
        <v>0</v>
      </c>
      <c r="S29" s="1905"/>
      <c r="T29" s="4900"/>
      <c r="U29" s="3535"/>
    </row>
    <row r="30" spans="2:22">
      <c r="B30" s="1977"/>
      <c r="C30" s="3300" t="s">
        <v>997</v>
      </c>
      <c r="D30" s="1918">
        <v>10572.8</v>
      </c>
      <c r="E30" s="4453">
        <v>14296.8</v>
      </c>
      <c r="F30" s="1918">
        <f>SUM(D30:E30)</f>
        <v>24869.599999999999</v>
      </c>
      <c r="G30" s="1905"/>
      <c r="H30" s="1926"/>
      <c r="I30" s="1951" t="s">
        <v>201</v>
      </c>
      <c r="J30" s="1952"/>
      <c r="K30" s="1953"/>
      <c r="L30" s="1965">
        <v>0</v>
      </c>
      <c r="M30" s="1912">
        <v>0</v>
      </c>
      <c r="N30" s="1912">
        <v>0</v>
      </c>
      <c r="O30" s="1927">
        <v>0</v>
      </c>
      <c r="P30" s="1963">
        <v>0</v>
      </c>
      <c r="Q30" s="1963">
        <v>0</v>
      </c>
      <c r="R30" s="1964">
        <v>0</v>
      </c>
      <c r="S30" s="1905"/>
      <c r="T30" s="4900"/>
      <c r="U30" s="3535"/>
    </row>
    <row r="31" spans="2:22">
      <c r="B31" s="1978"/>
      <c r="C31" s="1911" t="s">
        <v>817</v>
      </c>
      <c r="D31" s="1919">
        <v>4176</v>
      </c>
      <c r="E31" s="4454">
        <v>8352</v>
      </c>
      <c r="F31" s="3253">
        <f t="shared" ref="F31:F33" si="4">SUM(D31:E31)</f>
        <v>12528</v>
      </c>
      <c r="G31" s="1905"/>
      <c r="H31" s="1926"/>
      <c r="I31" s="1951" t="s">
        <v>202</v>
      </c>
      <c r="J31" s="1952"/>
      <c r="K31" s="1953"/>
      <c r="L31" s="1965">
        <v>0</v>
      </c>
      <c r="M31" s="1912">
        <v>0</v>
      </c>
      <c r="N31" s="1912">
        <v>0</v>
      </c>
      <c r="O31" s="1927">
        <v>0</v>
      </c>
      <c r="P31" s="1963">
        <v>0</v>
      </c>
      <c r="Q31" s="1963">
        <v>0</v>
      </c>
      <c r="R31" s="1964">
        <v>0</v>
      </c>
      <c r="S31" s="1905"/>
      <c r="T31" s="4900"/>
      <c r="U31" s="3535"/>
    </row>
    <row r="32" spans="2:22">
      <c r="B32" s="1978"/>
      <c r="C32" s="1911" t="s">
        <v>141</v>
      </c>
      <c r="D32" s="1919">
        <v>0</v>
      </c>
      <c r="E32" s="1919"/>
      <c r="F32" s="3253">
        <f t="shared" si="4"/>
        <v>0</v>
      </c>
      <c r="G32" s="1905"/>
      <c r="H32" s="1926"/>
      <c r="I32" s="1951" t="s">
        <v>203</v>
      </c>
      <c r="J32" s="1952"/>
      <c r="K32" s="1953"/>
      <c r="L32" s="1965">
        <v>0</v>
      </c>
      <c r="M32" s="1912">
        <v>0</v>
      </c>
      <c r="N32" s="1912">
        <v>0</v>
      </c>
      <c r="O32" s="1927">
        <v>0</v>
      </c>
      <c r="P32" s="1963">
        <v>0</v>
      </c>
      <c r="Q32" s="1963">
        <v>0</v>
      </c>
      <c r="R32" s="1964">
        <v>0</v>
      </c>
      <c r="S32" s="1905"/>
      <c r="T32" s="4900"/>
      <c r="U32" s="3535"/>
    </row>
    <row r="33" spans="2:21" ht="13.5" thickBot="1">
      <c r="B33" s="1978"/>
      <c r="C33" s="1911" t="s">
        <v>142</v>
      </c>
      <c r="D33" s="1919">
        <v>0</v>
      </c>
      <c r="E33" s="1919"/>
      <c r="F33" s="3253">
        <f t="shared" si="4"/>
        <v>0</v>
      </c>
      <c r="G33" s="1905"/>
      <c r="H33" s="1926"/>
      <c r="I33" s="1951" t="s">
        <v>204</v>
      </c>
      <c r="J33" s="1952"/>
      <c r="K33" s="1953"/>
      <c r="L33" s="1965">
        <v>0</v>
      </c>
      <c r="M33" s="1912">
        <v>0</v>
      </c>
      <c r="N33" s="1912">
        <v>0</v>
      </c>
      <c r="O33" s="1927">
        <v>0</v>
      </c>
      <c r="P33" s="1963">
        <v>0</v>
      </c>
      <c r="Q33" s="1963">
        <v>0</v>
      </c>
      <c r="R33" s="1964">
        <v>0</v>
      </c>
      <c r="S33" s="1905"/>
      <c r="T33" s="4900"/>
      <c r="U33" s="3535"/>
    </row>
    <row r="34" spans="2:21" ht="13.5" thickBot="1">
      <c r="B34" s="1976">
        <v>300</v>
      </c>
      <c r="C34" s="1936" t="s">
        <v>146</v>
      </c>
      <c r="D34" s="3255">
        <f>SUM(D35:D38)</f>
        <v>2445.58</v>
      </c>
      <c r="E34" s="3255">
        <f>SUM(E35:E38)</f>
        <v>2445.58</v>
      </c>
      <c r="F34" s="3234">
        <f>SUM(D34:E34)</f>
        <v>4891.16</v>
      </c>
      <c r="G34" s="1905"/>
      <c r="H34" s="1926"/>
      <c r="I34" s="1951" t="s">
        <v>205</v>
      </c>
      <c r="J34" s="1952"/>
      <c r="K34" s="1953"/>
      <c r="L34" s="1965">
        <v>0</v>
      </c>
      <c r="M34" s="1912">
        <v>0</v>
      </c>
      <c r="N34" s="1912">
        <v>0</v>
      </c>
      <c r="O34" s="1927">
        <v>0</v>
      </c>
      <c r="P34" s="1963">
        <v>0</v>
      </c>
      <c r="Q34" s="1963">
        <v>0</v>
      </c>
      <c r="R34" s="1964">
        <v>0</v>
      </c>
      <c r="S34" s="1905"/>
      <c r="T34" s="4900"/>
      <c r="U34" s="3535"/>
    </row>
    <row r="35" spans="2:21">
      <c r="B35" s="1978"/>
      <c r="C35" s="1911" t="s">
        <v>139</v>
      </c>
      <c r="D35" s="1919">
        <v>1321.58</v>
      </c>
      <c r="E35" s="1919">
        <v>1321.58</v>
      </c>
      <c r="F35" s="1918">
        <f>SUM(D35:E35)</f>
        <v>2643.16</v>
      </c>
      <c r="G35" s="1905"/>
      <c r="H35" s="1926"/>
      <c r="I35" s="1951" t="s">
        <v>206</v>
      </c>
      <c r="J35" s="1952"/>
      <c r="K35" s="1953"/>
      <c r="L35" s="1965">
        <v>0</v>
      </c>
      <c r="M35" s="1912">
        <v>0</v>
      </c>
      <c r="N35" s="1912">
        <v>0</v>
      </c>
      <c r="O35" s="1927">
        <v>0</v>
      </c>
      <c r="P35" s="1963">
        <v>0</v>
      </c>
      <c r="Q35" s="1963">
        <v>0</v>
      </c>
      <c r="R35" s="1964">
        <v>0</v>
      </c>
      <c r="S35" s="1905"/>
      <c r="T35" s="4900"/>
      <c r="U35" s="3535"/>
    </row>
    <row r="36" spans="2:21">
      <c r="B36" s="1978"/>
      <c r="C36" s="1911" t="s">
        <v>818</v>
      </c>
      <c r="D36" s="1919">
        <v>1124</v>
      </c>
      <c r="E36" s="1919">
        <v>1124</v>
      </c>
      <c r="F36" s="3253">
        <f t="shared" ref="F36:F38" si="5">SUM(D36:E36)</f>
        <v>2248</v>
      </c>
      <c r="G36" s="1905"/>
      <c r="H36" s="1926"/>
      <c r="I36" s="1951" t="s">
        <v>207</v>
      </c>
      <c r="J36" s="1952"/>
      <c r="K36" s="1953"/>
      <c r="L36" s="1965">
        <v>0</v>
      </c>
      <c r="M36" s="1912">
        <v>0</v>
      </c>
      <c r="N36" s="1912">
        <v>0</v>
      </c>
      <c r="O36" s="1927">
        <v>0</v>
      </c>
      <c r="P36" s="1963">
        <v>0</v>
      </c>
      <c r="Q36" s="1963">
        <v>0</v>
      </c>
      <c r="R36" s="1964">
        <v>0</v>
      </c>
      <c r="S36" s="1905"/>
      <c r="T36" s="4900"/>
      <c r="U36" s="3535"/>
    </row>
    <row r="37" spans="2:21">
      <c r="B37" s="1978"/>
      <c r="C37" s="1911" t="s">
        <v>141</v>
      </c>
      <c r="D37" s="1919">
        <v>0</v>
      </c>
      <c r="E37" s="1919"/>
      <c r="F37" s="3253">
        <f t="shared" si="5"/>
        <v>0</v>
      </c>
      <c r="G37" s="1905"/>
      <c r="H37" s="1926"/>
      <c r="I37" s="1951" t="s">
        <v>208</v>
      </c>
      <c r="J37" s="1952"/>
      <c r="K37" s="1953"/>
      <c r="L37" s="1965">
        <v>0</v>
      </c>
      <c r="M37" s="1912">
        <v>0</v>
      </c>
      <c r="N37" s="1912">
        <v>0</v>
      </c>
      <c r="O37" s="1927">
        <v>0</v>
      </c>
      <c r="P37" s="1963">
        <v>0</v>
      </c>
      <c r="Q37" s="1963">
        <v>0</v>
      </c>
      <c r="R37" s="1964">
        <v>0</v>
      </c>
      <c r="S37" s="1905"/>
      <c r="T37" s="4900"/>
      <c r="U37" s="3535"/>
    </row>
    <row r="38" spans="2:21" ht="13.5" thickBot="1">
      <c r="B38" s="1978"/>
      <c r="C38" s="1911" t="s">
        <v>142</v>
      </c>
      <c r="D38" s="1919">
        <v>0</v>
      </c>
      <c r="E38" s="1919"/>
      <c r="F38" s="3253">
        <f t="shared" si="5"/>
        <v>0</v>
      </c>
      <c r="G38" s="1905"/>
      <c r="H38" s="1926"/>
      <c r="I38" s="1951" t="s">
        <v>209</v>
      </c>
      <c r="J38" s="1952"/>
      <c r="K38" s="1953"/>
      <c r="L38" s="1965">
        <v>0</v>
      </c>
      <c r="M38" s="1912">
        <v>0</v>
      </c>
      <c r="N38" s="1912">
        <v>0</v>
      </c>
      <c r="O38" s="1927">
        <v>0</v>
      </c>
      <c r="P38" s="1963">
        <v>0</v>
      </c>
      <c r="Q38" s="1963">
        <v>0</v>
      </c>
      <c r="R38" s="1964">
        <v>0</v>
      </c>
      <c r="S38" s="1905"/>
      <c r="T38" s="4900"/>
      <c r="U38" s="3535"/>
    </row>
    <row r="39" spans="2:21" ht="13.5" thickBot="1">
      <c r="B39" s="1976">
        <v>20796</v>
      </c>
      <c r="C39" s="1936" t="s">
        <v>147</v>
      </c>
      <c r="D39" s="3255">
        <f>SUM(D40:D44)</f>
        <v>104412.4</v>
      </c>
      <c r="E39" s="3255">
        <f>SUM(E40:E44)</f>
        <v>128525.4</v>
      </c>
      <c r="F39" s="3234">
        <f>SUM(D39:E39)</f>
        <v>232937.8</v>
      </c>
      <c r="G39" s="1905"/>
      <c r="H39" s="1926"/>
      <c r="I39" s="1951" t="s">
        <v>210</v>
      </c>
      <c r="J39" s="1952"/>
      <c r="K39" s="1954"/>
      <c r="L39" s="1965">
        <v>0</v>
      </c>
      <c r="M39" s="1912">
        <v>0</v>
      </c>
      <c r="N39" s="1912">
        <v>0</v>
      </c>
      <c r="O39" s="1927">
        <v>0</v>
      </c>
      <c r="P39" s="1963">
        <v>0</v>
      </c>
      <c r="Q39" s="1963">
        <v>0</v>
      </c>
      <c r="R39" s="1964">
        <v>0</v>
      </c>
      <c r="S39" s="1905"/>
      <c r="T39" s="4900"/>
      <c r="U39" s="3535"/>
    </row>
    <row r="40" spans="2:21">
      <c r="B40" s="1978"/>
      <c r="C40" s="2000" t="s">
        <v>819</v>
      </c>
      <c r="D40" s="4060">
        <v>44300.4</v>
      </c>
      <c r="E40" s="4060">
        <v>59713.4</v>
      </c>
      <c r="F40" s="1918">
        <f>SUM(D40:E40)</f>
        <v>104013.8</v>
      </c>
      <c r="G40" s="1905"/>
      <c r="H40" s="1926"/>
      <c r="I40" s="1951" t="s">
        <v>211</v>
      </c>
      <c r="J40" s="1952"/>
      <c r="K40" s="1954"/>
      <c r="L40" s="1965">
        <v>0</v>
      </c>
      <c r="M40" s="1912">
        <v>0</v>
      </c>
      <c r="N40" s="1912">
        <v>0</v>
      </c>
      <c r="O40" s="1927">
        <v>0</v>
      </c>
      <c r="P40" s="1963">
        <v>0</v>
      </c>
      <c r="Q40" s="1963">
        <v>0</v>
      </c>
      <c r="R40" s="1964">
        <v>0</v>
      </c>
      <c r="S40" s="1905"/>
      <c r="T40" s="4900"/>
      <c r="U40" s="3535"/>
    </row>
    <row r="41" spans="2:21">
      <c r="B41" s="1978"/>
      <c r="C41" s="1911" t="s">
        <v>820</v>
      </c>
      <c r="D41" s="4060">
        <v>13812</v>
      </c>
      <c r="E41" s="4060">
        <v>13812</v>
      </c>
      <c r="F41" s="3332">
        <f t="shared" ref="F41:F44" si="6">SUM(D41:E41)</f>
        <v>27624</v>
      </c>
      <c r="G41" s="1905"/>
      <c r="H41" s="1926"/>
      <c r="I41" s="1951" t="s">
        <v>212</v>
      </c>
      <c r="J41" s="1952"/>
      <c r="K41" s="1954"/>
      <c r="L41" s="1965">
        <v>0</v>
      </c>
      <c r="M41" s="1912">
        <v>0</v>
      </c>
      <c r="N41" s="1912">
        <v>0</v>
      </c>
      <c r="O41" s="1927">
        <v>0</v>
      </c>
      <c r="P41" s="1963">
        <v>0</v>
      </c>
      <c r="Q41" s="1963">
        <v>0</v>
      </c>
      <c r="R41" s="1964">
        <v>0</v>
      </c>
      <c r="S41" s="1905"/>
      <c r="T41" s="4900"/>
      <c r="U41" s="3535"/>
    </row>
    <row r="42" spans="2:21">
      <c r="B42" s="3230"/>
      <c r="C42" s="3302" t="s">
        <v>998</v>
      </c>
      <c r="D42" s="4060">
        <v>26100</v>
      </c>
      <c r="E42" s="4060">
        <v>26100</v>
      </c>
      <c r="F42" s="3332">
        <f t="shared" si="6"/>
        <v>52200</v>
      </c>
      <c r="G42" s="1905"/>
      <c r="H42" s="1926"/>
      <c r="I42" s="1951" t="s">
        <v>213</v>
      </c>
      <c r="J42" s="1952"/>
      <c r="K42" s="1954"/>
      <c r="L42" s="1965">
        <v>0</v>
      </c>
      <c r="M42" s="1912">
        <v>0</v>
      </c>
      <c r="N42" s="1912">
        <v>0</v>
      </c>
      <c r="O42" s="1927">
        <v>0</v>
      </c>
      <c r="P42" s="1963">
        <v>0</v>
      </c>
      <c r="Q42" s="1963">
        <v>0</v>
      </c>
      <c r="R42" s="1964">
        <v>0</v>
      </c>
      <c r="S42" s="1905"/>
      <c r="T42" s="4900"/>
      <c r="U42" s="3535"/>
    </row>
    <row r="43" spans="2:21">
      <c r="B43" s="1978"/>
      <c r="C43" s="3302" t="s">
        <v>999</v>
      </c>
      <c r="D43" s="4060">
        <v>11500</v>
      </c>
      <c r="E43" s="4060">
        <v>11500</v>
      </c>
      <c r="F43" s="3332">
        <f t="shared" si="6"/>
        <v>23000</v>
      </c>
      <c r="G43" s="1905"/>
      <c r="H43" s="1926"/>
      <c r="I43" s="1951" t="s">
        <v>214</v>
      </c>
      <c r="J43" s="1952"/>
      <c r="K43" s="1954"/>
      <c r="L43" s="1965">
        <v>0</v>
      </c>
      <c r="M43" s="1912">
        <v>0</v>
      </c>
      <c r="N43" s="1912">
        <v>0</v>
      </c>
      <c r="O43" s="1927">
        <v>0</v>
      </c>
      <c r="P43" s="1963">
        <v>0</v>
      </c>
      <c r="Q43" s="1963">
        <v>0</v>
      </c>
      <c r="R43" s="1964">
        <v>0</v>
      </c>
      <c r="S43" s="1905"/>
      <c r="T43" s="4900"/>
      <c r="U43" s="3535"/>
    </row>
    <row r="44" spans="2:21" ht="13.5" thickBot="1">
      <c r="B44" s="1978"/>
      <c r="C44" s="3302" t="s">
        <v>1000</v>
      </c>
      <c r="D44" s="4060">
        <v>8700</v>
      </c>
      <c r="E44" s="4454">
        <v>17400</v>
      </c>
      <c r="F44" s="3332">
        <f t="shared" si="6"/>
        <v>26100</v>
      </c>
      <c r="G44" s="1905"/>
      <c r="H44" s="1926"/>
      <c r="I44" s="1951" t="s">
        <v>215</v>
      </c>
      <c r="J44" s="1952"/>
      <c r="K44" s="1954"/>
      <c r="L44" s="1965">
        <v>0</v>
      </c>
      <c r="M44" s="1912">
        <v>0</v>
      </c>
      <c r="N44" s="1912">
        <v>0</v>
      </c>
      <c r="O44" s="1927">
        <v>0</v>
      </c>
      <c r="P44" s="1963">
        <v>0</v>
      </c>
      <c r="Q44" s="1963">
        <v>0</v>
      </c>
      <c r="R44" s="1964">
        <v>0</v>
      </c>
      <c r="S44" s="1905"/>
      <c r="T44" s="4900"/>
      <c r="U44" s="3535"/>
    </row>
    <row r="45" spans="2:21" ht="13.5" thickBot="1">
      <c r="B45" s="1976">
        <v>0</v>
      </c>
      <c r="C45" s="1936" t="s">
        <v>148</v>
      </c>
      <c r="D45" s="3255">
        <f>SUM(D46:D49)</f>
        <v>7604</v>
      </c>
      <c r="E45" s="3255">
        <f>SUM(E46:E49)</f>
        <v>0</v>
      </c>
      <c r="F45" s="3234">
        <f>SUM(D45:E45)</f>
        <v>7604</v>
      </c>
      <c r="G45" s="1905"/>
      <c r="H45" s="1926"/>
      <c r="I45" s="1951" t="s">
        <v>216</v>
      </c>
      <c r="J45" s="1952"/>
      <c r="K45" s="1954"/>
      <c r="L45" s="1965">
        <v>0</v>
      </c>
      <c r="M45" s="1912">
        <v>0</v>
      </c>
      <c r="N45" s="1912">
        <v>0</v>
      </c>
      <c r="O45" s="1927">
        <v>0</v>
      </c>
      <c r="P45" s="1963">
        <v>0</v>
      </c>
      <c r="Q45" s="1963">
        <v>0</v>
      </c>
      <c r="R45" s="1964">
        <v>0</v>
      </c>
      <c r="S45" s="1905"/>
      <c r="T45" s="4900"/>
      <c r="U45" s="3535"/>
    </row>
    <row r="46" spans="2:21">
      <c r="B46" s="1978"/>
      <c r="C46" s="3311" t="s">
        <v>821</v>
      </c>
      <c r="D46" s="1919">
        <v>7604</v>
      </c>
      <c r="E46" s="4454">
        <v>0</v>
      </c>
      <c r="F46" s="1918">
        <f>SUM(D46:E46)</f>
        <v>7604</v>
      </c>
      <c r="G46" s="1905"/>
      <c r="H46" s="1926"/>
      <c r="I46" s="1951" t="s">
        <v>217</v>
      </c>
      <c r="J46" s="1952"/>
      <c r="K46" s="1954"/>
      <c r="L46" s="1965">
        <v>0</v>
      </c>
      <c r="M46" s="1912">
        <v>0</v>
      </c>
      <c r="N46" s="1912">
        <v>0</v>
      </c>
      <c r="O46" s="1927">
        <v>0</v>
      </c>
      <c r="P46" s="1963">
        <v>0</v>
      </c>
      <c r="Q46" s="1963">
        <v>0</v>
      </c>
      <c r="R46" s="1964">
        <v>0</v>
      </c>
      <c r="S46" s="1905"/>
      <c r="T46" s="4900"/>
      <c r="U46" s="3535"/>
    </row>
    <row r="47" spans="2:21">
      <c r="B47" s="3308"/>
      <c r="C47" s="3311"/>
      <c r="D47" s="3313"/>
      <c r="E47" s="3313"/>
      <c r="F47" s="3312">
        <f t="shared" ref="F47:F49" si="7">SUM(D47:E47)</f>
        <v>0</v>
      </c>
      <c r="G47" s="1905"/>
      <c r="H47" s="1926"/>
      <c r="I47" s="1951" t="s">
        <v>218</v>
      </c>
      <c r="J47" s="1952"/>
      <c r="K47" s="1954"/>
      <c r="L47" s="1965">
        <v>0</v>
      </c>
      <c r="M47" s="1912">
        <v>0</v>
      </c>
      <c r="N47" s="1912">
        <v>0</v>
      </c>
      <c r="O47" s="1927">
        <v>0</v>
      </c>
      <c r="P47" s="1963">
        <v>0</v>
      </c>
      <c r="Q47" s="1963">
        <v>0</v>
      </c>
      <c r="R47" s="1964">
        <v>0</v>
      </c>
      <c r="S47" s="1905"/>
      <c r="T47" s="4900"/>
      <c r="U47" s="3535"/>
    </row>
    <row r="48" spans="2:21">
      <c r="B48" s="1978"/>
      <c r="C48" s="3311"/>
      <c r="D48" s="3313"/>
      <c r="E48" s="3313"/>
      <c r="F48" s="3253">
        <f t="shared" si="7"/>
        <v>0</v>
      </c>
      <c r="G48" s="1905"/>
      <c r="H48" s="1926"/>
      <c r="I48" s="1951" t="s">
        <v>219</v>
      </c>
      <c r="J48" s="1952"/>
      <c r="K48" s="1954"/>
      <c r="L48" s="1965">
        <v>0</v>
      </c>
      <c r="M48" s="1912">
        <v>0</v>
      </c>
      <c r="N48" s="1912">
        <v>0</v>
      </c>
      <c r="O48" s="1927">
        <v>0</v>
      </c>
      <c r="P48" s="1963">
        <v>0</v>
      </c>
      <c r="Q48" s="1963">
        <v>0</v>
      </c>
      <c r="R48" s="1964">
        <v>0</v>
      </c>
      <c r="S48" s="1905"/>
      <c r="T48" s="4900"/>
      <c r="U48" s="3535"/>
    </row>
    <row r="49" spans="2:25" ht="13.5" thickBot="1">
      <c r="B49" s="1978"/>
      <c r="C49" s="3311"/>
      <c r="D49" s="3313"/>
      <c r="E49" s="3313"/>
      <c r="F49" s="3253">
        <f t="shared" si="7"/>
        <v>0</v>
      </c>
      <c r="G49" s="1905"/>
      <c r="H49" s="1926"/>
      <c r="I49" s="1951" t="s">
        <v>220</v>
      </c>
      <c r="J49" s="1952"/>
      <c r="K49" s="1954"/>
      <c r="L49" s="1965">
        <v>0</v>
      </c>
      <c r="M49" s="1912">
        <v>0</v>
      </c>
      <c r="N49" s="1912">
        <v>0</v>
      </c>
      <c r="O49" s="1927">
        <v>0</v>
      </c>
      <c r="P49" s="1963">
        <v>0</v>
      </c>
      <c r="Q49" s="1963">
        <v>0</v>
      </c>
      <c r="R49" s="1964">
        <v>0</v>
      </c>
      <c r="S49" s="1905"/>
      <c r="T49" s="4900"/>
      <c r="U49" s="3535"/>
    </row>
    <row r="50" spans="2:25" ht="13.5" thickBot="1">
      <c r="B50" s="1976">
        <v>0</v>
      </c>
      <c r="C50" s="1936" t="s">
        <v>149</v>
      </c>
      <c r="D50" s="3255">
        <f>SUM(D51:D54)</f>
        <v>3915</v>
      </c>
      <c r="E50" s="3255">
        <f>SUM(E51:E54)</f>
        <v>3825</v>
      </c>
      <c r="F50" s="3234">
        <f>SUM(D50:E50)</f>
        <v>7740</v>
      </c>
      <c r="G50" s="1905"/>
      <c r="H50" s="1926"/>
      <c r="I50" s="1951" t="s">
        <v>221</v>
      </c>
      <c r="J50" s="1952"/>
      <c r="K50" s="1954"/>
      <c r="L50" s="1965">
        <v>0</v>
      </c>
      <c r="M50" s="1912">
        <v>0</v>
      </c>
      <c r="N50" s="1912">
        <v>0</v>
      </c>
      <c r="O50" s="1927">
        <v>0</v>
      </c>
      <c r="P50" s="1963">
        <v>0</v>
      </c>
      <c r="Q50" s="1963">
        <v>0</v>
      </c>
      <c r="R50" s="1964">
        <v>0</v>
      </c>
      <c r="S50" s="1905"/>
      <c r="T50" s="4900"/>
      <c r="U50" s="3535"/>
    </row>
    <row r="51" spans="2:25">
      <c r="B51" s="1978"/>
      <c r="C51" s="3303" t="s">
        <v>1001</v>
      </c>
      <c r="D51" s="3486">
        <v>2175</v>
      </c>
      <c r="E51" s="3486">
        <v>2175</v>
      </c>
      <c r="F51" s="1918">
        <f>SUM(D51:E51)</f>
        <v>4350</v>
      </c>
      <c r="G51" s="1905"/>
      <c r="H51" s="1905"/>
      <c r="I51" s="1951" t="s">
        <v>222</v>
      </c>
      <c r="J51" s="1952"/>
      <c r="K51" s="1953"/>
      <c r="L51" s="1965">
        <v>0</v>
      </c>
      <c r="M51" s="1912">
        <v>0</v>
      </c>
      <c r="N51" s="1912">
        <v>0</v>
      </c>
      <c r="O51" s="1927">
        <v>0</v>
      </c>
      <c r="P51" s="1963">
        <v>0</v>
      </c>
      <c r="Q51" s="1963">
        <v>0</v>
      </c>
      <c r="R51" s="1964">
        <v>0</v>
      </c>
      <c r="S51" s="1905"/>
      <c r="T51" s="4900"/>
      <c r="U51" s="4056"/>
      <c r="V51" s="1905"/>
      <c r="W51" s="1905"/>
      <c r="X51" s="1905"/>
    </row>
    <row r="52" spans="2:25">
      <c r="B52" s="1978"/>
      <c r="C52" s="3303" t="s">
        <v>1002</v>
      </c>
      <c r="D52" s="3486">
        <v>435</v>
      </c>
      <c r="E52" s="3486">
        <v>435</v>
      </c>
      <c r="F52" s="3253">
        <f t="shared" ref="F52:F54" si="8">SUM(D52:E52)</f>
        <v>870</v>
      </c>
      <c r="G52" s="1905"/>
      <c r="H52" s="1905"/>
      <c r="I52" s="1951" t="s">
        <v>223</v>
      </c>
      <c r="J52" s="1952"/>
      <c r="K52" s="1953"/>
      <c r="L52" s="1965">
        <v>0</v>
      </c>
      <c r="M52" s="1912">
        <v>0</v>
      </c>
      <c r="N52" s="1912">
        <v>0</v>
      </c>
      <c r="O52" s="1927">
        <v>0</v>
      </c>
      <c r="P52" s="1963">
        <v>0</v>
      </c>
      <c r="Q52" s="1963">
        <v>0</v>
      </c>
      <c r="R52" s="1964">
        <v>0</v>
      </c>
      <c r="S52" s="1905"/>
      <c r="T52" s="4900"/>
      <c r="U52" s="4056"/>
      <c r="V52" s="1905"/>
      <c r="W52" s="1905"/>
      <c r="X52" s="1905"/>
    </row>
    <row r="53" spans="2:25">
      <c r="B53" s="1978"/>
      <c r="C53" s="3303" t="s">
        <v>1003</v>
      </c>
      <c r="D53" s="3486">
        <v>435</v>
      </c>
      <c r="E53" s="3486">
        <v>435</v>
      </c>
      <c r="F53" s="3253">
        <f t="shared" si="8"/>
        <v>870</v>
      </c>
      <c r="G53" s="1905"/>
      <c r="H53" s="1905"/>
      <c r="I53" s="1951" t="s">
        <v>224</v>
      </c>
      <c r="J53" s="1952"/>
      <c r="K53" s="1953"/>
      <c r="L53" s="1965">
        <v>0</v>
      </c>
      <c r="M53" s="1912">
        <v>0</v>
      </c>
      <c r="N53" s="1912">
        <v>0</v>
      </c>
      <c r="O53" s="1927">
        <v>0</v>
      </c>
      <c r="P53" s="1963">
        <v>0</v>
      </c>
      <c r="Q53" s="1963">
        <v>0</v>
      </c>
      <c r="R53" s="1964">
        <v>0</v>
      </c>
      <c r="S53" s="1905"/>
      <c r="T53" s="4900"/>
      <c r="U53" s="4056"/>
      <c r="V53" s="1905"/>
      <c r="W53" s="1905"/>
      <c r="X53" s="1905"/>
    </row>
    <row r="54" spans="2:25" ht="13.5" thickBot="1">
      <c r="B54" s="1978"/>
      <c r="C54" s="3311" t="s">
        <v>1006</v>
      </c>
      <c r="D54" s="3486">
        <v>870</v>
      </c>
      <c r="E54" s="3486">
        <v>780</v>
      </c>
      <c r="F54" s="3253">
        <f t="shared" si="8"/>
        <v>1650</v>
      </c>
      <c r="G54" s="1939" t="s">
        <v>151</v>
      </c>
      <c r="H54" s="1905"/>
      <c r="I54" s="1951" t="s">
        <v>225</v>
      </c>
      <c r="J54" s="1952"/>
      <c r="K54" s="1953"/>
      <c r="L54" s="1965">
        <v>0</v>
      </c>
      <c r="M54" s="1912">
        <v>0</v>
      </c>
      <c r="N54" s="1912">
        <v>0</v>
      </c>
      <c r="O54" s="1927">
        <v>0</v>
      </c>
      <c r="P54" s="1963">
        <v>0</v>
      </c>
      <c r="Q54" s="1963">
        <v>0</v>
      </c>
      <c r="R54" s="1964">
        <v>0</v>
      </c>
      <c r="S54" s="1905"/>
      <c r="T54" s="4900"/>
      <c r="U54" s="4056"/>
      <c r="V54" s="1905"/>
      <c r="W54" s="1905"/>
      <c r="X54" s="1905"/>
    </row>
    <row r="55" spans="2:25" ht="13.5" thickBot="1">
      <c r="B55" s="1976">
        <v>0</v>
      </c>
      <c r="C55" s="1936" t="s">
        <v>150</v>
      </c>
      <c r="D55" s="1937">
        <v>0</v>
      </c>
      <c r="E55" s="1937">
        <v>0</v>
      </c>
      <c r="F55" s="3234">
        <f>SUM(D55:E55)</f>
        <v>0</v>
      </c>
      <c r="G55" s="1905"/>
      <c r="H55" s="1905"/>
      <c r="I55" s="1951" t="s">
        <v>226</v>
      </c>
      <c r="J55" s="1952"/>
      <c r="K55" s="1953"/>
      <c r="L55" s="1965">
        <v>0</v>
      </c>
      <c r="M55" s="1912">
        <v>0</v>
      </c>
      <c r="N55" s="1912">
        <v>0</v>
      </c>
      <c r="O55" s="1927">
        <v>0</v>
      </c>
      <c r="P55" s="1963">
        <v>0</v>
      </c>
      <c r="Q55" s="1963">
        <v>0</v>
      </c>
      <c r="R55" s="1964">
        <v>0</v>
      </c>
      <c r="S55" s="1905"/>
      <c r="T55" s="4900"/>
      <c r="U55" s="4056"/>
      <c r="V55" s="1905"/>
      <c r="W55" s="1905"/>
      <c r="X55" s="1905"/>
    </row>
    <row r="56" spans="2:25" ht="13.5" thickBot="1">
      <c r="B56" s="1976">
        <v>0</v>
      </c>
      <c r="C56" s="1936" t="s">
        <v>152</v>
      </c>
      <c r="D56" s="1937">
        <v>0</v>
      </c>
      <c r="E56" s="1937">
        <v>0</v>
      </c>
      <c r="F56" s="3234">
        <f>SUM(D56:E56)</f>
        <v>0</v>
      </c>
      <c r="G56" s="1905"/>
      <c r="H56" s="1905"/>
      <c r="I56" s="1905"/>
      <c r="J56" s="1905"/>
      <c r="K56" s="1905"/>
      <c r="L56" s="1905"/>
      <c r="M56" s="1905"/>
      <c r="N56" s="1905"/>
      <c r="O56" s="1905"/>
      <c r="P56" s="1984">
        <v>0</v>
      </c>
      <c r="Q56" s="1984">
        <v>0</v>
      </c>
      <c r="R56" s="1984">
        <v>0</v>
      </c>
      <c r="S56" s="1905"/>
      <c r="T56" s="4901"/>
      <c r="U56" s="4056"/>
      <c r="V56" s="1905"/>
      <c r="W56" s="1905"/>
      <c r="X56" s="1905"/>
    </row>
    <row r="57" spans="2:25">
      <c r="B57" s="1921">
        <v>71496</v>
      </c>
      <c r="C57" s="1906" t="s">
        <v>153</v>
      </c>
      <c r="D57" s="1921">
        <f>D14+D19+D24+D29+D34+D39+D45+D50+D55+D56</f>
        <v>414362.65480000002</v>
      </c>
      <c r="E57" s="3304">
        <f>E14+E19+E24+E29+E34+E39+E45+E50+E55+E56</f>
        <v>297418.77999999997</v>
      </c>
      <c r="F57" s="3304">
        <f>F14+F19+F24+F29+F34+F39+F45+F50+F55+F56</f>
        <v>711781.43479999993</v>
      </c>
      <c r="G57" s="1905"/>
      <c r="H57" s="1905"/>
      <c r="I57" s="1905"/>
      <c r="J57" s="1905"/>
      <c r="K57" s="1905"/>
      <c r="L57" s="1905"/>
      <c r="M57" s="1905"/>
      <c r="N57" s="1905"/>
      <c r="O57" s="1905"/>
      <c r="P57" s="1905"/>
      <c r="Q57" s="1905"/>
      <c r="R57" s="1905"/>
      <c r="S57" s="1905"/>
      <c r="T57" s="1905"/>
      <c r="U57" s="1905"/>
      <c r="V57" s="1905"/>
      <c r="W57" s="1905"/>
      <c r="X57" s="1905"/>
    </row>
    <row r="58" spans="2:25">
      <c r="B58" s="1905"/>
      <c r="C58" s="1906"/>
      <c r="D58" s="1921"/>
      <c r="E58" s="1921"/>
      <c r="F58" s="1921"/>
      <c r="G58" s="1905"/>
      <c r="H58" s="1905"/>
      <c r="I58" s="1905"/>
      <c r="J58" s="1905"/>
      <c r="K58" s="1905"/>
      <c r="L58" s="1905"/>
      <c r="M58" s="1905"/>
      <c r="N58" s="1905"/>
      <c r="O58" s="1905"/>
      <c r="P58" s="1905"/>
      <c r="Q58" s="1905"/>
      <c r="R58" s="1905"/>
      <c r="S58" s="1905"/>
      <c r="T58" s="1905"/>
      <c r="U58" s="1905"/>
      <c r="V58" s="1905"/>
      <c r="W58" s="1905"/>
      <c r="X58" s="1905"/>
    </row>
    <row r="59" spans="2:25">
      <c r="B59" s="1905"/>
      <c r="C59" s="1906" t="s">
        <v>154</v>
      </c>
      <c r="D59" s="1921">
        <v>337821.79499999998</v>
      </c>
      <c r="E59" s="1921">
        <v>349263.54</v>
      </c>
      <c r="F59" s="1921">
        <v>687085.33499999996</v>
      </c>
      <c r="G59" s="1993">
        <v>0</v>
      </c>
      <c r="H59" s="1994" t="s">
        <v>156</v>
      </c>
      <c r="I59" s="1905"/>
      <c r="J59" s="1905"/>
      <c r="K59" s="1905"/>
      <c r="L59" s="1905"/>
      <c r="M59" s="1905"/>
      <c r="N59" s="1905"/>
      <c r="O59" s="1905"/>
      <c r="P59" s="1905"/>
      <c r="Q59" s="1905"/>
      <c r="R59" s="1905"/>
      <c r="S59" s="1905"/>
      <c r="T59" s="1905"/>
      <c r="U59" s="1905"/>
      <c r="V59" s="1905"/>
      <c r="W59" s="1905"/>
      <c r="X59" s="1905"/>
    </row>
    <row r="60" spans="2:25">
      <c r="B60" s="1905"/>
      <c r="C60" s="1906" t="s">
        <v>155</v>
      </c>
      <c r="D60" s="1907">
        <v>0</v>
      </c>
      <c r="E60" s="1907">
        <v>0</v>
      </c>
      <c r="F60" s="1907">
        <v>0</v>
      </c>
      <c r="G60" s="1905"/>
      <c r="H60" s="1905"/>
      <c r="I60" s="1905"/>
      <c r="J60" s="1905"/>
      <c r="K60" s="1905"/>
      <c r="L60" s="1905"/>
      <c r="M60" s="1905"/>
      <c r="N60" s="1905"/>
      <c r="O60" s="1905"/>
      <c r="P60" s="1905"/>
      <c r="Q60" s="1905"/>
      <c r="R60" s="1905"/>
      <c r="S60" s="1905"/>
      <c r="T60" s="1905"/>
      <c r="U60" s="1905"/>
      <c r="V60" s="1905"/>
      <c r="W60" s="1905"/>
      <c r="X60" s="1905"/>
    </row>
    <row r="61" spans="2:25" ht="13.5" thickBot="1">
      <c r="B61" s="1905"/>
      <c r="C61" s="1905"/>
      <c r="D61" s="1905"/>
      <c r="E61" s="1905"/>
      <c r="F61" s="1905"/>
      <c r="G61" s="3301"/>
      <c r="H61" s="3301"/>
      <c r="I61" s="3301"/>
      <c r="J61" s="3301"/>
      <c r="K61" s="3301"/>
      <c r="L61" s="3301"/>
      <c r="M61" s="3301"/>
      <c r="N61" s="3301"/>
      <c r="O61" s="3301"/>
      <c r="P61" s="3301"/>
      <c r="Q61" s="3301"/>
      <c r="R61" s="3301"/>
      <c r="S61" s="3301"/>
      <c r="T61" s="3301"/>
      <c r="U61" s="3301"/>
      <c r="V61" s="3301"/>
      <c r="W61" s="3301"/>
      <c r="X61" s="3301"/>
    </row>
    <row r="62" spans="2:25" ht="16.5" thickBot="1">
      <c r="B62" s="1949" t="s">
        <v>157</v>
      </c>
      <c r="C62" s="1950"/>
      <c r="D62" s="3268" t="s">
        <v>158</v>
      </c>
      <c r="E62" s="3267"/>
      <c r="F62" s="3267"/>
      <c r="G62" s="3298"/>
      <c r="H62" s="3298"/>
      <c r="I62" s="1905"/>
      <c r="J62" s="1905"/>
      <c r="K62" s="3307"/>
      <c r="L62" s="1905"/>
      <c r="M62" s="1905"/>
      <c r="N62" s="1905"/>
      <c r="O62" s="1905"/>
      <c r="P62" s="1905"/>
      <c r="Q62" s="1905"/>
      <c r="R62" s="1905"/>
      <c r="S62" s="1905"/>
      <c r="T62" s="1905"/>
      <c r="U62" s="1905"/>
      <c r="V62" s="1905"/>
      <c r="W62" s="1905"/>
      <c r="X62" s="1905"/>
    </row>
    <row r="63" spans="2:25" ht="16.5" thickBot="1">
      <c r="B63" s="3264" t="s">
        <v>159</v>
      </c>
      <c r="C63" s="3265"/>
      <c r="D63" s="3265"/>
      <c r="E63" s="3265"/>
      <c r="F63" s="3265"/>
      <c r="G63" s="3265"/>
      <c r="H63" s="3265"/>
      <c r="I63" s="3265"/>
      <c r="J63" s="3265"/>
      <c r="K63" s="3266"/>
      <c r="L63" s="5153" t="s">
        <v>160</v>
      </c>
      <c r="M63" s="5154"/>
      <c r="N63" s="5154"/>
      <c r="O63" s="5154"/>
      <c r="P63" s="5154"/>
      <c r="Q63" s="5154"/>
      <c r="R63" s="5155"/>
      <c r="S63" s="5153" t="s">
        <v>161</v>
      </c>
      <c r="T63" s="5154"/>
      <c r="U63" s="5155"/>
      <c r="V63" s="5153" t="s">
        <v>110</v>
      </c>
      <c r="W63" s="5154"/>
      <c r="X63" s="5155"/>
      <c r="Y63" s="3064"/>
    </row>
    <row r="64" spans="2:25" ht="13.5" thickBot="1">
      <c r="B64" s="1913" t="s">
        <v>162</v>
      </c>
      <c r="C64" s="1914" t="s">
        <v>129</v>
      </c>
      <c r="D64" s="1914" t="s">
        <v>130</v>
      </c>
      <c r="E64" s="1914" t="s">
        <v>163</v>
      </c>
      <c r="F64" s="1914" t="s">
        <v>164</v>
      </c>
      <c r="G64" s="1914" t="s">
        <v>165</v>
      </c>
      <c r="H64" s="1914" t="s">
        <v>166</v>
      </c>
      <c r="I64" s="1914" t="s">
        <v>167</v>
      </c>
      <c r="J64" s="1914" t="s">
        <v>168</v>
      </c>
      <c r="K64" s="1915" t="s">
        <v>169</v>
      </c>
      <c r="L64" s="1985" t="s">
        <v>170</v>
      </c>
      <c r="M64" s="1940" t="s">
        <v>171</v>
      </c>
      <c r="N64" s="1940" t="s">
        <v>808</v>
      </c>
      <c r="O64" s="1940" t="s">
        <v>809</v>
      </c>
      <c r="P64" s="1947" t="s">
        <v>810</v>
      </c>
      <c r="Q64" s="1947" t="s">
        <v>811</v>
      </c>
      <c r="R64" s="1947" t="s">
        <v>806</v>
      </c>
      <c r="S64" s="1924" t="s">
        <v>177</v>
      </c>
      <c r="T64" s="1924" t="s">
        <v>178</v>
      </c>
      <c r="U64" s="1925" t="s">
        <v>179</v>
      </c>
      <c r="V64" s="1924" t="s">
        <v>115</v>
      </c>
      <c r="W64" s="1924" t="s">
        <v>12</v>
      </c>
      <c r="X64" s="1925" t="s">
        <v>116</v>
      </c>
      <c r="Y64" s="3064"/>
    </row>
    <row r="65" spans="2:25">
      <c r="B65" s="1912"/>
      <c r="C65" s="1909" t="s">
        <v>368</v>
      </c>
      <c r="D65" s="1912"/>
      <c r="E65" s="1912" t="s">
        <v>181</v>
      </c>
      <c r="F65" s="1912" t="s">
        <v>186</v>
      </c>
      <c r="G65" s="1917"/>
      <c r="H65" s="1992"/>
      <c r="I65" s="1928">
        <v>0</v>
      </c>
      <c r="J65" s="1912"/>
      <c r="K65" s="1912"/>
      <c r="L65" s="1941" t="e">
        <v>#N/A</v>
      </c>
      <c r="M65" s="1941" t="e">
        <v>#N/A</v>
      </c>
      <c r="N65" s="1933" t="e">
        <v>#DIV/0!</v>
      </c>
      <c r="O65" s="1933" t="e">
        <v>#DIV/0!</v>
      </c>
      <c r="P65" s="1933" t="e">
        <v>#N/A</v>
      </c>
      <c r="Q65" s="1933" t="e">
        <v>#N/A</v>
      </c>
      <c r="R65" s="1933" t="e">
        <v>#N/A</v>
      </c>
      <c r="S65" s="1930">
        <v>0</v>
      </c>
      <c r="T65" s="1930">
        <v>0</v>
      </c>
      <c r="U65" s="1930">
        <v>0</v>
      </c>
      <c r="V65" s="1995" t="e">
        <v>#DIV/0!</v>
      </c>
      <c r="W65" s="1995" t="e">
        <v>#DIV/0!</v>
      </c>
      <c r="X65" s="1995" t="e">
        <v>#DIV/0!</v>
      </c>
      <c r="Y65" s="3064"/>
    </row>
    <row r="66" spans="2:25">
      <c r="B66" s="1909"/>
      <c r="C66" s="1909" t="s">
        <v>369</v>
      </c>
      <c r="D66" s="1909"/>
      <c r="E66" s="1909" t="s">
        <v>181</v>
      </c>
      <c r="F66" s="1912" t="s">
        <v>186</v>
      </c>
      <c r="G66" s="1917"/>
      <c r="H66" s="1992"/>
      <c r="I66" s="1928">
        <v>0</v>
      </c>
      <c r="J66" s="1912"/>
      <c r="K66" s="1912"/>
      <c r="L66" s="1941" t="e">
        <v>#N/A</v>
      </c>
      <c r="M66" s="1941" t="e">
        <v>#N/A</v>
      </c>
      <c r="N66" s="1933" t="e">
        <v>#DIV/0!</v>
      </c>
      <c r="O66" s="1933" t="e">
        <v>#DIV/0!</v>
      </c>
      <c r="P66" s="1933" t="e">
        <v>#N/A</v>
      </c>
      <c r="Q66" s="1933" t="e">
        <v>#N/A</v>
      </c>
      <c r="R66" s="1933" t="e">
        <v>#N/A</v>
      </c>
      <c r="S66" s="1930">
        <v>0</v>
      </c>
      <c r="T66" s="1930">
        <v>0</v>
      </c>
      <c r="U66" s="1930">
        <v>0</v>
      </c>
      <c r="V66" s="1995" t="e">
        <v>#DIV/0!</v>
      </c>
      <c r="W66" s="1995" t="e">
        <v>#DIV/0!</v>
      </c>
      <c r="X66" s="1995" t="e">
        <v>#DIV/0!</v>
      </c>
      <c r="Y66" s="3064"/>
    </row>
    <row r="67" spans="2:25">
      <c r="B67" s="1909"/>
      <c r="C67" s="1909" t="s">
        <v>370</v>
      </c>
      <c r="D67" s="1909">
        <v>0</v>
      </c>
      <c r="E67" s="1909" t="s">
        <v>181</v>
      </c>
      <c r="F67" s="1909" t="s">
        <v>186</v>
      </c>
      <c r="G67" s="1917"/>
      <c r="H67" s="1917"/>
      <c r="I67" s="1928">
        <v>0</v>
      </c>
      <c r="J67" s="1912"/>
      <c r="K67" s="1912"/>
      <c r="L67" s="1941" t="e">
        <v>#N/A</v>
      </c>
      <c r="M67" s="1941" t="e">
        <v>#N/A</v>
      </c>
      <c r="N67" s="1933" t="e">
        <v>#DIV/0!</v>
      </c>
      <c r="O67" s="1933" t="e">
        <v>#DIV/0!</v>
      </c>
      <c r="P67" s="1933" t="e">
        <v>#N/A</v>
      </c>
      <c r="Q67" s="1933" t="e">
        <v>#N/A</v>
      </c>
      <c r="R67" s="1933" t="e">
        <v>#N/A</v>
      </c>
      <c r="S67" s="1930">
        <v>0</v>
      </c>
      <c r="T67" s="1930">
        <v>0</v>
      </c>
      <c r="U67" s="1930">
        <v>0</v>
      </c>
      <c r="V67" s="1995" t="e">
        <v>#DIV/0!</v>
      </c>
      <c r="W67" s="1995" t="e">
        <v>#DIV/0!</v>
      </c>
      <c r="X67" s="1995" t="e">
        <v>#DIV/0!</v>
      </c>
      <c r="Y67" s="3064"/>
    </row>
    <row r="68" spans="2:25">
      <c r="B68" s="1909"/>
      <c r="C68" s="1909" t="s">
        <v>188</v>
      </c>
      <c r="D68" s="1909">
        <v>0</v>
      </c>
      <c r="E68" s="1909" t="s">
        <v>181</v>
      </c>
      <c r="F68" s="1909" t="s">
        <v>186</v>
      </c>
      <c r="G68" s="1917"/>
      <c r="H68" s="1917"/>
      <c r="I68" s="1928">
        <v>0</v>
      </c>
      <c r="J68" s="1912"/>
      <c r="K68" s="1912"/>
      <c r="L68" s="1941" t="e">
        <v>#N/A</v>
      </c>
      <c r="M68" s="1941" t="e">
        <v>#N/A</v>
      </c>
      <c r="N68" s="1933" t="e">
        <v>#DIV/0!</v>
      </c>
      <c r="O68" s="1933" t="e">
        <v>#DIV/0!</v>
      </c>
      <c r="P68" s="1933" t="e">
        <v>#N/A</v>
      </c>
      <c r="Q68" s="1933" t="e">
        <v>#N/A</v>
      </c>
      <c r="R68" s="1933" t="e">
        <v>#N/A</v>
      </c>
      <c r="S68" s="1930">
        <v>0</v>
      </c>
      <c r="T68" s="1930">
        <v>0</v>
      </c>
      <c r="U68" s="1930">
        <v>0</v>
      </c>
      <c r="V68" s="1995" t="e">
        <v>#DIV/0!</v>
      </c>
      <c r="W68" s="1995" t="e">
        <v>#DIV/0!</v>
      </c>
      <c r="X68" s="1995" t="e">
        <v>#DIV/0!</v>
      </c>
      <c r="Y68" s="3064"/>
    </row>
    <row r="69" spans="2:25">
      <c r="B69" s="1909"/>
      <c r="C69" s="1909" t="s">
        <v>189</v>
      </c>
      <c r="D69" s="1909">
        <v>0</v>
      </c>
      <c r="E69" s="1909" t="s">
        <v>181</v>
      </c>
      <c r="F69" s="1909" t="s">
        <v>186</v>
      </c>
      <c r="G69" s="1917"/>
      <c r="H69" s="1917"/>
      <c r="I69" s="1928">
        <v>0</v>
      </c>
      <c r="J69" s="1912"/>
      <c r="K69" s="1912"/>
      <c r="L69" s="1941" t="e">
        <v>#N/A</v>
      </c>
      <c r="M69" s="1941" t="e">
        <v>#N/A</v>
      </c>
      <c r="N69" s="1933" t="e">
        <v>#DIV/0!</v>
      </c>
      <c r="O69" s="1933" t="e">
        <v>#DIV/0!</v>
      </c>
      <c r="P69" s="1933" t="e">
        <v>#N/A</v>
      </c>
      <c r="Q69" s="1980" t="e">
        <v>#N/A</v>
      </c>
      <c r="R69" s="1933" t="e">
        <v>#N/A</v>
      </c>
      <c r="S69" s="1930">
        <v>0</v>
      </c>
      <c r="T69" s="1930">
        <v>0</v>
      </c>
      <c r="U69" s="1930">
        <v>0</v>
      </c>
      <c r="V69" s="1995" t="e">
        <v>#DIV/0!</v>
      </c>
      <c r="W69" s="1995" t="e">
        <v>#DIV/0!</v>
      </c>
      <c r="X69" s="1995" t="e">
        <v>#DIV/0!</v>
      </c>
      <c r="Y69" s="3064"/>
    </row>
    <row r="70" spans="2:25">
      <c r="B70" s="1909"/>
      <c r="C70" s="1909" t="s">
        <v>190</v>
      </c>
      <c r="D70" s="1909">
        <v>0</v>
      </c>
      <c r="E70" s="1909" t="s">
        <v>181</v>
      </c>
      <c r="F70" s="1909" t="s">
        <v>186</v>
      </c>
      <c r="G70" s="1917"/>
      <c r="H70" s="1917"/>
      <c r="I70" s="1928">
        <v>0</v>
      </c>
      <c r="J70" s="1912"/>
      <c r="K70" s="1912"/>
      <c r="L70" s="1941" t="e">
        <v>#N/A</v>
      </c>
      <c r="M70" s="1941" t="e">
        <v>#N/A</v>
      </c>
      <c r="N70" s="1933" t="e">
        <v>#DIV/0!</v>
      </c>
      <c r="O70" s="1933" t="e">
        <v>#DIV/0!</v>
      </c>
      <c r="P70" s="1933" t="e">
        <v>#N/A</v>
      </c>
      <c r="Q70" s="1980" t="e">
        <v>#N/A</v>
      </c>
      <c r="R70" s="1933" t="e">
        <v>#N/A</v>
      </c>
      <c r="S70" s="1930">
        <v>0</v>
      </c>
      <c r="T70" s="1930">
        <v>0</v>
      </c>
      <c r="U70" s="1930">
        <v>0</v>
      </c>
      <c r="V70" s="1995" t="e">
        <v>#DIV/0!</v>
      </c>
      <c r="W70" s="1995" t="e">
        <v>#DIV/0!</v>
      </c>
      <c r="X70" s="1995" t="e">
        <v>#DIV/0!</v>
      </c>
    </row>
    <row r="71" spans="2:25">
      <c r="B71" s="1909"/>
      <c r="C71" s="1909" t="s">
        <v>191</v>
      </c>
      <c r="D71" s="1909">
        <v>0</v>
      </c>
      <c r="E71" s="1909" t="s">
        <v>181</v>
      </c>
      <c r="F71" s="1909" t="s">
        <v>186</v>
      </c>
      <c r="G71" s="1917"/>
      <c r="H71" s="1917"/>
      <c r="I71" s="1928">
        <v>0</v>
      </c>
      <c r="J71" s="1912"/>
      <c r="K71" s="1912"/>
      <c r="L71" s="1941" t="e">
        <v>#N/A</v>
      </c>
      <c r="M71" s="1941" t="e">
        <v>#N/A</v>
      </c>
      <c r="N71" s="1933" t="e">
        <v>#DIV/0!</v>
      </c>
      <c r="O71" s="1933" t="e">
        <v>#DIV/0!</v>
      </c>
      <c r="P71" s="1933" t="e">
        <v>#N/A</v>
      </c>
      <c r="Q71" s="1980" t="e">
        <v>#N/A</v>
      </c>
      <c r="R71" s="1933" t="e">
        <v>#N/A</v>
      </c>
      <c r="S71" s="1930">
        <v>0</v>
      </c>
      <c r="T71" s="1930">
        <v>0</v>
      </c>
      <c r="U71" s="1930">
        <v>0</v>
      </c>
      <c r="V71" s="1995" t="e">
        <v>#DIV/0!</v>
      </c>
      <c r="W71" s="1995" t="e">
        <v>#DIV/0!</v>
      </c>
      <c r="X71" s="1995" t="e">
        <v>#DIV/0!</v>
      </c>
    </row>
    <row r="72" spans="2:25">
      <c r="B72" s="1909"/>
      <c r="C72" s="1909" t="s">
        <v>192</v>
      </c>
      <c r="D72" s="1909">
        <v>0</v>
      </c>
      <c r="E72" s="1909" t="s">
        <v>181</v>
      </c>
      <c r="F72" s="1909" t="s">
        <v>186</v>
      </c>
      <c r="G72" s="1917"/>
      <c r="H72" s="1917"/>
      <c r="I72" s="1928">
        <v>0</v>
      </c>
      <c r="J72" s="1912"/>
      <c r="K72" s="1912"/>
      <c r="L72" s="1941" t="e">
        <v>#N/A</v>
      </c>
      <c r="M72" s="1941" t="e">
        <v>#N/A</v>
      </c>
      <c r="N72" s="1933" t="e">
        <v>#DIV/0!</v>
      </c>
      <c r="O72" s="1933" t="e">
        <v>#DIV/0!</v>
      </c>
      <c r="P72" s="1933" t="e">
        <v>#N/A</v>
      </c>
      <c r="Q72" s="1980" t="e">
        <v>#N/A</v>
      </c>
      <c r="R72" s="1933" t="e">
        <v>#N/A</v>
      </c>
      <c r="S72" s="1930">
        <v>0</v>
      </c>
      <c r="T72" s="1930">
        <v>0</v>
      </c>
      <c r="U72" s="1930">
        <v>0</v>
      </c>
      <c r="V72" s="1995" t="e">
        <v>#DIV/0!</v>
      </c>
      <c r="W72" s="1995" t="e">
        <v>#DIV/0!</v>
      </c>
      <c r="X72" s="1995" t="e">
        <v>#DIV/0!</v>
      </c>
    </row>
    <row r="73" spans="2:25">
      <c r="B73" s="1909"/>
      <c r="C73" s="1909" t="s">
        <v>193</v>
      </c>
      <c r="D73" s="1909">
        <v>0</v>
      </c>
      <c r="E73" s="1909" t="s">
        <v>181</v>
      </c>
      <c r="F73" s="1909" t="s">
        <v>186</v>
      </c>
      <c r="G73" s="1917"/>
      <c r="H73" s="1917"/>
      <c r="I73" s="1928">
        <v>0</v>
      </c>
      <c r="J73" s="1912"/>
      <c r="K73" s="1912"/>
      <c r="L73" s="1941" t="e">
        <v>#N/A</v>
      </c>
      <c r="M73" s="1941" t="e">
        <v>#N/A</v>
      </c>
      <c r="N73" s="1933" t="e">
        <v>#DIV/0!</v>
      </c>
      <c r="O73" s="1933" t="e">
        <v>#DIV/0!</v>
      </c>
      <c r="P73" s="1933" t="e">
        <v>#N/A</v>
      </c>
      <c r="Q73" s="1980" t="e">
        <v>#N/A</v>
      </c>
      <c r="R73" s="1933" t="e">
        <v>#N/A</v>
      </c>
      <c r="S73" s="1930">
        <v>0</v>
      </c>
      <c r="T73" s="1930">
        <v>0</v>
      </c>
      <c r="U73" s="1930">
        <v>0</v>
      </c>
      <c r="V73" s="1995" t="e">
        <v>#DIV/0!</v>
      </c>
      <c r="W73" s="1995" t="e">
        <v>#DIV/0!</v>
      </c>
      <c r="X73" s="1995" t="e">
        <v>#DIV/0!</v>
      </c>
    </row>
    <row r="74" spans="2:25">
      <c r="B74" s="1909"/>
      <c r="C74" s="1909" t="s">
        <v>194</v>
      </c>
      <c r="D74" s="1909">
        <v>0</v>
      </c>
      <c r="E74" s="1909" t="s">
        <v>181</v>
      </c>
      <c r="F74" s="1909" t="s">
        <v>186</v>
      </c>
      <c r="G74" s="1917"/>
      <c r="H74" s="1917"/>
      <c r="I74" s="1928">
        <v>0</v>
      </c>
      <c r="J74" s="1912"/>
      <c r="K74" s="1912"/>
      <c r="L74" s="1941" t="e">
        <v>#N/A</v>
      </c>
      <c r="M74" s="1941" t="e">
        <v>#N/A</v>
      </c>
      <c r="N74" s="1933" t="e">
        <v>#DIV/0!</v>
      </c>
      <c r="O74" s="1933" t="e">
        <v>#DIV/0!</v>
      </c>
      <c r="P74" s="1933" t="e">
        <v>#N/A</v>
      </c>
      <c r="Q74" s="1980" t="e">
        <v>#N/A</v>
      </c>
      <c r="R74" s="1933" t="e">
        <v>#N/A</v>
      </c>
      <c r="S74" s="1930">
        <v>0</v>
      </c>
      <c r="T74" s="1930">
        <v>0</v>
      </c>
      <c r="U74" s="1930">
        <v>0</v>
      </c>
      <c r="V74" s="1995" t="e">
        <v>#DIV/0!</v>
      </c>
      <c r="W74" s="1995" t="e">
        <v>#DIV/0!</v>
      </c>
      <c r="X74" s="1995" t="e">
        <v>#DIV/0!</v>
      </c>
    </row>
    <row r="75" spans="2:25">
      <c r="B75" s="1909"/>
      <c r="C75" s="1909" t="s">
        <v>195</v>
      </c>
      <c r="D75" s="1909">
        <v>0</v>
      </c>
      <c r="E75" s="1909" t="s">
        <v>181</v>
      </c>
      <c r="F75" s="1909" t="s">
        <v>186</v>
      </c>
      <c r="G75" s="1917"/>
      <c r="H75" s="1917"/>
      <c r="I75" s="1928">
        <v>0</v>
      </c>
      <c r="J75" s="1912"/>
      <c r="K75" s="1912"/>
      <c r="L75" s="1941" t="e">
        <v>#N/A</v>
      </c>
      <c r="M75" s="1941" t="e">
        <v>#N/A</v>
      </c>
      <c r="N75" s="1933" t="e">
        <v>#DIV/0!</v>
      </c>
      <c r="O75" s="1933" t="e">
        <v>#DIV/0!</v>
      </c>
      <c r="P75" s="1933" t="e">
        <v>#N/A</v>
      </c>
      <c r="Q75" s="1980" t="e">
        <v>#N/A</v>
      </c>
      <c r="R75" s="1933" t="e">
        <v>#N/A</v>
      </c>
      <c r="S75" s="1930">
        <v>0</v>
      </c>
      <c r="T75" s="1930">
        <v>0</v>
      </c>
      <c r="U75" s="1930">
        <v>0</v>
      </c>
      <c r="V75" s="1995" t="e">
        <v>#DIV/0!</v>
      </c>
      <c r="W75" s="1995" t="e">
        <v>#DIV/0!</v>
      </c>
      <c r="X75" s="1995" t="e">
        <v>#DIV/0!</v>
      </c>
    </row>
    <row r="76" spans="2:25">
      <c r="B76" s="1909"/>
      <c r="C76" s="1909" t="s">
        <v>196</v>
      </c>
      <c r="D76" s="1909">
        <v>0</v>
      </c>
      <c r="E76" s="1909" t="s">
        <v>181</v>
      </c>
      <c r="F76" s="1909" t="s">
        <v>186</v>
      </c>
      <c r="G76" s="1917"/>
      <c r="H76" s="1917"/>
      <c r="I76" s="1928">
        <v>0</v>
      </c>
      <c r="J76" s="1912"/>
      <c r="K76" s="1912"/>
      <c r="L76" s="1941" t="e">
        <v>#N/A</v>
      </c>
      <c r="M76" s="1941" t="e">
        <v>#N/A</v>
      </c>
      <c r="N76" s="1933" t="e">
        <v>#DIV/0!</v>
      </c>
      <c r="O76" s="1933" t="e">
        <v>#DIV/0!</v>
      </c>
      <c r="P76" s="1933" t="e">
        <v>#N/A</v>
      </c>
      <c r="Q76" s="1980" t="e">
        <v>#N/A</v>
      </c>
      <c r="R76" s="1933" t="e">
        <v>#N/A</v>
      </c>
      <c r="S76" s="1930">
        <v>0</v>
      </c>
      <c r="T76" s="1930">
        <v>0</v>
      </c>
      <c r="U76" s="1930">
        <v>0</v>
      </c>
      <c r="V76" s="1995" t="e">
        <v>#DIV/0!</v>
      </c>
      <c r="W76" s="1995" t="e">
        <v>#DIV/0!</v>
      </c>
      <c r="X76" s="1995" t="e">
        <v>#DIV/0!</v>
      </c>
    </row>
    <row r="77" spans="2:25">
      <c r="B77" s="1909"/>
      <c r="C77" s="1909" t="s">
        <v>197</v>
      </c>
      <c r="D77" s="1909">
        <v>0</v>
      </c>
      <c r="E77" s="1909" t="s">
        <v>181</v>
      </c>
      <c r="F77" s="1909" t="s">
        <v>186</v>
      </c>
      <c r="G77" s="1917"/>
      <c r="H77" s="1917"/>
      <c r="I77" s="1928">
        <v>0</v>
      </c>
      <c r="J77" s="1912"/>
      <c r="K77" s="1912"/>
      <c r="L77" s="1941" t="e">
        <v>#N/A</v>
      </c>
      <c r="M77" s="1941" t="e">
        <v>#N/A</v>
      </c>
      <c r="N77" s="1933" t="e">
        <v>#DIV/0!</v>
      </c>
      <c r="O77" s="1933" t="e">
        <v>#DIV/0!</v>
      </c>
      <c r="P77" s="1933" t="e">
        <v>#N/A</v>
      </c>
      <c r="Q77" s="1980" t="e">
        <v>#N/A</v>
      </c>
      <c r="R77" s="1933" t="e">
        <v>#N/A</v>
      </c>
      <c r="S77" s="1930">
        <v>0</v>
      </c>
      <c r="T77" s="1930">
        <v>0</v>
      </c>
      <c r="U77" s="1930">
        <v>0</v>
      </c>
      <c r="V77" s="1995" t="e">
        <v>#DIV/0!</v>
      </c>
      <c r="W77" s="1995" t="e">
        <v>#DIV/0!</v>
      </c>
      <c r="X77" s="1995" t="e">
        <v>#DIV/0!</v>
      </c>
    </row>
    <row r="78" spans="2:25">
      <c r="B78" s="1909"/>
      <c r="C78" s="1909" t="s">
        <v>198</v>
      </c>
      <c r="D78" s="1909">
        <v>0</v>
      </c>
      <c r="E78" s="1909" t="s">
        <v>181</v>
      </c>
      <c r="F78" s="1909" t="s">
        <v>186</v>
      </c>
      <c r="G78" s="1917"/>
      <c r="H78" s="1917"/>
      <c r="I78" s="1928">
        <v>0</v>
      </c>
      <c r="J78" s="1912"/>
      <c r="K78" s="1912"/>
      <c r="L78" s="1941" t="e">
        <v>#N/A</v>
      </c>
      <c r="M78" s="1941" t="e">
        <v>#N/A</v>
      </c>
      <c r="N78" s="1933" t="e">
        <v>#DIV/0!</v>
      </c>
      <c r="O78" s="1933" t="e">
        <v>#DIV/0!</v>
      </c>
      <c r="P78" s="1933" t="e">
        <v>#N/A</v>
      </c>
      <c r="Q78" s="1980" t="e">
        <v>#N/A</v>
      </c>
      <c r="R78" s="1933" t="e">
        <v>#N/A</v>
      </c>
      <c r="S78" s="1930">
        <v>0</v>
      </c>
      <c r="T78" s="1930">
        <v>0</v>
      </c>
      <c r="U78" s="1930">
        <v>0</v>
      </c>
      <c r="V78" s="1995" t="e">
        <v>#DIV/0!</v>
      </c>
      <c r="W78" s="1995" t="e">
        <v>#DIV/0!</v>
      </c>
      <c r="X78" s="1995" t="e">
        <v>#DIV/0!</v>
      </c>
    </row>
    <row r="79" spans="2:25">
      <c r="B79" s="1909"/>
      <c r="C79" s="1909" t="s">
        <v>199</v>
      </c>
      <c r="D79" s="1909">
        <v>0</v>
      </c>
      <c r="E79" s="1909" t="s">
        <v>181</v>
      </c>
      <c r="F79" s="1909" t="s">
        <v>186</v>
      </c>
      <c r="G79" s="1917"/>
      <c r="H79" s="1917"/>
      <c r="I79" s="1928">
        <v>0</v>
      </c>
      <c r="J79" s="1912"/>
      <c r="K79" s="1912"/>
      <c r="L79" s="1941" t="e">
        <v>#N/A</v>
      </c>
      <c r="M79" s="1941" t="e">
        <v>#N/A</v>
      </c>
      <c r="N79" s="1933" t="e">
        <v>#DIV/0!</v>
      </c>
      <c r="O79" s="1933" t="e">
        <v>#DIV/0!</v>
      </c>
      <c r="P79" s="1933" t="e">
        <v>#N/A</v>
      </c>
      <c r="Q79" s="1980" t="e">
        <v>#N/A</v>
      </c>
      <c r="R79" s="1933" t="e">
        <v>#N/A</v>
      </c>
      <c r="S79" s="1930">
        <v>0</v>
      </c>
      <c r="T79" s="1930">
        <v>0</v>
      </c>
      <c r="U79" s="1930">
        <v>0</v>
      </c>
      <c r="V79" s="1995" t="e">
        <v>#DIV/0!</v>
      </c>
      <c r="W79" s="1995" t="e">
        <v>#DIV/0!</v>
      </c>
      <c r="X79" s="1995" t="e">
        <v>#DIV/0!</v>
      </c>
    </row>
    <row r="80" spans="2:25">
      <c r="B80" s="1909"/>
      <c r="C80" s="1909" t="s">
        <v>200</v>
      </c>
      <c r="D80" s="1909">
        <v>0</v>
      </c>
      <c r="E80" s="1909" t="s">
        <v>181</v>
      </c>
      <c r="F80" s="1909" t="s">
        <v>186</v>
      </c>
      <c r="G80" s="1917"/>
      <c r="H80" s="1917"/>
      <c r="I80" s="1928">
        <v>0</v>
      </c>
      <c r="J80" s="1912"/>
      <c r="K80" s="1912"/>
      <c r="L80" s="1941" t="e">
        <v>#N/A</v>
      </c>
      <c r="M80" s="1941" t="e">
        <v>#N/A</v>
      </c>
      <c r="N80" s="1933" t="e">
        <v>#DIV/0!</v>
      </c>
      <c r="O80" s="1933" t="e">
        <v>#DIV/0!</v>
      </c>
      <c r="P80" s="1933" t="e">
        <v>#N/A</v>
      </c>
      <c r="Q80" s="1980" t="e">
        <v>#N/A</v>
      </c>
      <c r="R80" s="1933" t="e">
        <v>#N/A</v>
      </c>
      <c r="S80" s="1930">
        <v>0</v>
      </c>
      <c r="T80" s="1930">
        <v>0</v>
      </c>
      <c r="U80" s="1930">
        <v>0</v>
      </c>
      <c r="V80" s="1995" t="e">
        <v>#DIV/0!</v>
      </c>
      <c r="W80" s="1995" t="e">
        <v>#DIV/0!</v>
      </c>
      <c r="X80" s="1995" t="e">
        <v>#DIV/0!</v>
      </c>
    </row>
    <row r="81" spans="2:24">
      <c r="B81" s="1909"/>
      <c r="C81" s="1909" t="s">
        <v>201</v>
      </c>
      <c r="D81" s="1909">
        <v>0</v>
      </c>
      <c r="E81" s="1909" t="s">
        <v>181</v>
      </c>
      <c r="F81" s="1909" t="s">
        <v>186</v>
      </c>
      <c r="G81" s="1917"/>
      <c r="H81" s="1917"/>
      <c r="I81" s="1928">
        <v>0</v>
      </c>
      <c r="J81" s="1912"/>
      <c r="K81" s="1912"/>
      <c r="L81" s="1941" t="e">
        <v>#N/A</v>
      </c>
      <c r="M81" s="1941" t="e">
        <v>#N/A</v>
      </c>
      <c r="N81" s="1980" t="e">
        <v>#DIV/0!</v>
      </c>
      <c r="O81" s="1980" t="e">
        <v>#DIV/0!</v>
      </c>
      <c r="P81" s="1933" t="e">
        <v>#N/A</v>
      </c>
      <c r="Q81" s="1980" t="e">
        <v>#N/A</v>
      </c>
      <c r="R81" s="1980" t="e">
        <v>#N/A</v>
      </c>
      <c r="S81" s="1930">
        <v>0</v>
      </c>
      <c r="T81" s="1930">
        <v>0</v>
      </c>
      <c r="U81" s="1930">
        <v>0</v>
      </c>
      <c r="V81" s="1995" t="e">
        <v>#DIV/0!</v>
      </c>
      <c r="W81" s="1995" t="e">
        <v>#DIV/0!</v>
      </c>
      <c r="X81" s="1995" t="e">
        <v>#DIV/0!</v>
      </c>
    </row>
    <row r="82" spans="2:24">
      <c r="B82" s="1909"/>
      <c r="C82" s="1909" t="s">
        <v>202</v>
      </c>
      <c r="D82" s="1909">
        <v>0</v>
      </c>
      <c r="E82" s="1909" t="s">
        <v>181</v>
      </c>
      <c r="F82" s="1909" t="s">
        <v>186</v>
      </c>
      <c r="G82" s="1917"/>
      <c r="H82" s="1917"/>
      <c r="I82" s="1928">
        <v>0</v>
      </c>
      <c r="J82" s="1912"/>
      <c r="K82" s="1912"/>
      <c r="L82" s="1941" t="e">
        <v>#N/A</v>
      </c>
      <c r="M82" s="1941" t="e">
        <v>#N/A</v>
      </c>
      <c r="N82" s="1980" t="e">
        <v>#DIV/0!</v>
      </c>
      <c r="O82" s="1980" t="e">
        <v>#DIV/0!</v>
      </c>
      <c r="P82" s="1933" t="e">
        <v>#N/A</v>
      </c>
      <c r="Q82" s="1980" t="e">
        <v>#N/A</v>
      </c>
      <c r="R82" s="1980" t="e">
        <v>#N/A</v>
      </c>
      <c r="S82" s="1930">
        <v>0</v>
      </c>
      <c r="T82" s="1930">
        <v>0</v>
      </c>
      <c r="U82" s="1930">
        <v>0</v>
      </c>
      <c r="V82" s="1995" t="e">
        <v>#DIV/0!</v>
      </c>
      <c r="W82" s="1995" t="e">
        <v>#DIV/0!</v>
      </c>
      <c r="X82" s="1995" t="e">
        <v>#DIV/0!</v>
      </c>
    </row>
    <row r="83" spans="2:24">
      <c r="B83" s="1909"/>
      <c r="C83" s="1909" t="s">
        <v>203</v>
      </c>
      <c r="D83" s="1909">
        <v>0</v>
      </c>
      <c r="E83" s="1909" t="s">
        <v>181</v>
      </c>
      <c r="F83" s="1909" t="s">
        <v>186</v>
      </c>
      <c r="G83" s="1917"/>
      <c r="H83" s="1917"/>
      <c r="I83" s="1928">
        <v>0</v>
      </c>
      <c r="J83" s="1912"/>
      <c r="K83" s="1912"/>
      <c r="L83" s="1941" t="e">
        <v>#N/A</v>
      </c>
      <c r="M83" s="1941" t="e">
        <v>#N/A</v>
      </c>
      <c r="N83" s="1980" t="e">
        <v>#DIV/0!</v>
      </c>
      <c r="O83" s="1980" t="e">
        <v>#DIV/0!</v>
      </c>
      <c r="P83" s="1933" t="e">
        <v>#N/A</v>
      </c>
      <c r="Q83" s="1980" t="e">
        <v>#N/A</v>
      </c>
      <c r="R83" s="1980" t="e">
        <v>#N/A</v>
      </c>
      <c r="S83" s="1930">
        <v>0</v>
      </c>
      <c r="T83" s="1930">
        <v>0</v>
      </c>
      <c r="U83" s="1930">
        <v>0</v>
      </c>
      <c r="V83" s="1995" t="e">
        <v>#DIV/0!</v>
      </c>
      <c r="W83" s="1995" t="e">
        <v>#DIV/0!</v>
      </c>
      <c r="X83" s="1995" t="e">
        <v>#DIV/0!</v>
      </c>
    </row>
    <row r="84" spans="2:24">
      <c r="B84" s="1909"/>
      <c r="C84" s="1909" t="s">
        <v>204</v>
      </c>
      <c r="D84" s="1909">
        <v>0</v>
      </c>
      <c r="E84" s="1909" t="s">
        <v>181</v>
      </c>
      <c r="F84" s="1909" t="s">
        <v>186</v>
      </c>
      <c r="G84" s="1917"/>
      <c r="H84" s="1917"/>
      <c r="I84" s="1928">
        <v>0</v>
      </c>
      <c r="J84" s="1912"/>
      <c r="K84" s="1912"/>
      <c r="L84" s="1941" t="e">
        <v>#N/A</v>
      </c>
      <c r="M84" s="1941" t="e">
        <v>#N/A</v>
      </c>
      <c r="N84" s="1980" t="e">
        <v>#DIV/0!</v>
      </c>
      <c r="O84" s="1980" t="e">
        <v>#DIV/0!</v>
      </c>
      <c r="P84" s="1933" t="e">
        <v>#N/A</v>
      </c>
      <c r="Q84" s="1980" t="e">
        <v>#N/A</v>
      </c>
      <c r="R84" s="1980" t="e">
        <v>#N/A</v>
      </c>
      <c r="S84" s="1930">
        <v>0</v>
      </c>
      <c r="T84" s="1930">
        <v>0</v>
      </c>
      <c r="U84" s="1930">
        <v>0</v>
      </c>
    </row>
    <row r="85" spans="2:24">
      <c r="B85" s="1909"/>
      <c r="C85" s="1909" t="s">
        <v>205</v>
      </c>
      <c r="D85" s="1966">
        <v>0</v>
      </c>
      <c r="E85" s="1909" t="s">
        <v>181</v>
      </c>
      <c r="F85" s="1909" t="s">
        <v>186</v>
      </c>
      <c r="G85" s="1917"/>
      <c r="H85" s="1917"/>
      <c r="I85" s="1928">
        <v>0</v>
      </c>
      <c r="J85" s="1912"/>
      <c r="K85" s="1912"/>
      <c r="L85" s="1941" t="e">
        <v>#N/A</v>
      </c>
      <c r="M85" s="1941" t="e">
        <v>#N/A</v>
      </c>
      <c r="N85" s="1980" t="e">
        <v>#DIV/0!</v>
      </c>
      <c r="O85" s="1980" t="e">
        <v>#DIV/0!</v>
      </c>
      <c r="P85" s="1933" t="e">
        <v>#N/A</v>
      </c>
      <c r="Q85" s="1980" t="e">
        <v>#N/A</v>
      </c>
      <c r="R85" s="1980" t="e">
        <v>#N/A</v>
      </c>
      <c r="S85" s="1930">
        <v>0</v>
      </c>
      <c r="T85" s="1930">
        <v>0</v>
      </c>
      <c r="U85" s="1930">
        <v>0</v>
      </c>
    </row>
    <row r="86" spans="2:24">
      <c r="B86" s="1909"/>
      <c r="C86" s="1909" t="s">
        <v>206</v>
      </c>
      <c r="D86" s="1966">
        <v>0</v>
      </c>
      <c r="E86" s="1909" t="s">
        <v>181</v>
      </c>
      <c r="F86" s="1909" t="s">
        <v>186</v>
      </c>
      <c r="G86" s="1917"/>
      <c r="H86" s="1917"/>
      <c r="I86" s="1928">
        <v>0</v>
      </c>
      <c r="J86" s="1912"/>
      <c r="K86" s="1912"/>
      <c r="L86" s="1941" t="e">
        <v>#N/A</v>
      </c>
      <c r="M86" s="1941" t="e">
        <v>#N/A</v>
      </c>
      <c r="N86" s="1980" t="e">
        <v>#DIV/0!</v>
      </c>
      <c r="O86" s="1980" t="e">
        <v>#DIV/0!</v>
      </c>
      <c r="P86" s="1933" t="e">
        <v>#N/A</v>
      </c>
      <c r="Q86" s="1980" t="e">
        <v>#N/A</v>
      </c>
      <c r="R86" s="1980" t="e">
        <v>#N/A</v>
      </c>
      <c r="S86" s="1930">
        <v>0</v>
      </c>
      <c r="T86" s="1930">
        <v>0</v>
      </c>
      <c r="U86" s="1930">
        <v>0</v>
      </c>
    </row>
    <row r="87" spans="2:24">
      <c r="B87" s="1909"/>
      <c r="C87" s="1909" t="s">
        <v>207</v>
      </c>
      <c r="D87" s="1966">
        <v>0</v>
      </c>
      <c r="E87" s="1909" t="s">
        <v>181</v>
      </c>
      <c r="F87" s="1909" t="s">
        <v>186</v>
      </c>
      <c r="G87" s="1917"/>
      <c r="H87" s="1917"/>
      <c r="I87" s="1928">
        <v>0</v>
      </c>
      <c r="J87" s="1912"/>
      <c r="K87" s="1912"/>
      <c r="L87" s="1941" t="e">
        <v>#N/A</v>
      </c>
      <c r="M87" s="1941" t="e">
        <v>#N/A</v>
      </c>
      <c r="N87" s="1980" t="e">
        <v>#DIV/0!</v>
      </c>
      <c r="O87" s="1980" t="e">
        <v>#DIV/0!</v>
      </c>
      <c r="P87" s="1933" t="e">
        <v>#N/A</v>
      </c>
      <c r="Q87" s="1980" t="e">
        <v>#N/A</v>
      </c>
      <c r="R87" s="1980" t="e">
        <v>#N/A</v>
      </c>
      <c r="S87" s="1930">
        <v>0</v>
      </c>
      <c r="T87" s="1930">
        <v>0</v>
      </c>
      <c r="U87" s="1930">
        <v>0</v>
      </c>
    </row>
    <row r="88" spans="2:24">
      <c r="B88" s="1909"/>
      <c r="C88" s="1909" t="s">
        <v>208</v>
      </c>
      <c r="D88" s="1966">
        <v>0</v>
      </c>
      <c r="E88" s="1909" t="s">
        <v>181</v>
      </c>
      <c r="F88" s="1909" t="s">
        <v>186</v>
      </c>
      <c r="G88" s="1917"/>
      <c r="H88" s="1917"/>
      <c r="I88" s="1928">
        <v>0</v>
      </c>
      <c r="J88" s="1912"/>
      <c r="K88" s="1912"/>
      <c r="L88" s="1941" t="e">
        <v>#N/A</v>
      </c>
      <c r="M88" s="1941" t="e">
        <v>#N/A</v>
      </c>
      <c r="N88" s="1980" t="e">
        <v>#DIV/0!</v>
      </c>
      <c r="O88" s="1980" t="e">
        <v>#DIV/0!</v>
      </c>
      <c r="P88" s="1933" t="e">
        <v>#N/A</v>
      </c>
      <c r="Q88" s="1980" t="e">
        <v>#N/A</v>
      </c>
      <c r="R88" s="1980" t="e">
        <v>#N/A</v>
      </c>
      <c r="S88" s="1930">
        <v>0</v>
      </c>
      <c r="T88" s="1930">
        <v>0</v>
      </c>
      <c r="U88" s="1930">
        <v>0</v>
      </c>
    </row>
    <row r="89" spans="2:24">
      <c r="B89" s="1909"/>
      <c r="C89" s="1909" t="s">
        <v>209</v>
      </c>
      <c r="D89" s="1966">
        <v>0</v>
      </c>
      <c r="E89" s="1909" t="s">
        <v>181</v>
      </c>
      <c r="F89" s="1909" t="s">
        <v>186</v>
      </c>
      <c r="G89" s="1917"/>
      <c r="H89" s="1917"/>
      <c r="I89" s="1928">
        <v>0</v>
      </c>
      <c r="J89" s="1912"/>
      <c r="K89" s="1912"/>
      <c r="L89" s="1941" t="e">
        <v>#N/A</v>
      </c>
      <c r="M89" s="1941" t="e">
        <v>#N/A</v>
      </c>
      <c r="N89" s="1980" t="e">
        <v>#DIV/0!</v>
      </c>
      <c r="O89" s="1980" t="e">
        <v>#DIV/0!</v>
      </c>
      <c r="P89" s="1933" t="e">
        <v>#N/A</v>
      </c>
      <c r="Q89" s="1980" t="e">
        <v>#N/A</v>
      </c>
      <c r="R89" s="1980" t="e">
        <v>#N/A</v>
      </c>
      <c r="S89" s="1930">
        <v>0</v>
      </c>
      <c r="T89" s="1930">
        <v>0</v>
      </c>
      <c r="U89" s="1930">
        <v>0</v>
      </c>
    </row>
    <row r="90" spans="2:24">
      <c r="B90" s="1909"/>
      <c r="C90" s="1909" t="s">
        <v>210</v>
      </c>
      <c r="D90" s="1966">
        <v>0</v>
      </c>
      <c r="E90" s="1909" t="s">
        <v>181</v>
      </c>
      <c r="F90" s="1909" t="s">
        <v>186</v>
      </c>
      <c r="G90" s="1917"/>
      <c r="H90" s="1917"/>
      <c r="I90" s="1928">
        <v>0</v>
      </c>
      <c r="J90" s="1912"/>
      <c r="K90" s="1912"/>
      <c r="L90" s="1941" t="e">
        <v>#N/A</v>
      </c>
      <c r="M90" s="1941" t="e">
        <v>#N/A</v>
      </c>
      <c r="N90" s="1980" t="e">
        <v>#DIV/0!</v>
      </c>
      <c r="O90" s="1980" t="e">
        <v>#DIV/0!</v>
      </c>
      <c r="P90" s="1933" t="e">
        <v>#N/A</v>
      </c>
      <c r="Q90" s="1980" t="e">
        <v>#N/A</v>
      </c>
      <c r="R90" s="1980" t="e">
        <v>#N/A</v>
      </c>
      <c r="S90" s="1930">
        <v>0</v>
      </c>
      <c r="T90" s="1930">
        <v>0</v>
      </c>
      <c r="U90" s="1930">
        <v>0</v>
      </c>
    </row>
    <row r="91" spans="2:24">
      <c r="B91" s="1909"/>
      <c r="C91" s="1909" t="s">
        <v>211</v>
      </c>
      <c r="D91" s="1966">
        <v>0</v>
      </c>
      <c r="E91" s="1909" t="s">
        <v>181</v>
      </c>
      <c r="F91" s="1909" t="s">
        <v>186</v>
      </c>
      <c r="G91" s="1917"/>
      <c r="H91" s="1917"/>
      <c r="I91" s="1928">
        <v>0</v>
      </c>
      <c r="J91" s="1912"/>
      <c r="K91" s="1912"/>
      <c r="L91" s="1941" t="e">
        <v>#N/A</v>
      </c>
      <c r="M91" s="1941" t="e">
        <v>#N/A</v>
      </c>
      <c r="N91" s="1980" t="e">
        <v>#DIV/0!</v>
      </c>
      <c r="O91" s="1980" t="e">
        <v>#DIV/0!</v>
      </c>
      <c r="P91" s="1933" t="e">
        <v>#N/A</v>
      </c>
      <c r="Q91" s="1980" t="e">
        <v>#N/A</v>
      </c>
      <c r="R91" s="1980" t="e">
        <v>#N/A</v>
      </c>
      <c r="S91" s="1930">
        <v>0</v>
      </c>
      <c r="T91" s="1930">
        <v>0</v>
      </c>
      <c r="U91" s="1930">
        <v>0</v>
      </c>
    </row>
    <row r="92" spans="2:24">
      <c r="B92" s="1909"/>
      <c r="C92" s="1909" t="s">
        <v>212</v>
      </c>
      <c r="D92" s="1966">
        <v>0</v>
      </c>
      <c r="E92" s="1909" t="s">
        <v>181</v>
      </c>
      <c r="F92" s="1909" t="s">
        <v>186</v>
      </c>
      <c r="G92" s="1917"/>
      <c r="H92" s="1917"/>
      <c r="I92" s="1928">
        <v>0</v>
      </c>
      <c r="J92" s="1912"/>
      <c r="K92" s="1912"/>
      <c r="L92" s="1941" t="e">
        <v>#N/A</v>
      </c>
      <c r="M92" s="1941" t="e">
        <v>#N/A</v>
      </c>
      <c r="N92" s="1980" t="e">
        <v>#DIV/0!</v>
      </c>
      <c r="O92" s="1980" t="e">
        <v>#DIV/0!</v>
      </c>
      <c r="P92" s="1933" t="e">
        <v>#N/A</v>
      </c>
      <c r="Q92" s="1980" t="e">
        <v>#N/A</v>
      </c>
      <c r="R92" s="1980" t="e">
        <v>#N/A</v>
      </c>
      <c r="S92" s="1930">
        <v>0</v>
      </c>
      <c r="T92" s="1930">
        <v>0</v>
      </c>
      <c r="U92" s="1930">
        <v>0</v>
      </c>
    </row>
    <row r="93" spans="2:24">
      <c r="B93" s="1909"/>
      <c r="C93" s="1909" t="s">
        <v>213</v>
      </c>
      <c r="D93" s="1966">
        <v>0</v>
      </c>
      <c r="E93" s="1909" t="s">
        <v>181</v>
      </c>
      <c r="F93" s="1909" t="s">
        <v>186</v>
      </c>
      <c r="G93" s="1917"/>
      <c r="H93" s="1917"/>
      <c r="I93" s="1928">
        <v>0</v>
      </c>
      <c r="J93" s="1912"/>
      <c r="K93" s="1912"/>
      <c r="L93" s="1941" t="e">
        <v>#N/A</v>
      </c>
      <c r="M93" s="1941" t="e">
        <v>#N/A</v>
      </c>
      <c r="N93" s="1980" t="e">
        <v>#DIV/0!</v>
      </c>
      <c r="O93" s="1980" t="e">
        <v>#DIV/0!</v>
      </c>
      <c r="P93" s="1933" t="e">
        <v>#N/A</v>
      </c>
      <c r="Q93" s="1980" t="e">
        <v>#N/A</v>
      </c>
      <c r="R93" s="1980" t="e">
        <v>#N/A</v>
      </c>
      <c r="S93" s="1930">
        <v>0</v>
      </c>
      <c r="T93" s="1930">
        <v>0</v>
      </c>
      <c r="U93" s="1930">
        <v>0</v>
      </c>
    </row>
    <row r="94" spans="2:24">
      <c r="B94" s="1909"/>
      <c r="C94" s="1909" t="s">
        <v>214</v>
      </c>
      <c r="D94" s="1966">
        <v>0</v>
      </c>
      <c r="E94" s="1909" t="s">
        <v>181</v>
      </c>
      <c r="F94" s="1909" t="s">
        <v>186</v>
      </c>
      <c r="G94" s="1917"/>
      <c r="H94" s="1917"/>
      <c r="I94" s="1928">
        <v>0</v>
      </c>
      <c r="J94" s="1912"/>
      <c r="K94" s="1912"/>
      <c r="L94" s="1941" t="e">
        <v>#N/A</v>
      </c>
      <c r="M94" s="1941" t="e">
        <v>#N/A</v>
      </c>
      <c r="N94" s="1980" t="e">
        <v>#DIV/0!</v>
      </c>
      <c r="O94" s="1980" t="e">
        <v>#DIV/0!</v>
      </c>
      <c r="P94" s="1933" t="e">
        <v>#N/A</v>
      </c>
      <c r="Q94" s="1980" t="e">
        <v>#N/A</v>
      </c>
      <c r="R94" s="1980" t="e">
        <v>#N/A</v>
      </c>
      <c r="S94" s="1930">
        <v>0</v>
      </c>
      <c r="T94" s="1930">
        <v>0</v>
      </c>
      <c r="U94" s="1930">
        <v>0</v>
      </c>
    </row>
    <row r="95" spans="2:24">
      <c r="B95" s="1909"/>
      <c r="C95" s="1909" t="s">
        <v>215</v>
      </c>
      <c r="D95" s="1966">
        <v>0</v>
      </c>
      <c r="E95" s="1909" t="s">
        <v>181</v>
      </c>
      <c r="F95" s="1909" t="s">
        <v>186</v>
      </c>
      <c r="G95" s="1917"/>
      <c r="H95" s="1917"/>
      <c r="I95" s="1928">
        <v>0</v>
      </c>
      <c r="J95" s="1912"/>
      <c r="K95" s="1912"/>
      <c r="L95" s="1941" t="e">
        <v>#N/A</v>
      </c>
      <c r="M95" s="1941" t="e">
        <v>#N/A</v>
      </c>
      <c r="N95" s="1980" t="e">
        <v>#DIV/0!</v>
      </c>
      <c r="O95" s="1980" t="e">
        <v>#DIV/0!</v>
      </c>
      <c r="P95" s="1933" t="e">
        <v>#N/A</v>
      </c>
      <c r="Q95" s="1980" t="e">
        <v>#N/A</v>
      </c>
      <c r="R95" s="1980" t="e">
        <v>#N/A</v>
      </c>
      <c r="S95" s="1930">
        <v>0</v>
      </c>
      <c r="T95" s="1930">
        <v>0</v>
      </c>
      <c r="U95" s="1930">
        <v>0</v>
      </c>
    </row>
    <row r="96" spans="2:24">
      <c r="B96" s="1909"/>
      <c r="C96" s="1909" t="s">
        <v>216</v>
      </c>
      <c r="D96" s="1966">
        <v>0</v>
      </c>
      <c r="E96" s="1909" t="s">
        <v>181</v>
      </c>
      <c r="F96" s="1909" t="s">
        <v>186</v>
      </c>
      <c r="G96" s="1917"/>
      <c r="H96" s="1917"/>
      <c r="I96" s="1928">
        <v>0</v>
      </c>
      <c r="J96" s="1912"/>
      <c r="K96" s="1912"/>
      <c r="L96" s="1941" t="e">
        <v>#N/A</v>
      </c>
      <c r="M96" s="1941" t="e">
        <v>#N/A</v>
      </c>
      <c r="N96" s="1980" t="e">
        <v>#DIV/0!</v>
      </c>
      <c r="O96" s="1980" t="e">
        <v>#DIV/0!</v>
      </c>
      <c r="P96" s="1933" t="e">
        <v>#N/A</v>
      </c>
      <c r="Q96" s="1980" t="e">
        <v>#N/A</v>
      </c>
      <c r="R96" s="1980" t="e">
        <v>#N/A</v>
      </c>
      <c r="S96" s="1930">
        <v>0</v>
      </c>
      <c r="T96" s="1930">
        <v>0</v>
      </c>
      <c r="U96" s="1930">
        <v>0</v>
      </c>
    </row>
    <row r="97" spans="2:21">
      <c r="B97" s="1909"/>
      <c r="C97" s="1909" t="s">
        <v>217</v>
      </c>
      <c r="D97" s="1966">
        <v>0</v>
      </c>
      <c r="E97" s="1909" t="s">
        <v>181</v>
      </c>
      <c r="F97" s="1909" t="s">
        <v>186</v>
      </c>
      <c r="G97" s="1917"/>
      <c r="H97" s="1917"/>
      <c r="I97" s="1928">
        <v>0</v>
      </c>
      <c r="J97" s="1912"/>
      <c r="K97" s="1912"/>
      <c r="L97" s="1941" t="e">
        <v>#N/A</v>
      </c>
      <c r="M97" s="1941" t="e">
        <v>#N/A</v>
      </c>
      <c r="N97" s="1980" t="e">
        <v>#DIV/0!</v>
      </c>
      <c r="O97" s="1980" t="e">
        <v>#DIV/0!</v>
      </c>
      <c r="P97" s="1933" t="e">
        <v>#N/A</v>
      </c>
      <c r="Q97" s="1980" t="e">
        <v>#N/A</v>
      </c>
      <c r="R97" s="1980" t="e">
        <v>#N/A</v>
      </c>
      <c r="S97" s="1930">
        <v>0</v>
      </c>
      <c r="T97" s="1930">
        <v>0</v>
      </c>
      <c r="U97" s="1930">
        <v>0</v>
      </c>
    </row>
    <row r="98" spans="2:21">
      <c r="B98" s="1909"/>
      <c r="C98" s="1909" t="s">
        <v>218</v>
      </c>
      <c r="D98" s="1966">
        <v>0</v>
      </c>
      <c r="E98" s="1909" t="s">
        <v>181</v>
      </c>
      <c r="F98" s="1909" t="s">
        <v>186</v>
      </c>
      <c r="G98" s="1917"/>
      <c r="H98" s="1917"/>
      <c r="I98" s="1928">
        <v>0</v>
      </c>
      <c r="J98" s="1912"/>
      <c r="K98" s="1912"/>
      <c r="L98" s="1941" t="e">
        <v>#N/A</v>
      </c>
      <c r="M98" s="1941" t="e">
        <v>#N/A</v>
      </c>
      <c r="N98" s="1980" t="e">
        <v>#DIV/0!</v>
      </c>
      <c r="O98" s="1980" t="e">
        <v>#DIV/0!</v>
      </c>
      <c r="P98" s="1933" t="e">
        <v>#N/A</v>
      </c>
      <c r="Q98" s="1980" t="e">
        <v>#N/A</v>
      </c>
      <c r="R98" s="1980" t="e">
        <v>#N/A</v>
      </c>
      <c r="S98" s="1930">
        <v>0</v>
      </c>
      <c r="T98" s="1930">
        <v>0</v>
      </c>
      <c r="U98" s="1930">
        <v>0</v>
      </c>
    </row>
    <row r="99" spans="2:21">
      <c r="B99" s="1909"/>
      <c r="C99" s="1909" t="s">
        <v>219</v>
      </c>
      <c r="D99" s="1966">
        <v>0</v>
      </c>
      <c r="E99" s="1909" t="s">
        <v>181</v>
      </c>
      <c r="F99" s="1909" t="s">
        <v>186</v>
      </c>
      <c r="G99" s="1917"/>
      <c r="H99" s="1917"/>
      <c r="I99" s="1928">
        <v>0</v>
      </c>
      <c r="J99" s="1912"/>
      <c r="K99" s="1912"/>
      <c r="L99" s="1941" t="e">
        <v>#N/A</v>
      </c>
      <c r="M99" s="1941" t="e">
        <v>#N/A</v>
      </c>
      <c r="N99" s="1980" t="e">
        <v>#DIV/0!</v>
      </c>
      <c r="O99" s="1980" t="e">
        <v>#DIV/0!</v>
      </c>
      <c r="P99" s="1933" t="e">
        <v>#N/A</v>
      </c>
      <c r="Q99" s="1980" t="e">
        <v>#N/A</v>
      </c>
      <c r="R99" s="1980" t="e">
        <v>#N/A</v>
      </c>
      <c r="S99" s="1930">
        <v>0</v>
      </c>
      <c r="T99" s="1930">
        <v>0</v>
      </c>
      <c r="U99" s="1930">
        <v>0</v>
      </c>
    </row>
    <row r="100" spans="2:21">
      <c r="B100" s="1909"/>
      <c r="C100" s="1909" t="s">
        <v>220</v>
      </c>
      <c r="D100" s="1966">
        <v>0</v>
      </c>
      <c r="E100" s="1909" t="s">
        <v>181</v>
      </c>
      <c r="F100" s="1909" t="s">
        <v>186</v>
      </c>
      <c r="G100" s="1917"/>
      <c r="H100" s="1917"/>
      <c r="I100" s="1928">
        <v>0</v>
      </c>
      <c r="J100" s="1912"/>
      <c r="K100" s="1912"/>
      <c r="L100" s="1941" t="e">
        <v>#N/A</v>
      </c>
      <c r="M100" s="1941" t="e">
        <v>#N/A</v>
      </c>
      <c r="N100" s="1980" t="e">
        <v>#DIV/0!</v>
      </c>
      <c r="O100" s="1980" t="e">
        <v>#DIV/0!</v>
      </c>
      <c r="P100" s="1933" t="e">
        <v>#N/A</v>
      </c>
      <c r="Q100" s="1980" t="e">
        <v>#N/A</v>
      </c>
      <c r="R100" s="1980" t="e">
        <v>#N/A</v>
      </c>
      <c r="S100" s="1930">
        <v>0</v>
      </c>
      <c r="T100" s="1930">
        <v>0</v>
      </c>
      <c r="U100" s="1930">
        <v>0</v>
      </c>
    </row>
    <row r="101" spans="2:21">
      <c r="B101" s="1909"/>
      <c r="C101" s="1909" t="s">
        <v>221</v>
      </c>
      <c r="D101" s="1966">
        <v>0</v>
      </c>
      <c r="E101" s="1909" t="s">
        <v>181</v>
      </c>
      <c r="F101" s="1909" t="s">
        <v>186</v>
      </c>
      <c r="G101" s="1917"/>
      <c r="H101" s="1917"/>
      <c r="I101" s="1928">
        <v>0</v>
      </c>
      <c r="J101" s="1912"/>
      <c r="K101" s="1912"/>
      <c r="L101" s="1941" t="e">
        <v>#N/A</v>
      </c>
      <c r="M101" s="1941" t="e">
        <v>#N/A</v>
      </c>
      <c r="N101" s="1980" t="e">
        <v>#DIV/0!</v>
      </c>
      <c r="O101" s="1980" t="e">
        <v>#DIV/0!</v>
      </c>
      <c r="P101" s="1933" t="e">
        <v>#N/A</v>
      </c>
      <c r="Q101" s="1980" t="e">
        <v>#N/A</v>
      </c>
      <c r="R101" s="1980" t="e">
        <v>#N/A</v>
      </c>
      <c r="S101" s="1930">
        <v>0</v>
      </c>
      <c r="T101" s="1930">
        <v>0</v>
      </c>
      <c r="U101" s="1930">
        <v>0</v>
      </c>
    </row>
    <row r="102" spans="2:21">
      <c r="B102" s="1909"/>
      <c r="C102" s="1909" t="s">
        <v>222</v>
      </c>
      <c r="D102" s="1966">
        <v>0</v>
      </c>
      <c r="E102" s="1909" t="s">
        <v>181</v>
      </c>
      <c r="F102" s="1909" t="s">
        <v>186</v>
      </c>
      <c r="G102" s="1917"/>
      <c r="H102" s="1917"/>
      <c r="I102" s="1928">
        <v>0</v>
      </c>
      <c r="J102" s="1912"/>
      <c r="K102" s="1912"/>
      <c r="L102" s="1941" t="e">
        <v>#N/A</v>
      </c>
      <c r="M102" s="1941" t="e">
        <v>#N/A</v>
      </c>
      <c r="N102" s="1980" t="e">
        <v>#DIV/0!</v>
      </c>
      <c r="O102" s="1980" t="e">
        <v>#DIV/0!</v>
      </c>
      <c r="P102" s="1933" t="e">
        <v>#N/A</v>
      </c>
      <c r="Q102" s="1980" t="e">
        <v>#N/A</v>
      </c>
      <c r="R102" s="1980" t="e">
        <v>#N/A</v>
      </c>
      <c r="S102" s="1930">
        <v>0</v>
      </c>
      <c r="T102" s="1930">
        <v>0</v>
      </c>
      <c r="U102" s="1930">
        <v>0</v>
      </c>
    </row>
    <row r="103" spans="2:21">
      <c r="B103" s="1909"/>
      <c r="C103" s="1909" t="s">
        <v>223</v>
      </c>
      <c r="D103" s="1966">
        <v>0</v>
      </c>
      <c r="E103" s="1909" t="s">
        <v>181</v>
      </c>
      <c r="F103" s="1909" t="s">
        <v>186</v>
      </c>
      <c r="G103" s="1917"/>
      <c r="H103" s="1917"/>
      <c r="I103" s="1928">
        <v>0</v>
      </c>
      <c r="J103" s="1912"/>
      <c r="K103" s="1912"/>
      <c r="L103" s="1941" t="e">
        <v>#N/A</v>
      </c>
      <c r="M103" s="1941" t="e">
        <v>#N/A</v>
      </c>
      <c r="N103" s="1980" t="e">
        <v>#DIV/0!</v>
      </c>
      <c r="O103" s="1980" t="e">
        <v>#DIV/0!</v>
      </c>
      <c r="P103" s="1933" t="e">
        <v>#N/A</v>
      </c>
      <c r="Q103" s="1980" t="e">
        <v>#N/A</v>
      </c>
      <c r="R103" s="1980" t="e">
        <v>#N/A</v>
      </c>
      <c r="S103" s="1930">
        <v>0</v>
      </c>
      <c r="T103" s="1930">
        <v>0</v>
      </c>
      <c r="U103" s="1930">
        <v>0</v>
      </c>
    </row>
    <row r="104" spans="2:21">
      <c r="B104" s="1909"/>
      <c r="C104" s="1909" t="s">
        <v>224</v>
      </c>
      <c r="D104" s="1966">
        <v>0</v>
      </c>
      <c r="E104" s="1909" t="s">
        <v>181</v>
      </c>
      <c r="F104" s="1909" t="s">
        <v>186</v>
      </c>
      <c r="G104" s="1917"/>
      <c r="H104" s="1917"/>
      <c r="I104" s="1928">
        <v>0</v>
      </c>
      <c r="J104" s="1912"/>
      <c r="K104" s="1912"/>
      <c r="L104" s="1941" t="e">
        <v>#N/A</v>
      </c>
      <c r="M104" s="1941" t="e">
        <v>#N/A</v>
      </c>
      <c r="N104" s="1980" t="e">
        <v>#DIV/0!</v>
      </c>
      <c r="O104" s="1980" t="e">
        <v>#DIV/0!</v>
      </c>
      <c r="P104" s="1933" t="e">
        <v>#N/A</v>
      </c>
      <c r="Q104" s="1980" t="e">
        <v>#N/A</v>
      </c>
      <c r="R104" s="1980" t="e">
        <v>#N/A</v>
      </c>
      <c r="S104" s="1930">
        <v>0</v>
      </c>
      <c r="T104" s="1930">
        <v>0</v>
      </c>
      <c r="U104" s="1930">
        <v>0</v>
      </c>
    </row>
    <row r="105" spans="2:21">
      <c r="B105" s="1909"/>
      <c r="C105" s="1909" t="s">
        <v>225</v>
      </c>
      <c r="D105" s="1966">
        <v>0</v>
      </c>
      <c r="E105" s="1909" t="s">
        <v>181</v>
      </c>
      <c r="F105" s="1909" t="s">
        <v>186</v>
      </c>
      <c r="G105" s="1917"/>
      <c r="H105" s="1917"/>
      <c r="I105" s="1928">
        <v>0</v>
      </c>
      <c r="J105" s="1912"/>
      <c r="K105" s="1912"/>
      <c r="L105" s="1941" t="e">
        <v>#N/A</v>
      </c>
      <c r="M105" s="1941" t="e">
        <v>#N/A</v>
      </c>
      <c r="N105" s="1980" t="e">
        <v>#DIV/0!</v>
      </c>
      <c r="O105" s="1980" t="e">
        <v>#DIV/0!</v>
      </c>
      <c r="P105" s="1933" t="e">
        <v>#N/A</v>
      </c>
      <c r="Q105" s="1980" t="e">
        <v>#N/A</v>
      </c>
      <c r="R105" s="1980" t="e">
        <v>#N/A</v>
      </c>
      <c r="S105" s="1930">
        <v>0</v>
      </c>
      <c r="T105" s="1930">
        <v>0</v>
      </c>
      <c r="U105" s="1930">
        <v>0</v>
      </c>
    </row>
    <row r="106" spans="2:21" ht="13.5" thickBot="1">
      <c r="B106" s="1909"/>
      <c r="C106" s="1909" t="s">
        <v>226</v>
      </c>
      <c r="D106" s="1966">
        <v>0</v>
      </c>
      <c r="E106" s="1909" t="s">
        <v>181</v>
      </c>
      <c r="F106" s="1909" t="s">
        <v>186</v>
      </c>
      <c r="G106" s="1917"/>
      <c r="H106" s="1917"/>
      <c r="I106" s="1928">
        <v>0</v>
      </c>
      <c r="J106" s="1912"/>
      <c r="K106" s="1912"/>
      <c r="L106" s="1944" t="e">
        <v>#N/A</v>
      </c>
      <c r="M106" s="1944" t="e">
        <v>#N/A</v>
      </c>
      <c r="N106" s="1981" t="e">
        <v>#DIV/0!</v>
      </c>
      <c r="O106" s="1981" t="e">
        <v>#DIV/0!</v>
      </c>
      <c r="P106" s="1933" t="e">
        <v>#N/A</v>
      </c>
      <c r="Q106" s="1980" t="e">
        <v>#N/A</v>
      </c>
      <c r="R106" s="1981" t="e">
        <v>#N/A</v>
      </c>
      <c r="S106" s="1930">
        <v>0</v>
      </c>
      <c r="T106" s="1930">
        <v>0</v>
      </c>
      <c r="U106" s="1930">
        <v>0</v>
      </c>
    </row>
    <row r="107" spans="2:21" ht="13.5" thickBot="1">
      <c r="B107" s="1905"/>
      <c r="C107" s="1905"/>
      <c r="D107" s="1905"/>
      <c r="E107" s="1905"/>
      <c r="F107" s="1905"/>
      <c r="G107" s="1943">
        <v>0</v>
      </c>
      <c r="H107" s="1929">
        <v>0</v>
      </c>
      <c r="I107" s="1942">
        <v>0</v>
      </c>
      <c r="J107" s="1908" t="e">
        <v>#DIV/0!</v>
      </c>
      <c r="K107" s="1906" t="s">
        <v>371</v>
      </c>
      <c r="L107" s="1945" t="e">
        <v>#DIV/0!</v>
      </c>
      <c r="M107" s="1946" t="e">
        <v>#DIV/0!</v>
      </c>
      <c r="N107" s="1982" t="e">
        <v>#DIV/0!</v>
      </c>
      <c r="O107" s="1982" t="e">
        <v>#DIV/0!</v>
      </c>
      <c r="P107" s="1982" t="e">
        <v>#DIV/0!</v>
      </c>
      <c r="Q107" s="1983" t="e">
        <v>#DIV/0!</v>
      </c>
      <c r="R107" s="1983" t="e">
        <v>#DIV/0!</v>
      </c>
      <c r="S107" s="1931">
        <v>0</v>
      </c>
      <c r="T107" s="1931">
        <v>0</v>
      </c>
      <c r="U107" s="1931">
        <v>0</v>
      </c>
    </row>
  </sheetData>
  <sheetProtection password="9E1F" sheet="1" objects="1" scenarios="1"/>
  <customSheetViews>
    <customSheetView guid="{074EB09C-6289-46D7-9513-012B68BCA7BF}" fitToPage="1">
      <pane xSplit="1" ySplit="1" topLeftCell="B2" activePane="bottomRight" state="frozen"/>
      <selection pane="bottomRight" activeCell="B1" sqref="B1"/>
      <pageMargins left="0.23" right="0.3" top="0.37" bottom="0.43" header="0.3" footer="0.3"/>
      <pageSetup paperSize="17" scale="51" orientation="landscape" r:id="rId1"/>
    </customSheetView>
    <customSheetView guid="{AF9F1D33-B8C2-423F-86A1-47612B8F532C}" fitToPage="1">
      <pane xSplit="1" ySplit="1" topLeftCell="B2" activePane="bottomRight" state="frozenSplit"/>
      <selection pane="bottomRight" activeCell="C25" sqref="C25:C26"/>
      <pageMargins left="0.7" right="0.7" top="0.75" bottom="0.75" header="0.3" footer="0.3"/>
      <pageSetup paperSize="17" scale="51" orientation="landscape"/>
    </customSheetView>
  </customSheetViews>
  <mergeCells count="14">
    <mergeCell ref="S63:U63"/>
    <mergeCell ref="V63:X63"/>
    <mergeCell ref="C12:F12"/>
    <mergeCell ref="I12:L12"/>
    <mergeCell ref="M12:O12"/>
    <mergeCell ref="P12:R12"/>
    <mergeCell ref="I13:K13"/>
    <mergeCell ref="L63:R63"/>
    <mergeCell ref="V2:V3"/>
    <mergeCell ref="D11:E11"/>
    <mergeCell ref="I11:L11"/>
    <mergeCell ref="M11:N11"/>
    <mergeCell ref="Q2:R2"/>
    <mergeCell ref="S2:U2"/>
  </mergeCells>
  <pageMargins left="0.23" right="0.3" top="0.37" bottom="0.43" header="0.3" footer="0.3"/>
  <pageSetup paperSize="17" scale="50" orientation="landscape" r:id="rId2"/>
  <drawing r:id="rId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X107"/>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8.85546875" defaultRowHeight="12.75"/>
  <cols>
    <col min="1" max="1" width="15.42578125" style="3064" customWidth="1"/>
    <col min="2" max="2" width="17.28515625" customWidth="1"/>
    <col min="3" max="3" width="34.140625" customWidth="1"/>
    <col min="4" max="6" width="11.28515625" customWidth="1"/>
    <col min="7" max="7" width="14.140625" customWidth="1"/>
    <col min="8" max="8" width="15.85546875" customWidth="1"/>
    <col min="9" max="9" width="12.85546875" customWidth="1"/>
    <col min="10" max="10" width="10.85546875" customWidth="1"/>
    <col min="11" max="11" width="13.85546875" customWidth="1"/>
    <col min="12" max="12" width="15.85546875" customWidth="1"/>
    <col min="13" max="14" width="14" customWidth="1"/>
    <col min="15" max="18" width="19.28515625" customWidth="1"/>
  </cols>
  <sheetData>
    <row r="1" spans="1:22" ht="44.25" customHeight="1" thickBot="1">
      <c r="B1" s="3461"/>
      <c r="C1" s="1433"/>
      <c r="D1" s="1433"/>
      <c r="E1" s="1433"/>
      <c r="F1" s="1444"/>
      <c r="G1" s="1444">
        <v>18230482</v>
      </c>
      <c r="H1" s="3331" t="s">
        <v>1156</v>
      </c>
      <c r="I1" s="1444"/>
      <c r="J1" s="1433"/>
      <c r="K1" s="1433"/>
      <c r="L1" s="1433"/>
      <c r="M1" s="1433"/>
      <c r="N1" s="1433"/>
      <c r="O1" s="1433"/>
      <c r="P1" s="1433"/>
      <c r="Q1" s="1433"/>
      <c r="R1" s="1433"/>
      <c r="S1" s="1433"/>
      <c r="T1" s="1433"/>
      <c r="U1" s="1433"/>
      <c r="V1" s="1433"/>
    </row>
    <row r="2" spans="1:22" ht="16.5" thickBot="1">
      <c r="B2" s="1444" t="s">
        <v>109</v>
      </c>
      <c r="C2" s="4057" t="s">
        <v>1200</v>
      </c>
      <c r="D2" s="1433"/>
      <c r="E2" s="1433"/>
      <c r="F2" s="1433"/>
      <c r="G2" s="1451" t="s">
        <v>8</v>
      </c>
      <c r="H2" s="1433"/>
      <c r="I2" s="1433"/>
      <c r="J2" s="1433"/>
      <c r="K2" s="1433"/>
      <c r="L2" s="1433"/>
      <c r="M2" s="1433"/>
      <c r="N2" s="1433"/>
      <c r="O2" s="1433"/>
      <c r="P2" s="1433"/>
      <c r="Q2" s="5152"/>
      <c r="R2" s="5152"/>
      <c r="S2" s="5153" t="s">
        <v>110</v>
      </c>
      <c r="T2" s="5154"/>
      <c r="U2" s="5155"/>
      <c r="V2" s="5147" t="s">
        <v>111</v>
      </c>
    </row>
    <row r="3" spans="1:22" ht="16.5" thickBot="1">
      <c r="B3" s="1477" t="s">
        <v>6</v>
      </c>
      <c r="C3" s="1477">
        <v>18230482</v>
      </c>
      <c r="D3" s="1433"/>
      <c r="E3" s="1433"/>
      <c r="F3" s="1433"/>
      <c r="G3" s="1463" t="s">
        <v>9</v>
      </c>
      <c r="H3" s="1461" t="s">
        <v>10</v>
      </c>
      <c r="I3" s="1461" t="s">
        <v>11</v>
      </c>
      <c r="J3" s="1461" t="s">
        <v>12</v>
      </c>
      <c r="K3" s="1461" t="s">
        <v>13</v>
      </c>
      <c r="L3" s="1461" t="s">
        <v>14</v>
      </c>
      <c r="M3" s="1461" t="s">
        <v>15</v>
      </c>
      <c r="N3" s="1461" t="s">
        <v>16</v>
      </c>
      <c r="O3" s="1461" t="s">
        <v>112</v>
      </c>
      <c r="P3" s="1461" t="s">
        <v>113</v>
      </c>
      <c r="Q3" s="1464" t="s">
        <v>18</v>
      </c>
      <c r="R3" s="1464" t="s">
        <v>114</v>
      </c>
      <c r="S3" s="1453" t="s">
        <v>115</v>
      </c>
      <c r="T3" s="1453" t="s">
        <v>12</v>
      </c>
      <c r="U3" s="1454" t="s">
        <v>116</v>
      </c>
      <c r="V3" s="5148"/>
    </row>
    <row r="4" spans="1:22" ht="16.5" thickBot="1">
      <c r="B4" s="1477" t="s">
        <v>117</v>
      </c>
      <c r="C4" s="4057" t="s">
        <v>1156</v>
      </c>
      <c r="D4" s="1433"/>
      <c r="E4" s="1433"/>
      <c r="F4" s="1444">
        <v>2011</v>
      </c>
      <c r="G4" s="1499">
        <v>0</v>
      </c>
      <c r="H4" s="1500">
        <v>0</v>
      </c>
      <c r="I4" s="1500">
        <v>0</v>
      </c>
      <c r="J4" s="1500">
        <v>9600</v>
      </c>
      <c r="K4" s="1500">
        <v>0</v>
      </c>
      <c r="L4" s="1500">
        <v>0</v>
      </c>
      <c r="M4" s="1500">
        <v>0</v>
      </c>
      <c r="N4" s="1500">
        <v>0</v>
      </c>
      <c r="O4" s="1500">
        <v>0</v>
      </c>
      <c r="P4" s="1500">
        <v>0</v>
      </c>
      <c r="Q4" s="1504">
        <v>9600</v>
      </c>
      <c r="R4" s="1515">
        <v>0</v>
      </c>
      <c r="S4" s="1522">
        <v>0</v>
      </c>
      <c r="T4" s="1522">
        <v>1</v>
      </c>
      <c r="U4" s="1522">
        <v>0</v>
      </c>
      <c r="V4" s="1524" t="e">
        <v>#DIV/0!</v>
      </c>
    </row>
    <row r="5" spans="1:22" ht="16.5" thickBot="1">
      <c r="B5" s="1444" t="s">
        <v>33</v>
      </c>
      <c r="C5" s="1433"/>
      <c r="D5" s="1433"/>
      <c r="E5" s="1433"/>
      <c r="F5" s="1444">
        <v>2012</v>
      </c>
      <c r="G5" s="1501">
        <f>D14</f>
        <v>0</v>
      </c>
      <c r="H5" s="1502">
        <f>D19</f>
        <v>0</v>
      </c>
      <c r="I5" s="1502">
        <f>D24</f>
        <v>0</v>
      </c>
      <c r="J5" s="1502">
        <f>D29</f>
        <v>27280</v>
      </c>
      <c r="K5" s="1502">
        <f>D34</f>
        <v>0</v>
      </c>
      <c r="L5" s="1502">
        <f>D39</f>
        <v>2175</v>
      </c>
      <c r="M5" s="1502">
        <f>D44</f>
        <v>24795</v>
      </c>
      <c r="N5" s="1502">
        <f>D50</f>
        <v>0</v>
      </c>
      <c r="O5" s="1502">
        <f>D55</f>
        <v>0</v>
      </c>
      <c r="P5" s="1502">
        <f>D56</f>
        <v>0</v>
      </c>
      <c r="Q5" s="1503">
        <f>SUM(G5:P5)</f>
        <v>54250</v>
      </c>
      <c r="R5" s="1516">
        <v>0</v>
      </c>
      <c r="S5" s="1523">
        <v>0</v>
      </c>
      <c r="T5" s="1523">
        <v>1</v>
      </c>
      <c r="U5" s="1523">
        <v>0</v>
      </c>
      <c r="V5" s="1525" t="e">
        <v>#DIV/0!</v>
      </c>
    </row>
    <row r="6" spans="1:22" s="3532" customFormat="1" ht="16.5" thickBot="1">
      <c r="B6" s="3331"/>
      <c r="C6" s="4117"/>
      <c r="D6" s="4117"/>
      <c r="E6" s="4117"/>
      <c r="F6" s="4271" t="s">
        <v>1168</v>
      </c>
      <c r="G6" s="4267">
        <v>0</v>
      </c>
      <c r="H6" s="4268">
        <v>0</v>
      </c>
      <c r="I6" s="4268">
        <v>0</v>
      </c>
      <c r="J6" s="4268">
        <v>27280</v>
      </c>
      <c r="K6" s="4268">
        <v>0</v>
      </c>
      <c r="L6" s="4268">
        <v>2175</v>
      </c>
      <c r="M6" s="4268">
        <v>24795</v>
      </c>
      <c r="N6" s="4268">
        <v>0</v>
      </c>
      <c r="O6" s="4268">
        <v>0</v>
      </c>
      <c r="P6" s="4268">
        <v>0</v>
      </c>
      <c r="Q6" s="2064">
        <v>54250</v>
      </c>
      <c r="R6" s="4269"/>
      <c r="S6" s="3637"/>
      <c r="T6" s="3637"/>
      <c r="U6" s="3637"/>
      <c r="V6" s="2096"/>
    </row>
    <row r="7" spans="1:22" ht="16.5" thickBot="1">
      <c r="B7" s="1433"/>
      <c r="C7" s="1444" t="s">
        <v>807</v>
      </c>
      <c r="D7" s="1433"/>
      <c r="E7" s="1433"/>
      <c r="F7" s="4270" t="s">
        <v>1169</v>
      </c>
      <c r="G7" s="4228">
        <f>E14</f>
        <v>0</v>
      </c>
      <c r="H7" s="4229">
        <f>E19</f>
        <v>0</v>
      </c>
      <c r="I7" s="4229">
        <f>E24</f>
        <v>0</v>
      </c>
      <c r="J7" s="4229">
        <f>E29</f>
        <v>27280</v>
      </c>
      <c r="K7" s="4229">
        <f>E34</f>
        <v>0</v>
      </c>
      <c r="L7" s="4229">
        <f>E39</f>
        <v>2175</v>
      </c>
      <c r="M7" s="4229">
        <f>E44</f>
        <v>24795</v>
      </c>
      <c r="N7" s="4229">
        <f>E50</f>
        <v>0</v>
      </c>
      <c r="O7" s="4229">
        <f>E55</f>
        <v>0</v>
      </c>
      <c r="P7" s="4229">
        <f>E56</f>
        <v>0</v>
      </c>
      <c r="Q7" s="4226">
        <f>SUM(G7:P7)</f>
        <v>54250</v>
      </c>
      <c r="R7" s="4230">
        <v>0</v>
      </c>
      <c r="S7" s="1523">
        <v>0</v>
      </c>
      <c r="T7" s="1523">
        <v>1</v>
      </c>
      <c r="U7" s="1523">
        <v>0</v>
      </c>
      <c r="V7" s="1525" t="e">
        <v>#DIV/0!</v>
      </c>
    </row>
    <row r="8" spans="1:22" ht="16.5" thickBot="1">
      <c r="B8" s="1433"/>
      <c r="C8" s="2086" t="s">
        <v>1431</v>
      </c>
      <c r="D8" s="1433"/>
      <c r="E8" s="1433"/>
      <c r="F8" s="1986" t="s">
        <v>1170</v>
      </c>
      <c r="G8" s="1988">
        <f>SUM(G5+G7)</f>
        <v>0</v>
      </c>
      <c r="H8" s="1988">
        <f t="shared" ref="H8:Q8" si="0">SUM(H5+H7)</f>
        <v>0</v>
      </c>
      <c r="I8" s="1988">
        <f t="shared" si="0"/>
        <v>0</v>
      </c>
      <c r="J8" s="1988">
        <f t="shared" si="0"/>
        <v>54560</v>
      </c>
      <c r="K8" s="1988">
        <f t="shared" si="0"/>
        <v>0</v>
      </c>
      <c r="L8" s="1988">
        <f t="shared" si="0"/>
        <v>4350</v>
      </c>
      <c r="M8" s="1988">
        <f t="shared" si="0"/>
        <v>49590</v>
      </c>
      <c r="N8" s="1988">
        <f t="shared" si="0"/>
        <v>0</v>
      </c>
      <c r="O8" s="1988">
        <f t="shared" si="0"/>
        <v>0</v>
      </c>
      <c r="P8" s="1988">
        <f t="shared" si="0"/>
        <v>0</v>
      </c>
      <c r="Q8" s="1988">
        <f t="shared" si="0"/>
        <v>108500</v>
      </c>
      <c r="R8" s="1517">
        <v>0</v>
      </c>
      <c r="S8" s="1523">
        <v>0</v>
      </c>
      <c r="T8" s="1523">
        <v>1</v>
      </c>
      <c r="U8" s="1523">
        <v>0</v>
      </c>
      <c r="V8" s="1525" t="e">
        <v>#DIV/0!</v>
      </c>
    </row>
    <row r="9" spans="1:22">
      <c r="P9" s="2216"/>
      <c r="Q9" s="84"/>
    </row>
    <row r="10" spans="1:22" s="2203" customFormat="1">
      <c r="A10" s="3064"/>
      <c r="P10" s="2216"/>
      <c r="Q10" s="84"/>
    </row>
    <row r="11" spans="1:22" ht="13.5" thickBot="1">
      <c r="B11" s="1433"/>
      <c r="C11" s="1496" t="s">
        <v>118</v>
      </c>
      <c r="D11" s="5149" t="s">
        <v>119</v>
      </c>
      <c r="E11" s="5149"/>
      <c r="F11" s="1433"/>
      <c r="G11" s="1433"/>
      <c r="H11" s="1433"/>
      <c r="I11" s="5150" t="s">
        <v>120</v>
      </c>
      <c r="J11" s="5150"/>
      <c r="K11" s="5150"/>
      <c r="L11" s="5150"/>
      <c r="M11" s="5151" t="s">
        <v>119</v>
      </c>
      <c r="N11" s="5151"/>
      <c r="O11" s="1433"/>
      <c r="P11" s="1433"/>
      <c r="Q11" s="1433"/>
      <c r="R11" s="1433"/>
      <c r="S11" s="1433"/>
      <c r="T11" s="1433"/>
      <c r="U11" s="1433"/>
      <c r="V11" s="1433"/>
    </row>
    <row r="12" spans="1:22" ht="16.5" thickBot="1">
      <c r="B12" s="1498" t="s">
        <v>121</v>
      </c>
      <c r="C12" s="5156" t="s">
        <v>122</v>
      </c>
      <c r="D12" s="5156"/>
      <c r="E12" s="5156"/>
      <c r="F12" s="5157"/>
      <c r="G12" s="1433"/>
      <c r="H12" s="1433"/>
      <c r="I12" s="5153" t="s">
        <v>123</v>
      </c>
      <c r="J12" s="5154"/>
      <c r="K12" s="5154"/>
      <c r="L12" s="5155"/>
      <c r="M12" s="5153" t="s">
        <v>124</v>
      </c>
      <c r="N12" s="5154"/>
      <c r="O12" s="5155"/>
      <c r="P12" s="5153" t="s">
        <v>125</v>
      </c>
      <c r="Q12" s="5154"/>
      <c r="R12" s="5155"/>
      <c r="S12" s="1433"/>
      <c r="T12" s="4897"/>
      <c r="U12" s="4056"/>
      <c r="V12" s="4056"/>
    </row>
    <row r="13" spans="1:22" ht="16.5" thickBot="1">
      <c r="B13" s="1508">
        <v>2011</v>
      </c>
      <c r="C13" s="1497" t="s">
        <v>127</v>
      </c>
      <c r="D13" s="1491">
        <v>2012</v>
      </c>
      <c r="E13" s="1491">
        <v>2013</v>
      </c>
      <c r="F13" s="1491" t="s">
        <v>128</v>
      </c>
      <c r="G13" s="1433"/>
      <c r="H13" s="1452"/>
      <c r="I13" s="5158" t="s">
        <v>129</v>
      </c>
      <c r="J13" s="5159"/>
      <c r="K13" s="5160"/>
      <c r="L13" s="1487" t="s">
        <v>130</v>
      </c>
      <c r="M13" s="1488" t="s">
        <v>131</v>
      </c>
      <c r="N13" s="1489" t="s">
        <v>132</v>
      </c>
      <c r="O13" s="1490" t="s">
        <v>133</v>
      </c>
      <c r="P13" s="1488" t="s">
        <v>134</v>
      </c>
      <c r="Q13" s="1488" t="s">
        <v>135</v>
      </c>
      <c r="R13" s="1490" t="s">
        <v>136</v>
      </c>
      <c r="S13" s="1433"/>
      <c r="T13" s="4898"/>
      <c r="U13" s="4056"/>
      <c r="V13" s="4056"/>
    </row>
    <row r="14" spans="1:22" ht="13.5" thickBot="1">
      <c r="B14" s="1505">
        <v>0</v>
      </c>
      <c r="C14" s="1465" t="s">
        <v>138</v>
      </c>
      <c r="D14" s="1466">
        <f>SUM(D15:D18)</f>
        <v>0</v>
      </c>
      <c r="E14" s="3334">
        <f>SUM(E15:E18)</f>
        <v>0</v>
      </c>
      <c r="F14" s="1467">
        <f>SUM(D14:E14)</f>
        <v>0</v>
      </c>
      <c r="G14" s="1433"/>
      <c r="H14" s="1455"/>
      <c r="I14" s="1484" t="s">
        <v>368</v>
      </c>
      <c r="J14" s="1485"/>
      <c r="K14" s="1486"/>
      <c r="L14" s="1494">
        <v>0</v>
      </c>
      <c r="M14" s="1440"/>
      <c r="N14" s="1440"/>
      <c r="O14" s="1456">
        <v>0</v>
      </c>
      <c r="P14" s="1492">
        <v>0</v>
      </c>
      <c r="Q14" s="1492">
        <v>0</v>
      </c>
      <c r="R14" s="1493">
        <v>0</v>
      </c>
      <c r="S14" s="1433"/>
      <c r="T14" s="4900"/>
      <c r="U14" s="4056"/>
      <c r="V14" s="4056"/>
    </row>
    <row r="15" spans="1:22">
      <c r="B15" s="1506"/>
      <c r="C15" s="1439" t="s">
        <v>139</v>
      </c>
      <c r="D15" s="1447">
        <v>0</v>
      </c>
      <c r="E15" s="1447">
        <v>0</v>
      </c>
      <c r="F15" s="1447">
        <f>SUM(D15:E15)</f>
        <v>0</v>
      </c>
      <c r="G15" s="1433"/>
      <c r="H15" s="1455"/>
      <c r="I15" s="1480" t="s">
        <v>369</v>
      </c>
      <c r="J15" s="1481"/>
      <c r="K15" s="1482"/>
      <c r="L15" s="1494">
        <v>0</v>
      </c>
      <c r="M15" s="1440"/>
      <c r="N15" s="1440"/>
      <c r="O15" s="1456">
        <v>0</v>
      </c>
      <c r="P15" s="1492">
        <v>0</v>
      </c>
      <c r="Q15" s="1492">
        <v>0</v>
      </c>
      <c r="R15" s="1493">
        <v>0</v>
      </c>
      <c r="S15" s="1433"/>
      <c r="T15" s="4900"/>
      <c r="U15" s="4056"/>
      <c r="V15" s="4056"/>
    </row>
    <row r="16" spans="1:22">
      <c r="B16" s="1507"/>
      <c r="C16" s="1439" t="s">
        <v>140</v>
      </c>
      <c r="D16" s="1447">
        <v>0</v>
      </c>
      <c r="E16" s="1447">
        <v>0</v>
      </c>
      <c r="F16" s="3332">
        <f t="shared" ref="F16:F18" si="1">SUM(D16:E16)</f>
        <v>0</v>
      </c>
      <c r="G16" s="1433"/>
      <c r="H16" s="1455"/>
      <c r="I16" s="1480" t="s">
        <v>370</v>
      </c>
      <c r="J16" s="1481"/>
      <c r="K16" s="1482"/>
      <c r="L16" s="1494">
        <v>0</v>
      </c>
      <c r="M16" s="1440">
        <v>0</v>
      </c>
      <c r="N16" s="1440">
        <v>0</v>
      </c>
      <c r="O16" s="1456">
        <v>0</v>
      </c>
      <c r="P16" s="1492">
        <v>0</v>
      </c>
      <c r="Q16" s="1492">
        <v>0</v>
      </c>
      <c r="R16" s="1493">
        <v>0</v>
      </c>
      <c r="S16" s="1433"/>
      <c r="T16" s="4900"/>
      <c r="U16" s="4056"/>
      <c r="V16" s="4056"/>
    </row>
    <row r="17" spans="2:22">
      <c r="B17" s="1507"/>
      <c r="C17" s="1439" t="s">
        <v>141</v>
      </c>
      <c r="D17" s="1449">
        <v>0</v>
      </c>
      <c r="E17" s="1449"/>
      <c r="F17" s="3332">
        <f t="shared" si="1"/>
        <v>0</v>
      </c>
      <c r="G17" s="1433"/>
      <c r="H17" s="1455"/>
      <c r="I17" s="1480" t="s">
        <v>188</v>
      </c>
      <c r="J17" s="1481"/>
      <c r="K17" s="1482"/>
      <c r="L17" s="1494">
        <v>0</v>
      </c>
      <c r="M17" s="1440">
        <v>0</v>
      </c>
      <c r="N17" s="1440">
        <v>0</v>
      </c>
      <c r="O17" s="1456">
        <v>0</v>
      </c>
      <c r="P17" s="1492">
        <v>0</v>
      </c>
      <c r="Q17" s="1492">
        <v>0</v>
      </c>
      <c r="R17" s="1493">
        <v>0</v>
      </c>
      <c r="S17" s="1433"/>
      <c r="T17" s="4900"/>
      <c r="U17" s="4056"/>
      <c r="V17" s="4056"/>
    </row>
    <row r="18" spans="2:22" ht="13.5" thickBot="1">
      <c r="B18" s="1507"/>
      <c r="C18" s="1439" t="s">
        <v>142</v>
      </c>
      <c r="D18" s="1449">
        <v>0</v>
      </c>
      <c r="E18" s="1449"/>
      <c r="F18" s="3332">
        <f t="shared" si="1"/>
        <v>0</v>
      </c>
      <c r="G18" s="1433"/>
      <c r="H18" s="1455"/>
      <c r="I18" s="1480" t="s">
        <v>189</v>
      </c>
      <c r="J18" s="1481"/>
      <c r="K18" s="1482"/>
      <c r="L18" s="1494">
        <v>0</v>
      </c>
      <c r="M18" s="1440">
        <v>0</v>
      </c>
      <c r="N18" s="1440">
        <v>0</v>
      </c>
      <c r="O18" s="1456">
        <v>0</v>
      </c>
      <c r="P18" s="1492">
        <v>0</v>
      </c>
      <c r="Q18" s="1492">
        <v>0</v>
      </c>
      <c r="R18" s="1493">
        <v>0</v>
      </c>
      <c r="S18" s="1433"/>
      <c r="T18" s="4900"/>
      <c r="U18" s="4056"/>
      <c r="V18" s="4056"/>
    </row>
    <row r="19" spans="2:22" ht="13.5" thickBot="1">
      <c r="B19" s="1505">
        <v>0</v>
      </c>
      <c r="C19" s="1465" t="s">
        <v>143</v>
      </c>
      <c r="D19" s="1466">
        <f>SUM(D20:D23)</f>
        <v>0</v>
      </c>
      <c r="E19" s="3334">
        <f>SUM(E20:E23)</f>
        <v>0</v>
      </c>
      <c r="F19" s="1467">
        <f>SUM(D19:E19)</f>
        <v>0</v>
      </c>
      <c r="G19" s="1433"/>
      <c r="H19" s="1455"/>
      <c r="I19" s="1480" t="s">
        <v>190</v>
      </c>
      <c r="J19" s="1481"/>
      <c r="K19" s="1482"/>
      <c r="L19" s="1494">
        <v>0</v>
      </c>
      <c r="M19" s="1440">
        <v>0</v>
      </c>
      <c r="N19" s="1440">
        <v>0</v>
      </c>
      <c r="O19" s="1456">
        <v>0</v>
      </c>
      <c r="P19" s="1492">
        <v>0</v>
      </c>
      <c r="Q19" s="1492">
        <v>0</v>
      </c>
      <c r="R19" s="1493">
        <v>0</v>
      </c>
      <c r="S19" s="1433"/>
      <c r="T19" s="4900"/>
      <c r="U19" s="3535"/>
      <c r="V19" s="3535"/>
    </row>
    <row r="20" spans="2:22">
      <c r="B20" s="1506"/>
      <c r="C20" s="1439" t="s">
        <v>139</v>
      </c>
      <c r="D20" s="1447">
        <v>0</v>
      </c>
      <c r="E20" s="1447">
        <v>0</v>
      </c>
      <c r="F20" s="1447">
        <f>SUM(D20:E20)</f>
        <v>0</v>
      </c>
      <c r="G20" s="1433"/>
      <c r="H20" s="1455"/>
      <c r="I20" s="1480" t="s">
        <v>191</v>
      </c>
      <c r="J20" s="1481"/>
      <c r="K20" s="1482"/>
      <c r="L20" s="1494">
        <v>0</v>
      </c>
      <c r="M20" s="1440">
        <v>0</v>
      </c>
      <c r="N20" s="1440">
        <v>0</v>
      </c>
      <c r="O20" s="1456">
        <v>0</v>
      </c>
      <c r="P20" s="1492">
        <v>0</v>
      </c>
      <c r="Q20" s="1492">
        <v>0</v>
      </c>
      <c r="R20" s="1493">
        <v>0</v>
      </c>
      <c r="S20" s="1433"/>
      <c r="T20" s="4900"/>
      <c r="U20" s="3535"/>
      <c r="V20" s="3535"/>
    </row>
    <row r="21" spans="2:22">
      <c r="B21" s="1507"/>
      <c r="C21" s="1439" t="s">
        <v>140</v>
      </c>
      <c r="D21" s="1447">
        <v>0</v>
      </c>
      <c r="E21" s="1447">
        <v>0</v>
      </c>
      <c r="F21" s="3332">
        <f t="shared" ref="F21:F23" si="2">SUM(D21:E21)</f>
        <v>0</v>
      </c>
      <c r="G21" s="1433"/>
      <c r="H21" s="1455"/>
      <c r="I21" s="1480" t="s">
        <v>192</v>
      </c>
      <c r="J21" s="1481"/>
      <c r="K21" s="1482"/>
      <c r="L21" s="1494">
        <v>0</v>
      </c>
      <c r="M21" s="1440">
        <v>0</v>
      </c>
      <c r="N21" s="1440">
        <v>0</v>
      </c>
      <c r="O21" s="1456">
        <v>0</v>
      </c>
      <c r="P21" s="1492">
        <v>0</v>
      </c>
      <c r="Q21" s="1492">
        <v>0</v>
      </c>
      <c r="R21" s="1493">
        <v>0</v>
      </c>
      <c r="S21" s="1433"/>
      <c r="T21" s="4900"/>
      <c r="U21" s="3535"/>
      <c r="V21" s="3535"/>
    </row>
    <row r="22" spans="2:22">
      <c r="B22" s="1507"/>
      <c r="C22" s="1439" t="s">
        <v>141</v>
      </c>
      <c r="D22" s="1449">
        <v>0</v>
      </c>
      <c r="E22" s="1449"/>
      <c r="F22" s="3332">
        <f t="shared" si="2"/>
        <v>0</v>
      </c>
      <c r="G22" s="1433"/>
      <c r="H22" s="1455"/>
      <c r="I22" s="1480" t="s">
        <v>193</v>
      </c>
      <c r="J22" s="1481"/>
      <c r="K22" s="1482"/>
      <c r="L22" s="1494">
        <v>0</v>
      </c>
      <c r="M22" s="1440">
        <v>0</v>
      </c>
      <c r="N22" s="1440">
        <v>0</v>
      </c>
      <c r="O22" s="1456">
        <v>0</v>
      </c>
      <c r="P22" s="1492">
        <v>0</v>
      </c>
      <c r="Q22" s="1492">
        <v>0</v>
      </c>
      <c r="R22" s="1493">
        <v>0</v>
      </c>
      <c r="S22" s="1433"/>
      <c r="T22" s="4900"/>
      <c r="U22" s="3535"/>
      <c r="V22" s="3535"/>
    </row>
    <row r="23" spans="2:22" ht="13.5" thickBot="1">
      <c r="B23" s="1507"/>
      <c r="C23" s="1439" t="s">
        <v>142</v>
      </c>
      <c r="D23" s="1449">
        <v>0</v>
      </c>
      <c r="E23" s="1449"/>
      <c r="F23" s="3332">
        <f t="shared" si="2"/>
        <v>0</v>
      </c>
      <c r="G23" s="1433"/>
      <c r="H23" s="1455"/>
      <c r="I23" s="1480" t="s">
        <v>194</v>
      </c>
      <c r="J23" s="1481"/>
      <c r="K23" s="1482"/>
      <c r="L23" s="1494">
        <v>0</v>
      </c>
      <c r="M23" s="1440">
        <v>0</v>
      </c>
      <c r="N23" s="1440">
        <v>0</v>
      </c>
      <c r="O23" s="1456">
        <v>0</v>
      </c>
      <c r="P23" s="1492">
        <v>0</v>
      </c>
      <c r="Q23" s="1492">
        <v>0</v>
      </c>
      <c r="R23" s="1493">
        <v>0</v>
      </c>
      <c r="S23" s="1433"/>
      <c r="T23" s="4900"/>
      <c r="U23" s="3535"/>
      <c r="V23" s="3535"/>
    </row>
    <row r="24" spans="2:22" ht="13.5" thickBot="1">
      <c r="B24" s="1505">
        <v>0</v>
      </c>
      <c r="C24" s="1465" t="s">
        <v>144</v>
      </c>
      <c r="D24" s="1466">
        <f>SUM(D25:D28)</f>
        <v>0</v>
      </c>
      <c r="E24" s="3334">
        <f>SUM(E25:E28)</f>
        <v>0</v>
      </c>
      <c r="F24" s="1467">
        <f>SUM(D24:E24)</f>
        <v>0</v>
      </c>
      <c r="G24" s="1438"/>
      <c r="H24" s="1455"/>
      <c r="I24" s="1480" t="s">
        <v>195</v>
      </c>
      <c r="J24" s="1481"/>
      <c r="K24" s="1482"/>
      <c r="L24" s="1494">
        <v>0</v>
      </c>
      <c r="M24" s="1440">
        <v>0</v>
      </c>
      <c r="N24" s="1440">
        <v>0</v>
      </c>
      <c r="O24" s="1456">
        <v>0</v>
      </c>
      <c r="P24" s="1492">
        <v>0</v>
      </c>
      <c r="Q24" s="1492">
        <v>0</v>
      </c>
      <c r="R24" s="1493">
        <v>0</v>
      </c>
      <c r="S24" s="1433"/>
      <c r="T24" s="4900"/>
      <c r="U24" s="3535"/>
      <c r="V24" s="3535"/>
    </row>
    <row r="25" spans="2:22">
      <c r="B25" s="1506"/>
      <c r="C25" s="3220" t="s">
        <v>1202</v>
      </c>
      <c r="D25" s="1447">
        <v>0</v>
      </c>
      <c r="E25" s="1447">
        <v>0</v>
      </c>
      <c r="F25" s="1447">
        <f>SUM(D25:E25)</f>
        <v>0</v>
      </c>
      <c r="G25" s="1433"/>
      <c r="H25" s="1455"/>
      <c r="I25" s="1480" t="s">
        <v>196</v>
      </c>
      <c r="J25" s="1481"/>
      <c r="K25" s="1482"/>
      <c r="L25" s="1494">
        <v>0</v>
      </c>
      <c r="M25" s="1440">
        <v>0</v>
      </c>
      <c r="N25" s="1440">
        <v>0</v>
      </c>
      <c r="O25" s="1456">
        <v>0</v>
      </c>
      <c r="P25" s="1492">
        <v>0</v>
      </c>
      <c r="Q25" s="1492">
        <v>0</v>
      </c>
      <c r="R25" s="1493">
        <v>0</v>
      </c>
      <c r="S25" s="1433"/>
      <c r="T25" s="4900"/>
      <c r="U25" s="3535"/>
      <c r="V25" s="3535"/>
    </row>
    <row r="26" spans="2:22">
      <c r="B26" s="1506"/>
      <c r="C26" s="3220" t="s">
        <v>1203</v>
      </c>
      <c r="D26" s="1448">
        <v>0</v>
      </c>
      <c r="E26" s="1448">
        <v>0</v>
      </c>
      <c r="F26" s="3332">
        <f t="shared" ref="F26:F28" si="3">SUM(D26:E26)</f>
        <v>0</v>
      </c>
      <c r="G26" s="1433"/>
      <c r="H26" s="1455"/>
      <c r="I26" s="1480" t="s">
        <v>197</v>
      </c>
      <c r="J26" s="1481"/>
      <c r="K26" s="1482"/>
      <c r="L26" s="1494">
        <v>0</v>
      </c>
      <c r="M26" s="1440">
        <v>0</v>
      </c>
      <c r="N26" s="1440">
        <v>0</v>
      </c>
      <c r="O26" s="1456">
        <v>0</v>
      </c>
      <c r="P26" s="1492">
        <v>0</v>
      </c>
      <c r="Q26" s="1492">
        <v>0</v>
      </c>
      <c r="R26" s="1493">
        <v>0</v>
      </c>
      <c r="S26" s="1433"/>
      <c r="T26" s="4900"/>
      <c r="U26" s="3535"/>
      <c r="V26" s="3535"/>
    </row>
    <row r="27" spans="2:22">
      <c r="B27" s="1507"/>
      <c r="C27" s="1439"/>
      <c r="D27" s="1449"/>
      <c r="E27" s="1449"/>
      <c r="F27" s="3332">
        <f t="shared" si="3"/>
        <v>0</v>
      </c>
      <c r="G27" s="1433"/>
      <c r="H27" s="1455"/>
      <c r="I27" s="1480" t="s">
        <v>198</v>
      </c>
      <c r="J27" s="1481"/>
      <c r="K27" s="1482"/>
      <c r="L27" s="1494">
        <v>0</v>
      </c>
      <c r="M27" s="1440">
        <v>0</v>
      </c>
      <c r="N27" s="1440">
        <v>0</v>
      </c>
      <c r="O27" s="1456">
        <v>0</v>
      </c>
      <c r="P27" s="1492">
        <v>0</v>
      </c>
      <c r="Q27" s="1492">
        <v>0</v>
      </c>
      <c r="R27" s="1493">
        <v>0</v>
      </c>
      <c r="S27" s="1433"/>
      <c r="T27" s="4900"/>
      <c r="U27" s="3535"/>
      <c r="V27" s="3535"/>
    </row>
    <row r="28" spans="2:22" ht="13.5" thickBot="1">
      <c r="B28" s="1507"/>
      <c r="C28" s="1439"/>
      <c r="D28" s="1449"/>
      <c r="E28" s="1449"/>
      <c r="F28" s="3332">
        <f t="shared" si="3"/>
        <v>0</v>
      </c>
      <c r="G28" s="1433"/>
      <c r="H28" s="1455"/>
      <c r="I28" s="1480" t="s">
        <v>199</v>
      </c>
      <c r="J28" s="1481"/>
      <c r="K28" s="1482"/>
      <c r="L28" s="1494">
        <v>0</v>
      </c>
      <c r="M28" s="1440">
        <v>0</v>
      </c>
      <c r="N28" s="1440">
        <v>0</v>
      </c>
      <c r="O28" s="1456">
        <v>0</v>
      </c>
      <c r="P28" s="1492">
        <v>0</v>
      </c>
      <c r="Q28" s="1492">
        <v>0</v>
      </c>
      <c r="R28" s="1493">
        <v>0</v>
      </c>
      <c r="S28" s="1433"/>
      <c r="T28" s="4900"/>
      <c r="U28" s="3535"/>
      <c r="V28" s="3535"/>
    </row>
    <row r="29" spans="2:22" ht="13.5" thickBot="1">
      <c r="B29" s="1505">
        <v>9600</v>
      </c>
      <c r="C29" s="1465" t="s">
        <v>145</v>
      </c>
      <c r="D29" s="1466">
        <f>SUM(D30:D33)</f>
        <v>27280</v>
      </c>
      <c r="E29" s="3334">
        <f>SUM(E30:E33)</f>
        <v>27280</v>
      </c>
      <c r="F29" s="1467">
        <f>SUM(D29:E29)</f>
        <v>54560</v>
      </c>
      <c r="G29" s="1433"/>
      <c r="H29" s="1455"/>
      <c r="I29" s="1480" t="s">
        <v>200</v>
      </c>
      <c r="J29" s="1481"/>
      <c r="K29" s="1482"/>
      <c r="L29" s="1494">
        <v>0</v>
      </c>
      <c r="M29" s="1440">
        <v>0</v>
      </c>
      <c r="N29" s="1440">
        <v>0</v>
      </c>
      <c r="O29" s="1456">
        <v>0</v>
      </c>
      <c r="P29" s="1492">
        <v>0</v>
      </c>
      <c r="Q29" s="1492">
        <v>0</v>
      </c>
      <c r="R29" s="1493">
        <v>0</v>
      </c>
      <c r="S29" s="1433"/>
      <c r="T29" s="4900"/>
      <c r="U29" s="3535"/>
      <c r="V29" s="3535"/>
    </row>
    <row r="30" spans="2:22">
      <c r="B30" s="1506"/>
      <c r="C30" s="1445" t="s">
        <v>139</v>
      </c>
      <c r="D30" s="1447">
        <v>27280</v>
      </c>
      <c r="E30" s="1447">
        <v>27280</v>
      </c>
      <c r="F30" s="1447">
        <f>SUM(D30:E30)</f>
        <v>54560</v>
      </c>
      <c r="G30" s="1433"/>
      <c r="H30" s="1455"/>
      <c r="I30" s="1480" t="s">
        <v>201</v>
      </c>
      <c r="J30" s="1481"/>
      <c r="K30" s="1482"/>
      <c r="L30" s="1494">
        <v>0</v>
      </c>
      <c r="M30" s="1440">
        <v>0</v>
      </c>
      <c r="N30" s="1440">
        <v>0</v>
      </c>
      <c r="O30" s="1456">
        <v>0</v>
      </c>
      <c r="P30" s="1492">
        <v>0</v>
      </c>
      <c r="Q30" s="1492">
        <v>0</v>
      </c>
      <c r="R30" s="1493">
        <v>0</v>
      </c>
      <c r="S30" s="1433"/>
      <c r="T30" s="4900"/>
      <c r="U30" s="3535"/>
      <c r="V30" s="3535"/>
    </row>
    <row r="31" spans="2:22">
      <c r="B31" s="1507"/>
      <c r="C31" s="1439" t="s">
        <v>140</v>
      </c>
      <c r="D31" s="1448">
        <v>0</v>
      </c>
      <c r="E31" s="1448"/>
      <c r="F31" s="3332">
        <f t="shared" ref="F31:F33" si="4">SUM(D31:E31)</f>
        <v>0</v>
      </c>
      <c r="G31" s="1433"/>
      <c r="H31" s="1455"/>
      <c r="I31" s="1480" t="s">
        <v>202</v>
      </c>
      <c r="J31" s="1481"/>
      <c r="K31" s="1482"/>
      <c r="L31" s="1494">
        <v>0</v>
      </c>
      <c r="M31" s="1440">
        <v>0</v>
      </c>
      <c r="N31" s="1440">
        <v>0</v>
      </c>
      <c r="O31" s="1456">
        <v>0</v>
      </c>
      <c r="P31" s="1492">
        <v>0</v>
      </c>
      <c r="Q31" s="1492">
        <v>0</v>
      </c>
      <c r="R31" s="1493">
        <v>0</v>
      </c>
      <c r="S31" s="1433"/>
      <c r="T31" s="4900"/>
      <c r="U31" s="3535"/>
      <c r="V31" s="3535"/>
    </row>
    <row r="32" spans="2:22">
      <c r="B32" s="1507"/>
      <c r="C32" s="1439" t="s">
        <v>141</v>
      </c>
      <c r="D32" s="1448">
        <v>0</v>
      </c>
      <c r="E32" s="1448"/>
      <c r="F32" s="3332">
        <f t="shared" si="4"/>
        <v>0</v>
      </c>
      <c r="G32" s="1433"/>
      <c r="H32" s="1455"/>
      <c r="I32" s="1480" t="s">
        <v>203</v>
      </c>
      <c r="J32" s="1481"/>
      <c r="K32" s="1482"/>
      <c r="L32" s="1494">
        <v>0</v>
      </c>
      <c r="M32" s="1440">
        <v>0</v>
      </c>
      <c r="N32" s="1440">
        <v>0</v>
      </c>
      <c r="O32" s="1456">
        <v>0</v>
      </c>
      <c r="P32" s="1492">
        <v>0</v>
      </c>
      <c r="Q32" s="1492">
        <v>0</v>
      </c>
      <c r="R32" s="1493">
        <v>0</v>
      </c>
      <c r="S32" s="1433"/>
      <c r="T32" s="4900"/>
      <c r="U32" s="3535"/>
      <c r="V32" s="3535"/>
    </row>
    <row r="33" spans="2:22" ht="13.5" thickBot="1">
      <c r="B33" s="1507"/>
      <c r="C33" s="1439" t="s">
        <v>142</v>
      </c>
      <c r="D33" s="1448">
        <v>0</v>
      </c>
      <c r="E33" s="1448"/>
      <c r="F33" s="3332">
        <f t="shared" si="4"/>
        <v>0</v>
      </c>
      <c r="G33" s="1433"/>
      <c r="H33" s="1455"/>
      <c r="I33" s="1480" t="s">
        <v>204</v>
      </c>
      <c r="J33" s="1481"/>
      <c r="K33" s="1482"/>
      <c r="L33" s="1494">
        <v>0</v>
      </c>
      <c r="M33" s="1440">
        <v>0</v>
      </c>
      <c r="N33" s="1440">
        <v>0</v>
      </c>
      <c r="O33" s="1456">
        <v>0</v>
      </c>
      <c r="P33" s="1492">
        <v>0</v>
      </c>
      <c r="Q33" s="1492">
        <v>0</v>
      </c>
      <c r="R33" s="1493">
        <v>0</v>
      </c>
      <c r="S33" s="1433"/>
      <c r="T33" s="4900"/>
      <c r="U33" s="3535"/>
      <c r="V33" s="3535"/>
    </row>
    <row r="34" spans="2:22" ht="13.5" thickBot="1">
      <c r="B34" s="1505">
        <v>0</v>
      </c>
      <c r="C34" s="1465" t="s">
        <v>146</v>
      </c>
      <c r="D34" s="1466">
        <f>SUM(D35:D38)</f>
        <v>0</v>
      </c>
      <c r="E34" s="3334">
        <f>SUM(E35:E38)</f>
        <v>0</v>
      </c>
      <c r="F34" s="1467">
        <f>SUM(D34:E34)</f>
        <v>0</v>
      </c>
      <c r="G34" s="1433"/>
      <c r="H34" s="1455"/>
      <c r="I34" s="1480" t="s">
        <v>205</v>
      </c>
      <c r="J34" s="1481"/>
      <c r="K34" s="1482"/>
      <c r="L34" s="1494">
        <v>0</v>
      </c>
      <c r="M34" s="1440">
        <v>0</v>
      </c>
      <c r="N34" s="1440">
        <v>0</v>
      </c>
      <c r="O34" s="1456">
        <v>0</v>
      </c>
      <c r="P34" s="1492">
        <v>0</v>
      </c>
      <c r="Q34" s="1492">
        <v>0</v>
      </c>
      <c r="R34" s="1493">
        <v>0</v>
      </c>
      <c r="S34" s="1433"/>
      <c r="T34" s="4900"/>
      <c r="U34" s="3535"/>
      <c r="V34" s="3535"/>
    </row>
    <row r="35" spans="2:22">
      <c r="B35" s="1507"/>
      <c r="C35" s="1439" t="s">
        <v>139</v>
      </c>
      <c r="D35" s="1448">
        <v>0</v>
      </c>
      <c r="E35" s="1448"/>
      <c r="F35" s="1447">
        <f>SUM(D35:E35)</f>
        <v>0</v>
      </c>
      <c r="G35" s="1433"/>
      <c r="H35" s="1455"/>
      <c r="I35" s="1480" t="s">
        <v>206</v>
      </c>
      <c r="J35" s="1481"/>
      <c r="K35" s="1482"/>
      <c r="L35" s="1494">
        <v>0</v>
      </c>
      <c r="M35" s="1440">
        <v>0</v>
      </c>
      <c r="N35" s="1440">
        <v>0</v>
      </c>
      <c r="O35" s="1456">
        <v>0</v>
      </c>
      <c r="P35" s="1492">
        <v>0</v>
      </c>
      <c r="Q35" s="1492">
        <v>0</v>
      </c>
      <c r="R35" s="1493">
        <v>0</v>
      </c>
      <c r="S35" s="1433"/>
      <c r="T35" s="4900"/>
      <c r="U35" s="3535"/>
      <c r="V35" s="3535"/>
    </row>
    <row r="36" spans="2:22">
      <c r="B36" s="1507"/>
      <c r="C36" s="1439" t="s">
        <v>140</v>
      </c>
      <c r="D36" s="1448">
        <v>0</v>
      </c>
      <c r="E36" s="1448"/>
      <c r="F36" s="3332">
        <f t="shared" ref="F36:F38" si="5">SUM(D36:E36)</f>
        <v>0</v>
      </c>
      <c r="G36" s="1433"/>
      <c r="H36" s="1455"/>
      <c r="I36" s="1480" t="s">
        <v>207</v>
      </c>
      <c r="J36" s="1481"/>
      <c r="K36" s="1482"/>
      <c r="L36" s="1494">
        <v>0</v>
      </c>
      <c r="M36" s="1440">
        <v>0</v>
      </c>
      <c r="N36" s="1440">
        <v>0</v>
      </c>
      <c r="O36" s="1456">
        <v>0</v>
      </c>
      <c r="P36" s="1492">
        <v>0</v>
      </c>
      <c r="Q36" s="1492">
        <v>0</v>
      </c>
      <c r="R36" s="1493">
        <v>0</v>
      </c>
      <c r="S36" s="1433"/>
      <c r="T36" s="4900"/>
      <c r="U36" s="3535"/>
      <c r="V36" s="3535"/>
    </row>
    <row r="37" spans="2:22">
      <c r="B37" s="1507"/>
      <c r="C37" s="1439" t="s">
        <v>141</v>
      </c>
      <c r="D37" s="1448">
        <v>0</v>
      </c>
      <c r="E37" s="1448"/>
      <c r="F37" s="3332">
        <f t="shared" si="5"/>
        <v>0</v>
      </c>
      <c r="G37" s="1433"/>
      <c r="H37" s="1455"/>
      <c r="I37" s="1480" t="s">
        <v>208</v>
      </c>
      <c r="J37" s="1481"/>
      <c r="K37" s="1482"/>
      <c r="L37" s="1494">
        <v>0</v>
      </c>
      <c r="M37" s="1440">
        <v>0</v>
      </c>
      <c r="N37" s="1440">
        <v>0</v>
      </c>
      <c r="O37" s="1456">
        <v>0</v>
      </c>
      <c r="P37" s="1492">
        <v>0</v>
      </c>
      <c r="Q37" s="1492">
        <v>0</v>
      </c>
      <c r="R37" s="1493">
        <v>0</v>
      </c>
      <c r="S37" s="1433"/>
      <c r="T37" s="4900"/>
      <c r="U37" s="3535"/>
      <c r="V37" s="3535"/>
    </row>
    <row r="38" spans="2:22" ht="13.5" thickBot="1">
      <c r="B38" s="1507"/>
      <c r="C38" s="1439" t="s">
        <v>142</v>
      </c>
      <c r="D38" s="1448">
        <v>0</v>
      </c>
      <c r="E38" s="1448"/>
      <c r="F38" s="3332">
        <f t="shared" si="5"/>
        <v>0</v>
      </c>
      <c r="G38" s="1433"/>
      <c r="H38" s="1455"/>
      <c r="I38" s="1480" t="s">
        <v>209</v>
      </c>
      <c r="J38" s="1481"/>
      <c r="K38" s="1482"/>
      <c r="L38" s="1494">
        <v>0</v>
      </c>
      <c r="M38" s="1440">
        <v>0</v>
      </c>
      <c r="N38" s="1440">
        <v>0</v>
      </c>
      <c r="O38" s="1456">
        <v>0</v>
      </c>
      <c r="P38" s="1492">
        <v>0</v>
      </c>
      <c r="Q38" s="1492">
        <v>0</v>
      </c>
      <c r="R38" s="1493">
        <v>0</v>
      </c>
      <c r="S38" s="1433"/>
      <c r="T38" s="4900"/>
      <c r="U38" s="3535"/>
      <c r="V38" s="3535"/>
    </row>
    <row r="39" spans="2:22" ht="13.5" thickBot="1">
      <c r="B39" s="1505">
        <v>0</v>
      </c>
      <c r="C39" s="1465" t="s">
        <v>147</v>
      </c>
      <c r="D39" s="1466">
        <f>SUM(D40:D43)</f>
        <v>2175</v>
      </c>
      <c r="E39" s="3334">
        <f>SUM(E40:E43)</f>
        <v>2175</v>
      </c>
      <c r="F39" s="1467">
        <f>SUM(D39:E39)</f>
        <v>4350</v>
      </c>
      <c r="G39" s="1433"/>
      <c r="H39" s="1455"/>
      <c r="I39" s="1480" t="s">
        <v>210</v>
      </c>
      <c r="J39" s="1481"/>
      <c r="K39" s="1483"/>
      <c r="L39" s="1494">
        <v>0</v>
      </c>
      <c r="M39" s="1440">
        <v>0</v>
      </c>
      <c r="N39" s="1440">
        <v>0</v>
      </c>
      <c r="O39" s="1456">
        <v>0</v>
      </c>
      <c r="P39" s="1492">
        <v>0</v>
      </c>
      <c r="Q39" s="1492">
        <v>0</v>
      </c>
      <c r="R39" s="1493">
        <v>0</v>
      </c>
      <c r="S39" s="1433"/>
      <c r="T39" s="4900"/>
      <c r="U39" s="3535"/>
      <c r="V39" s="3535"/>
    </row>
    <row r="40" spans="2:22">
      <c r="B40" s="1507"/>
      <c r="C40" s="3305" t="s">
        <v>1005</v>
      </c>
      <c r="D40" s="3306">
        <v>1305</v>
      </c>
      <c r="E40" s="3306">
        <v>1305</v>
      </c>
      <c r="F40" s="1447">
        <f>SUM(D40:E40)</f>
        <v>2610</v>
      </c>
      <c r="G40" s="1433"/>
      <c r="H40" s="1455"/>
      <c r="I40" s="1480" t="s">
        <v>211</v>
      </c>
      <c r="J40" s="1481"/>
      <c r="K40" s="1483"/>
      <c r="L40" s="1494">
        <v>0</v>
      </c>
      <c r="M40" s="1440">
        <v>0</v>
      </c>
      <c r="N40" s="1440">
        <v>0</v>
      </c>
      <c r="O40" s="1456">
        <v>0</v>
      </c>
      <c r="P40" s="1492">
        <v>0</v>
      </c>
      <c r="Q40" s="1492">
        <v>0</v>
      </c>
      <c r="R40" s="1493">
        <v>0</v>
      </c>
      <c r="S40" s="1433"/>
      <c r="T40" s="4900"/>
      <c r="U40" s="3535"/>
      <c r="V40" s="3535"/>
    </row>
    <row r="41" spans="2:22">
      <c r="B41" s="1507"/>
      <c r="C41" s="3305" t="s">
        <v>1004</v>
      </c>
      <c r="D41" s="3309">
        <v>870</v>
      </c>
      <c r="E41" s="3309">
        <v>870</v>
      </c>
      <c r="F41" s="3332">
        <f>SUM(D41:E41)</f>
        <v>1740</v>
      </c>
      <c r="G41" s="1433"/>
      <c r="H41" s="1455"/>
      <c r="I41" s="1480" t="s">
        <v>212</v>
      </c>
      <c r="J41" s="1481"/>
      <c r="K41" s="1483"/>
      <c r="L41" s="1494">
        <v>0</v>
      </c>
      <c r="M41" s="1440">
        <v>0</v>
      </c>
      <c r="N41" s="1440">
        <v>0</v>
      </c>
      <c r="O41" s="1456">
        <v>0</v>
      </c>
      <c r="P41" s="1492">
        <v>0</v>
      </c>
      <c r="Q41" s="1492">
        <v>0</v>
      </c>
      <c r="R41" s="1493">
        <v>0</v>
      </c>
      <c r="S41" s="1433"/>
      <c r="T41" s="4900"/>
      <c r="U41" s="3535"/>
      <c r="V41" s="3535"/>
    </row>
    <row r="42" spans="2:22">
      <c r="B42" s="1507"/>
      <c r="C42" s="1439" t="s">
        <v>141</v>
      </c>
      <c r="D42" s="1448">
        <v>0</v>
      </c>
      <c r="E42" s="1448">
        <v>0</v>
      </c>
      <c r="F42" s="3332">
        <f t="shared" ref="F42:F43" si="6">SUM(D42:E42)</f>
        <v>0</v>
      </c>
      <c r="G42" s="1433"/>
      <c r="H42" s="1455"/>
      <c r="I42" s="1480" t="s">
        <v>213</v>
      </c>
      <c r="J42" s="1481"/>
      <c r="K42" s="1483"/>
      <c r="L42" s="1494">
        <v>0</v>
      </c>
      <c r="M42" s="1440">
        <v>0</v>
      </c>
      <c r="N42" s="1440">
        <v>0</v>
      </c>
      <c r="O42" s="1456">
        <v>0</v>
      </c>
      <c r="P42" s="1492">
        <v>0</v>
      </c>
      <c r="Q42" s="1492">
        <v>0</v>
      </c>
      <c r="R42" s="1493">
        <v>0</v>
      </c>
      <c r="S42" s="1433"/>
      <c r="T42" s="4900"/>
      <c r="U42" s="3535"/>
      <c r="V42" s="3535"/>
    </row>
    <row r="43" spans="2:22" ht="13.5" thickBot="1">
      <c r="B43" s="1507"/>
      <c r="C43" s="1439" t="s">
        <v>142</v>
      </c>
      <c r="D43" s="1448">
        <v>0</v>
      </c>
      <c r="E43" s="1448"/>
      <c r="F43" s="3332">
        <f t="shared" si="6"/>
        <v>0</v>
      </c>
      <c r="G43" s="1433"/>
      <c r="H43" s="1455"/>
      <c r="I43" s="1480" t="s">
        <v>214</v>
      </c>
      <c r="J43" s="1481"/>
      <c r="K43" s="1483"/>
      <c r="L43" s="1494">
        <v>0</v>
      </c>
      <c r="M43" s="1440">
        <v>0</v>
      </c>
      <c r="N43" s="1440">
        <v>0</v>
      </c>
      <c r="O43" s="1456">
        <v>0</v>
      </c>
      <c r="P43" s="1492">
        <v>0</v>
      </c>
      <c r="Q43" s="1492">
        <v>0</v>
      </c>
      <c r="R43" s="1493">
        <v>0</v>
      </c>
      <c r="S43" s="1433"/>
      <c r="T43" s="4900"/>
      <c r="U43" s="3535"/>
      <c r="V43" s="3535"/>
    </row>
    <row r="44" spans="2:22" ht="13.5" thickBot="1">
      <c r="B44" s="1505">
        <v>0</v>
      </c>
      <c r="C44" s="1465" t="s">
        <v>148</v>
      </c>
      <c r="D44" s="1466">
        <f>SUM(D45:D49)</f>
        <v>24795</v>
      </c>
      <c r="E44" s="3334">
        <f>SUM(E45:E49)</f>
        <v>24795</v>
      </c>
      <c r="F44" s="1467">
        <f>SUM(D44:E44)</f>
        <v>49590</v>
      </c>
      <c r="G44" s="1433"/>
      <c r="H44" s="1455"/>
      <c r="I44" s="1480" t="s">
        <v>215</v>
      </c>
      <c r="J44" s="1481"/>
      <c r="K44" s="1483"/>
      <c r="L44" s="1494">
        <v>0</v>
      </c>
      <c r="M44" s="1440">
        <v>0</v>
      </c>
      <c r="N44" s="1440">
        <v>0</v>
      </c>
      <c r="O44" s="1456">
        <v>0</v>
      </c>
      <c r="P44" s="1492">
        <v>0</v>
      </c>
      <c r="Q44" s="1492">
        <v>0</v>
      </c>
      <c r="R44" s="1493">
        <v>0</v>
      </c>
      <c r="S44" s="1433"/>
      <c r="T44" s="4900"/>
      <c r="U44" s="3535"/>
      <c r="V44" s="3535"/>
    </row>
    <row r="45" spans="2:22">
      <c r="B45" s="1507"/>
      <c r="C45" s="3330" t="s">
        <v>977</v>
      </c>
      <c r="D45" s="4059">
        <v>870</v>
      </c>
      <c r="E45" s="4059">
        <v>870</v>
      </c>
      <c r="F45" s="1447">
        <f>SUM(D45:E45)</f>
        <v>1740</v>
      </c>
      <c r="G45" s="1433"/>
      <c r="H45" s="1455"/>
      <c r="I45" s="1480" t="s">
        <v>216</v>
      </c>
      <c r="J45" s="1481"/>
      <c r="K45" s="1483"/>
      <c r="L45" s="1494">
        <v>0</v>
      </c>
      <c r="M45" s="1440">
        <v>0</v>
      </c>
      <c r="N45" s="1440">
        <v>0</v>
      </c>
      <c r="O45" s="1456">
        <v>0</v>
      </c>
      <c r="P45" s="1492">
        <v>0</v>
      </c>
      <c r="Q45" s="1492">
        <v>0</v>
      </c>
      <c r="R45" s="1493">
        <v>0</v>
      </c>
      <c r="S45" s="1433"/>
      <c r="T45" s="4900"/>
      <c r="U45" s="3535"/>
      <c r="V45" s="3535"/>
    </row>
    <row r="46" spans="2:22">
      <c r="B46" s="1507"/>
      <c r="C46" s="3330" t="s">
        <v>978</v>
      </c>
      <c r="D46" s="4059">
        <v>435</v>
      </c>
      <c r="E46" s="4059">
        <v>435</v>
      </c>
      <c r="F46" s="3332">
        <f t="shared" ref="F46:F49" si="7">SUM(D46:E46)</f>
        <v>870</v>
      </c>
      <c r="G46" s="1433"/>
      <c r="H46" s="1455"/>
      <c r="I46" s="1480" t="s">
        <v>217</v>
      </c>
      <c r="J46" s="1481"/>
      <c r="K46" s="1483"/>
      <c r="L46" s="1494">
        <v>0</v>
      </c>
      <c r="M46" s="1440">
        <v>0</v>
      </c>
      <c r="N46" s="1440">
        <v>0</v>
      </c>
      <c r="O46" s="1456">
        <v>0</v>
      </c>
      <c r="P46" s="1492">
        <v>0</v>
      </c>
      <c r="Q46" s="1492">
        <v>0</v>
      </c>
      <c r="R46" s="1493">
        <v>0</v>
      </c>
      <c r="S46" s="1433"/>
      <c r="T46" s="4900"/>
      <c r="U46" s="3535"/>
      <c r="V46" s="3535"/>
    </row>
    <row r="47" spans="2:22">
      <c r="B47" s="1507"/>
      <c r="C47" s="3330" t="s">
        <v>979</v>
      </c>
      <c r="D47" s="4059">
        <v>1740</v>
      </c>
      <c r="E47" s="4059">
        <v>1740</v>
      </c>
      <c r="F47" s="3332">
        <f t="shared" si="7"/>
        <v>3480</v>
      </c>
      <c r="G47" s="1433"/>
      <c r="H47" s="1455"/>
      <c r="I47" s="1480" t="s">
        <v>218</v>
      </c>
      <c r="J47" s="1481"/>
      <c r="K47" s="1483"/>
      <c r="L47" s="1494">
        <v>0</v>
      </c>
      <c r="M47" s="1440">
        <v>0</v>
      </c>
      <c r="N47" s="1440">
        <v>0</v>
      </c>
      <c r="O47" s="1456">
        <v>0</v>
      </c>
      <c r="P47" s="1492">
        <v>0</v>
      </c>
      <c r="Q47" s="1492">
        <v>0</v>
      </c>
      <c r="R47" s="1493">
        <v>0</v>
      </c>
      <c r="S47" s="1433"/>
      <c r="T47" s="4900"/>
      <c r="U47" s="3535"/>
      <c r="V47" s="3535"/>
    </row>
    <row r="48" spans="2:22">
      <c r="B48" s="1507"/>
      <c r="C48" s="3330" t="s">
        <v>980</v>
      </c>
      <c r="D48" s="4059">
        <v>18270</v>
      </c>
      <c r="E48" s="4059">
        <v>18270</v>
      </c>
      <c r="F48" s="3332">
        <f t="shared" si="7"/>
        <v>36540</v>
      </c>
      <c r="G48" s="1433"/>
      <c r="H48" s="1455"/>
      <c r="I48" s="1480" t="s">
        <v>219</v>
      </c>
      <c r="J48" s="1481"/>
      <c r="K48" s="1483"/>
      <c r="L48" s="1494">
        <v>0</v>
      </c>
      <c r="M48" s="1440">
        <v>0</v>
      </c>
      <c r="N48" s="1440">
        <v>0</v>
      </c>
      <c r="O48" s="1456">
        <v>0</v>
      </c>
      <c r="P48" s="1492">
        <v>0</v>
      </c>
      <c r="Q48" s="1492">
        <v>0</v>
      </c>
      <c r="R48" s="1493">
        <v>0</v>
      </c>
      <c r="S48" s="1433"/>
      <c r="T48" s="4900"/>
      <c r="U48" s="3535"/>
      <c r="V48" s="3535"/>
    </row>
    <row r="49" spans="2:24" ht="13.5" thickBot="1">
      <c r="B49" s="3257"/>
      <c r="C49" s="3330" t="s">
        <v>981</v>
      </c>
      <c r="D49" s="4059">
        <v>3480</v>
      </c>
      <c r="E49" s="3324">
        <v>3480</v>
      </c>
      <c r="F49" s="3332">
        <f t="shared" si="7"/>
        <v>6960</v>
      </c>
      <c r="G49" s="1433"/>
      <c r="H49" s="1455"/>
      <c r="I49" s="1480" t="s">
        <v>220</v>
      </c>
      <c r="J49" s="1481"/>
      <c r="K49" s="1483"/>
      <c r="L49" s="1494">
        <v>0</v>
      </c>
      <c r="M49" s="1440">
        <v>0</v>
      </c>
      <c r="N49" s="1440">
        <v>0</v>
      </c>
      <c r="O49" s="1456">
        <v>0</v>
      </c>
      <c r="P49" s="1492">
        <v>0</v>
      </c>
      <c r="Q49" s="1492">
        <v>0</v>
      </c>
      <c r="R49" s="1493">
        <v>0</v>
      </c>
      <c r="S49" s="1433"/>
      <c r="T49" s="4900"/>
      <c r="U49" s="3535"/>
      <c r="V49" s="3535"/>
    </row>
    <row r="50" spans="2:24" ht="13.5" thickBot="1">
      <c r="B50" s="1505">
        <v>0</v>
      </c>
      <c r="C50" s="1465" t="s">
        <v>149</v>
      </c>
      <c r="D50" s="1466">
        <f>SUM(D51:D54)</f>
        <v>0</v>
      </c>
      <c r="E50" s="3334">
        <f>SUM(E51:E54)</f>
        <v>0</v>
      </c>
      <c r="F50" s="1467">
        <f>SUM(D50:E50)</f>
        <v>0</v>
      </c>
      <c r="G50" s="1433"/>
      <c r="H50" s="1455"/>
      <c r="I50" s="1480" t="s">
        <v>221</v>
      </c>
      <c r="J50" s="1481"/>
      <c r="K50" s="1483"/>
      <c r="L50" s="1494">
        <v>0</v>
      </c>
      <c r="M50" s="1440">
        <v>0</v>
      </c>
      <c r="N50" s="1440">
        <v>0</v>
      </c>
      <c r="O50" s="1456">
        <v>0</v>
      </c>
      <c r="P50" s="1492">
        <v>0</v>
      </c>
      <c r="Q50" s="1492">
        <v>0</v>
      </c>
      <c r="R50" s="1493">
        <v>0</v>
      </c>
      <c r="S50" s="1433"/>
      <c r="T50" s="4900"/>
      <c r="U50" s="3535"/>
      <c r="V50" s="3535"/>
    </row>
    <row r="51" spans="2:24">
      <c r="B51" s="1507"/>
      <c r="C51" s="1439" t="s">
        <v>139</v>
      </c>
      <c r="D51" s="1448">
        <v>0</v>
      </c>
      <c r="E51" s="1448"/>
      <c r="F51" s="1447">
        <f>SUM(D51:E51)</f>
        <v>0</v>
      </c>
      <c r="G51" s="1433"/>
      <c r="H51" s="1433"/>
      <c r="I51" s="1480" t="s">
        <v>222</v>
      </c>
      <c r="J51" s="1481"/>
      <c r="K51" s="1482"/>
      <c r="L51" s="1494">
        <v>0</v>
      </c>
      <c r="M51" s="1440">
        <v>0</v>
      </c>
      <c r="N51" s="1440">
        <v>0</v>
      </c>
      <c r="O51" s="1456">
        <v>0</v>
      </c>
      <c r="P51" s="1492">
        <v>0</v>
      </c>
      <c r="Q51" s="1492">
        <v>0</v>
      </c>
      <c r="R51" s="1493">
        <v>0</v>
      </c>
      <c r="S51" s="1433"/>
      <c r="T51" s="4900"/>
      <c r="U51" s="4056"/>
      <c r="V51" s="4056"/>
      <c r="W51" s="1433"/>
      <c r="X51" s="1433"/>
    </row>
    <row r="52" spans="2:24">
      <c r="B52" s="1507"/>
      <c r="C52" s="1439" t="s">
        <v>140</v>
      </c>
      <c r="D52" s="1448">
        <v>0</v>
      </c>
      <c r="E52" s="1448"/>
      <c r="F52" s="3332">
        <f t="shared" ref="F52:F54" si="8">SUM(D52:E52)</f>
        <v>0</v>
      </c>
      <c r="G52" s="1433"/>
      <c r="H52" s="1433"/>
      <c r="I52" s="1480" t="s">
        <v>223</v>
      </c>
      <c r="J52" s="1481"/>
      <c r="K52" s="1482"/>
      <c r="L52" s="1494">
        <v>0</v>
      </c>
      <c r="M52" s="1440">
        <v>0</v>
      </c>
      <c r="N52" s="1440">
        <v>0</v>
      </c>
      <c r="O52" s="1456">
        <v>0</v>
      </c>
      <c r="P52" s="1492">
        <v>0</v>
      </c>
      <c r="Q52" s="1492">
        <v>0</v>
      </c>
      <c r="R52" s="1493">
        <v>0</v>
      </c>
      <c r="S52" s="1433"/>
      <c r="T52" s="4900"/>
      <c r="U52" s="4056"/>
      <c r="V52" s="4056"/>
      <c r="W52" s="1433"/>
      <c r="X52" s="1433"/>
    </row>
    <row r="53" spans="2:24">
      <c r="B53" s="1507"/>
      <c r="C53" s="1439" t="s">
        <v>141</v>
      </c>
      <c r="D53" s="1448">
        <v>0</v>
      </c>
      <c r="E53" s="1448"/>
      <c r="F53" s="3332">
        <f t="shared" si="8"/>
        <v>0</v>
      </c>
      <c r="G53" s="1433"/>
      <c r="H53" s="1433"/>
      <c r="I53" s="1480" t="s">
        <v>224</v>
      </c>
      <c r="J53" s="1481"/>
      <c r="K53" s="1482"/>
      <c r="L53" s="1494">
        <v>0</v>
      </c>
      <c r="M53" s="1440">
        <v>0</v>
      </c>
      <c r="N53" s="1440">
        <v>0</v>
      </c>
      <c r="O53" s="1456">
        <v>0</v>
      </c>
      <c r="P53" s="1492">
        <v>0</v>
      </c>
      <c r="Q53" s="1492">
        <v>0</v>
      </c>
      <c r="R53" s="1493">
        <v>0</v>
      </c>
      <c r="S53" s="1433"/>
      <c r="T53" s="4900"/>
      <c r="U53" s="4056"/>
      <c r="V53" s="4056"/>
      <c r="W53" s="1433"/>
      <c r="X53" s="1433"/>
    </row>
    <row r="54" spans="2:24" ht="13.5" thickBot="1">
      <c r="B54" s="1507"/>
      <c r="C54" s="1439" t="s">
        <v>142</v>
      </c>
      <c r="D54" s="1448">
        <v>0</v>
      </c>
      <c r="E54" s="1448"/>
      <c r="F54" s="3332">
        <f t="shared" si="8"/>
        <v>0</v>
      </c>
      <c r="G54" s="1468" t="s">
        <v>151</v>
      </c>
      <c r="H54" s="1433"/>
      <c r="I54" s="1480" t="s">
        <v>225</v>
      </c>
      <c r="J54" s="1481"/>
      <c r="K54" s="1482"/>
      <c r="L54" s="1494">
        <v>0</v>
      </c>
      <c r="M54" s="1440">
        <v>0</v>
      </c>
      <c r="N54" s="1440">
        <v>0</v>
      </c>
      <c r="O54" s="1456">
        <v>0</v>
      </c>
      <c r="P54" s="1492">
        <v>0</v>
      </c>
      <c r="Q54" s="1492">
        <v>0</v>
      </c>
      <c r="R54" s="1493">
        <v>0</v>
      </c>
      <c r="S54" s="1433"/>
      <c r="T54" s="4900"/>
      <c r="U54" s="4056"/>
      <c r="V54" s="4056"/>
      <c r="W54" s="1433"/>
      <c r="X54" s="1433"/>
    </row>
    <row r="55" spans="2:24" ht="13.5" thickBot="1">
      <c r="B55" s="1505">
        <v>0</v>
      </c>
      <c r="C55" s="1465" t="s">
        <v>150</v>
      </c>
      <c r="D55" s="1466">
        <v>0</v>
      </c>
      <c r="E55" s="1466">
        <v>0</v>
      </c>
      <c r="F55" s="1467">
        <f>SUM(D55:E55)</f>
        <v>0</v>
      </c>
      <c r="G55" s="1433"/>
      <c r="H55" s="1433"/>
      <c r="I55" s="1480" t="s">
        <v>226</v>
      </c>
      <c r="J55" s="1481"/>
      <c r="K55" s="1482"/>
      <c r="L55" s="1494">
        <v>0</v>
      </c>
      <c r="M55" s="1440">
        <v>0</v>
      </c>
      <c r="N55" s="1440">
        <v>0</v>
      </c>
      <c r="O55" s="1456">
        <v>0</v>
      </c>
      <c r="P55" s="1492">
        <v>0</v>
      </c>
      <c r="Q55" s="1492">
        <v>0</v>
      </c>
      <c r="R55" s="1493">
        <v>0</v>
      </c>
      <c r="S55" s="1433"/>
      <c r="T55" s="4900"/>
      <c r="U55" s="4056"/>
      <c r="V55" s="4056"/>
      <c r="W55" s="1433"/>
      <c r="X55" s="1433"/>
    </row>
    <row r="56" spans="2:24" ht="13.5" thickBot="1">
      <c r="B56" s="1505">
        <v>0</v>
      </c>
      <c r="C56" s="1465" t="s">
        <v>152</v>
      </c>
      <c r="D56" s="1466">
        <v>0</v>
      </c>
      <c r="E56" s="1466">
        <v>0</v>
      </c>
      <c r="F56" s="1467">
        <f>SUM(D56:E56)</f>
        <v>0</v>
      </c>
      <c r="G56" s="1433"/>
      <c r="H56" s="1433"/>
      <c r="I56" s="1433"/>
      <c r="J56" s="1433"/>
      <c r="K56" s="1433"/>
      <c r="L56" s="1433"/>
      <c r="M56" s="1433"/>
      <c r="N56" s="1433"/>
      <c r="O56" s="1433"/>
      <c r="P56" s="1513">
        <v>0</v>
      </c>
      <c r="Q56" s="1513">
        <v>0</v>
      </c>
      <c r="R56" s="1513">
        <v>0</v>
      </c>
      <c r="S56" s="1433"/>
      <c r="T56" s="4901"/>
      <c r="U56" s="4056"/>
      <c r="V56" s="4056"/>
      <c r="W56" s="1433"/>
      <c r="X56" s="1433"/>
    </row>
    <row r="57" spans="2:24">
      <c r="B57" s="1450">
        <v>9600</v>
      </c>
      <c r="C57" s="1434" t="s">
        <v>153</v>
      </c>
      <c r="D57" s="1450">
        <f>D14+D19+D24+D29+D34+D39+D44+D50+D55+D56</f>
        <v>54250</v>
      </c>
      <c r="E57" s="3333">
        <f>E14+E19+E24+E29+E34+E39+E44+E50+E55+E56</f>
        <v>54250</v>
      </c>
      <c r="F57" s="3333">
        <f>F14+F19+F24+F29+F34+F39+F44+F50+F55+F56</f>
        <v>108500</v>
      </c>
      <c r="G57" s="1433"/>
      <c r="H57" s="1433"/>
      <c r="I57" s="1433"/>
      <c r="J57" s="1433"/>
      <c r="K57" s="1433"/>
      <c r="L57" s="1433"/>
      <c r="M57" s="1433"/>
      <c r="N57" s="1433"/>
      <c r="O57" s="1433"/>
      <c r="P57" s="1433"/>
      <c r="Q57" s="1433"/>
      <c r="R57" s="1433"/>
      <c r="S57" s="1433"/>
      <c r="T57" s="1433"/>
      <c r="U57" s="1433"/>
      <c r="V57" s="1433"/>
      <c r="W57" s="1433"/>
      <c r="X57" s="1433"/>
    </row>
    <row r="58" spans="2:24">
      <c r="B58" s="1433"/>
      <c r="C58" s="1434"/>
      <c r="D58" s="1450"/>
      <c r="E58" s="1450"/>
      <c r="F58" s="1450"/>
      <c r="G58" s="1433"/>
      <c r="H58" s="1433"/>
      <c r="I58" s="1433"/>
      <c r="J58" s="1433"/>
      <c r="K58" s="1433"/>
      <c r="L58" s="1433"/>
      <c r="M58" s="1433"/>
      <c r="N58" s="1433"/>
      <c r="O58" s="1433"/>
      <c r="P58" s="1433"/>
      <c r="Q58" s="1433"/>
      <c r="R58" s="1433"/>
      <c r="S58" s="1433"/>
      <c r="T58" s="1433"/>
      <c r="U58" s="1433"/>
      <c r="V58" s="1433"/>
      <c r="W58" s="1433"/>
      <c r="X58" s="1433"/>
    </row>
    <row r="59" spans="2:24">
      <c r="B59" s="1433"/>
      <c r="C59" s="1434" t="s">
        <v>154</v>
      </c>
      <c r="D59" s="1450">
        <v>25135</v>
      </c>
      <c r="E59" s="1450">
        <v>25135</v>
      </c>
      <c r="F59" s="1450">
        <v>50270</v>
      </c>
      <c r="G59" s="1519">
        <v>0</v>
      </c>
      <c r="H59" s="1520" t="s">
        <v>156</v>
      </c>
      <c r="I59" s="1433"/>
      <c r="J59" s="1433"/>
      <c r="K59" s="1433"/>
      <c r="L59" s="1433"/>
      <c r="M59" s="1433"/>
      <c r="N59" s="1433"/>
      <c r="O59" s="1433"/>
      <c r="P59" s="1433"/>
      <c r="Q59" s="1433"/>
      <c r="R59" s="1433"/>
      <c r="S59" s="1433"/>
      <c r="T59" s="1433"/>
      <c r="U59" s="1433"/>
      <c r="V59" s="1433"/>
      <c r="W59" s="1433"/>
      <c r="X59" s="1433"/>
    </row>
    <row r="60" spans="2:24">
      <c r="B60" s="1433"/>
      <c r="C60" s="1434" t="s">
        <v>155</v>
      </c>
      <c r="D60" s="1435">
        <v>0</v>
      </c>
      <c r="E60" s="1435">
        <v>0</v>
      </c>
      <c r="F60" s="1435">
        <v>0</v>
      </c>
      <c r="G60" s="1433"/>
      <c r="H60" s="1433"/>
      <c r="I60" s="1433"/>
      <c r="J60" s="1433"/>
      <c r="K60" s="1433"/>
      <c r="L60" s="1433"/>
      <c r="M60" s="1433"/>
      <c r="N60" s="1433"/>
      <c r="O60" s="1433"/>
      <c r="P60" s="1433"/>
      <c r="Q60" s="1433"/>
      <c r="R60" s="1433"/>
      <c r="S60" s="1433"/>
      <c r="T60" s="1433"/>
      <c r="U60" s="1433"/>
      <c r="V60" s="1433"/>
      <c r="W60" s="1433"/>
      <c r="X60" s="1433"/>
    </row>
    <row r="61" spans="2:24" ht="13.5" thickBot="1">
      <c r="B61" s="1433"/>
      <c r="C61" s="1433"/>
      <c r="D61" s="1433"/>
      <c r="E61" s="1433"/>
      <c r="F61" s="1433"/>
      <c r="G61" s="3298"/>
      <c r="H61" s="3298"/>
      <c r="I61" s="3323"/>
      <c r="J61" s="3323"/>
      <c r="K61" s="3323"/>
      <c r="L61" s="1433"/>
      <c r="M61" s="1433"/>
      <c r="N61" s="1433"/>
      <c r="O61" s="1433"/>
      <c r="P61" s="1433"/>
      <c r="Q61" s="1433"/>
      <c r="R61" s="1433"/>
      <c r="S61" s="1433"/>
      <c r="T61" s="1433"/>
      <c r="U61" s="1433"/>
      <c r="V61" s="1433"/>
      <c r="W61" s="1433"/>
      <c r="X61" s="1433"/>
    </row>
    <row r="62" spans="2:24" ht="16.5" thickBot="1">
      <c r="B62" s="1478" t="s">
        <v>157</v>
      </c>
      <c r="C62" s="1479"/>
      <c r="D62" s="3342" t="s">
        <v>158</v>
      </c>
      <c r="E62" s="3338"/>
      <c r="F62" s="3338"/>
      <c r="G62" s="3338"/>
      <c r="H62" s="3338"/>
      <c r="I62" s="3320"/>
      <c r="J62" s="3320"/>
      <c r="K62" s="3299"/>
      <c r="L62" s="3320"/>
      <c r="M62" s="3320"/>
      <c r="N62" s="3320"/>
      <c r="O62" s="3320"/>
      <c r="P62" s="3320"/>
      <c r="Q62" s="3320"/>
      <c r="R62" s="3320"/>
      <c r="S62" s="3320"/>
      <c r="T62" s="3320"/>
      <c r="U62" s="3320"/>
      <c r="V62" s="3320"/>
      <c r="W62" s="3320"/>
      <c r="X62" s="3320"/>
    </row>
    <row r="63" spans="2:24" ht="16.5" thickBot="1">
      <c r="B63" s="3339" t="s">
        <v>159</v>
      </c>
      <c r="C63" s="3340"/>
      <c r="D63" s="3340"/>
      <c r="E63" s="3340"/>
      <c r="F63" s="3340"/>
      <c r="G63" s="3340"/>
      <c r="H63" s="3340"/>
      <c r="I63" s="3340"/>
      <c r="J63" s="3340"/>
      <c r="K63" s="3341"/>
      <c r="L63" s="5153" t="s">
        <v>160</v>
      </c>
      <c r="M63" s="5154"/>
      <c r="N63" s="5154"/>
      <c r="O63" s="5154"/>
      <c r="P63" s="5154"/>
      <c r="Q63" s="5154"/>
      <c r="R63" s="5155"/>
      <c r="S63" s="5153" t="s">
        <v>161</v>
      </c>
      <c r="T63" s="5154"/>
      <c r="U63" s="5155"/>
      <c r="V63" s="5153" t="s">
        <v>110</v>
      </c>
      <c r="W63" s="5154"/>
      <c r="X63" s="5155"/>
    </row>
    <row r="64" spans="2:24" ht="13.5" thickBot="1">
      <c r="B64" s="1441" t="s">
        <v>162</v>
      </c>
      <c r="C64" s="1442" t="s">
        <v>129</v>
      </c>
      <c r="D64" s="1442" t="s">
        <v>130</v>
      </c>
      <c r="E64" s="1442" t="s">
        <v>163</v>
      </c>
      <c r="F64" s="1442" t="s">
        <v>164</v>
      </c>
      <c r="G64" s="1442" t="s">
        <v>165</v>
      </c>
      <c r="H64" s="1442" t="s">
        <v>166</v>
      </c>
      <c r="I64" s="1442" t="s">
        <v>167</v>
      </c>
      <c r="J64" s="1442" t="s">
        <v>168</v>
      </c>
      <c r="K64" s="1443" t="s">
        <v>169</v>
      </c>
      <c r="L64" s="1514" t="s">
        <v>170</v>
      </c>
      <c r="M64" s="1469" t="s">
        <v>171</v>
      </c>
      <c r="N64" s="1469" t="s">
        <v>172</v>
      </c>
      <c r="O64" s="1469" t="s">
        <v>173</v>
      </c>
      <c r="P64" s="1476" t="s">
        <v>174</v>
      </c>
      <c r="Q64" s="1476" t="s">
        <v>175</v>
      </c>
      <c r="R64" s="1476" t="s">
        <v>176</v>
      </c>
      <c r="S64" s="1453" t="s">
        <v>177</v>
      </c>
      <c r="T64" s="1453" t="s">
        <v>178</v>
      </c>
      <c r="U64" s="1454" t="s">
        <v>179</v>
      </c>
      <c r="V64" s="1453" t="s">
        <v>115</v>
      </c>
      <c r="W64" s="1453" t="s">
        <v>12</v>
      </c>
      <c r="X64" s="1454" t="s">
        <v>116</v>
      </c>
    </row>
    <row r="65" spans="2:24">
      <c r="B65" s="1440"/>
      <c r="C65" s="1437" t="s">
        <v>368</v>
      </c>
      <c r="D65" s="1440"/>
      <c r="E65" s="1440" t="s">
        <v>181</v>
      </c>
      <c r="F65" s="1440" t="s">
        <v>186</v>
      </c>
      <c r="G65" s="1446"/>
      <c r="H65" s="1518"/>
      <c r="I65" s="1457">
        <v>0</v>
      </c>
      <c r="J65" s="1440"/>
      <c r="K65" s="1440"/>
      <c r="L65" s="1470" t="e">
        <v>#N/A</v>
      </c>
      <c r="M65" s="1470" t="e">
        <v>#N/A</v>
      </c>
      <c r="N65" s="1462" t="e">
        <v>#DIV/0!</v>
      </c>
      <c r="O65" s="1462" t="e">
        <v>#DIV/0!</v>
      </c>
      <c r="P65" s="1462" t="e">
        <v>#N/A</v>
      </c>
      <c r="Q65" s="1462" t="e">
        <v>#N/A</v>
      </c>
      <c r="R65" s="1462" t="e">
        <v>#N/A</v>
      </c>
      <c r="S65" s="1459">
        <v>0</v>
      </c>
      <c r="T65" s="1459">
        <v>0</v>
      </c>
      <c r="U65" s="1459">
        <v>0</v>
      </c>
      <c r="V65" s="1521" t="e">
        <v>#DIV/0!</v>
      </c>
      <c r="W65" s="1521" t="e">
        <v>#DIV/0!</v>
      </c>
      <c r="X65" s="1521" t="e">
        <v>#DIV/0!</v>
      </c>
    </row>
    <row r="66" spans="2:24">
      <c r="B66" s="1437"/>
      <c r="C66" s="1437" t="s">
        <v>369</v>
      </c>
      <c r="D66" s="1437"/>
      <c r="E66" s="1437" t="s">
        <v>181</v>
      </c>
      <c r="F66" s="1440" t="s">
        <v>186</v>
      </c>
      <c r="G66" s="1446"/>
      <c r="H66" s="1518"/>
      <c r="I66" s="1457">
        <v>0</v>
      </c>
      <c r="J66" s="1440"/>
      <c r="K66" s="1440"/>
      <c r="L66" s="1470" t="e">
        <v>#N/A</v>
      </c>
      <c r="M66" s="1470" t="e">
        <v>#N/A</v>
      </c>
      <c r="N66" s="1462" t="e">
        <v>#DIV/0!</v>
      </c>
      <c r="O66" s="1462" t="e">
        <v>#DIV/0!</v>
      </c>
      <c r="P66" s="1462" t="e">
        <v>#N/A</v>
      </c>
      <c r="Q66" s="1462" t="e">
        <v>#N/A</v>
      </c>
      <c r="R66" s="1462" t="e">
        <v>#N/A</v>
      </c>
      <c r="S66" s="1459">
        <v>0</v>
      </c>
      <c r="T66" s="1459">
        <v>0</v>
      </c>
      <c r="U66" s="1459">
        <v>0</v>
      </c>
      <c r="V66" s="1521" t="e">
        <v>#DIV/0!</v>
      </c>
      <c r="W66" s="1521" t="e">
        <v>#DIV/0!</v>
      </c>
      <c r="X66" s="1521" t="e">
        <v>#DIV/0!</v>
      </c>
    </row>
    <row r="67" spans="2:24">
      <c r="B67" s="1437"/>
      <c r="C67" s="1437" t="s">
        <v>370</v>
      </c>
      <c r="D67" s="1437">
        <v>0</v>
      </c>
      <c r="E67" s="1437" t="s">
        <v>181</v>
      </c>
      <c r="F67" s="1437" t="s">
        <v>186</v>
      </c>
      <c r="G67" s="1446"/>
      <c r="H67" s="1446"/>
      <c r="I67" s="1457">
        <v>0</v>
      </c>
      <c r="J67" s="1440"/>
      <c r="K67" s="1440"/>
      <c r="L67" s="1470" t="e">
        <v>#N/A</v>
      </c>
      <c r="M67" s="1470" t="e">
        <v>#N/A</v>
      </c>
      <c r="N67" s="1462" t="e">
        <v>#DIV/0!</v>
      </c>
      <c r="O67" s="1462" t="e">
        <v>#DIV/0!</v>
      </c>
      <c r="P67" s="1462" t="e">
        <v>#N/A</v>
      </c>
      <c r="Q67" s="1462" t="e">
        <v>#N/A</v>
      </c>
      <c r="R67" s="1462" t="e">
        <v>#N/A</v>
      </c>
      <c r="S67" s="1459">
        <v>0</v>
      </c>
      <c r="T67" s="1459">
        <v>0</v>
      </c>
      <c r="U67" s="1459">
        <v>0</v>
      </c>
      <c r="V67" s="1521" t="e">
        <v>#DIV/0!</v>
      </c>
      <c r="W67" s="1521" t="e">
        <v>#DIV/0!</v>
      </c>
      <c r="X67" s="1521" t="e">
        <v>#DIV/0!</v>
      </c>
    </row>
    <row r="68" spans="2:24">
      <c r="B68" s="1437"/>
      <c r="C68" s="1437" t="s">
        <v>188</v>
      </c>
      <c r="D68" s="1437">
        <v>0</v>
      </c>
      <c r="E68" s="1437" t="s">
        <v>181</v>
      </c>
      <c r="F68" s="1437" t="s">
        <v>186</v>
      </c>
      <c r="G68" s="1446"/>
      <c r="H68" s="1446"/>
      <c r="I68" s="1457">
        <v>0</v>
      </c>
      <c r="J68" s="1440"/>
      <c r="K68" s="1440"/>
      <c r="L68" s="1470" t="e">
        <v>#N/A</v>
      </c>
      <c r="M68" s="1470" t="e">
        <v>#N/A</v>
      </c>
      <c r="N68" s="1462" t="e">
        <v>#DIV/0!</v>
      </c>
      <c r="O68" s="1462" t="e">
        <v>#DIV/0!</v>
      </c>
      <c r="P68" s="1462" t="e">
        <v>#N/A</v>
      </c>
      <c r="Q68" s="1462" t="e">
        <v>#N/A</v>
      </c>
      <c r="R68" s="1462" t="e">
        <v>#N/A</v>
      </c>
      <c r="S68" s="1459">
        <v>0</v>
      </c>
      <c r="T68" s="1459">
        <v>0</v>
      </c>
      <c r="U68" s="1459">
        <v>0</v>
      </c>
      <c r="V68" s="1521" t="e">
        <v>#DIV/0!</v>
      </c>
      <c r="W68" s="1521" t="e">
        <v>#DIV/0!</v>
      </c>
      <c r="X68" s="1521" t="e">
        <v>#DIV/0!</v>
      </c>
    </row>
    <row r="69" spans="2:24">
      <c r="B69" s="1437"/>
      <c r="C69" s="1437" t="s">
        <v>189</v>
      </c>
      <c r="D69" s="1437">
        <v>0</v>
      </c>
      <c r="E69" s="1437" t="s">
        <v>181</v>
      </c>
      <c r="F69" s="1437" t="s">
        <v>186</v>
      </c>
      <c r="G69" s="1446"/>
      <c r="H69" s="1446"/>
      <c r="I69" s="1457">
        <v>0</v>
      </c>
      <c r="J69" s="1440"/>
      <c r="K69" s="1440"/>
      <c r="L69" s="1470" t="e">
        <v>#N/A</v>
      </c>
      <c r="M69" s="1470" t="e">
        <v>#N/A</v>
      </c>
      <c r="N69" s="1462" t="e">
        <v>#DIV/0!</v>
      </c>
      <c r="O69" s="1462" t="e">
        <v>#DIV/0!</v>
      </c>
      <c r="P69" s="1462" t="e">
        <v>#N/A</v>
      </c>
      <c r="Q69" s="1509" t="e">
        <v>#N/A</v>
      </c>
      <c r="R69" s="1462" t="e">
        <v>#N/A</v>
      </c>
      <c r="S69" s="1459">
        <v>0</v>
      </c>
      <c r="T69" s="1459">
        <v>0</v>
      </c>
      <c r="U69" s="1459">
        <v>0</v>
      </c>
      <c r="V69" s="1521" t="e">
        <v>#DIV/0!</v>
      </c>
      <c r="W69" s="1521" t="e">
        <v>#DIV/0!</v>
      </c>
      <c r="X69" s="1521" t="e">
        <v>#DIV/0!</v>
      </c>
    </row>
    <row r="70" spans="2:24">
      <c r="B70" s="1437"/>
      <c r="C70" s="1437" t="s">
        <v>190</v>
      </c>
      <c r="D70" s="1437">
        <v>0</v>
      </c>
      <c r="E70" s="1437" t="s">
        <v>181</v>
      </c>
      <c r="F70" s="1437" t="s">
        <v>186</v>
      </c>
      <c r="G70" s="1446"/>
      <c r="H70" s="1446"/>
      <c r="I70" s="1457">
        <v>0</v>
      </c>
      <c r="J70" s="1440"/>
      <c r="K70" s="1440"/>
      <c r="L70" s="1470" t="e">
        <v>#N/A</v>
      </c>
      <c r="M70" s="1470" t="e">
        <v>#N/A</v>
      </c>
      <c r="N70" s="1462" t="e">
        <v>#DIV/0!</v>
      </c>
      <c r="O70" s="1462" t="e">
        <v>#DIV/0!</v>
      </c>
      <c r="P70" s="1462" t="e">
        <v>#N/A</v>
      </c>
      <c r="Q70" s="1509" t="e">
        <v>#N/A</v>
      </c>
      <c r="R70" s="1462" t="e">
        <v>#N/A</v>
      </c>
      <c r="S70" s="1459">
        <v>0</v>
      </c>
      <c r="T70" s="1459">
        <v>0</v>
      </c>
      <c r="U70" s="1459">
        <v>0</v>
      </c>
      <c r="V70" s="1521" t="e">
        <v>#DIV/0!</v>
      </c>
      <c r="W70" s="1521" t="e">
        <v>#DIV/0!</v>
      </c>
      <c r="X70" s="1521" t="e">
        <v>#DIV/0!</v>
      </c>
    </row>
    <row r="71" spans="2:24">
      <c r="B71" s="1437"/>
      <c r="C71" s="1437" t="s">
        <v>191</v>
      </c>
      <c r="D71" s="1437">
        <v>0</v>
      </c>
      <c r="E71" s="1437" t="s">
        <v>181</v>
      </c>
      <c r="F71" s="1437" t="s">
        <v>186</v>
      </c>
      <c r="G71" s="1446"/>
      <c r="H71" s="1446"/>
      <c r="I71" s="1457">
        <v>0</v>
      </c>
      <c r="J71" s="1440"/>
      <c r="K71" s="1440"/>
      <c r="L71" s="1470" t="e">
        <v>#N/A</v>
      </c>
      <c r="M71" s="1470" t="e">
        <v>#N/A</v>
      </c>
      <c r="N71" s="1462" t="e">
        <v>#DIV/0!</v>
      </c>
      <c r="O71" s="1462" t="e">
        <v>#DIV/0!</v>
      </c>
      <c r="P71" s="1462" t="e">
        <v>#N/A</v>
      </c>
      <c r="Q71" s="1509" t="e">
        <v>#N/A</v>
      </c>
      <c r="R71" s="1462" t="e">
        <v>#N/A</v>
      </c>
      <c r="S71" s="1459">
        <v>0</v>
      </c>
      <c r="T71" s="1459">
        <v>0</v>
      </c>
      <c r="U71" s="1459">
        <v>0</v>
      </c>
      <c r="V71" s="1521" t="e">
        <v>#DIV/0!</v>
      </c>
      <c r="W71" s="1521" t="e">
        <v>#DIV/0!</v>
      </c>
      <c r="X71" s="1521" t="e">
        <v>#DIV/0!</v>
      </c>
    </row>
    <row r="72" spans="2:24">
      <c r="B72" s="1437"/>
      <c r="C72" s="1437" t="s">
        <v>192</v>
      </c>
      <c r="D72" s="1437">
        <v>0</v>
      </c>
      <c r="E72" s="1437" t="s">
        <v>181</v>
      </c>
      <c r="F72" s="1437" t="s">
        <v>186</v>
      </c>
      <c r="G72" s="1446"/>
      <c r="H72" s="1446"/>
      <c r="I72" s="1457">
        <v>0</v>
      </c>
      <c r="J72" s="1440"/>
      <c r="K72" s="1440"/>
      <c r="L72" s="1470" t="e">
        <v>#N/A</v>
      </c>
      <c r="M72" s="1470" t="e">
        <v>#N/A</v>
      </c>
      <c r="N72" s="1462" t="e">
        <v>#DIV/0!</v>
      </c>
      <c r="O72" s="1462" t="e">
        <v>#DIV/0!</v>
      </c>
      <c r="P72" s="1462" t="e">
        <v>#N/A</v>
      </c>
      <c r="Q72" s="1509" t="e">
        <v>#N/A</v>
      </c>
      <c r="R72" s="1462" t="e">
        <v>#N/A</v>
      </c>
      <c r="S72" s="1459">
        <v>0</v>
      </c>
      <c r="T72" s="1459">
        <v>0</v>
      </c>
      <c r="U72" s="1459">
        <v>0</v>
      </c>
      <c r="V72" s="1521" t="e">
        <v>#DIV/0!</v>
      </c>
      <c r="W72" s="1521" t="e">
        <v>#DIV/0!</v>
      </c>
      <c r="X72" s="1521" t="e">
        <v>#DIV/0!</v>
      </c>
    </row>
    <row r="73" spans="2:24">
      <c r="B73" s="1437"/>
      <c r="C73" s="1437" t="s">
        <v>193</v>
      </c>
      <c r="D73" s="1437">
        <v>0</v>
      </c>
      <c r="E73" s="1437" t="s">
        <v>181</v>
      </c>
      <c r="F73" s="1437" t="s">
        <v>186</v>
      </c>
      <c r="G73" s="1446"/>
      <c r="H73" s="1446"/>
      <c r="I73" s="1457">
        <v>0</v>
      </c>
      <c r="J73" s="1440"/>
      <c r="K73" s="1440"/>
      <c r="L73" s="1470" t="e">
        <v>#N/A</v>
      </c>
      <c r="M73" s="1470" t="e">
        <v>#N/A</v>
      </c>
      <c r="N73" s="1462" t="e">
        <v>#DIV/0!</v>
      </c>
      <c r="O73" s="1462" t="e">
        <v>#DIV/0!</v>
      </c>
      <c r="P73" s="1462" t="e">
        <v>#N/A</v>
      </c>
      <c r="Q73" s="1509" t="e">
        <v>#N/A</v>
      </c>
      <c r="R73" s="1462" t="e">
        <v>#N/A</v>
      </c>
      <c r="S73" s="1459">
        <v>0</v>
      </c>
      <c r="T73" s="1459">
        <v>0</v>
      </c>
      <c r="U73" s="1459">
        <v>0</v>
      </c>
      <c r="V73" s="1521" t="e">
        <v>#DIV/0!</v>
      </c>
      <c r="W73" s="1521" t="e">
        <v>#DIV/0!</v>
      </c>
      <c r="X73" s="1521" t="e">
        <v>#DIV/0!</v>
      </c>
    </row>
    <row r="74" spans="2:24">
      <c r="B74" s="1437"/>
      <c r="C74" s="1437" t="s">
        <v>194</v>
      </c>
      <c r="D74" s="1437">
        <v>0</v>
      </c>
      <c r="E74" s="1437" t="s">
        <v>181</v>
      </c>
      <c r="F74" s="1437" t="s">
        <v>186</v>
      </c>
      <c r="G74" s="1446"/>
      <c r="H74" s="1446"/>
      <c r="I74" s="1457">
        <v>0</v>
      </c>
      <c r="J74" s="1440"/>
      <c r="K74" s="1440"/>
      <c r="L74" s="1470" t="e">
        <v>#N/A</v>
      </c>
      <c r="M74" s="1470" t="e">
        <v>#N/A</v>
      </c>
      <c r="N74" s="1462" t="e">
        <v>#DIV/0!</v>
      </c>
      <c r="O74" s="1462" t="e">
        <v>#DIV/0!</v>
      </c>
      <c r="P74" s="1462" t="e">
        <v>#N/A</v>
      </c>
      <c r="Q74" s="1509" t="e">
        <v>#N/A</v>
      </c>
      <c r="R74" s="1462" t="e">
        <v>#N/A</v>
      </c>
      <c r="S74" s="1459">
        <v>0</v>
      </c>
      <c r="T74" s="1459">
        <v>0</v>
      </c>
      <c r="U74" s="1459">
        <v>0</v>
      </c>
      <c r="V74" s="1521" t="e">
        <v>#DIV/0!</v>
      </c>
      <c r="W74" s="1521" t="e">
        <v>#DIV/0!</v>
      </c>
      <c r="X74" s="1521" t="e">
        <v>#DIV/0!</v>
      </c>
    </row>
    <row r="75" spans="2:24">
      <c r="B75" s="1437"/>
      <c r="C75" s="1437" t="s">
        <v>195</v>
      </c>
      <c r="D75" s="1437">
        <v>0</v>
      </c>
      <c r="E75" s="1437" t="s">
        <v>181</v>
      </c>
      <c r="F75" s="1437" t="s">
        <v>186</v>
      </c>
      <c r="G75" s="1446"/>
      <c r="H75" s="1446"/>
      <c r="I75" s="1457">
        <v>0</v>
      </c>
      <c r="J75" s="1440"/>
      <c r="K75" s="1440"/>
      <c r="L75" s="1470" t="e">
        <v>#N/A</v>
      </c>
      <c r="M75" s="1470" t="e">
        <v>#N/A</v>
      </c>
      <c r="N75" s="1462" t="e">
        <v>#DIV/0!</v>
      </c>
      <c r="O75" s="1462" t="e">
        <v>#DIV/0!</v>
      </c>
      <c r="P75" s="1462" t="e">
        <v>#N/A</v>
      </c>
      <c r="Q75" s="1509" t="e">
        <v>#N/A</v>
      </c>
      <c r="R75" s="1462" t="e">
        <v>#N/A</v>
      </c>
      <c r="S75" s="1459">
        <v>0</v>
      </c>
      <c r="T75" s="1459">
        <v>0</v>
      </c>
      <c r="U75" s="1459">
        <v>0</v>
      </c>
      <c r="V75" s="1521" t="e">
        <v>#DIV/0!</v>
      </c>
      <c r="W75" s="1521" t="e">
        <v>#DIV/0!</v>
      </c>
      <c r="X75" s="1521" t="e">
        <v>#DIV/0!</v>
      </c>
    </row>
    <row r="76" spans="2:24">
      <c r="B76" s="1437"/>
      <c r="C76" s="1437" t="s">
        <v>196</v>
      </c>
      <c r="D76" s="1437">
        <v>0</v>
      </c>
      <c r="E76" s="1437" t="s">
        <v>181</v>
      </c>
      <c r="F76" s="1437" t="s">
        <v>186</v>
      </c>
      <c r="G76" s="1446"/>
      <c r="H76" s="1446"/>
      <c r="I76" s="1457">
        <v>0</v>
      </c>
      <c r="J76" s="1440"/>
      <c r="K76" s="1440"/>
      <c r="L76" s="1470" t="e">
        <v>#N/A</v>
      </c>
      <c r="M76" s="1470" t="e">
        <v>#N/A</v>
      </c>
      <c r="N76" s="1462" t="e">
        <v>#DIV/0!</v>
      </c>
      <c r="O76" s="1462" t="e">
        <v>#DIV/0!</v>
      </c>
      <c r="P76" s="1462" t="e">
        <v>#N/A</v>
      </c>
      <c r="Q76" s="1509" t="e">
        <v>#N/A</v>
      </c>
      <c r="R76" s="1462" t="e">
        <v>#N/A</v>
      </c>
      <c r="S76" s="1459">
        <v>0</v>
      </c>
      <c r="T76" s="1459">
        <v>0</v>
      </c>
      <c r="U76" s="1459">
        <v>0</v>
      </c>
      <c r="V76" s="1521" t="e">
        <v>#DIV/0!</v>
      </c>
      <c r="W76" s="1521" t="e">
        <v>#DIV/0!</v>
      </c>
      <c r="X76" s="1521" t="e">
        <v>#DIV/0!</v>
      </c>
    </row>
    <row r="77" spans="2:24">
      <c r="B77" s="1437"/>
      <c r="C77" s="1437" t="s">
        <v>197</v>
      </c>
      <c r="D77" s="1437">
        <v>0</v>
      </c>
      <c r="E77" s="1437" t="s">
        <v>181</v>
      </c>
      <c r="F77" s="1437" t="s">
        <v>186</v>
      </c>
      <c r="G77" s="1446"/>
      <c r="H77" s="1446"/>
      <c r="I77" s="1457">
        <v>0</v>
      </c>
      <c r="J77" s="1440"/>
      <c r="K77" s="1440"/>
      <c r="L77" s="1470" t="e">
        <v>#N/A</v>
      </c>
      <c r="M77" s="1470" t="e">
        <v>#N/A</v>
      </c>
      <c r="N77" s="1462" t="e">
        <v>#DIV/0!</v>
      </c>
      <c r="O77" s="1462" t="e">
        <v>#DIV/0!</v>
      </c>
      <c r="P77" s="1462" t="e">
        <v>#N/A</v>
      </c>
      <c r="Q77" s="1509" t="e">
        <v>#N/A</v>
      </c>
      <c r="R77" s="1462" t="e">
        <v>#N/A</v>
      </c>
      <c r="S77" s="1459">
        <v>0</v>
      </c>
      <c r="T77" s="1459">
        <v>0</v>
      </c>
      <c r="U77" s="1459">
        <v>0</v>
      </c>
      <c r="V77" s="1521" t="e">
        <v>#DIV/0!</v>
      </c>
      <c r="W77" s="1521" t="e">
        <v>#DIV/0!</v>
      </c>
      <c r="X77" s="1521" t="e">
        <v>#DIV/0!</v>
      </c>
    </row>
    <row r="78" spans="2:24">
      <c r="B78" s="1437"/>
      <c r="C78" s="1437" t="s">
        <v>198</v>
      </c>
      <c r="D78" s="1437">
        <v>0</v>
      </c>
      <c r="E78" s="1437" t="s">
        <v>181</v>
      </c>
      <c r="F78" s="1437" t="s">
        <v>186</v>
      </c>
      <c r="G78" s="1446"/>
      <c r="H78" s="1446"/>
      <c r="I78" s="1457">
        <v>0</v>
      </c>
      <c r="J78" s="1440"/>
      <c r="K78" s="1440"/>
      <c r="L78" s="1470" t="e">
        <v>#N/A</v>
      </c>
      <c r="M78" s="1470" t="e">
        <v>#N/A</v>
      </c>
      <c r="N78" s="1462" t="e">
        <v>#DIV/0!</v>
      </c>
      <c r="O78" s="1462" t="e">
        <v>#DIV/0!</v>
      </c>
      <c r="P78" s="1462" t="e">
        <v>#N/A</v>
      </c>
      <c r="Q78" s="1509" t="e">
        <v>#N/A</v>
      </c>
      <c r="R78" s="1462" t="e">
        <v>#N/A</v>
      </c>
      <c r="S78" s="1459">
        <v>0</v>
      </c>
      <c r="T78" s="1459">
        <v>0</v>
      </c>
      <c r="U78" s="1459">
        <v>0</v>
      </c>
      <c r="V78" s="1521" t="e">
        <v>#DIV/0!</v>
      </c>
      <c r="W78" s="1521" t="e">
        <v>#DIV/0!</v>
      </c>
      <c r="X78" s="1521" t="e">
        <v>#DIV/0!</v>
      </c>
    </row>
    <row r="79" spans="2:24">
      <c r="B79" s="1437"/>
      <c r="C79" s="1437" t="s">
        <v>199</v>
      </c>
      <c r="D79" s="1437">
        <v>0</v>
      </c>
      <c r="E79" s="1437" t="s">
        <v>181</v>
      </c>
      <c r="F79" s="1437" t="s">
        <v>186</v>
      </c>
      <c r="G79" s="1446"/>
      <c r="H79" s="1446"/>
      <c r="I79" s="1457">
        <v>0</v>
      </c>
      <c r="J79" s="1440"/>
      <c r="K79" s="1440"/>
      <c r="L79" s="1470" t="e">
        <v>#N/A</v>
      </c>
      <c r="M79" s="1470" t="e">
        <v>#N/A</v>
      </c>
      <c r="N79" s="1462" t="e">
        <v>#DIV/0!</v>
      </c>
      <c r="O79" s="1462" t="e">
        <v>#DIV/0!</v>
      </c>
      <c r="P79" s="1462" t="e">
        <v>#N/A</v>
      </c>
      <c r="Q79" s="1509" t="e">
        <v>#N/A</v>
      </c>
      <c r="R79" s="1462" t="e">
        <v>#N/A</v>
      </c>
      <c r="S79" s="1459">
        <v>0</v>
      </c>
      <c r="T79" s="1459">
        <v>0</v>
      </c>
      <c r="U79" s="1459">
        <v>0</v>
      </c>
      <c r="V79" s="1521" t="e">
        <v>#DIV/0!</v>
      </c>
      <c r="W79" s="1521" t="e">
        <v>#DIV/0!</v>
      </c>
      <c r="X79" s="1521" t="e">
        <v>#DIV/0!</v>
      </c>
    </row>
    <row r="80" spans="2:24">
      <c r="B80" s="1437"/>
      <c r="C80" s="1437" t="s">
        <v>200</v>
      </c>
      <c r="D80" s="1437">
        <v>0</v>
      </c>
      <c r="E80" s="1437" t="s">
        <v>181</v>
      </c>
      <c r="F80" s="1437" t="s">
        <v>186</v>
      </c>
      <c r="G80" s="1446"/>
      <c r="H80" s="1446"/>
      <c r="I80" s="1457">
        <v>0</v>
      </c>
      <c r="J80" s="1440"/>
      <c r="K80" s="1440"/>
      <c r="L80" s="1470" t="e">
        <v>#N/A</v>
      </c>
      <c r="M80" s="1470" t="e">
        <v>#N/A</v>
      </c>
      <c r="N80" s="1462" t="e">
        <v>#DIV/0!</v>
      </c>
      <c r="O80" s="1462" t="e">
        <v>#DIV/0!</v>
      </c>
      <c r="P80" s="1462" t="e">
        <v>#N/A</v>
      </c>
      <c r="Q80" s="1509" t="e">
        <v>#N/A</v>
      </c>
      <c r="R80" s="1462" t="e">
        <v>#N/A</v>
      </c>
      <c r="S80" s="1459">
        <v>0</v>
      </c>
      <c r="T80" s="1459">
        <v>0</v>
      </c>
      <c r="U80" s="1459">
        <v>0</v>
      </c>
      <c r="V80" s="1521" t="e">
        <v>#DIV/0!</v>
      </c>
      <c r="W80" s="1521" t="e">
        <v>#DIV/0!</v>
      </c>
      <c r="X80" s="1521" t="e">
        <v>#DIV/0!</v>
      </c>
    </row>
    <row r="81" spans="2:24">
      <c r="B81" s="1437"/>
      <c r="C81" s="1437" t="s">
        <v>201</v>
      </c>
      <c r="D81" s="1437">
        <v>0</v>
      </c>
      <c r="E81" s="1437" t="s">
        <v>181</v>
      </c>
      <c r="F81" s="1437" t="s">
        <v>186</v>
      </c>
      <c r="G81" s="1446"/>
      <c r="H81" s="1446"/>
      <c r="I81" s="1457">
        <v>0</v>
      </c>
      <c r="J81" s="1440"/>
      <c r="K81" s="1440"/>
      <c r="L81" s="1470" t="e">
        <v>#N/A</v>
      </c>
      <c r="M81" s="1470" t="e">
        <v>#N/A</v>
      </c>
      <c r="N81" s="1509" t="e">
        <v>#DIV/0!</v>
      </c>
      <c r="O81" s="1509" t="e">
        <v>#DIV/0!</v>
      </c>
      <c r="P81" s="1462" t="e">
        <v>#N/A</v>
      </c>
      <c r="Q81" s="1509" t="e">
        <v>#N/A</v>
      </c>
      <c r="R81" s="1509" t="e">
        <v>#N/A</v>
      </c>
      <c r="S81" s="1459">
        <v>0</v>
      </c>
      <c r="T81" s="1459">
        <v>0</v>
      </c>
      <c r="U81" s="1459">
        <v>0</v>
      </c>
      <c r="V81" s="1521" t="e">
        <v>#DIV/0!</v>
      </c>
      <c r="W81" s="1521" t="e">
        <v>#DIV/0!</v>
      </c>
      <c r="X81" s="1521" t="e">
        <v>#DIV/0!</v>
      </c>
    </row>
    <row r="82" spans="2:24">
      <c r="B82" s="1437"/>
      <c r="C82" s="1437" t="s">
        <v>202</v>
      </c>
      <c r="D82" s="1437">
        <v>0</v>
      </c>
      <c r="E82" s="1437" t="s">
        <v>181</v>
      </c>
      <c r="F82" s="1437" t="s">
        <v>186</v>
      </c>
      <c r="G82" s="1446"/>
      <c r="H82" s="1446"/>
      <c r="I82" s="1457">
        <v>0</v>
      </c>
      <c r="J82" s="1440"/>
      <c r="K82" s="1440"/>
      <c r="L82" s="1470" t="e">
        <v>#N/A</v>
      </c>
      <c r="M82" s="1470" t="e">
        <v>#N/A</v>
      </c>
      <c r="N82" s="1509" t="e">
        <v>#DIV/0!</v>
      </c>
      <c r="O82" s="1509" t="e">
        <v>#DIV/0!</v>
      </c>
      <c r="P82" s="1462" t="e">
        <v>#N/A</v>
      </c>
      <c r="Q82" s="1509" t="e">
        <v>#N/A</v>
      </c>
      <c r="R82" s="1509" t="e">
        <v>#N/A</v>
      </c>
      <c r="S82" s="1459">
        <v>0</v>
      </c>
      <c r="T82" s="1459">
        <v>0</v>
      </c>
      <c r="U82" s="1459">
        <v>0</v>
      </c>
      <c r="V82" s="1521" t="e">
        <v>#DIV/0!</v>
      </c>
      <c r="W82" s="1521" t="e">
        <v>#DIV/0!</v>
      </c>
      <c r="X82" s="1521" t="e">
        <v>#DIV/0!</v>
      </c>
    </row>
    <row r="83" spans="2:24">
      <c r="B83" s="1437"/>
      <c r="C83" s="1437" t="s">
        <v>203</v>
      </c>
      <c r="D83" s="1437">
        <v>0</v>
      </c>
      <c r="E83" s="1437" t="s">
        <v>181</v>
      </c>
      <c r="F83" s="1437" t="s">
        <v>186</v>
      </c>
      <c r="G83" s="1446"/>
      <c r="H83" s="1446"/>
      <c r="I83" s="1457">
        <v>0</v>
      </c>
      <c r="J83" s="1440"/>
      <c r="K83" s="1440"/>
      <c r="L83" s="1470" t="e">
        <v>#N/A</v>
      </c>
      <c r="M83" s="1470" t="e">
        <v>#N/A</v>
      </c>
      <c r="N83" s="1509" t="e">
        <v>#DIV/0!</v>
      </c>
      <c r="O83" s="1509" t="e">
        <v>#DIV/0!</v>
      </c>
      <c r="P83" s="1462" t="e">
        <v>#N/A</v>
      </c>
      <c r="Q83" s="1509" t="e">
        <v>#N/A</v>
      </c>
      <c r="R83" s="1509" t="e">
        <v>#N/A</v>
      </c>
      <c r="S83" s="1459">
        <v>0</v>
      </c>
      <c r="T83" s="1459">
        <v>0</v>
      </c>
      <c r="U83" s="1459">
        <v>0</v>
      </c>
      <c r="V83" s="1521" t="e">
        <v>#DIV/0!</v>
      </c>
      <c r="W83" s="1521" t="e">
        <v>#DIV/0!</v>
      </c>
      <c r="X83" s="1521" t="e">
        <v>#DIV/0!</v>
      </c>
    </row>
    <row r="84" spans="2:24">
      <c r="B84" s="1437"/>
      <c r="C84" s="1437" t="s">
        <v>204</v>
      </c>
      <c r="D84" s="1437">
        <v>0</v>
      </c>
      <c r="E84" s="1437" t="s">
        <v>181</v>
      </c>
      <c r="F84" s="1437" t="s">
        <v>186</v>
      </c>
      <c r="G84" s="1446"/>
      <c r="H84" s="1446"/>
      <c r="I84" s="1457">
        <v>0</v>
      </c>
      <c r="J84" s="1440"/>
      <c r="K84" s="1440"/>
      <c r="L84" s="1470" t="e">
        <v>#N/A</v>
      </c>
      <c r="M84" s="1470" t="e">
        <v>#N/A</v>
      </c>
      <c r="N84" s="1509" t="e">
        <v>#DIV/0!</v>
      </c>
      <c r="O84" s="1509" t="e">
        <v>#DIV/0!</v>
      </c>
      <c r="P84" s="1462" t="e">
        <v>#N/A</v>
      </c>
      <c r="Q84" s="1509" t="e">
        <v>#N/A</v>
      </c>
      <c r="R84" s="1509" t="e">
        <v>#N/A</v>
      </c>
      <c r="S84" s="1459">
        <v>0</v>
      </c>
      <c r="T84" s="1459">
        <v>0</v>
      </c>
      <c r="U84" s="1459">
        <v>0</v>
      </c>
    </row>
    <row r="85" spans="2:24">
      <c r="B85" s="1437"/>
      <c r="C85" s="1437" t="s">
        <v>205</v>
      </c>
      <c r="D85" s="1495">
        <v>0</v>
      </c>
      <c r="E85" s="1437" t="s">
        <v>181</v>
      </c>
      <c r="F85" s="1437" t="s">
        <v>186</v>
      </c>
      <c r="G85" s="1446"/>
      <c r="H85" s="1446"/>
      <c r="I85" s="1457">
        <v>0</v>
      </c>
      <c r="J85" s="1440"/>
      <c r="K85" s="1440"/>
      <c r="L85" s="1470" t="e">
        <v>#N/A</v>
      </c>
      <c r="M85" s="1470" t="e">
        <v>#N/A</v>
      </c>
      <c r="N85" s="1509" t="e">
        <v>#DIV/0!</v>
      </c>
      <c r="O85" s="1509" t="e">
        <v>#DIV/0!</v>
      </c>
      <c r="P85" s="1462" t="e">
        <v>#N/A</v>
      </c>
      <c r="Q85" s="1509" t="e">
        <v>#N/A</v>
      </c>
      <c r="R85" s="1509" t="e">
        <v>#N/A</v>
      </c>
      <c r="S85" s="1459">
        <v>0</v>
      </c>
      <c r="T85" s="1459">
        <v>0</v>
      </c>
      <c r="U85" s="1459">
        <v>0</v>
      </c>
    </row>
    <row r="86" spans="2:24">
      <c r="B86" s="1437"/>
      <c r="C86" s="1437" t="s">
        <v>206</v>
      </c>
      <c r="D86" s="1495">
        <v>0</v>
      </c>
      <c r="E86" s="1437" t="s">
        <v>181</v>
      </c>
      <c r="F86" s="1437" t="s">
        <v>186</v>
      </c>
      <c r="G86" s="1446"/>
      <c r="H86" s="1446"/>
      <c r="I86" s="1457">
        <v>0</v>
      </c>
      <c r="J86" s="1440"/>
      <c r="K86" s="1440"/>
      <c r="L86" s="1470" t="e">
        <v>#N/A</v>
      </c>
      <c r="M86" s="1470" t="e">
        <v>#N/A</v>
      </c>
      <c r="N86" s="1509" t="e">
        <v>#DIV/0!</v>
      </c>
      <c r="O86" s="1509" t="e">
        <v>#DIV/0!</v>
      </c>
      <c r="P86" s="1462" t="e">
        <v>#N/A</v>
      </c>
      <c r="Q86" s="1509" t="e">
        <v>#N/A</v>
      </c>
      <c r="R86" s="1509" t="e">
        <v>#N/A</v>
      </c>
      <c r="S86" s="1459">
        <v>0</v>
      </c>
      <c r="T86" s="1459">
        <v>0</v>
      </c>
      <c r="U86" s="1459">
        <v>0</v>
      </c>
    </row>
    <row r="87" spans="2:24">
      <c r="B87" s="1437"/>
      <c r="C87" s="1437" t="s">
        <v>207</v>
      </c>
      <c r="D87" s="1495">
        <v>0</v>
      </c>
      <c r="E87" s="1437" t="s">
        <v>181</v>
      </c>
      <c r="F87" s="1437" t="s">
        <v>186</v>
      </c>
      <c r="G87" s="1446"/>
      <c r="H87" s="1446"/>
      <c r="I87" s="1457">
        <v>0</v>
      </c>
      <c r="J87" s="1440"/>
      <c r="K87" s="1440"/>
      <c r="L87" s="1470" t="e">
        <v>#N/A</v>
      </c>
      <c r="M87" s="1470" t="e">
        <v>#N/A</v>
      </c>
      <c r="N87" s="1509" t="e">
        <v>#DIV/0!</v>
      </c>
      <c r="O87" s="1509" t="e">
        <v>#DIV/0!</v>
      </c>
      <c r="P87" s="1462" t="e">
        <v>#N/A</v>
      </c>
      <c r="Q87" s="1509" t="e">
        <v>#N/A</v>
      </c>
      <c r="R87" s="1509" t="e">
        <v>#N/A</v>
      </c>
      <c r="S87" s="1459">
        <v>0</v>
      </c>
      <c r="T87" s="1459">
        <v>0</v>
      </c>
      <c r="U87" s="1459">
        <v>0</v>
      </c>
    </row>
    <row r="88" spans="2:24">
      <c r="B88" s="1437"/>
      <c r="C88" s="1437" t="s">
        <v>208</v>
      </c>
      <c r="D88" s="1495">
        <v>0</v>
      </c>
      <c r="E88" s="1437" t="s">
        <v>181</v>
      </c>
      <c r="F88" s="1437" t="s">
        <v>186</v>
      </c>
      <c r="G88" s="1446"/>
      <c r="H88" s="1446"/>
      <c r="I88" s="1457">
        <v>0</v>
      </c>
      <c r="J88" s="1440"/>
      <c r="K88" s="1440"/>
      <c r="L88" s="1470" t="e">
        <v>#N/A</v>
      </c>
      <c r="M88" s="1470" t="e">
        <v>#N/A</v>
      </c>
      <c r="N88" s="1509" t="e">
        <v>#DIV/0!</v>
      </c>
      <c r="O88" s="1509" t="e">
        <v>#DIV/0!</v>
      </c>
      <c r="P88" s="1462" t="e">
        <v>#N/A</v>
      </c>
      <c r="Q88" s="1509" t="e">
        <v>#N/A</v>
      </c>
      <c r="R88" s="1509" t="e">
        <v>#N/A</v>
      </c>
      <c r="S88" s="1459">
        <v>0</v>
      </c>
      <c r="T88" s="1459">
        <v>0</v>
      </c>
      <c r="U88" s="1459">
        <v>0</v>
      </c>
    </row>
    <row r="89" spans="2:24">
      <c r="B89" s="1437"/>
      <c r="C89" s="1437" t="s">
        <v>209</v>
      </c>
      <c r="D89" s="1495">
        <v>0</v>
      </c>
      <c r="E89" s="1437" t="s">
        <v>181</v>
      </c>
      <c r="F89" s="1437" t="s">
        <v>186</v>
      </c>
      <c r="G89" s="1446"/>
      <c r="H89" s="1446"/>
      <c r="I89" s="1457">
        <v>0</v>
      </c>
      <c r="J89" s="1440"/>
      <c r="K89" s="1440"/>
      <c r="L89" s="1470" t="e">
        <v>#N/A</v>
      </c>
      <c r="M89" s="1470" t="e">
        <v>#N/A</v>
      </c>
      <c r="N89" s="1509" t="e">
        <v>#DIV/0!</v>
      </c>
      <c r="O89" s="1509" t="e">
        <v>#DIV/0!</v>
      </c>
      <c r="P89" s="1462" t="e">
        <v>#N/A</v>
      </c>
      <c r="Q89" s="1509" t="e">
        <v>#N/A</v>
      </c>
      <c r="R89" s="1509" t="e">
        <v>#N/A</v>
      </c>
      <c r="S89" s="1459">
        <v>0</v>
      </c>
      <c r="T89" s="1459">
        <v>0</v>
      </c>
      <c r="U89" s="1459">
        <v>0</v>
      </c>
    </row>
    <row r="90" spans="2:24">
      <c r="B90" s="1437"/>
      <c r="C90" s="1437" t="s">
        <v>210</v>
      </c>
      <c r="D90" s="1495">
        <v>0</v>
      </c>
      <c r="E90" s="1437" t="s">
        <v>181</v>
      </c>
      <c r="F90" s="1437" t="s">
        <v>186</v>
      </c>
      <c r="G90" s="1446"/>
      <c r="H90" s="1446"/>
      <c r="I90" s="1457">
        <v>0</v>
      </c>
      <c r="J90" s="1440"/>
      <c r="K90" s="1440"/>
      <c r="L90" s="1470" t="e">
        <v>#N/A</v>
      </c>
      <c r="M90" s="1470" t="e">
        <v>#N/A</v>
      </c>
      <c r="N90" s="1509" t="e">
        <v>#DIV/0!</v>
      </c>
      <c r="O90" s="1509" t="e">
        <v>#DIV/0!</v>
      </c>
      <c r="P90" s="1462" t="e">
        <v>#N/A</v>
      </c>
      <c r="Q90" s="1509" t="e">
        <v>#N/A</v>
      </c>
      <c r="R90" s="1509" t="e">
        <v>#N/A</v>
      </c>
      <c r="S90" s="1459">
        <v>0</v>
      </c>
      <c r="T90" s="1459">
        <v>0</v>
      </c>
      <c r="U90" s="1459">
        <v>0</v>
      </c>
    </row>
    <row r="91" spans="2:24">
      <c r="B91" s="1437"/>
      <c r="C91" s="1437" t="s">
        <v>211</v>
      </c>
      <c r="D91" s="1495">
        <v>0</v>
      </c>
      <c r="E91" s="1437" t="s">
        <v>181</v>
      </c>
      <c r="F91" s="1437" t="s">
        <v>186</v>
      </c>
      <c r="G91" s="1446"/>
      <c r="H91" s="1446"/>
      <c r="I91" s="1457">
        <v>0</v>
      </c>
      <c r="J91" s="1440"/>
      <c r="K91" s="1440"/>
      <c r="L91" s="1470" t="e">
        <v>#N/A</v>
      </c>
      <c r="M91" s="1470" t="e">
        <v>#N/A</v>
      </c>
      <c r="N91" s="1509" t="e">
        <v>#DIV/0!</v>
      </c>
      <c r="O91" s="1509" t="e">
        <v>#DIV/0!</v>
      </c>
      <c r="P91" s="1462" t="e">
        <v>#N/A</v>
      </c>
      <c r="Q91" s="1509" t="e">
        <v>#N/A</v>
      </c>
      <c r="R91" s="1509" t="e">
        <v>#N/A</v>
      </c>
      <c r="S91" s="1459">
        <v>0</v>
      </c>
      <c r="T91" s="1459">
        <v>0</v>
      </c>
      <c r="U91" s="1459">
        <v>0</v>
      </c>
    </row>
    <row r="92" spans="2:24">
      <c r="B92" s="1437"/>
      <c r="C92" s="1437" t="s">
        <v>212</v>
      </c>
      <c r="D92" s="1495">
        <v>0</v>
      </c>
      <c r="E92" s="1437" t="s">
        <v>181</v>
      </c>
      <c r="F92" s="1437" t="s">
        <v>186</v>
      </c>
      <c r="G92" s="1446"/>
      <c r="H92" s="1446"/>
      <c r="I92" s="1457">
        <v>0</v>
      </c>
      <c r="J92" s="1440"/>
      <c r="K92" s="1440"/>
      <c r="L92" s="1470" t="e">
        <v>#N/A</v>
      </c>
      <c r="M92" s="1470" t="e">
        <v>#N/A</v>
      </c>
      <c r="N92" s="1509" t="e">
        <v>#DIV/0!</v>
      </c>
      <c r="O92" s="1509" t="e">
        <v>#DIV/0!</v>
      </c>
      <c r="P92" s="1462" t="e">
        <v>#N/A</v>
      </c>
      <c r="Q92" s="1509" t="e">
        <v>#N/A</v>
      </c>
      <c r="R92" s="1509" t="e">
        <v>#N/A</v>
      </c>
      <c r="S92" s="1459">
        <v>0</v>
      </c>
      <c r="T92" s="1459">
        <v>0</v>
      </c>
      <c r="U92" s="1459">
        <v>0</v>
      </c>
    </row>
    <row r="93" spans="2:24">
      <c r="B93" s="1437"/>
      <c r="C93" s="1437" t="s">
        <v>213</v>
      </c>
      <c r="D93" s="1495">
        <v>0</v>
      </c>
      <c r="E93" s="1437" t="s">
        <v>181</v>
      </c>
      <c r="F93" s="1437" t="s">
        <v>186</v>
      </c>
      <c r="G93" s="1446"/>
      <c r="H93" s="1446"/>
      <c r="I93" s="1457">
        <v>0</v>
      </c>
      <c r="J93" s="1440"/>
      <c r="K93" s="1440"/>
      <c r="L93" s="1470" t="e">
        <v>#N/A</v>
      </c>
      <c r="M93" s="1470" t="e">
        <v>#N/A</v>
      </c>
      <c r="N93" s="1509" t="e">
        <v>#DIV/0!</v>
      </c>
      <c r="O93" s="1509" t="e">
        <v>#DIV/0!</v>
      </c>
      <c r="P93" s="1462" t="e">
        <v>#N/A</v>
      </c>
      <c r="Q93" s="1509" t="e">
        <v>#N/A</v>
      </c>
      <c r="R93" s="1509" t="e">
        <v>#N/A</v>
      </c>
      <c r="S93" s="1459">
        <v>0</v>
      </c>
      <c r="T93" s="1459">
        <v>0</v>
      </c>
      <c r="U93" s="1459">
        <v>0</v>
      </c>
    </row>
    <row r="94" spans="2:24">
      <c r="B94" s="1437"/>
      <c r="C94" s="1437" t="s">
        <v>214</v>
      </c>
      <c r="D94" s="1495">
        <v>0</v>
      </c>
      <c r="E94" s="1437" t="s">
        <v>181</v>
      </c>
      <c r="F94" s="1437" t="s">
        <v>186</v>
      </c>
      <c r="G94" s="1446"/>
      <c r="H94" s="1446"/>
      <c r="I94" s="1457">
        <v>0</v>
      </c>
      <c r="J94" s="1440"/>
      <c r="K94" s="1440"/>
      <c r="L94" s="1470" t="e">
        <v>#N/A</v>
      </c>
      <c r="M94" s="1470" t="e">
        <v>#N/A</v>
      </c>
      <c r="N94" s="1509" t="e">
        <v>#DIV/0!</v>
      </c>
      <c r="O94" s="1509" t="e">
        <v>#DIV/0!</v>
      </c>
      <c r="P94" s="1462" t="e">
        <v>#N/A</v>
      </c>
      <c r="Q94" s="1509" t="e">
        <v>#N/A</v>
      </c>
      <c r="R94" s="1509" t="e">
        <v>#N/A</v>
      </c>
      <c r="S94" s="1459">
        <v>0</v>
      </c>
      <c r="T94" s="1459">
        <v>0</v>
      </c>
      <c r="U94" s="1459">
        <v>0</v>
      </c>
    </row>
    <row r="95" spans="2:24">
      <c r="B95" s="1437"/>
      <c r="C95" s="1437" t="s">
        <v>215</v>
      </c>
      <c r="D95" s="1495">
        <v>0</v>
      </c>
      <c r="E95" s="1437" t="s">
        <v>181</v>
      </c>
      <c r="F95" s="1437" t="s">
        <v>186</v>
      </c>
      <c r="G95" s="1446"/>
      <c r="H95" s="1446"/>
      <c r="I95" s="1457">
        <v>0</v>
      </c>
      <c r="J95" s="1440"/>
      <c r="K95" s="1440"/>
      <c r="L95" s="1470" t="e">
        <v>#N/A</v>
      </c>
      <c r="M95" s="1470" t="e">
        <v>#N/A</v>
      </c>
      <c r="N95" s="1509" t="e">
        <v>#DIV/0!</v>
      </c>
      <c r="O95" s="1509" t="e">
        <v>#DIV/0!</v>
      </c>
      <c r="P95" s="1462" t="e">
        <v>#N/A</v>
      </c>
      <c r="Q95" s="1509" t="e">
        <v>#N/A</v>
      </c>
      <c r="R95" s="1509" t="e">
        <v>#N/A</v>
      </c>
      <c r="S95" s="1459">
        <v>0</v>
      </c>
      <c r="T95" s="1459">
        <v>0</v>
      </c>
      <c r="U95" s="1459">
        <v>0</v>
      </c>
    </row>
    <row r="96" spans="2:24">
      <c r="B96" s="1437"/>
      <c r="C96" s="1437" t="s">
        <v>216</v>
      </c>
      <c r="D96" s="1495">
        <v>0</v>
      </c>
      <c r="E96" s="1437" t="s">
        <v>181</v>
      </c>
      <c r="F96" s="1437" t="s">
        <v>186</v>
      </c>
      <c r="G96" s="1446"/>
      <c r="H96" s="1446"/>
      <c r="I96" s="1457">
        <v>0</v>
      </c>
      <c r="J96" s="1440"/>
      <c r="K96" s="1440"/>
      <c r="L96" s="1470" t="e">
        <v>#N/A</v>
      </c>
      <c r="M96" s="1470" t="e">
        <v>#N/A</v>
      </c>
      <c r="N96" s="1509" t="e">
        <v>#DIV/0!</v>
      </c>
      <c r="O96" s="1509" t="e">
        <v>#DIV/0!</v>
      </c>
      <c r="P96" s="1462" t="e">
        <v>#N/A</v>
      </c>
      <c r="Q96" s="1509" t="e">
        <v>#N/A</v>
      </c>
      <c r="R96" s="1509" t="e">
        <v>#N/A</v>
      </c>
      <c r="S96" s="1459">
        <v>0</v>
      </c>
      <c r="T96" s="1459">
        <v>0</v>
      </c>
      <c r="U96" s="1459">
        <v>0</v>
      </c>
    </row>
    <row r="97" spans="2:21">
      <c r="B97" s="1437"/>
      <c r="C97" s="1437" t="s">
        <v>217</v>
      </c>
      <c r="D97" s="1495">
        <v>0</v>
      </c>
      <c r="E97" s="1437" t="s">
        <v>181</v>
      </c>
      <c r="F97" s="1437" t="s">
        <v>186</v>
      </c>
      <c r="G97" s="1446"/>
      <c r="H97" s="1446"/>
      <c r="I97" s="1457">
        <v>0</v>
      </c>
      <c r="J97" s="1440"/>
      <c r="K97" s="1440"/>
      <c r="L97" s="1470" t="e">
        <v>#N/A</v>
      </c>
      <c r="M97" s="1470" t="e">
        <v>#N/A</v>
      </c>
      <c r="N97" s="1509" t="e">
        <v>#DIV/0!</v>
      </c>
      <c r="O97" s="1509" t="e">
        <v>#DIV/0!</v>
      </c>
      <c r="P97" s="1462" t="e">
        <v>#N/A</v>
      </c>
      <c r="Q97" s="1509" t="e">
        <v>#N/A</v>
      </c>
      <c r="R97" s="1509" t="e">
        <v>#N/A</v>
      </c>
      <c r="S97" s="1459">
        <v>0</v>
      </c>
      <c r="T97" s="1459">
        <v>0</v>
      </c>
      <c r="U97" s="1459">
        <v>0</v>
      </c>
    </row>
    <row r="98" spans="2:21">
      <c r="B98" s="1437"/>
      <c r="C98" s="1437" t="s">
        <v>218</v>
      </c>
      <c r="D98" s="1495">
        <v>0</v>
      </c>
      <c r="E98" s="1437" t="s">
        <v>181</v>
      </c>
      <c r="F98" s="1437" t="s">
        <v>186</v>
      </c>
      <c r="G98" s="1446"/>
      <c r="H98" s="1446"/>
      <c r="I98" s="1457">
        <v>0</v>
      </c>
      <c r="J98" s="1440"/>
      <c r="K98" s="1440"/>
      <c r="L98" s="1470" t="e">
        <v>#N/A</v>
      </c>
      <c r="M98" s="1470" t="e">
        <v>#N/A</v>
      </c>
      <c r="N98" s="1509" t="e">
        <v>#DIV/0!</v>
      </c>
      <c r="O98" s="1509" t="e">
        <v>#DIV/0!</v>
      </c>
      <c r="P98" s="1462" t="e">
        <v>#N/A</v>
      </c>
      <c r="Q98" s="1509" t="e">
        <v>#N/A</v>
      </c>
      <c r="R98" s="1509" t="e">
        <v>#N/A</v>
      </c>
      <c r="S98" s="1459">
        <v>0</v>
      </c>
      <c r="T98" s="1459">
        <v>0</v>
      </c>
      <c r="U98" s="1459">
        <v>0</v>
      </c>
    </row>
    <row r="99" spans="2:21">
      <c r="B99" s="1437"/>
      <c r="C99" s="1437" t="s">
        <v>219</v>
      </c>
      <c r="D99" s="1495">
        <v>0</v>
      </c>
      <c r="E99" s="1437" t="s">
        <v>181</v>
      </c>
      <c r="F99" s="1437" t="s">
        <v>186</v>
      </c>
      <c r="G99" s="1446"/>
      <c r="H99" s="1446"/>
      <c r="I99" s="1457">
        <v>0</v>
      </c>
      <c r="J99" s="1440"/>
      <c r="K99" s="1440"/>
      <c r="L99" s="1470" t="e">
        <v>#N/A</v>
      </c>
      <c r="M99" s="1470" t="e">
        <v>#N/A</v>
      </c>
      <c r="N99" s="1509" t="e">
        <v>#DIV/0!</v>
      </c>
      <c r="O99" s="1509" t="e">
        <v>#DIV/0!</v>
      </c>
      <c r="P99" s="1462" t="e">
        <v>#N/A</v>
      </c>
      <c r="Q99" s="1509" t="e">
        <v>#N/A</v>
      </c>
      <c r="R99" s="1509" t="e">
        <v>#N/A</v>
      </c>
      <c r="S99" s="1459">
        <v>0</v>
      </c>
      <c r="T99" s="1459">
        <v>0</v>
      </c>
      <c r="U99" s="1459">
        <v>0</v>
      </c>
    </row>
    <row r="100" spans="2:21">
      <c r="B100" s="1437"/>
      <c r="C100" s="1437" t="s">
        <v>220</v>
      </c>
      <c r="D100" s="1495">
        <v>0</v>
      </c>
      <c r="E100" s="1437" t="s">
        <v>181</v>
      </c>
      <c r="F100" s="1437" t="s">
        <v>186</v>
      </c>
      <c r="G100" s="1446"/>
      <c r="H100" s="1446"/>
      <c r="I100" s="1457">
        <v>0</v>
      </c>
      <c r="J100" s="1440"/>
      <c r="K100" s="1440"/>
      <c r="L100" s="1470" t="e">
        <v>#N/A</v>
      </c>
      <c r="M100" s="1470" t="e">
        <v>#N/A</v>
      </c>
      <c r="N100" s="1509" t="e">
        <v>#DIV/0!</v>
      </c>
      <c r="O100" s="1509" t="e">
        <v>#DIV/0!</v>
      </c>
      <c r="P100" s="1462" t="e">
        <v>#N/A</v>
      </c>
      <c r="Q100" s="1509" t="e">
        <v>#N/A</v>
      </c>
      <c r="R100" s="1509" t="e">
        <v>#N/A</v>
      </c>
      <c r="S100" s="1459">
        <v>0</v>
      </c>
      <c r="T100" s="1459">
        <v>0</v>
      </c>
      <c r="U100" s="1459">
        <v>0</v>
      </c>
    </row>
    <row r="101" spans="2:21">
      <c r="B101" s="1437"/>
      <c r="C101" s="1437" t="s">
        <v>221</v>
      </c>
      <c r="D101" s="1495">
        <v>0</v>
      </c>
      <c r="E101" s="1437" t="s">
        <v>181</v>
      </c>
      <c r="F101" s="1437" t="s">
        <v>186</v>
      </c>
      <c r="G101" s="1446"/>
      <c r="H101" s="1446"/>
      <c r="I101" s="1457">
        <v>0</v>
      </c>
      <c r="J101" s="1440"/>
      <c r="K101" s="1440"/>
      <c r="L101" s="1470" t="e">
        <v>#N/A</v>
      </c>
      <c r="M101" s="1470" t="e">
        <v>#N/A</v>
      </c>
      <c r="N101" s="1509" t="e">
        <v>#DIV/0!</v>
      </c>
      <c r="O101" s="1509" t="e">
        <v>#DIV/0!</v>
      </c>
      <c r="P101" s="1462" t="e">
        <v>#N/A</v>
      </c>
      <c r="Q101" s="1509" t="e">
        <v>#N/A</v>
      </c>
      <c r="R101" s="1509" t="e">
        <v>#N/A</v>
      </c>
      <c r="S101" s="1459">
        <v>0</v>
      </c>
      <c r="T101" s="1459">
        <v>0</v>
      </c>
      <c r="U101" s="1459">
        <v>0</v>
      </c>
    </row>
    <row r="102" spans="2:21">
      <c r="B102" s="1437"/>
      <c r="C102" s="1437" t="s">
        <v>222</v>
      </c>
      <c r="D102" s="1495">
        <v>0</v>
      </c>
      <c r="E102" s="1437" t="s">
        <v>181</v>
      </c>
      <c r="F102" s="1437" t="s">
        <v>186</v>
      </c>
      <c r="G102" s="1446"/>
      <c r="H102" s="1446"/>
      <c r="I102" s="1457">
        <v>0</v>
      </c>
      <c r="J102" s="1440"/>
      <c r="K102" s="1440"/>
      <c r="L102" s="1470" t="e">
        <v>#N/A</v>
      </c>
      <c r="M102" s="1470" t="e">
        <v>#N/A</v>
      </c>
      <c r="N102" s="1509" t="e">
        <v>#DIV/0!</v>
      </c>
      <c r="O102" s="1509" t="e">
        <v>#DIV/0!</v>
      </c>
      <c r="P102" s="1462" t="e">
        <v>#N/A</v>
      </c>
      <c r="Q102" s="1509" t="e">
        <v>#N/A</v>
      </c>
      <c r="R102" s="1509" t="e">
        <v>#N/A</v>
      </c>
      <c r="S102" s="1459">
        <v>0</v>
      </c>
      <c r="T102" s="1459">
        <v>0</v>
      </c>
      <c r="U102" s="1459">
        <v>0</v>
      </c>
    </row>
    <row r="103" spans="2:21">
      <c r="B103" s="1437"/>
      <c r="C103" s="1437" t="s">
        <v>223</v>
      </c>
      <c r="D103" s="1495">
        <v>0</v>
      </c>
      <c r="E103" s="1437" t="s">
        <v>181</v>
      </c>
      <c r="F103" s="1437" t="s">
        <v>186</v>
      </c>
      <c r="G103" s="1446"/>
      <c r="H103" s="1446"/>
      <c r="I103" s="1457">
        <v>0</v>
      </c>
      <c r="J103" s="1440"/>
      <c r="K103" s="1440"/>
      <c r="L103" s="1470" t="e">
        <v>#N/A</v>
      </c>
      <c r="M103" s="1470" t="e">
        <v>#N/A</v>
      </c>
      <c r="N103" s="1509" t="e">
        <v>#DIV/0!</v>
      </c>
      <c r="O103" s="1509" t="e">
        <v>#DIV/0!</v>
      </c>
      <c r="P103" s="1462" t="e">
        <v>#N/A</v>
      </c>
      <c r="Q103" s="1509" t="e">
        <v>#N/A</v>
      </c>
      <c r="R103" s="1509" t="e">
        <v>#N/A</v>
      </c>
      <c r="S103" s="1459">
        <v>0</v>
      </c>
      <c r="T103" s="1459">
        <v>0</v>
      </c>
      <c r="U103" s="1459">
        <v>0</v>
      </c>
    </row>
    <row r="104" spans="2:21">
      <c r="B104" s="1437"/>
      <c r="C104" s="1437" t="s">
        <v>224</v>
      </c>
      <c r="D104" s="1495">
        <v>0</v>
      </c>
      <c r="E104" s="1437" t="s">
        <v>181</v>
      </c>
      <c r="F104" s="1437" t="s">
        <v>186</v>
      </c>
      <c r="G104" s="1446"/>
      <c r="H104" s="1446"/>
      <c r="I104" s="1457">
        <v>0</v>
      </c>
      <c r="J104" s="1440"/>
      <c r="K104" s="1440"/>
      <c r="L104" s="1470" t="e">
        <v>#N/A</v>
      </c>
      <c r="M104" s="1470" t="e">
        <v>#N/A</v>
      </c>
      <c r="N104" s="1509" t="e">
        <v>#DIV/0!</v>
      </c>
      <c r="O104" s="1509" t="e">
        <v>#DIV/0!</v>
      </c>
      <c r="P104" s="1462" t="e">
        <v>#N/A</v>
      </c>
      <c r="Q104" s="1509" t="e">
        <v>#N/A</v>
      </c>
      <c r="R104" s="1509" t="e">
        <v>#N/A</v>
      </c>
      <c r="S104" s="1459">
        <v>0</v>
      </c>
      <c r="T104" s="1459">
        <v>0</v>
      </c>
      <c r="U104" s="1459">
        <v>0</v>
      </c>
    </row>
    <row r="105" spans="2:21">
      <c r="B105" s="1437"/>
      <c r="C105" s="1437" t="s">
        <v>225</v>
      </c>
      <c r="D105" s="1495">
        <v>0</v>
      </c>
      <c r="E105" s="1437" t="s">
        <v>181</v>
      </c>
      <c r="F105" s="1437" t="s">
        <v>186</v>
      </c>
      <c r="G105" s="1446"/>
      <c r="H105" s="1446"/>
      <c r="I105" s="1457">
        <v>0</v>
      </c>
      <c r="J105" s="1440"/>
      <c r="K105" s="1440"/>
      <c r="L105" s="1470" t="e">
        <v>#N/A</v>
      </c>
      <c r="M105" s="1470" t="e">
        <v>#N/A</v>
      </c>
      <c r="N105" s="1509" t="e">
        <v>#DIV/0!</v>
      </c>
      <c r="O105" s="1509" t="e">
        <v>#DIV/0!</v>
      </c>
      <c r="P105" s="1462" t="e">
        <v>#N/A</v>
      </c>
      <c r="Q105" s="1509" t="e">
        <v>#N/A</v>
      </c>
      <c r="R105" s="1509" t="e">
        <v>#N/A</v>
      </c>
      <c r="S105" s="1459">
        <v>0</v>
      </c>
      <c r="T105" s="1459">
        <v>0</v>
      </c>
      <c r="U105" s="1459">
        <v>0</v>
      </c>
    </row>
    <row r="106" spans="2:21" ht="13.5" thickBot="1">
      <c r="B106" s="1437"/>
      <c r="C106" s="1437" t="s">
        <v>226</v>
      </c>
      <c r="D106" s="1495">
        <v>0</v>
      </c>
      <c r="E106" s="1437" t="s">
        <v>181</v>
      </c>
      <c r="F106" s="1437" t="s">
        <v>186</v>
      </c>
      <c r="G106" s="1446"/>
      <c r="H106" s="1446"/>
      <c r="I106" s="1457">
        <v>0</v>
      </c>
      <c r="J106" s="1440"/>
      <c r="K106" s="1440"/>
      <c r="L106" s="1473" t="e">
        <v>#N/A</v>
      </c>
      <c r="M106" s="1473" t="e">
        <v>#N/A</v>
      </c>
      <c r="N106" s="1510" t="e">
        <v>#DIV/0!</v>
      </c>
      <c r="O106" s="1510" t="e">
        <v>#DIV/0!</v>
      </c>
      <c r="P106" s="1462" t="e">
        <v>#N/A</v>
      </c>
      <c r="Q106" s="1509" t="e">
        <v>#N/A</v>
      </c>
      <c r="R106" s="1510" t="e">
        <v>#N/A</v>
      </c>
      <c r="S106" s="1459">
        <v>0</v>
      </c>
      <c r="T106" s="1459">
        <v>0</v>
      </c>
      <c r="U106" s="1459">
        <v>0</v>
      </c>
    </row>
    <row r="107" spans="2:21" ht="13.5" thickBot="1">
      <c r="B107" s="1433"/>
      <c r="C107" s="1433"/>
      <c r="D107" s="1433"/>
      <c r="E107" s="1433"/>
      <c r="F107" s="1433"/>
      <c r="G107" s="1472">
        <v>0</v>
      </c>
      <c r="H107" s="1458">
        <v>0</v>
      </c>
      <c r="I107" s="1471">
        <v>0</v>
      </c>
      <c r="J107" s="1436" t="e">
        <v>#DIV/0!</v>
      </c>
      <c r="K107" s="1434" t="s">
        <v>371</v>
      </c>
      <c r="L107" s="1474" t="e">
        <v>#DIV/0!</v>
      </c>
      <c r="M107" s="1475" t="e">
        <v>#DIV/0!</v>
      </c>
      <c r="N107" s="1511" t="e">
        <v>#DIV/0!</v>
      </c>
      <c r="O107" s="1511" t="e">
        <v>#DIV/0!</v>
      </c>
      <c r="P107" s="1511" t="e">
        <v>#DIV/0!</v>
      </c>
      <c r="Q107" s="1512" t="e">
        <v>#DIV/0!</v>
      </c>
      <c r="R107" s="1512" t="e">
        <v>#DIV/0!</v>
      </c>
      <c r="S107" s="1460">
        <v>0</v>
      </c>
      <c r="T107" s="1460">
        <v>0</v>
      </c>
      <c r="U107" s="1460">
        <v>0</v>
      </c>
    </row>
  </sheetData>
  <sheetProtection password="9E1F" sheet="1" objects="1" scenarios="1"/>
  <customSheetViews>
    <customSheetView guid="{074EB09C-6289-46D7-9513-012B68BCA7BF}" fitToPage="1">
      <pane xSplit="1" ySplit="1" topLeftCell="B2" activePane="bottomRight" state="frozen"/>
      <selection pane="bottomRight"/>
      <pageMargins left="0.2" right="0.31" top="0.35" bottom="0.46" header="0.3" footer="0.3"/>
      <pageSetup paperSize="17" scale="51" orientation="landscape" r:id="rId1"/>
    </customSheetView>
    <customSheetView guid="{AF9F1D33-B8C2-423F-86A1-47612B8F532C}" fitToPage="1">
      <pane xSplit="1" ySplit="1" topLeftCell="B2" activePane="bottomRight" state="frozenSplit"/>
      <selection pane="bottomRight" activeCell="C25" sqref="C25:C26"/>
      <pageMargins left="0.7" right="0.7" top="0.75" bottom="0.75" header="0.3" footer="0.3"/>
      <pageSetup paperSize="17" scale="51" orientation="landscape"/>
    </customSheetView>
  </customSheetViews>
  <mergeCells count="14">
    <mergeCell ref="S63:U63"/>
    <mergeCell ref="V63:X63"/>
    <mergeCell ref="C12:F12"/>
    <mergeCell ref="I12:L12"/>
    <mergeCell ref="M12:O12"/>
    <mergeCell ref="P12:R12"/>
    <mergeCell ref="I13:K13"/>
    <mergeCell ref="L63:R63"/>
    <mergeCell ref="V2:V3"/>
    <mergeCell ref="D11:E11"/>
    <mergeCell ref="I11:L11"/>
    <mergeCell ref="M11:N11"/>
    <mergeCell ref="Q2:R2"/>
    <mergeCell ref="S2:U2"/>
  </mergeCells>
  <pageMargins left="0.2" right="0.31" top="0.35" bottom="0.46" header="0.3" footer="0.3"/>
  <pageSetup paperSize="17" scale="50" orientation="landscape" r:id="rId2"/>
  <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pageSetUpPr fitToPage="1"/>
  </sheetPr>
  <dimension ref="A1:X205"/>
  <sheetViews>
    <sheetView zoomScaleNormal="100" zoomScalePageLayoutView="7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6.42578125" style="3064" customWidth="1"/>
    <col min="2" max="2" width="17.7109375" customWidth="1"/>
    <col min="3" max="3" width="38.42578125" customWidth="1"/>
    <col min="4" max="4" width="16.85546875" style="19" customWidth="1"/>
    <col min="5" max="5" width="15.140625" customWidth="1"/>
    <col min="6" max="6" width="19.28515625" customWidth="1"/>
    <col min="7" max="7" width="13.42578125" customWidth="1"/>
    <col min="8" max="8" width="15.28515625" bestFit="1" customWidth="1"/>
    <col min="9" max="9" width="14.140625" bestFit="1" customWidth="1"/>
    <col min="10" max="10" width="12" bestFit="1" customWidth="1"/>
    <col min="11" max="11" width="16.7109375" bestFit="1" customWidth="1"/>
    <col min="12" max="12" width="17" bestFit="1" customWidth="1"/>
    <col min="13" max="13" width="18.7109375" customWidth="1"/>
    <col min="14" max="14" width="13.7109375" customWidth="1"/>
    <col min="15" max="17" width="15.42578125" bestFit="1"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34" bestFit="1" customWidth="1"/>
    <col min="261" max="261" width="13.42578125" bestFit="1" customWidth="1"/>
    <col min="262" max="262" width="46.42578125" bestFit="1" customWidth="1"/>
    <col min="263" max="263" width="13.42578125" customWidth="1"/>
    <col min="264" max="264" width="15.28515625" bestFit="1" customWidth="1"/>
    <col min="265" max="265" width="14.140625" bestFit="1" customWidth="1"/>
    <col min="266" max="266" width="12" bestFit="1" customWidth="1"/>
    <col min="267" max="267" width="16.7109375" bestFit="1" customWidth="1"/>
    <col min="268" max="268" width="17" bestFit="1" customWidth="1"/>
    <col min="269" max="269" width="18.7109375" customWidth="1"/>
    <col min="270" max="270" width="13.7109375" customWidth="1"/>
    <col min="271" max="273" width="15.42578125" bestFit="1"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34" bestFit="1" customWidth="1"/>
    <col min="517" max="517" width="13.42578125" bestFit="1" customWidth="1"/>
    <col min="518" max="518" width="46.42578125" bestFit="1" customWidth="1"/>
    <col min="519" max="519" width="13.42578125" customWidth="1"/>
    <col min="520" max="520" width="15.28515625" bestFit="1" customWidth="1"/>
    <col min="521" max="521" width="14.140625" bestFit="1" customWidth="1"/>
    <col min="522" max="522" width="12" bestFit="1" customWidth="1"/>
    <col min="523" max="523" width="16.7109375" bestFit="1" customWidth="1"/>
    <col min="524" max="524" width="17" bestFit="1" customWidth="1"/>
    <col min="525" max="525" width="18.7109375" customWidth="1"/>
    <col min="526" max="526" width="13.7109375" customWidth="1"/>
    <col min="527" max="529" width="15.42578125" bestFit="1"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34" bestFit="1" customWidth="1"/>
    <col min="773" max="773" width="13.42578125" bestFit="1" customWidth="1"/>
    <col min="774" max="774" width="46.42578125" bestFit="1" customWidth="1"/>
    <col min="775" max="775" width="13.42578125" customWidth="1"/>
    <col min="776" max="776" width="15.28515625" bestFit="1" customWidth="1"/>
    <col min="777" max="777" width="14.140625" bestFit="1" customWidth="1"/>
    <col min="778" max="778" width="12" bestFit="1" customWidth="1"/>
    <col min="779" max="779" width="16.7109375" bestFit="1" customWidth="1"/>
    <col min="780" max="780" width="17" bestFit="1" customWidth="1"/>
    <col min="781" max="781" width="18.7109375" customWidth="1"/>
    <col min="782" max="782" width="13.7109375" customWidth="1"/>
    <col min="783" max="785" width="15.42578125" bestFit="1"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34" bestFit="1" customWidth="1"/>
    <col min="1029" max="1029" width="13.42578125" bestFit="1" customWidth="1"/>
    <col min="1030" max="1030" width="46.42578125" bestFit="1" customWidth="1"/>
    <col min="1031" max="1031" width="13.42578125" customWidth="1"/>
    <col min="1032" max="1032" width="15.28515625" bestFit="1" customWidth="1"/>
    <col min="1033" max="1033" width="14.140625" bestFit="1" customWidth="1"/>
    <col min="1034" max="1034" width="12" bestFit="1" customWidth="1"/>
    <col min="1035" max="1035" width="16.7109375" bestFit="1" customWidth="1"/>
    <col min="1036" max="1036" width="17" bestFit="1" customWidth="1"/>
    <col min="1037" max="1037" width="18.7109375" customWidth="1"/>
    <col min="1038" max="1038" width="13.7109375" customWidth="1"/>
    <col min="1039" max="1041" width="15.42578125" bestFit="1"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34" bestFit="1" customWidth="1"/>
    <col min="1285" max="1285" width="13.42578125" bestFit="1" customWidth="1"/>
    <col min="1286" max="1286" width="46.42578125" bestFit="1" customWidth="1"/>
    <col min="1287" max="1287" width="13.42578125" customWidth="1"/>
    <col min="1288" max="1288" width="15.28515625" bestFit="1" customWidth="1"/>
    <col min="1289" max="1289" width="14.140625" bestFit="1" customWidth="1"/>
    <col min="1290" max="1290" width="12" bestFit="1" customWidth="1"/>
    <col min="1291" max="1291" width="16.7109375" bestFit="1" customWidth="1"/>
    <col min="1292" max="1292" width="17" bestFit="1" customWidth="1"/>
    <col min="1293" max="1293" width="18.7109375" customWidth="1"/>
    <col min="1294" max="1294" width="13.7109375" customWidth="1"/>
    <col min="1295" max="1297" width="15.42578125" bestFit="1"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34" bestFit="1" customWidth="1"/>
    <col min="1541" max="1541" width="13.42578125" bestFit="1" customWidth="1"/>
    <col min="1542" max="1542" width="46.42578125" bestFit="1" customWidth="1"/>
    <col min="1543" max="1543" width="13.42578125" customWidth="1"/>
    <col min="1544" max="1544" width="15.28515625" bestFit="1" customWidth="1"/>
    <col min="1545" max="1545" width="14.140625" bestFit="1" customWidth="1"/>
    <col min="1546" max="1546" width="12" bestFit="1" customWidth="1"/>
    <col min="1547" max="1547" width="16.7109375" bestFit="1" customWidth="1"/>
    <col min="1548" max="1548" width="17" bestFit="1" customWidth="1"/>
    <col min="1549" max="1549" width="18.7109375" customWidth="1"/>
    <col min="1550" max="1550" width="13.7109375" customWidth="1"/>
    <col min="1551" max="1553" width="15.42578125" bestFit="1"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34" bestFit="1" customWidth="1"/>
    <col min="1797" max="1797" width="13.42578125" bestFit="1" customWidth="1"/>
    <col min="1798" max="1798" width="46.42578125" bestFit="1" customWidth="1"/>
    <col min="1799" max="1799" width="13.42578125" customWidth="1"/>
    <col min="1800" max="1800" width="15.28515625" bestFit="1" customWidth="1"/>
    <col min="1801" max="1801" width="14.140625" bestFit="1" customWidth="1"/>
    <col min="1802" max="1802" width="12" bestFit="1" customWidth="1"/>
    <col min="1803" max="1803" width="16.7109375" bestFit="1" customWidth="1"/>
    <col min="1804" max="1804" width="17" bestFit="1" customWidth="1"/>
    <col min="1805" max="1805" width="18.7109375" customWidth="1"/>
    <col min="1806" max="1806" width="13.7109375" customWidth="1"/>
    <col min="1807" max="1809" width="15.42578125" bestFit="1"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34" bestFit="1" customWidth="1"/>
    <col min="2053" max="2053" width="13.42578125" bestFit="1" customWidth="1"/>
    <col min="2054" max="2054" width="46.42578125" bestFit="1" customWidth="1"/>
    <col min="2055" max="2055" width="13.42578125" customWidth="1"/>
    <col min="2056" max="2056" width="15.28515625" bestFit="1" customWidth="1"/>
    <col min="2057" max="2057" width="14.140625" bestFit="1" customWidth="1"/>
    <col min="2058" max="2058" width="12" bestFit="1" customWidth="1"/>
    <col min="2059" max="2059" width="16.7109375" bestFit="1" customWidth="1"/>
    <col min="2060" max="2060" width="17" bestFit="1" customWidth="1"/>
    <col min="2061" max="2061" width="18.7109375" customWidth="1"/>
    <col min="2062" max="2062" width="13.7109375" customWidth="1"/>
    <col min="2063" max="2065" width="15.42578125" bestFit="1"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34" bestFit="1" customWidth="1"/>
    <col min="2309" max="2309" width="13.42578125" bestFit="1" customWidth="1"/>
    <col min="2310" max="2310" width="46.42578125" bestFit="1" customWidth="1"/>
    <col min="2311" max="2311" width="13.42578125" customWidth="1"/>
    <col min="2312" max="2312" width="15.28515625" bestFit="1" customWidth="1"/>
    <col min="2313" max="2313" width="14.140625" bestFit="1" customWidth="1"/>
    <col min="2314" max="2314" width="12" bestFit="1" customWidth="1"/>
    <col min="2315" max="2315" width="16.7109375" bestFit="1" customWidth="1"/>
    <col min="2316" max="2316" width="17" bestFit="1" customWidth="1"/>
    <col min="2317" max="2317" width="18.7109375" customWidth="1"/>
    <col min="2318" max="2318" width="13.7109375" customWidth="1"/>
    <col min="2319" max="2321" width="15.42578125" bestFit="1"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34" bestFit="1" customWidth="1"/>
    <col min="2565" max="2565" width="13.42578125" bestFit="1" customWidth="1"/>
    <col min="2566" max="2566" width="46.42578125" bestFit="1" customWidth="1"/>
    <col min="2567" max="2567" width="13.42578125" customWidth="1"/>
    <col min="2568" max="2568" width="15.28515625" bestFit="1" customWidth="1"/>
    <col min="2569" max="2569" width="14.140625" bestFit="1" customWidth="1"/>
    <col min="2570" max="2570" width="12" bestFit="1" customWidth="1"/>
    <col min="2571" max="2571" width="16.7109375" bestFit="1" customWidth="1"/>
    <col min="2572" max="2572" width="17" bestFit="1" customWidth="1"/>
    <col min="2573" max="2573" width="18.7109375" customWidth="1"/>
    <col min="2574" max="2574" width="13.7109375" customWidth="1"/>
    <col min="2575" max="2577" width="15.42578125" bestFit="1"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34" bestFit="1" customWidth="1"/>
    <col min="2821" max="2821" width="13.42578125" bestFit="1" customWidth="1"/>
    <col min="2822" max="2822" width="46.42578125" bestFit="1" customWidth="1"/>
    <col min="2823" max="2823" width="13.42578125" customWidth="1"/>
    <col min="2824" max="2824" width="15.28515625" bestFit="1" customWidth="1"/>
    <col min="2825" max="2825" width="14.140625" bestFit="1" customWidth="1"/>
    <col min="2826" max="2826" width="12" bestFit="1" customWidth="1"/>
    <col min="2827" max="2827" width="16.7109375" bestFit="1" customWidth="1"/>
    <col min="2828" max="2828" width="17" bestFit="1" customWidth="1"/>
    <col min="2829" max="2829" width="18.7109375" customWidth="1"/>
    <col min="2830" max="2830" width="13.7109375" customWidth="1"/>
    <col min="2831" max="2833" width="15.42578125" bestFit="1"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34" bestFit="1" customWidth="1"/>
    <col min="3077" max="3077" width="13.42578125" bestFit="1" customWidth="1"/>
    <col min="3078" max="3078" width="46.42578125" bestFit="1" customWidth="1"/>
    <col min="3079" max="3079" width="13.42578125" customWidth="1"/>
    <col min="3080" max="3080" width="15.28515625" bestFit="1" customWidth="1"/>
    <col min="3081" max="3081" width="14.140625" bestFit="1" customWidth="1"/>
    <col min="3082" max="3082" width="12" bestFit="1" customWidth="1"/>
    <col min="3083" max="3083" width="16.7109375" bestFit="1" customWidth="1"/>
    <col min="3084" max="3084" width="17" bestFit="1" customWidth="1"/>
    <col min="3085" max="3085" width="18.7109375" customWidth="1"/>
    <col min="3086" max="3086" width="13.7109375" customWidth="1"/>
    <col min="3087" max="3089" width="15.42578125" bestFit="1"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34" bestFit="1" customWidth="1"/>
    <col min="3333" max="3333" width="13.42578125" bestFit="1" customWidth="1"/>
    <col min="3334" max="3334" width="46.42578125" bestFit="1" customWidth="1"/>
    <col min="3335" max="3335" width="13.42578125" customWidth="1"/>
    <col min="3336" max="3336" width="15.28515625" bestFit="1" customWidth="1"/>
    <col min="3337" max="3337" width="14.140625" bestFit="1" customWidth="1"/>
    <col min="3338" max="3338" width="12" bestFit="1" customWidth="1"/>
    <col min="3339" max="3339" width="16.7109375" bestFit="1" customWidth="1"/>
    <col min="3340" max="3340" width="17" bestFit="1" customWidth="1"/>
    <col min="3341" max="3341" width="18.7109375" customWidth="1"/>
    <col min="3342" max="3342" width="13.7109375" customWidth="1"/>
    <col min="3343" max="3345" width="15.42578125" bestFit="1"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34" bestFit="1" customWidth="1"/>
    <col min="3589" max="3589" width="13.42578125" bestFit="1" customWidth="1"/>
    <col min="3590" max="3590" width="46.42578125" bestFit="1" customWidth="1"/>
    <col min="3591" max="3591" width="13.42578125" customWidth="1"/>
    <col min="3592" max="3592" width="15.28515625" bestFit="1" customWidth="1"/>
    <col min="3593" max="3593" width="14.140625" bestFit="1" customWidth="1"/>
    <col min="3594" max="3594" width="12" bestFit="1" customWidth="1"/>
    <col min="3595" max="3595" width="16.7109375" bestFit="1" customWidth="1"/>
    <col min="3596" max="3596" width="17" bestFit="1" customWidth="1"/>
    <col min="3597" max="3597" width="18.7109375" customWidth="1"/>
    <col min="3598" max="3598" width="13.7109375" customWidth="1"/>
    <col min="3599" max="3601" width="15.42578125" bestFit="1"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34" bestFit="1" customWidth="1"/>
    <col min="3845" max="3845" width="13.42578125" bestFit="1" customWidth="1"/>
    <col min="3846" max="3846" width="46.42578125" bestFit="1" customWidth="1"/>
    <col min="3847" max="3847" width="13.42578125" customWidth="1"/>
    <col min="3848" max="3848" width="15.28515625" bestFit="1" customWidth="1"/>
    <col min="3849" max="3849" width="14.140625" bestFit="1" customWidth="1"/>
    <col min="3850" max="3850" width="12" bestFit="1" customWidth="1"/>
    <col min="3851" max="3851" width="16.7109375" bestFit="1" customWidth="1"/>
    <col min="3852" max="3852" width="17" bestFit="1" customWidth="1"/>
    <col min="3853" max="3853" width="18.7109375" customWidth="1"/>
    <col min="3854" max="3854" width="13.7109375" customWidth="1"/>
    <col min="3855" max="3857" width="15.42578125" bestFit="1"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34" bestFit="1" customWidth="1"/>
    <col min="4101" max="4101" width="13.42578125" bestFit="1" customWidth="1"/>
    <col min="4102" max="4102" width="46.42578125" bestFit="1" customWidth="1"/>
    <col min="4103" max="4103" width="13.42578125" customWidth="1"/>
    <col min="4104" max="4104" width="15.28515625" bestFit="1" customWidth="1"/>
    <col min="4105" max="4105" width="14.140625" bestFit="1" customWidth="1"/>
    <col min="4106" max="4106" width="12" bestFit="1" customWidth="1"/>
    <col min="4107" max="4107" width="16.7109375" bestFit="1" customWidth="1"/>
    <col min="4108" max="4108" width="17" bestFit="1" customWidth="1"/>
    <col min="4109" max="4109" width="18.7109375" customWidth="1"/>
    <col min="4110" max="4110" width="13.7109375" customWidth="1"/>
    <col min="4111" max="4113" width="15.42578125" bestFit="1"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34" bestFit="1" customWidth="1"/>
    <col min="4357" max="4357" width="13.42578125" bestFit="1" customWidth="1"/>
    <col min="4358" max="4358" width="46.42578125" bestFit="1" customWidth="1"/>
    <col min="4359" max="4359" width="13.42578125" customWidth="1"/>
    <col min="4360" max="4360" width="15.28515625" bestFit="1" customWidth="1"/>
    <col min="4361" max="4361" width="14.140625" bestFit="1" customWidth="1"/>
    <col min="4362" max="4362" width="12" bestFit="1" customWidth="1"/>
    <col min="4363" max="4363" width="16.7109375" bestFit="1" customWidth="1"/>
    <col min="4364" max="4364" width="17" bestFit="1" customWidth="1"/>
    <col min="4365" max="4365" width="18.7109375" customWidth="1"/>
    <col min="4366" max="4366" width="13.7109375" customWidth="1"/>
    <col min="4367" max="4369" width="15.42578125" bestFit="1"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34" bestFit="1" customWidth="1"/>
    <col min="4613" max="4613" width="13.42578125" bestFit="1" customWidth="1"/>
    <col min="4614" max="4614" width="46.42578125" bestFit="1" customWidth="1"/>
    <col min="4615" max="4615" width="13.42578125" customWidth="1"/>
    <col min="4616" max="4616" width="15.28515625" bestFit="1" customWidth="1"/>
    <col min="4617" max="4617" width="14.140625" bestFit="1" customWidth="1"/>
    <col min="4618" max="4618" width="12" bestFit="1" customWidth="1"/>
    <col min="4619" max="4619" width="16.7109375" bestFit="1" customWidth="1"/>
    <col min="4620" max="4620" width="17" bestFit="1" customWidth="1"/>
    <col min="4621" max="4621" width="18.7109375" customWidth="1"/>
    <col min="4622" max="4622" width="13.7109375" customWidth="1"/>
    <col min="4623" max="4625" width="15.42578125" bestFit="1"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34" bestFit="1" customWidth="1"/>
    <col min="4869" max="4869" width="13.42578125" bestFit="1" customWidth="1"/>
    <col min="4870" max="4870" width="46.42578125" bestFit="1" customWidth="1"/>
    <col min="4871" max="4871" width="13.42578125" customWidth="1"/>
    <col min="4872" max="4872" width="15.28515625" bestFit="1" customWidth="1"/>
    <col min="4873" max="4873" width="14.140625" bestFit="1" customWidth="1"/>
    <col min="4874" max="4874" width="12" bestFit="1" customWidth="1"/>
    <col min="4875" max="4875" width="16.7109375" bestFit="1" customWidth="1"/>
    <col min="4876" max="4876" width="17" bestFit="1" customWidth="1"/>
    <col min="4877" max="4877" width="18.7109375" customWidth="1"/>
    <col min="4878" max="4878" width="13.7109375" customWidth="1"/>
    <col min="4879" max="4881" width="15.42578125" bestFit="1"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34" bestFit="1" customWidth="1"/>
    <col min="5125" max="5125" width="13.42578125" bestFit="1" customWidth="1"/>
    <col min="5126" max="5126" width="46.42578125" bestFit="1" customWidth="1"/>
    <col min="5127" max="5127" width="13.42578125" customWidth="1"/>
    <col min="5128" max="5128" width="15.28515625" bestFit="1" customWidth="1"/>
    <col min="5129" max="5129" width="14.140625" bestFit="1" customWidth="1"/>
    <col min="5130" max="5130" width="12" bestFit="1" customWidth="1"/>
    <col min="5131" max="5131" width="16.7109375" bestFit="1" customWidth="1"/>
    <col min="5132" max="5132" width="17" bestFit="1" customWidth="1"/>
    <col min="5133" max="5133" width="18.7109375" customWidth="1"/>
    <col min="5134" max="5134" width="13.7109375" customWidth="1"/>
    <col min="5135" max="5137" width="15.42578125" bestFit="1"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34" bestFit="1" customWidth="1"/>
    <col min="5381" max="5381" width="13.42578125" bestFit="1" customWidth="1"/>
    <col min="5382" max="5382" width="46.42578125" bestFit="1" customWidth="1"/>
    <col min="5383" max="5383" width="13.42578125" customWidth="1"/>
    <col min="5384" max="5384" width="15.28515625" bestFit="1" customWidth="1"/>
    <col min="5385" max="5385" width="14.140625" bestFit="1" customWidth="1"/>
    <col min="5386" max="5386" width="12" bestFit="1" customWidth="1"/>
    <col min="5387" max="5387" width="16.7109375" bestFit="1" customWidth="1"/>
    <col min="5388" max="5388" width="17" bestFit="1" customWidth="1"/>
    <col min="5389" max="5389" width="18.7109375" customWidth="1"/>
    <col min="5390" max="5390" width="13.7109375" customWidth="1"/>
    <col min="5391" max="5393" width="15.42578125" bestFit="1"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34" bestFit="1" customWidth="1"/>
    <col min="5637" max="5637" width="13.42578125" bestFit="1" customWidth="1"/>
    <col min="5638" max="5638" width="46.42578125" bestFit="1" customWidth="1"/>
    <col min="5639" max="5639" width="13.42578125" customWidth="1"/>
    <col min="5640" max="5640" width="15.28515625" bestFit="1" customWidth="1"/>
    <col min="5641" max="5641" width="14.140625" bestFit="1" customWidth="1"/>
    <col min="5642" max="5642" width="12" bestFit="1" customWidth="1"/>
    <col min="5643" max="5643" width="16.7109375" bestFit="1" customWidth="1"/>
    <col min="5644" max="5644" width="17" bestFit="1" customWidth="1"/>
    <col min="5645" max="5645" width="18.7109375" customWidth="1"/>
    <col min="5646" max="5646" width="13.7109375" customWidth="1"/>
    <col min="5647" max="5649" width="15.42578125" bestFit="1"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34" bestFit="1" customWidth="1"/>
    <col min="5893" max="5893" width="13.42578125" bestFit="1" customWidth="1"/>
    <col min="5894" max="5894" width="46.42578125" bestFit="1" customWidth="1"/>
    <col min="5895" max="5895" width="13.42578125" customWidth="1"/>
    <col min="5896" max="5896" width="15.28515625" bestFit="1" customWidth="1"/>
    <col min="5897" max="5897" width="14.140625" bestFit="1" customWidth="1"/>
    <col min="5898" max="5898" width="12" bestFit="1" customWidth="1"/>
    <col min="5899" max="5899" width="16.7109375" bestFit="1" customWidth="1"/>
    <col min="5900" max="5900" width="17" bestFit="1" customWidth="1"/>
    <col min="5901" max="5901" width="18.7109375" customWidth="1"/>
    <col min="5902" max="5902" width="13.7109375" customWidth="1"/>
    <col min="5903" max="5905" width="15.42578125" bestFit="1"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34" bestFit="1" customWidth="1"/>
    <col min="6149" max="6149" width="13.42578125" bestFit="1" customWidth="1"/>
    <col min="6150" max="6150" width="46.42578125" bestFit="1" customWidth="1"/>
    <col min="6151" max="6151" width="13.42578125" customWidth="1"/>
    <col min="6152" max="6152" width="15.28515625" bestFit="1" customWidth="1"/>
    <col min="6153" max="6153" width="14.140625" bestFit="1" customWidth="1"/>
    <col min="6154" max="6154" width="12" bestFit="1" customWidth="1"/>
    <col min="6155" max="6155" width="16.7109375" bestFit="1" customWidth="1"/>
    <col min="6156" max="6156" width="17" bestFit="1" customWidth="1"/>
    <col min="6157" max="6157" width="18.7109375" customWidth="1"/>
    <col min="6158" max="6158" width="13.7109375" customWidth="1"/>
    <col min="6159" max="6161" width="15.42578125" bestFit="1"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34" bestFit="1" customWidth="1"/>
    <col min="6405" max="6405" width="13.42578125" bestFit="1" customWidth="1"/>
    <col min="6406" max="6406" width="46.42578125" bestFit="1" customWidth="1"/>
    <col min="6407" max="6407" width="13.42578125" customWidth="1"/>
    <col min="6408" max="6408" width="15.28515625" bestFit="1" customWidth="1"/>
    <col min="6409" max="6409" width="14.140625" bestFit="1" customWidth="1"/>
    <col min="6410" max="6410" width="12" bestFit="1" customWidth="1"/>
    <col min="6411" max="6411" width="16.7109375" bestFit="1" customWidth="1"/>
    <col min="6412" max="6412" width="17" bestFit="1" customWidth="1"/>
    <col min="6413" max="6413" width="18.7109375" customWidth="1"/>
    <col min="6414" max="6414" width="13.7109375" customWidth="1"/>
    <col min="6415" max="6417" width="15.42578125" bestFit="1"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34" bestFit="1" customWidth="1"/>
    <col min="6661" max="6661" width="13.42578125" bestFit="1" customWidth="1"/>
    <col min="6662" max="6662" width="46.42578125" bestFit="1" customWidth="1"/>
    <col min="6663" max="6663" width="13.42578125" customWidth="1"/>
    <col min="6664" max="6664" width="15.28515625" bestFit="1" customWidth="1"/>
    <col min="6665" max="6665" width="14.140625" bestFit="1" customWidth="1"/>
    <col min="6666" max="6666" width="12" bestFit="1" customWidth="1"/>
    <col min="6667" max="6667" width="16.7109375" bestFit="1" customWidth="1"/>
    <col min="6668" max="6668" width="17" bestFit="1" customWidth="1"/>
    <col min="6669" max="6669" width="18.7109375" customWidth="1"/>
    <col min="6670" max="6670" width="13.7109375" customWidth="1"/>
    <col min="6671" max="6673" width="15.42578125" bestFit="1"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34" bestFit="1" customWidth="1"/>
    <col min="6917" max="6917" width="13.42578125" bestFit="1" customWidth="1"/>
    <col min="6918" max="6918" width="46.42578125" bestFit="1" customWidth="1"/>
    <col min="6919" max="6919" width="13.42578125" customWidth="1"/>
    <col min="6920" max="6920" width="15.28515625" bestFit="1" customWidth="1"/>
    <col min="6921" max="6921" width="14.140625" bestFit="1" customWidth="1"/>
    <col min="6922" max="6922" width="12" bestFit="1" customWidth="1"/>
    <col min="6923" max="6923" width="16.7109375" bestFit="1" customWidth="1"/>
    <col min="6924" max="6924" width="17" bestFit="1" customWidth="1"/>
    <col min="6925" max="6925" width="18.7109375" customWidth="1"/>
    <col min="6926" max="6926" width="13.7109375" customWidth="1"/>
    <col min="6927" max="6929" width="15.42578125" bestFit="1"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34" bestFit="1" customWidth="1"/>
    <col min="7173" max="7173" width="13.42578125" bestFit="1" customWidth="1"/>
    <col min="7174" max="7174" width="46.42578125" bestFit="1" customWidth="1"/>
    <col min="7175" max="7175" width="13.42578125" customWidth="1"/>
    <col min="7176" max="7176" width="15.28515625" bestFit="1" customWidth="1"/>
    <col min="7177" max="7177" width="14.140625" bestFit="1" customWidth="1"/>
    <col min="7178" max="7178" width="12" bestFit="1" customWidth="1"/>
    <col min="7179" max="7179" width="16.7109375" bestFit="1" customWidth="1"/>
    <col min="7180" max="7180" width="17" bestFit="1" customWidth="1"/>
    <col min="7181" max="7181" width="18.7109375" customWidth="1"/>
    <col min="7182" max="7182" width="13.7109375" customWidth="1"/>
    <col min="7183" max="7185" width="15.42578125" bestFit="1"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34" bestFit="1" customWidth="1"/>
    <col min="7429" max="7429" width="13.42578125" bestFit="1" customWidth="1"/>
    <col min="7430" max="7430" width="46.42578125" bestFit="1" customWidth="1"/>
    <col min="7431" max="7431" width="13.42578125" customWidth="1"/>
    <col min="7432" max="7432" width="15.28515625" bestFit="1" customWidth="1"/>
    <col min="7433" max="7433" width="14.140625" bestFit="1" customWidth="1"/>
    <col min="7434" max="7434" width="12" bestFit="1" customWidth="1"/>
    <col min="7435" max="7435" width="16.7109375" bestFit="1" customWidth="1"/>
    <col min="7436" max="7436" width="17" bestFit="1" customWidth="1"/>
    <col min="7437" max="7437" width="18.7109375" customWidth="1"/>
    <col min="7438" max="7438" width="13.7109375" customWidth="1"/>
    <col min="7439" max="7441" width="15.42578125" bestFit="1"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34" bestFit="1" customWidth="1"/>
    <col min="7685" max="7685" width="13.42578125" bestFit="1" customWidth="1"/>
    <col min="7686" max="7686" width="46.42578125" bestFit="1" customWidth="1"/>
    <col min="7687" max="7687" width="13.42578125" customWidth="1"/>
    <col min="7688" max="7688" width="15.28515625" bestFit="1" customWidth="1"/>
    <col min="7689" max="7689" width="14.140625" bestFit="1" customWidth="1"/>
    <col min="7690" max="7690" width="12" bestFit="1" customWidth="1"/>
    <col min="7691" max="7691" width="16.7109375" bestFit="1" customWidth="1"/>
    <col min="7692" max="7692" width="17" bestFit="1" customWidth="1"/>
    <col min="7693" max="7693" width="18.7109375" customWidth="1"/>
    <col min="7694" max="7694" width="13.7109375" customWidth="1"/>
    <col min="7695" max="7697" width="15.42578125" bestFit="1"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34" bestFit="1" customWidth="1"/>
    <col min="7941" max="7941" width="13.42578125" bestFit="1" customWidth="1"/>
    <col min="7942" max="7942" width="46.42578125" bestFit="1" customWidth="1"/>
    <col min="7943" max="7943" width="13.42578125" customWidth="1"/>
    <col min="7944" max="7944" width="15.28515625" bestFit="1" customWidth="1"/>
    <col min="7945" max="7945" width="14.140625" bestFit="1" customWidth="1"/>
    <col min="7946" max="7946" width="12" bestFit="1" customWidth="1"/>
    <col min="7947" max="7947" width="16.7109375" bestFit="1" customWidth="1"/>
    <col min="7948" max="7948" width="17" bestFit="1" customWidth="1"/>
    <col min="7949" max="7949" width="18.7109375" customWidth="1"/>
    <col min="7950" max="7950" width="13.7109375" customWidth="1"/>
    <col min="7951" max="7953" width="15.42578125" bestFit="1"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34" bestFit="1" customWidth="1"/>
    <col min="8197" max="8197" width="13.42578125" bestFit="1" customWidth="1"/>
    <col min="8198" max="8198" width="46.42578125" bestFit="1" customWidth="1"/>
    <col min="8199" max="8199" width="13.42578125" customWidth="1"/>
    <col min="8200" max="8200" width="15.28515625" bestFit="1" customWidth="1"/>
    <col min="8201" max="8201" width="14.140625" bestFit="1" customWidth="1"/>
    <col min="8202" max="8202" width="12" bestFit="1" customWidth="1"/>
    <col min="8203" max="8203" width="16.7109375" bestFit="1" customWidth="1"/>
    <col min="8204" max="8204" width="17" bestFit="1" customWidth="1"/>
    <col min="8205" max="8205" width="18.7109375" customWidth="1"/>
    <col min="8206" max="8206" width="13.7109375" customWidth="1"/>
    <col min="8207" max="8209" width="15.42578125" bestFit="1"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34" bestFit="1" customWidth="1"/>
    <col min="8453" max="8453" width="13.42578125" bestFit="1" customWidth="1"/>
    <col min="8454" max="8454" width="46.42578125" bestFit="1" customWidth="1"/>
    <col min="8455" max="8455" width="13.42578125" customWidth="1"/>
    <col min="8456" max="8456" width="15.28515625" bestFit="1" customWidth="1"/>
    <col min="8457" max="8457" width="14.140625" bestFit="1" customWidth="1"/>
    <col min="8458" max="8458" width="12" bestFit="1" customWidth="1"/>
    <col min="8459" max="8459" width="16.7109375" bestFit="1" customWidth="1"/>
    <col min="8460" max="8460" width="17" bestFit="1" customWidth="1"/>
    <col min="8461" max="8461" width="18.7109375" customWidth="1"/>
    <col min="8462" max="8462" width="13.7109375" customWidth="1"/>
    <col min="8463" max="8465" width="15.42578125" bestFit="1"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34" bestFit="1" customWidth="1"/>
    <col min="8709" max="8709" width="13.42578125" bestFit="1" customWidth="1"/>
    <col min="8710" max="8710" width="46.42578125" bestFit="1" customWidth="1"/>
    <col min="8711" max="8711" width="13.42578125" customWidth="1"/>
    <col min="8712" max="8712" width="15.28515625" bestFit="1" customWidth="1"/>
    <col min="8713" max="8713" width="14.140625" bestFit="1" customWidth="1"/>
    <col min="8714" max="8714" width="12" bestFit="1" customWidth="1"/>
    <col min="8715" max="8715" width="16.7109375" bestFit="1" customWidth="1"/>
    <col min="8716" max="8716" width="17" bestFit="1" customWidth="1"/>
    <col min="8717" max="8717" width="18.7109375" customWidth="1"/>
    <col min="8718" max="8718" width="13.7109375" customWidth="1"/>
    <col min="8719" max="8721" width="15.42578125" bestFit="1"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34" bestFit="1" customWidth="1"/>
    <col min="8965" max="8965" width="13.42578125" bestFit="1" customWidth="1"/>
    <col min="8966" max="8966" width="46.42578125" bestFit="1" customWidth="1"/>
    <col min="8967" max="8967" width="13.42578125" customWidth="1"/>
    <col min="8968" max="8968" width="15.28515625" bestFit="1" customWidth="1"/>
    <col min="8969" max="8969" width="14.140625" bestFit="1" customWidth="1"/>
    <col min="8970" max="8970" width="12" bestFit="1" customWidth="1"/>
    <col min="8971" max="8971" width="16.7109375" bestFit="1" customWidth="1"/>
    <col min="8972" max="8972" width="17" bestFit="1" customWidth="1"/>
    <col min="8973" max="8973" width="18.7109375" customWidth="1"/>
    <col min="8974" max="8974" width="13.7109375" customWidth="1"/>
    <col min="8975" max="8977" width="15.42578125" bestFit="1"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34" bestFit="1" customWidth="1"/>
    <col min="9221" max="9221" width="13.42578125" bestFit="1" customWidth="1"/>
    <col min="9222" max="9222" width="46.42578125" bestFit="1" customWidth="1"/>
    <col min="9223" max="9223" width="13.42578125" customWidth="1"/>
    <col min="9224" max="9224" width="15.28515625" bestFit="1" customWidth="1"/>
    <col min="9225" max="9225" width="14.140625" bestFit="1" customWidth="1"/>
    <col min="9226" max="9226" width="12" bestFit="1" customWidth="1"/>
    <col min="9227" max="9227" width="16.7109375" bestFit="1" customWidth="1"/>
    <col min="9228" max="9228" width="17" bestFit="1" customWidth="1"/>
    <col min="9229" max="9229" width="18.7109375" customWidth="1"/>
    <col min="9230" max="9230" width="13.7109375" customWidth="1"/>
    <col min="9231" max="9233" width="15.42578125" bestFit="1"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34" bestFit="1" customWidth="1"/>
    <col min="9477" max="9477" width="13.42578125" bestFit="1" customWidth="1"/>
    <col min="9478" max="9478" width="46.42578125" bestFit="1" customWidth="1"/>
    <col min="9479" max="9479" width="13.42578125" customWidth="1"/>
    <col min="9480" max="9480" width="15.28515625" bestFit="1" customWidth="1"/>
    <col min="9481" max="9481" width="14.140625" bestFit="1" customWidth="1"/>
    <col min="9482" max="9482" width="12" bestFit="1" customWidth="1"/>
    <col min="9483" max="9483" width="16.7109375" bestFit="1" customWidth="1"/>
    <col min="9484" max="9484" width="17" bestFit="1" customWidth="1"/>
    <col min="9485" max="9485" width="18.7109375" customWidth="1"/>
    <col min="9486" max="9486" width="13.7109375" customWidth="1"/>
    <col min="9487" max="9489" width="15.42578125" bestFit="1"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34" bestFit="1" customWidth="1"/>
    <col min="9733" max="9733" width="13.42578125" bestFit="1" customWidth="1"/>
    <col min="9734" max="9734" width="46.42578125" bestFit="1" customWidth="1"/>
    <col min="9735" max="9735" width="13.42578125" customWidth="1"/>
    <col min="9736" max="9736" width="15.28515625" bestFit="1" customWidth="1"/>
    <col min="9737" max="9737" width="14.140625" bestFit="1" customWidth="1"/>
    <col min="9738" max="9738" width="12" bestFit="1" customWidth="1"/>
    <col min="9739" max="9739" width="16.7109375" bestFit="1" customWidth="1"/>
    <col min="9740" max="9740" width="17" bestFit="1" customWidth="1"/>
    <col min="9741" max="9741" width="18.7109375" customWidth="1"/>
    <col min="9742" max="9742" width="13.7109375" customWidth="1"/>
    <col min="9743" max="9745" width="15.42578125" bestFit="1"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34" bestFit="1" customWidth="1"/>
    <col min="9989" max="9989" width="13.42578125" bestFit="1" customWidth="1"/>
    <col min="9990" max="9990" width="46.42578125" bestFit="1" customWidth="1"/>
    <col min="9991" max="9991" width="13.42578125" customWidth="1"/>
    <col min="9992" max="9992" width="15.28515625" bestFit="1" customWidth="1"/>
    <col min="9993" max="9993" width="14.140625" bestFit="1" customWidth="1"/>
    <col min="9994" max="9994" width="12" bestFit="1" customWidth="1"/>
    <col min="9995" max="9995" width="16.7109375" bestFit="1" customWidth="1"/>
    <col min="9996" max="9996" width="17" bestFit="1" customWidth="1"/>
    <col min="9997" max="9997" width="18.7109375" customWidth="1"/>
    <col min="9998" max="9998" width="13.7109375" customWidth="1"/>
    <col min="9999" max="10001" width="15.42578125" bestFit="1"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34" bestFit="1" customWidth="1"/>
    <col min="10245" max="10245" width="13.42578125" bestFit="1" customWidth="1"/>
    <col min="10246" max="10246" width="46.42578125" bestFit="1" customWidth="1"/>
    <col min="10247" max="10247" width="13.42578125" customWidth="1"/>
    <col min="10248" max="10248" width="15.28515625" bestFit="1" customWidth="1"/>
    <col min="10249" max="10249" width="14.140625" bestFit="1" customWidth="1"/>
    <col min="10250" max="10250" width="12" bestFit="1" customWidth="1"/>
    <col min="10251" max="10251" width="16.7109375" bestFit="1" customWidth="1"/>
    <col min="10252" max="10252" width="17" bestFit="1" customWidth="1"/>
    <col min="10253" max="10253" width="18.7109375" customWidth="1"/>
    <col min="10254" max="10254" width="13.7109375" customWidth="1"/>
    <col min="10255" max="10257" width="15.42578125" bestFit="1"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34" bestFit="1" customWidth="1"/>
    <col min="10501" max="10501" width="13.42578125" bestFit="1" customWidth="1"/>
    <col min="10502" max="10502" width="46.42578125" bestFit="1" customWidth="1"/>
    <col min="10503" max="10503" width="13.42578125" customWidth="1"/>
    <col min="10504" max="10504" width="15.28515625" bestFit="1" customWidth="1"/>
    <col min="10505" max="10505" width="14.140625" bestFit="1" customWidth="1"/>
    <col min="10506" max="10506" width="12" bestFit="1" customWidth="1"/>
    <col min="10507" max="10507" width="16.7109375" bestFit="1" customWidth="1"/>
    <col min="10508" max="10508" width="17" bestFit="1" customWidth="1"/>
    <col min="10509" max="10509" width="18.7109375" customWidth="1"/>
    <col min="10510" max="10510" width="13.7109375" customWidth="1"/>
    <col min="10511" max="10513" width="15.42578125" bestFit="1"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34" bestFit="1" customWidth="1"/>
    <col min="10757" max="10757" width="13.42578125" bestFit="1" customWidth="1"/>
    <col min="10758" max="10758" width="46.42578125" bestFit="1" customWidth="1"/>
    <col min="10759" max="10759" width="13.42578125" customWidth="1"/>
    <col min="10760" max="10760" width="15.28515625" bestFit="1" customWidth="1"/>
    <col min="10761" max="10761" width="14.140625" bestFit="1" customWidth="1"/>
    <col min="10762" max="10762" width="12" bestFit="1" customWidth="1"/>
    <col min="10763" max="10763" width="16.7109375" bestFit="1" customWidth="1"/>
    <col min="10764" max="10764" width="17" bestFit="1" customWidth="1"/>
    <col min="10765" max="10765" width="18.7109375" customWidth="1"/>
    <col min="10766" max="10766" width="13.7109375" customWidth="1"/>
    <col min="10767" max="10769" width="15.42578125" bestFit="1"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34" bestFit="1" customWidth="1"/>
    <col min="11013" max="11013" width="13.42578125" bestFit="1" customWidth="1"/>
    <col min="11014" max="11014" width="46.42578125" bestFit="1" customWidth="1"/>
    <col min="11015" max="11015" width="13.42578125" customWidth="1"/>
    <col min="11016" max="11016" width="15.28515625" bestFit="1" customWidth="1"/>
    <col min="11017" max="11017" width="14.140625" bestFit="1" customWidth="1"/>
    <col min="11018" max="11018" width="12" bestFit="1" customWidth="1"/>
    <col min="11019" max="11019" width="16.7109375" bestFit="1" customWidth="1"/>
    <col min="11020" max="11020" width="17" bestFit="1" customWidth="1"/>
    <col min="11021" max="11021" width="18.7109375" customWidth="1"/>
    <col min="11022" max="11022" width="13.7109375" customWidth="1"/>
    <col min="11023" max="11025" width="15.42578125" bestFit="1"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34" bestFit="1" customWidth="1"/>
    <col min="11269" max="11269" width="13.42578125" bestFit="1" customWidth="1"/>
    <col min="11270" max="11270" width="46.42578125" bestFit="1" customWidth="1"/>
    <col min="11271" max="11271" width="13.42578125" customWidth="1"/>
    <col min="11272" max="11272" width="15.28515625" bestFit="1" customWidth="1"/>
    <col min="11273" max="11273" width="14.140625" bestFit="1" customWidth="1"/>
    <col min="11274" max="11274" width="12" bestFit="1" customWidth="1"/>
    <col min="11275" max="11275" width="16.7109375" bestFit="1" customWidth="1"/>
    <col min="11276" max="11276" width="17" bestFit="1" customWidth="1"/>
    <col min="11277" max="11277" width="18.7109375" customWidth="1"/>
    <col min="11278" max="11278" width="13.7109375" customWidth="1"/>
    <col min="11279" max="11281" width="15.42578125" bestFit="1"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34" bestFit="1" customWidth="1"/>
    <col min="11525" max="11525" width="13.42578125" bestFit="1" customWidth="1"/>
    <col min="11526" max="11526" width="46.42578125" bestFit="1" customWidth="1"/>
    <col min="11527" max="11527" width="13.42578125" customWidth="1"/>
    <col min="11528" max="11528" width="15.28515625" bestFit="1" customWidth="1"/>
    <col min="11529" max="11529" width="14.140625" bestFit="1" customWidth="1"/>
    <col min="11530" max="11530" width="12" bestFit="1" customWidth="1"/>
    <col min="11531" max="11531" width="16.7109375" bestFit="1" customWidth="1"/>
    <col min="11532" max="11532" width="17" bestFit="1" customWidth="1"/>
    <col min="11533" max="11533" width="18.7109375" customWidth="1"/>
    <col min="11534" max="11534" width="13.7109375" customWidth="1"/>
    <col min="11535" max="11537" width="15.42578125" bestFit="1"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34" bestFit="1" customWidth="1"/>
    <col min="11781" max="11781" width="13.42578125" bestFit="1" customWidth="1"/>
    <col min="11782" max="11782" width="46.42578125" bestFit="1" customWidth="1"/>
    <col min="11783" max="11783" width="13.42578125" customWidth="1"/>
    <col min="11784" max="11784" width="15.28515625" bestFit="1" customWidth="1"/>
    <col min="11785" max="11785" width="14.140625" bestFit="1" customWidth="1"/>
    <col min="11786" max="11786" width="12" bestFit="1" customWidth="1"/>
    <col min="11787" max="11787" width="16.7109375" bestFit="1" customWidth="1"/>
    <col min="11788" max="11788" width="17" bestFit="1" customWidth="1"/>
    <col min="11789" max="11789" width="18.7109375" customWidth="1"/>
    <col min="11790" max="11790" width="13.7109375" customWidth="1"/>
    <col min="11791" max="11793" width="15.42578125" bestFit="1"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34" bestFit="1" customWidth="1"/>
    <col min="12037" max="12037" width="13.42578125" bestFit="1" customWidth="1"/>
    <col min="12038" max="12038" width="46.42578125" bestFit="1" customWidth="1"/>
    <col min="12039" max="12039" width="13.42578125" customWidth="1"/>
    <col min="12040" max="12040" width="15.28515625" bestFit="1" customWidth="1"/>
    <col min="12041" max="12041" width="14.140625" bestFit="1" customWidth="1"/>
    <col min="12042" max="12042" width="12" bestFit="1" customWidth="1"/>
    <col min="12043" max="12043" width="16.7109375" bestFit="1" customWidth="1"/>
    <col min="12044" max="12044" width="17" bestFit="1" customWidth="1"/>
    <col min="12045" max="12045" width="18.7109375" customWidth="1"/>
    <col min="12046" max="12046" width="13.7109375" customWidth="1"/>
    <col min="12047" max="12049" width="15.42578125" bestFit="1"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34" bestFit="1" customWidth="1"/>
    <col min="12293" max="12293" width="13.42578125" bestFit="1" customWidth="1"/>
    <col min="12294" max="12294" width="46.42578125" bestFit="1" customWidth="1"/>
    <col min="12295" max="12295" width="13.42578125" customWidth="1"/>
    <col min="12296" max="12296" width="15.28515625" bestFit="1" customWidth="1"/>
    <col min="12297" max="12297" width="14.140625" bestFit="1" customWidth="1"/>
    <col min="12298" max="12298" width="12" bestFit="1" customWidth="1"/>
    <col min="12299" max="12299" width="16.7109375" bestFit="1" customWidth="1"/>
    <col min="12300" max="12300" width="17" bestFit="1" customWidth="1"/>
    <col min="12301" max="12301" width="18.7109375" customWidth="1"/>
    <col min="12302" max="12302" width="13.7109375" customWidth="1"/>
    <col min="12303" max="12305" width="15.42578125" bestFit="1"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34" bestFit="1" customWidth="1"/>
    <col min="12549" max="12549" width="13.42578125" bestFit="1" customWidth="1"/>
    <col min="12550" max="12550" width="46.42578125" bestFit="1" customWidth="1"/>
    <col min="12551" max="12551" width="13.42578125" customWidth="1"/>
    <col min="12552" max="12552" width="15.28515625" bestFit="1" customWidth="1"/>
    <col min="12553" max="12553" width="14.140625" bestFit="1" customWidth="1"/>
    <col min="12554" max="12554" width="12" bestFit="1" customWidth="1"/>
    <col min="12555" max="12555" width="16.7109375" bestFit="1" customWidth="1"/>
    <col min="12556" max="12556" width="17" bestFit="1" customWidth="1"/>
    <col min="12557" max="12557" width="18.7109375" customWidth="1"/>
    <col min="12558" max="12558" width="13.7109375" customWidth="1"/>
    <col min="12559" max="12561" width="15.42578125" bestFit="1"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34" bestFit="1" customWidth="1"/>
    <col min="12805" max="12805" width="13.42578125" bestFit="1" customWidth="1"/>
    <col min="12806" max="12806" width="46.42578125" bestFit="1" customWidth="1"/>
    <col min="12807" max="12807" width="13.42578125" customWidth="1"/>
    <col min="12808" max="12808" width="15.28515625" bestFit="1" customWidth="1"/>
    <col min="12809" max="12809" width="14.140625" bestFit="1" customWidth="1"/>
    <col min="12810" max="12810" width="12" bestFit="1" customWidth="1"/>
    <col min="12811" max="12811" width="16.7109375" bestFit="1" customWidth="1"/>
    <col min="12812" max="12812" width="17" bestFit="1" customWidth="1"/>
    <col min="12813" max="12813" width="18.7109375" customWidth="1"/>
    <col min="12814" max="12814" width="13.7109375" customWidth="1"/>
    <col min="12815" max="12817" width="15.42578125" bestFit="1"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34" bestFit="1" customWidth="1"/>
    <col min="13061" max="13061" width="13.42578125" bestFit="1" customWidth="1"/>
    <col min="13062" max="13062" width="46.42578125" bestFit="1" customWidth="1"/>
    <col min="13063" max="13063" width="13.42578125" customWidth="1"/>
    <col min="13064" max="13064" width="15.28515625" bestFit="1" customWidth="1"/>
    <col min="13065" max="13065" width="14.140625" bestFit="1" customWidth="1"/>
    <col min="13066" max="13066" width="12" bestFit="1" customWidth="1"/>
    <col min="13067" max="13067" width="16.7109375" bestFit="1" customWidth="1"/>
    <col min="13068" max="13068" width="17" bestFit="1" customWidth="1"/>
    <col min="13069" max="13069" width="18.7109375" customWidth="1"/>
    <col min="13070" max="13070" width="13.7109375" customWidth="1"/>
    <col min="13071" max="13073" width="15.42578125" bestFit="1"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34" bestFit="1" customWidth="1"/>
    <col min="13317" max="13317" width="13.42578125" bestFit="1" customWidth="1"/>
    <col min="13318" max="13318" width="46.42578125" bestFit="1" customWidth="1"/>
    <col min="13319" max="13319" width="13.42578125" customWidth="1"/>
    <col min="13320" max="13320" width="15.28515625" bestFit="1" customWidth="1"/>
    <col min="13321" max="13321" width="14.140625" bestFit="1" customWidth="1"/>
    <col min="13322" max="13322" width="12" bestFit="1" customWidth="1"/>
    <col min="13323" max="13323" width="16.7109375" bestFit="1" customWidth="1"/>
    <col min="13324" max="13324" width="17" bestFit="1" customWidth="1"/>
    <col min="13325" max="13325" width="18.7109375" customWidth="1"/>
    <col min="13326" max="13326" width="13.7109375" customWidth="1"/>
    <col min="13327" max="13329" width="15.42578125" bestFit="1"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34" bestFit="1" customWidth="1"/>
    <col min="13573" max="13573" width="13.42578125" bestFit="1" customWidth="1"/>
    <col min="13574" max="13574" width="46.42578125" bestFit="1" customWidth="1"/>
    <col min="13575" max="13575" width="13.42578125" customWidth="1"/>
    <col min="13576" max="13576" width="15.28515625" bestFit="1" customWidth="1"/>
    <col min="13577" max="13577" width="14.140625" bestFit="1" customWidth="1"/>
    <col min="13578" max="13578" width="12" bestFit="1" customWidth="1"/>
    <col min="13579" max="13579" width="16.7109375" bestFit="1" customWidth="1"/>
    <col min="13580" max="13580" width="17" bestFit="1" customWidth="1"/>
    <col min="13581" max="13581" width="18.7109375" customWidth="1"/>
    <col min="13582" max="13582" width="13.7109375" customWidth="1"/>
    <col min="13583" max="13585" width="15.42578125" bestFit="1"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34" bestFit="1" customWidth="1"/>
    <col min="13829" max="13829" width="13.42578125" bestFit="1" customWidth="1"/>
    <col min="13830" max="13830" width="46.42578125" bestFit="1" customWidth="1"/>
    <col min="13831" max="13831" width="13.42578125" customWidth="1"/>
    <col min="13832" max="13832" width="15.28515625" bestFit="1" customWidth="1"/>
    <col min="13833" max="13833" width="14.140625" bestFit="1" customWidth="1"/>
    <col min="13834" max="13834" width="12" bestFit="1" customWidth="1"/>
    <col min="13835" max="13835" width="16.7109375" bestFit="1" customWidth="1"/>
    <col min="13836" max="13836" width="17" bestFit="1" customWidth="1"/>
    <col min="13837" max="13837" width="18.7109375" customWidth="1"/>
    <col min="13838" max="13838" width="13.7109375" customWidth="1"/>
    <col min="13839" max="13841" width="15.42578125" bestFit="1"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34" bestFit="1" customWidth="1"/>
    <col min="14085" max="14085" width="13.42578125" bestFit="1" customWidth="1"/>
    <col min="14086" max="14086" width="46.42578125" bestFit="1" customWidth="1"/>
    <col min="14087" max="14087" width="13.42578125" customWidth="1"/>
    <col min="14088" max="14088" width="15.28515625" bestFit="1" customWidth="1"/>
    <col min="14089" max="14089" width="14.140625" bestFit="1" customWidth="1"/>
    <col min="14090" max="14090" width="12" bestFit="1" customWidth="1"/>
    <col min="14091" max="14091" width="16.7109375" bestFit="1" customWidth="1"/>
    <col min="14092" max="14092" width="17" bestFit="1" customWidth="1"/>
    <col min="14093" max="14093" width="18.7109375" customWidth="1"/>
    <col min="14094" max="14094" width="13.7109375" customWidth="1"/>
    <col min="14095" max="14097" width="15.42578125" bestFit="1"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34" bestFit="1" customWidth="1"/>
    <col min="14341" max="14341" width="13.42578125" bestFit="1" customWidth="1"/>
    <col min="14342" max="14342" width="46.42578125" bestFit="1" customWidth="1"/>
    <col min="14343" max="14343" width="13.42578125" customWidth="1"/>
    <col min="14344" max="14344" width="15.28515625" bestFit="1" customWidth="1"/>
    <col min="14345" max="14345" width="14.140625" bestFit="1" customWidth="1"/>
    <col min="14346" max="14346" width="12" bestFit="1" customWidth="1"/>
    <col min="14347" max="14347" width="16.7109375" bestFit="1" customWidth="1"/>
    <col min="14348" max="14348" width="17" bestFit="1" customWidth="1"/>
    <col min="14349" max="14349" width="18.7109375" customWidth="1"/>
    <col min="14350" max="14350" width="13.7109375" customWidth="1"/>
    <col min="14351" max="14353" width="15.42578125" bestFit="1"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34" bestFit="1" customWidth="1"/>
    <col min="14597" max="14597" width="13.42578125" bestFit="1" customWidth="1"/>
    <col min="14598" max="14598" width="46.42578125" bestFit="1" customWidth="1"/>
    <col min="14599" max="14599" width="13.42578125" customWidth="1"/>
    <col min="14600" max="14600" width="15.28515625" bestFit="1" customWidth="1"/>
    <col min="14601" max="14601" width="14.140625" bestFit="1" customWidth="1"/>
    <col min="14602" max="14602" width="12" bestFit="1" customWidth="1"/>
    <col min="14603" max="14603" width="16.7109375" bestFit="1" customWidth="1"/>
    <col min="14604" max="14604" width="17" bestFit="1" customWidth="1"/>
    <col min="14605" max="14605" width="18.7109375" customWidth="1"/>
    <col min="14606" max="14606" width="13.7109375" customWidth="1"/>
    <col min="14607" max="14609" width="15.42578125" bestFit="1"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34" bestFit="1" customWidth="1"/>
    <col min="14853" max="14853" width="13.42578125" bestFit="1" customWidth="1"/>
    <col min="14854" max="14854" width="46.42578125" bestFit="1" customWidth="1"/>
    <col min="14855" max="14855" width="13.42578125" customWidth="1"/>
    <col min="14856" max="14856" width="15.28515625" bestFit="1" customWidth="1"/>
    <col min="14857" max="14857" width="14.140625" bestFit="1" customWidth="1"/>
    <col min="14858" max="14858" width="12" bestFit="1" customWidth="1"/>
    <col min="14859" max="14859" width="16.7109375" bestFit="1" customWidth="1"/>
    <col min="14860" max="14860" width="17" bestFit="1" customWidth="1"/>
    <col min="14861" max="14861" width="18.7109375" customWidth="1"/>
    <col min="14862" max="14862" width="13.7109375" customWidth="1"/>
    <col min="14863" max="14865" width="15.42578125" bestFit="1"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34" bestFit="1" customWidth="1"/>
    <col min="15109" max="15109" width="13.42578125" bestFit="1" customWidth="1"/>
    <col min="15110" max="15110" width="46.42578125" bestFit="1" customWidth="1"/>
    <col min="15111" max="15111" width="13.42578125" customWidth="1"/>
    <col min="15112" max="15112" width="15.28515625" bestFit="1" customWidth="1"/>
    <col min="15113" max="15113" width="14.140625" bestFit="1" customWidth="1"/>
    <col min="15114" max="15114" width="12" bestFit="1" customWidth="1"/>
    <col min="15115" max="15115" width="16.7109375" bestFit="1" customWidth="1"/>
    <col min="15116" max="15116" width="17" bestFit="1" customWidth="1"/>
    <col min="15117" max="15117" width="18.7109375" customWidth="1"/>
    <col min="15118" max="15118" width="13.7109375" customWidth="1"/>
    <col min="15119" max="15121" width="15.42578125" bestFit="1"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34" bestFit="1" customWidth="1"/>
    <col min="15365" max="15365" width="13.42578125" bestFit="1" customWidth="1"/>
    <col min="15366" max="15366" width="46.42578125" bestFit="1" customWidth="1"/>
    <col min="15367" max="15367" width="13.42578125" customWidth="1"/>
    <col min="15368" max="15368" width="15.28515625" bestFit="1" customWidth="1"/>
    <col min="15369" max="15369" width="14.140625" bestFit="1" customWidth="1"/>
    <col min="15370" max="15370" width="12" bestFit="1" customWidth="1"/>
    <col min="15371" max="15371" width="16.7109375" bestFit="1" customWidth="1"/>
    <col min="15372" max="15372" width="17" bestFit="1" customWidth="1"/>
    <col min="15373" max="15373" width="18.7109375" customWidth="1"/>
    <col min="15374" max="15374" width="13.7109375" customWidth="1"/>
    <col min="15375" max="15377" width="15.42578125" bestFit="1"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34" bestFit="1" customWidth="1"/>
    <col min="15621" max="15621" width="13.42578125" bestFit="1" customWidth="1"/>
    <col min="15622" max="15622" width="46.42578125" bestFit="1" customWidth="1"/>
    <col min="15623" max="15623" width="13.42578125" customWidth="1"/>
    <col min="15624" max="15624" width="15.28515625" bestFit="1" customWidth="1"/>
    <col min="15625" max="15625" width="14.140625" bestFit="1" customWidth="1"/>
    <col min="15626" max="15626" width="12" bestFit="1" customWidth="1"/>
    <col min="15627" max="15627" width="16.7109375" bestFit="1" customWidth="1"/>
    <col min="15628" max="15628" width="17" bestFit="1" customWidth="1"/>
    <col min="15629" max="15629" width="18.7109375" customWidth="1"/>
    <col min="15630" max="15630" width="13.7109375" customWidth="1"/>
    <col min="15631" max="15633" width="15.42578125" bestFit="1"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34" bestFit="1" customWidth="1"/>
    <col min="15877" max="15877" width="13.42578125" bestFit="1" customWidth="1"/>
    <col min="15878" max="15878" width="46.42578125" bestFit="1" customWidth="1"/>
    <col min="15879" max="15879" width="13.42578125" customWidth="1"/>
    <col min="15880" max="15880" width="15.28515625" bestFit="1" customWidth="1"/>
    <col min="15881" max="15881" width="14.140625" bestFit="1" customWidth="1"/>
    <col min="15882" max="15882" width="12" bestFit="1" customWidth="1"/>
    <col min="15883" max="15883" width="16.7109375" bestFit="1" customWidth="1"/>
    <col min="15884" max="15884" width="17" bestFit="1" customWidth="1"/>
    <col min="15885" max="15885" width="18.7109375" customWidth="1"/>
    <col min="15886" max="15886" width="13.7109375" customWidth="1"/>
    <col min="15887" max="15889" width="15.42578125" bestFit="1"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34" bestFit="1" customWidth="1"/>
    <col min="16133" max="16133" width="13.42578125" bestFit="1" customWidth="1"/>
    <col min="16134" max="16134" width="46.42578125" bestFit="1" customWidth="1"/>
    <col min="16135" max="16135" width="13.42578125" customWidth="1"/>
    <col min="16136" max="16136" width="15.28515625" bestFit="1" customWidth="1"/>
    <col min="16137" max="16137" width="14.140625" bestFit="1" customWidth="1"/>
    <col min="16138" max="16138" width="12" bestFit="1" customWidth="1"/>
    <col min="16139" max="16139" width="16.7109375" bestFit="1" customWidth="1"/>
    <col min="16140" max="16140" width="17" bestFit="1" customWidth="1"/>
    <col min="16141" max="16141" width="18.7109375" customWidth="1"/>
    <col min="16142" max="16142" width="13.7109375" customWidth="1"/>
    <col min="16143" max="16145" width="15.42578125" bestFit="1"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5.75" customHeight="1" thickBot="1">
      <c r="B1" s="3461"/>
      <c r="F1" s="198"/>
      <c r="G1" s="198">
        <f>C3</f>
        <v>18230611</v>
      </c>
      <c r="H1" s="198" t="str">
        <f>C4</f>
        <v>Low Income Weatherization TE</v>
      </c>
      <c r="I1" s="198"/>
    </row>
    <row r="2" spans="2:22" ht="16.5" thickBot="1">
      <c r="B2" s="198" t="s">
        <v>109</v>
      </c>
      <c r="C2" s="199" t="s">
        <v>339</v>
      </c>
      <c r="G2" s="200" t="s">
        <v>8</v>
      </c>
      <c r="Q2" s="5133"/>
      <c r="R2" s="5133"/>
      <c r="S2" s="5124" t="s">
        <v>110</v>
      </c>
      <c r="T2" s="5125"/>
      <c r="U2" s="5126"/>
      <c r="V2" s="5118" t="s">
        <v>111</v>
      </c>
    </row>
    <row r="3" spans="2:22" ht="16.5" thickBot="1">
      <c r="B3" s="199" t="s">
        <v>6</v>
      </c>
      <c r="C3" s="199">
        <v>18230611</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340</v>
      </c>
      <c r="F4" s="198">
        <v>2011</v>
      </c>
      <c r="G4" s="206">
        <f>B13</f>
        <v>163224</v>
      </c>
      <c r="H4" s="207">
        <f>B18</f>
        <v>117</v>
      </c>
      <c r="I4" s="207">
        <f>B23</f>
        <v>82827</v>
      </c>
      <c r="J4" s="207">
        <f>B28</f>
        <v>4532</v>
      </c>
      <c r="K4" s="207">
        <f>B33</f>
        <v>5085</v>
      </c>
      <c r="L4" s="207">
        <f>B38</f>
        <v>117202</v>
      </c>
      <c r="M4" s="207">
        <f>B43</f>
        <v>459</v>
      </c>
      <c r="N4" s="207">
        <f>B48</f>
        <v>8258</v>
      </c>
      <c r="O4" s="207">
        <f>B53</f>
        <v>2041511</v>
      </c>
      <c r="P4" s="207">
        <f>B54</f>
        <v>0</v>
      </c>
      <c r="Q4" s="209">
        <f>B55</f>
        <v>2423215</v>
      </c>
      <c r="R4" s="210">
        <f>T100</f>
        <v>1501108</v>
      </c>
      <c r="S4" s="211">
        <f>O4/Q4</f>
        <v>0.84248034119960469</v>
      </c>
      <c r="T4" s="211">
        <f>(J4+(H4*1.63))/Q4</f>
        <v>1.9489438617704166E-3</v>
      </c>
      <c r="U4" s="211">
        <f>L4/Q4</f>
        <v>4.8366323252373396E-2</v>
      </c>
      <c r="V4" s="212">
        <f>Q4/R4</f>
        <v>1.6142842487016258</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P102</f>
        <v>0</v>
      </c>
      <c r="S5" s="217" t="e">
        <f>O5/Q5</f>
        <v>#DIV/0!</v>
      </c>
      <c r="T5" s="217" t="e">
        <f>(J5+(H5*1.63))/Q5</f>
        <v>#DIV/0!</v>
      </c>
      <c r="U5" s="217" t="e">
        <f>L5/Q5</f>
        <v>#DIV/0!</v>
      </c>
      <c r="V5" s="218" t="e">
        <f>Q5/R5</f>
        <v>#DIV/0!</v>
      </c>
    </row>
    <row r="6" spans="2:22" s="3532" customFormat="1" ht="16.5" thickBot="1">
      <c r="B6" s="3536"/>
      <c r="D6" s="3533"/>
      <c r="F6" s="4249" t="s">
        <v>1168</v>
      </c>
      <c r="G6" s="4241">
        <v>146105.82800000001</v>
      </c>
      <c r="H6" s="4242">
        <v>16236</v>
      </c>
      <c r="I6" s="4242">
        <v>107544.67164</v>
      </c>
      <c r="J6" s="4242">
        <v>4000</v>
      </c>
      <c r="K6" s="4242">
        <v>12000</v>
      </c>
      <c r="L6" s="4242">
        <v>19200</v>
      </c>
      <c r="M6" s="4242">
        <v>10800</v>
      </c>
      <c r="N6" s="4242">
        <v>777</v>
      </c>
      <c r="O6" s="4242">
        <v>2111270.2547000004</v>
      </c>
      <c r="P6" s="4242">
        <v>0</v>
      </c>
      <c r="Q6" s="4243">
        <v>2427933.7543400005</v>
      </c>
      <c r="R6" s="219">
        <v>1744595.2760000001</v>
      </c>
      <c r="S6" s="217">
        <v>0.8695749012616365</v>
      </c>
      <c r="T6" s="217">
        <v>1.254757463853514E-2</v>
      </c>
      <c r="U6" s="217">
        <v>7.9079587594510989E-3</v>
      </c>
      <c r="V6" s="3498"/>
    </row>
    <row r="7" spans="2:22" ht="16.5" thickBot="1">
      <c r="C7" s="198" t="s">
        <v>341</v>
      </c>
      <c r="F7" s="4191" t="s">
        <v>1169</v>
      </c>
      <c r="G7" s="4192">
        <f>E13</f>
        <v>155046.23000000001</v>
      </c>
      <c r="H7" s="4193">
        <f>E18</f>
        <v>17158.5</v>
      </c>
      <c r="I7" s="4193">
        <f>E23</f>
        <v>121748.74411</v>
      </c>
      <c r="J7" s="4193">
        <f>E28</f>
        <v>4650</v>
      </c>
      <c r="K7" s="4193">
        <f>E33</f>
        <v>6696</v>
      </c>
      <c r="L7" s="4193">
        <f>E38</f>
        <v>22320</v>
      </c>
      <c r="M7" s="4193">
        <f>E43</f>
        <v>10800</v>
      </c>
      <c r="N7" s="4193">
        <f>E48</f>
        <v>909.93</v>
      </c>
      <c r="O7" s="4193">
        <f>E53</f>
        <v>2086134</v>
      </c>
      <c r="P7" s="4193">
        <f>E54</f>
        <v>0</v>
      </c>
      <c r="Q7" s="4244">
        <f>SUM(G7:P7)</f>
        <v>2425463.40411</v>
      </c>
      <c r="R7" s="4245">
        <f>Q102</f>
        <v>1201202.0359999996</v>
      </c>
      <c r="S7" s="217">
        <f>O7/Q7</f>
        <v>0.86009708349546765</v>
      </c>
      <c r="T7" s="217">
        <f>(J7+(H7*1.63))/Q7</f>
        <v>1.3448298145718254E-2</v>
      </c>
      <c r="U7" s="217">
        <f>L7/Q7</f>
        <v>9.2023651901645999E-3</v>
      </c>
      <c r="V7" s="218">
        <f>Q7/R7</f>
        <v>2.0191968806403193</v>
      </c>
    </row>
    <row r="8" spans="2:22" ht="16.5" thickBot="1">
      <c r="C8" s="220" t="s">
        <v>342</v>
      </c>
      <c r="F8" s="221" t="s">
        <v>1170</v>
      </c>
      <c r="G8" s="222">
        <f>SUM(G5+G7)</f>
        <v>155046.23000000001</v>
      </c>
      <c r="H8" s="222">
        <f>SUM(H5+H7)</f>
        <v>17158.5</v>
      </c>
      <c r="I8" s="222">
        <f t="shared" ref="I8:O8" si="0">SUM(I5+I7)</f>
        <v>121748.74411</v>
      </c>
      <c r="J8" s="222">
        <f t="shared" si="0"/>
        <v>4650</v>
      </c>
      <c r="K8" s="222">
        <f t="shared" si="0"/>
        <v>6696</v>
      </c>
      <c r="L8" s="222">
        <f t="shared" si="0"/>
        <v>22320</v>
      </c>
      <c r="M8" s="222">
        <f t="shared" si="0"/>
        <v>10800</v>
      </c>
      <c r="N8" s="222">
        <f t="shared" si="0"/>
        <v>909.93</v>
      </c>
      <c r="O8" s="222">
        <f t="shared" si="0"/>
        <v>2086134</v>
      </c>
      <c r="P8" s="222">
        <f t="shared" ref="P8" si="1">SUM(P5+P7)</f>
        <v>0</v>
      </c>
      <c r="Q8" s="222">
        <f t="shared" ref="Q8" si="2">SUM(Q5+Q7)</f>
        <v>2425463.40411</v>
      </c>
      <c r="R8" s="219">
        <f>SUM(R5+R7)</f>
        <v>1201202.0359999996</v>
      </c>
      <c r="S8" s="217">
        <f>O8/Q8</f>
        <v>0.86009708349546765</v>
      </c>
      <c r="T8" s="217">
        <f>(J8+(H8*1.63))/Q8</f>
        <v>1.3448298145718254E-2</v>
      </c>
      <c r="U8" s="217">
        <f>L8/Q8</f>
        <v>9.2023651901645999E-3</v>
      </c>
      <c r="V8" s="218">
        <f>Q8/R8</f>
        <v>2.0191968806403193</v>
      </c>
    </row>
    <row r="10" spans="2:22" ht="20.25" customHeight="1" thickBot="1">
      <c r="C10" s="224" t="s">
        <v>118</v>
      </c>
      <c r="D10" s="5120" t="s">
        <v>119</v>
      </c>
      <c r="E10" s="5120"/>
      <c r="I10" s="5121" t="s">
        <v>120</v>
      </c>
      <c r="J10" s="5121"/>
      <c r="K10" s="5121"/>
      <c r="L10" s="5121"/>
      <c r="M10" s="298" t="s">
        <v>119</v>
      </c>
      <c r="N10" s="298"/>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226" t="s">
        <v>126</v>
      </c>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225" t="s">
        <v>137</v>
      </c>
    </row>
    <row r="13" spans="2:22" ht="13.5" thickBot="1">
      <c r="B13" s="262">
        <v>163224</v>
      </c>
      <c r="C13" s="236" t="s">
        <v>138</v>
      </c>
      <c r="D13" s="237">
        <f>SUM(D14:D17)</f>
        <v>0</v>
      </c>
      <c r="E13" s="237">
        <f>SUM(E14:E17)</f>
        <v>155046.23000000001</v>
      </c>
      <c r="F13" s="238">
        <f>D13+E13</f>
        <v>155046.23000000001</v>
      </c>
      <c r="H13" s="132"/>
      <c r="I13" s="4125" t="s">
        <v>252</v>
      </c>
      <c r="J13" s="4126"/>
      <c r="K13" s="4127"/>
      <c r="L13" s="4129">
        <f>D110</f>
        <v>755</v>
      </c>
      <c r="M13" s="4133">
        <v>0</v>
      </c>
      <c r="N13" s="4784">
        <v>30</v>
      </c>
      <c r="O13" s="2371">
        <f>M13+N13</f>
        <v>30</v>
      </c>
      <c r="P13" s="2372">
        <f>M13*L13</f>
        <v>0</v>
      </c>
      <c r="Q13" s="2372">
        <f>N13*L13</f>
        <v>22650</v>
      </c>
      <c r="R13" s="2373">
        <f>P13+Q13</f>
        <v>22650</v>
      </c>
      <c r="T13" s="295">
        <v>1501108</v>
      </c>
    </row>
    <row r="14" spans="2:22">
      <c r="B14" s="247"/>
      <c r="C14" s="248" t="s">
        <v>239</v>
      </c>
      <c r="D14" s="4137">
        <v>0</v>
      </c>
      <c r="E14" s="4453">
        <v>26621.95</v>
      </c>
      <c r="F14" s="249">
        <f>SUM(D14:E14)</f>
        <v>26621.95</v>
      </c>
      <c r="H14" s="132"/>
      <c r="I14" s="4125" t="s">
        <v>254</v>
      </c>
      <c r="J14" s="4126"/>
      <c r="K14" s="4127"/>
      <c r="L14" s="4129">
        <f t="shared" ref="L14:L77" si="3">D111</f>
        <v>755</v>
      </c>
      <c r="M14" s="4133">
        <v>0</v>
      </c>
      <c r="N14" s="4784">
        <v>8</v>
      </c>
      <c r="O14" s="4134">
        <f t="shared" ref="O14:O77" si="4">M14+N14</f>
        <v>8</v>
      </c>
      <c r="P14" s="4135">
        <f t="shared" ref="P14:P77" si="5">M14*L14</f>
        <v>0</v>
      </c>
      <c r="Q14" s="4135">
        <f t="shared" ref="Q14:Q77" si="6">N14*L14</f>
        <v>6040</v>
      </c>
      <c r="R14" s="4136">
        <f t="shared" ref="R14:R77" si="7">P14+Q14</f>
        <v>6040</v>
      </c>
      <c r="T14" s="253">
        <v>0</v>
      </c>
    </row>
    <row r="15" spans="2:22">
      <c r="B15" s="254"/>
      <c r="C15" s="255" t="s">
        <v>33</v>
      </c>
      <c r="D15" s="4138">
        <v>0</v>
      </c>
      <c r="E15" s="4454">
        <v>106487.8</v>
      </c>
      <c r="F15" s="249">
        <f t="shared" ref="F15:F25" si="8">SUM(D15:E15)</f>
        <v>106487.8</v>
      </c>
      <c r="H15" s="132"/>
      <c r="I15" s="4125" t="s">
        <v>255</v>
      </c>
      <c r="J15" s="4126"/>
      <c r="K15" s="4127"/>
      <c r="L15" s="4129">
        <f t="shared" si="3"/>
        <v>755</v>
      </c>
      <c r="M15" s="4133">
        <v>0</v>
      </c>
      <c r="N15" s="4784">
        <v>16</v>
      </c>
      <c r="O15" s="4134">
        <f t="shared" si="4"/>
        <v>16</v>
      </c>
      <c r="P15" s="4135">
        <f t="shared" si="5"/>
        <v>0</v>
      </c>
      <c r="Q15" s="4135">
        <f t="shared" si="6"/>
        <v>12080</v>
      </c>
      <c r="R15" s="4136">
        <f t="shared" si="7"/>
        <v>12080</v>
      </c>
      <c r="T15" s="253">
        <v>0</v>
      </c>
    </row>
    <row r="16" spans="2:22">
      <c r="B16" s="254"/>
      <c r="C16" s="255" t="s">
        <v>240</v>
      </c>
      <c r="D16" s="4138">
        <v>0</v>
      </c>
      <c r="E16" s="4454">
        <v>21936.48</v>
      </c>
      <c r="F16" s="249">
        <f t="shared" si="8"/>
        <v>21936.48</v>
      </c>
      <c r="H16" s="132"/>
      <c r="I16" s="4125" t="s">
        <v>256</v>
      </c>
      <c r="J16" s="4126"/>
      <c r="K16" s="4127"/>
      <c r="L16" s="4129">
        <f t="shared" si="3"/>
        <v>2.1800000000000002</v>
      </c>
      <c r="M16" s="4133">
        <v>0</v>
      </c>
      <c r="N16" s="4784">
        <v>3554</v>
      </c>
      <c r="O16" s="4134">
        <f t="shared" si="4"/>
        <v>3554</v>
      </c>
      <c r="P16" s="4135">
        <f t="shared" si="5"/>
        <v>0</v>
      </c>
      <c r="Q16" s="4135">
        <f t="shared" si="6"/>
        <v>7747.72</v>
      </c>
      <c r="R16" s="4136">
        <f t="shared" si="7"/>
        <v>7747.72</v>
      </c>
      <c r="T16" s="253">
        <v>0</v>
      </c>
    </row>
    <row r="17" spans="2:20" ht="13.5" thickBot="1">
      <c r="B17" s="254"/>
      <c r="C17" s="255" t="s">
        <v>241</v>
      </c>
      <c r="D17" s="249"/>
      <c r="E17" s="249"/>
      <c r="F17" s="249">
        <f t="shared" si="8"/>
        <v>0</v>
      </c>
      <c r="H17" s="132"/>
      <c r="I17" s="4125" t="s">
        <v>259</v>
      </c>
      <c r="J17" s="4126"/>
      <c r="K17" s="4127"/>
      <c r="L17" s="4455">
        <v>1.91</v>
      </c>
      <c r="M17" s="4133">
        <v>0</v>
      </c>
      <c r="N17" s="4784">
        <v>4000</v>
      </c>
      <c r="O17" s="4134">
        <f t="shared" si="4"/>
        <v>4000</v>
      </c>
      <c r="P17" s="4135">
        <f t="shared" si="5"/>
        <v>0</v>
      </c>
      <c r="Q17" s="4135">
        <f t="shared" si="6"/>
        <v>7640</v>
      </c>
      <c r="R17" s="4136">
        <f t="shared" si="7"/>
        <v>7640</v>
      </c>
      <c r="T17" s="253">
        <v>0</v>
      </c>
    </row>
    <row r="18" spans="2:20" ht="13.5" thickBot="1">
      <c r="B18" s="262">
        <v>117</v>
      </c>
      <c r="C18" s="236" t="s">
        <v>143</v>
      </c>
      <c r="D18" s="237">
        <f>SUM(D19:D22)</f>
        <v>0</v>
      </c>
      <c r="E18" s="237">
        <f>SUM(E19:E22)</f>
        <v>17158.5</v>
      </c>
      <c r="F18" s="238">
        <f>D18+E18</f>
        <v>17158.5</v>
      </c>
      <c r="H18" s="132"/>
      <c r="I18" s="4125" t="s">
        <v>261</v>
      </c>
      <c r="J18" s="4126"/>
      <c r="K18" s="4127"/>
      <c r="L18" s="4129">
        <f t="shared" si="3"/>
        <v>1.39</v>
      </c>
      <c r="M18" s="4133">
        <v>0</v>
      </c>
      <c r="N18" s="4784">
        <v>5640</v>
      </c>
      <c r="O18" s="4134">
        <f t="shared" si="4"/>
        <v>5640</v>
      </c>
      <c r="P18" s="4135">
        <f t="shared" si="5"/>
        <v>0</v>
      </c>
      <c r="Q18" s="4135">
        <f t="shared" si="6"/>
        <v>7839.5999999999995</v>
      </c>
      <c r="R18" s="4136">
        <f t="shared" si="7"/>
        <v>7839.5999999999995</v>
      </c>
      <c r="T18" s="253">
        <v>0</v>
      </c>
    </row>
    <row r="19" spans="2:20">
      <c r="B19" s="247"/>
      <c r="C19" s="248" t="s">
        <v>242</v>
      </c>
      <c r="D19" s="2305">
        <v>0</v>
      </c>
      <c r="E19" s="4453">
        <v>17158.5</v>
      </c>
      <c r="F19" s="249">
        <f t="shared" si="8"/>
        <v>17158.5</v>
      </c>
      <c r="H19" s="132"/>
      <c r="I19" s="4125" t="s">
        <v>262</v>
      </c>
      <c r="J19" s="4126"/>
      <c r="K19" s="4127"/>
      <c r="L19" s="4455">
        <v>1.21</v>
      </c>
      <c r="M19" s="4133">
        <v>0</v>
      </c>
      <c r="N19" s="4784">
        <v>48870</v>
      </c>
      <c r="O19" s="4134">
        <f t="shared" si="4"/>
        <v>48870</v>
      </c>
      <c r="P19" s="4135">
        <f t="shared" si="5"/>
        <v>0</v>
      </c>
      <c r="Q19" s="4135">
        <f t="shared" si="6"/>
        <v>59132.7</v>
      </c>
      <c r="R19" s="4136">
        <f t="shared" si="7"/>
        <v>59132.7</v>
      </c>
      <c r="T19" s="253">
        <v>0</v>
      </c>
    </row>
    <row r="20" spans="2:20">
      <c r="B20" s="254"/>
      <c r="C20" s="255" t="s">
        <v>140</v>
      </c>
      <c r="D20" s="256">
        <v>0</v>
      </c>
      <c r="E20" s="256"/>
      <c r="F20" s="249">
        <f t="shared" si="8"/>
        <v>0</v>
      </c>
      <c r="H20" s="132"/>
      <c r="I20" s="4125" t="s">
        <v>263</v>
      </c>
      <c r="J20" s="4126"/>
      <c r="K20" s="4127"/>
      <c r="L20" s="4129">
        <f t="shared" si="3"/>
        <v>0.57999999999999996</v>
      </c>
      <c r="M20" s="4133">
        <v>0</v>
      </c>
      <c r="N20" s="4784">
        <v>23578</v>
      </c>
      <c r="O20" s="4134">
        <f t="shared" si="4"/>
        <v>23578</v>
      </c>
      <c r="P20" s="4135">
        <f t="shared" si="5"/>
        <v>0</v>
      </c>
      <c r="Q20" s="4135">
        <f t="shared" si="6"/>
        <v>13675.24</v>
      </c>
      <c r="R20" s="4136">
        <f t="shared" si="7"/>
        <v>13675.24</v>
      </c>
      <c r="T20" s="253">
        <v>0</v>
      </c>
    </row>
    <row r="21" spans="2:20">
      <c r="B21" s="254"/>
      <c r="C21" s="255" t="s">
        <v>141</v>
      </c>
      <c r="D21" s="258">
        <v>0</v>
      </c>
      <c r="E21" s="258"/>
      <c r="F21" s="249">
        <f t="shared" si="8"/>
        <v>0</v>
      </c>
      <c r="H21" s="132"/>
      <c r="I21" s="4125" t="s">
        <v>264</v>
      </c>
      <c r="J21" s="4126"/>
      <c r="K21" s="4127"/>
      <c r="L21" s="4455">
        <v>0.50900000000000001</v>
      </c>
      <c r="M21" s="4133">
        <v>0</v>
      </c>
      <c r="N21" s="4784">
        <v>4164</v>
      </c>
      <c r="O21" s="4134">
        <f t="shared" si="4"/>
        <v>4164</v>
      </c>
      <c r="P21" s="4135">
        <f t="shared" si="5"/>
        <v>0</v>
      </c>
      <c r="Q21" s="4135">
        <f t="shared" si="6"/>
        <v>2119.4760000000001</v>
      </c>
      <c r="R21" s="4136">
        <f t="shared" si="7"/>
        <v>2119.4760000000001</v>
      </c>
      <c r="T21" s="253">
        <v>0</v>
      </c>
    </row>
    <row r="22" spans="2:20" ht="13.5" thickBot="1">
      <c r="B22" s="254"/>
      <c r="C22" s="255" t="s">
        <v>142</v>
      </c>
      <c r="D22" s="258">
        <v>0</v>
      </c>
      <c r="E22" s="258"/>
      <c r="F22" s="249">
        <f t="shared" si="8"/>
        <v>0</v>
      </c>
      <c r="H22" s="132"/>
      <c r="I22" s="4125" t="s">
        <v>265</v>
      </c>
      <c r="J22" s="4126"/>
      <c r="K22" s="4127"/>
      <c r="L22" s="4129">
        <f t="shared" si="3"/>
        <v>1.59</v>
      </c>
      <c r="M22" s="4133">
        <v>0</v>
      </c>
      <c r="N22" s="4784">
        <v>500</v>
      </c>
      <c r="O22" s="4134">
        <f t="shared" si="4"/>
        <v>500</v>
      </c>
      <c r="P22" s="4135">
        <f t="shared" si="5"/>
        <v>0</v>
      </c>
      <c r="Q22" s="4135">
        <f t="shared" si="6"/>
        <v>795</v>
      </c>
      <c r="R22" s="4136">
        <f t="shared" si="7"/>
        <v>795</v>
      </c>
      <c r="T22" s="253">
        <v>0</v>
      </c>
    </row>
    <row r="23" spans="2:20" ht="13.5" thickBot="1">
      <c r="B23" s="262">
        <v>82827</v>
      </c>
      <c r="C23" s="236" t="s">
        <v>144</v>
      </c>
      <c r="D23" s="237">
        <f>SUM(D24:D27)</f>
        <v>0</v>
      </c>
      <c r="E23" s="237">
        <f>SUM(E24:E27)</f>
        <v>121748.74411</v>
      </c>
      <c r="F23" s="238">
        <f>D23+E23</f>
        <v>121748.74411</v>
      </c>
      <c r="G23" s="53"/>
      <c r="H23" s="132"/>
      <c r="I23" s="4125" t="s">
        <v>266</v>
      </c>
      <c r="J23" s="4126"/>
      <c r="K23" s="4127"/>
      <c r="L23" s="4455">
        <v>0.5</v>
      </c>
      <c r="M23" s="4133">
        <v>0</v>
      </c>
      <c r="N23" s="4784">
        <v>22500</v>
      </c>
      <c r="O23" s="4134">
        <f t="shared" si="4"/>
        <v>22500</v>
      </c>
      <c r="P23" s="4135">
        <f t="shared" si="5"/>
        <v>0</v>
      </c>
      <c r="Q23" s="4135">
        <f t="shared" si="6"/>
        <v>11250</v>
      </c>
      <c r="R23" s="4136">
        <f t="shared" si="7"/>
        <v>11250</v>
      </c>
      <c r="T23" s="253">
        <v>0</v>
      </c>
    </row>
    <row r="24" spans="2:20">
      <c r="B24" s="247"/>
      <c r="C24" s="3566" t="s">
        <v>1434</v>
      </c>
      <c r="D24" s="249">
        <f>0.63*D13</f>
        <v>0</v>
      </c>
      <c r="E24" s="249">
        <f>0.707*E13</f>
        <v>109617.68461</v>
      </c>
      <c r="F24" s="249">
        <f t="shared" si="8"/>
        <v>109617.68461</v>
      </c>
      <c r="H24" s="132"/>
      <c r="I24" s="4125" t="s">
        <v>267</v>
      </c>
      <c r="J24" s="4126"/>
      <c r="K24" s="4127"/>
      <c r="L24" s="4455">
        <v>1.39</v>
      </c>
      <c r="M24" s="4133">
        <v>0</v>
      </c>
      <c r="N24" s="4784">
        <v>10020</v>
      </c>
      <c r="O24" s="4134">
        <f t="shared" si="4"/>
        <v>10020</v>
      </c>
      <c r="P24" s="4135">
        <f t="shared" si="5"/>
        <v>0</v>
      </c>
      <c r="Q24" s="4135">
        <f t="shared" si="6"/>
        <v>13927.8</v>
      </c>
      <c r="R24" s="4136">
        <f t="shared" si="7"/>
        <v>13927.8</v>
      </c>
      <c r="T24" s="253">
        <v>0</v>
      </c>
    </row>
    <row r="25" spans="2:20">
      <c r="B25" s="247"/>
      <c r="C25" s="3566" t="s">
        <v>1435</v>
      </c>
      <c r="D25" s="256">
        <f>0.63*D18</f>
        <v>0</v>
      </c>
      <c r="E25" s="3567">
        <f>0.707*E18</f>
        <v>12131.059499999999</v>
      </c>
      <c r="F25" s="249">
        <f t="shared" si="8"/>
        <v>12131.059499999999</v>
      </c>
      <c r="H25" s="132"/>
      <c r="I25" s="4125" t="s">
        <v>268</v>
      </c>
      <c r="J25" s="4126"/>
      <c r="K25" s="4127"/>
      <c r="L25" s="4129">
        <f t="shared" si="3"/>
        <v>1.01</v>
      </c>
      <c r="M25" s="4133">
        <v>0</v>
      </c>
      <c r="N25" s="4784">
        <v>55094</v>
      </c>
      <c r="O25" s="4134">
        <f t="shared" si="4"/>
        <v>55094</v>
      </c>
      <c r="P25" s="4135">
        <f t="shared" si="5"/>
        <v>0</v>
      </c>
      <c r="Q25" s="4135">
        <f t="shared" si="6"/>
        <v>55644.94</v>
      </c>
      <c r="R25" s="4136">
        <f t="shared" si="7"/>
        <v>55644.94</v>
      </c>
      <c r="T25" s="253">
        <v>0</v>
      </c>
    </row>
    <row r="26" spans="2:20">
      <c r="B26" s="254"/>
      <c r="C26" s="255"/>
      <c r="D26" s="258"/>
      <c r="E26" s="258"/>
      <c r="F26" s="258"/>
      <c r="H26" s="132"/>
      <c r="I26" s="4125" t="s">
        <v>269</v>
      </c>
      <c r="J26" s="4126"/>
      <c r="K26" s="4127"/>
      <c r="L26" s="4129">
        <f t="shared" si="3"/>
        <v>2.31</v>
      </c>
      <c r="M26" s="4133">
        <v>0</v>
      </c>
      <c r="N26" s="4784">
        <v>0</v>
      </c>
      <c r="O26" s="4134">
        <f t="shared" si="4"/>
        <v>0</v>
      </c>
      <c r="P26" s="4135">
        <f t="shared" si="5"/>
        <v>0</v>
      </c>
      <c r="Q26" s="4135">
        <f t="shared" si="6"/>
        <v>0</v>
      </c>
      <c r="R26" s="4136">
        <f t="shared" si="7"/>
        <v>0</v>
      </c>
      <c r="T26" s="253">
        <v>0</v>
      </c>
    </row>
    <row r="27" spans="2:20" ht="13.5" thickBot="1">
      <c r="B27" s="254"/>
      <c r="C27" s="255"/>
      <c r="D27" s="258"/>
      <c r="E27" s="258"/>
      <c r="F27" s="258"/>
      <c r="H27" s="132"/>
      <c r="I27" s="4125" t="s">
        <v>270</v>
      </c>
      <c r="J27" s="4126"/>
      <c r="K27" s="4127"/>
      <c r="L27" s="4129">
        <f t="shared" si="3"/>
        <v>2.2400000000000002</v>
      </c>
      <c r="M27" s="4133">
        <v>0</v>
      </c>
      <c r="N27" s="4784">
        <v>0</v>
      </c>
      <c r="O27" s="4134">
        <f t="shared" si="4"/>
        <v>0</v>
      </c>
      <c r="P27" s="4135">
        <f t="shared" si="5"/>
        <v>0</v>
      </c>
      <c r="Q27" s="4135">
        <f t="shared" si="6"/>
        <v>0</v>
      </c>
      <c r="R27" s="4136">
        <f t="shared" si="7"/>
        <v>0</v>
      </c>
      <c r="T27" s="253">
        <v>0</v>
      </c>
    </row>
    <row r="28" spans="2:20" ht="13.5" thickBot="1">
      <c r="B28" s="262">
        <v>4532</v>
      </c>
      <c r="C28" s="236" t="s">
        <v>145</v>
      </c>
      <c r="D28" s="237">
        <f>SUM(D29:D32)</f>
        <v>0</v>
      </c>
      <c r="E28" s="237">
        <f>SUM(E29:E32)</f>
        <v>4650</v>
      </c>
      <c r="F28" s="238">
        <f>D28+E28</f>
        <v>4650</v>
      </c>
      <c r="H28" s="132"/>
      <c r="I28" s="4125" t="s">
        <v>271</v>
      </c>
      <c r="J28" s="4126"/>
      <c r="K28" s="4127"/>
      <c r="L28" s="4455">
        <v>0.84</v>
      </c>
      <c r="M28" s="4133">
        <v>0</v>
      </c>
      <c r="N28" s="4784">
        <v>15298</v>
      </c>
      <c r="O28" s="4134">
        <f t="shared" si="4"/>
        <v>15298</v>
      </c>
      <c r="P28" s="4135">
        <f t="shared" si="5"/>
        <v>0</v>
      </c>
      <c r="Q28" s="4135">
        <f t="shared" si="6"/>
        <v>12850.32</v>
      </c>
      <c r="R28" s="4136">
        <f t="shared" si="7"/>
        <v>12850.32</v>
      </c>
      <c r="T28" s="253">
        <v>0</v>
      </c>
    </row>
    <row r="29" spans="2:20">
      <c r="B29" s="247"/>
      <c r="C29" s="248" t="s">
        <v>62</v>
      </c>
      <c r="D29" s="249">
        <v>0</v>
      </c>
      <c r="E29" s="249">
        <v>4650</v>
      </c>
      <c r="F29" s="249">
        <f t="shared" ref="F29:F37" si="9">SUM(D29:E29)</f>
        <v>4650</v>
      </c>
      <c r="H29" s="132"/>
      <c r="I29" s="4125" t="s">
        <v>272</v>
      </c>
      <c r="J29" s="4126"/>
      <c r="K29" s="4127"/>
      <c r="L29" s="4129">
        <f t="shared" si="3"/>
        <v>2.06</v>
      </c>
      <c r="M29" s="4133">
        <v>0</v>
      </c>
      <c r="N29" s="4784">
        <v>0</v>
      </c>
      <c r="O29" s="4134">
        <f t="shared" si="4"/>
        <v>0</v>
      </c>
      <c r="P29" s="4135">
        <f t="shared" si="5"/>
        <v>0</v>
      </c>
      <c r="Q29" s="4135">
        <f t="shared" si="6"/>
        <v>0</v>
      </c>
      <c r="R29" s="4136">
        <f t="shared" si="7"/>
        <v>0</v>
      </c>
      <c r="T29" s="253">
        <v>0</v>
      </c>
    </row>
    <row r="30" spans="2:20">
      <c r="B30" s="254"/>
      <c r="C30" s="255" t="s">
        <v>140</v>
      </c>
      <c r="D30" s="256">
        <v>0</v>
      </c>
      <c r="E30" s="256"/>
      <c r="F30" s="249">
        <f t="shared" si="9"/>
        <v>0</v>
      </c>
      <c r="H30" s="132"/>
      <c r="I30" s="4125" t="s">
        <v>273</v>
      </c>
      <c r="J30" s="4126"/>
      <c r="K30" s="4127"/>
      <c r="L30" s="4129">
        <f t="shared" si="3"/>
        <v>1.77</v>
      </c>
      <c r="M30" s="4133">
        <v>0</v>
      </c>
      <c r="N30" s="4784">
        <v>0</v>
      </c>
      <c r="O30" s="4134">
        <f t="shared" si="4"/>
        <v>0</v>
      </c>
      <c r="P30" s="4135">
        <f t="shared" si="5"/>
        <v>0</v>
      </c>
      <c r="Q30" s="4135">
        <f t="shared" si="6"/>
        <v>0</v>
      </c>
      <c r="R30" s="4136">
        <f t="shared" si="7"/>
        <v>0</v>
      </c>
      <c r="T30" s="253">
        <v>0</v>
      </c>
    </row>
    <row r="31" spans="2:20">
      <c r="B31" s="254"/>
      <c r="C31" s="255" t="s">
        <v>141</v>
      </c>
      <c r="D31" s="256">
        <v>0</v>
      </c>
      <c r="E31" s="256"/>
      <c r="F31" s="249">
        <f t="shared" si="9"/>
        <v>0</v>
      </c>
      <c r="H31" s="132"/>
      <c r="I31" s="4125" t="s">
        <v>274</v>
      </c>
      <c r="J31" s="4126"/>
      <c r="K31" s="4127"/>
      <c r="L31" s="4129">
        <f t="shared" si="3"/>
        <v>4.6500000000000004</v>
      </c>
      <c r="M31" s="4133">
        <v>0</v>
      </c>
      <c r="N31" s="4784">
        <v>200</v>
      </c>
      <c r="O31" s="4134">
        <f t="shared" si="4"/>
        <v>200</v>
      </c>
      <c r="P31" s="4135">
        <f t="shared" si="5"/>
        <v>0</v>
      </c>
      <c r="Q31" s="4135">
        <f t="shared" si="6"/>
        <v>930.00000000000011</v>
      </c>
      <c r="R31" s="4136">
        <f t="shared" si="7"/>
        <v>930.00000000000011</v>
      </c>
      <c r="T31" s="253">
        <v>0</v>
      </c>
    </row>
    <row r="32" spans="2:20" ht="13.5" thickBot="1">
      <c r="B32" s="254"/>
      <c r="C32" s="255" t="s">
        <v>142</v>
      </c>
      <c r="D32" s="256">
        <v>0</v>
      </c>
      <c r="E32" s="256"/>
      <c r="F32" s="249">
        <f t="shared" si="9"/>
        <v>0</v>
      </c>
      <c r="H32" s="132"/>
      <c r="I32" s="4125" t="s">
        <v>275</v>
      </c>
      <c r="J32" s="4126"/>
      <c r="K32" s="4127"/>
      <c r="L32" s="4129">
        <f t="shared" si="3"/>
        <v>4.6500000000000004</v>
      </c>
      <c r="M32" s="4133">
        <v>0</v>
      </c>
      <c r="N32" s="4784">
        <v>2206</v>
      </c>
      <c r="O32" s="4134">
        <f t="shared" si="4"/>
        <v>2206</v>
      </c>
      <c r="P32" s="4135">
        <f t="shared" si="5"/>
        <v>0</v>
      </c>
      <c r="Q32" s="4135">
        <f t="shared" si="6"/>
        <v>10257.900000000001</v>
      </c>
      <c r="R32" s="4136">
        <f t="shared" si="7"/>
        <v>10257.900000000001</v>
      </c>
      <c r="T32" s="253">
        <v>0</v>
      </c>
    </row>
    <row r="33" spans="2:20" ht="13.5" thickBot="1">
      <c r="B33" s="262">
        <v>5085</v>
      </c>
      <c r="C33" s="236" t="s">
        <v>146</v>
      </c>
      <c r="D33" s="237">
        <f>SUM(D34:D37)</f>
        <v>0</v>
      </c>
      <c r="E33" s="237">
        <f>SUM(E34:E37)</f>
        <v>6696</v>
      </c>
      <c r="F33" s="238">
        <f>D33+E33</f>
        <v>6696</v>
      </c>
      <c r="H33" s="132"/>
      <c r="I33" s="4125" t="s">
        <v>276</v>
      </c>
      <c r="J33" s="4126"/>
      <c r="K33" s="4127"/>
      <c r="L33" s="4129">
        <f t="shared" si="3"/>
        <v>1.04</v>
      </c>
      <c r="M33" s="4133">
        <v>0</v>
      </c>
      <c r="N33" s="4784">
        <v>3060</v>
      </c>
      <c r="O33" s="4134">
        <f t="shared" si="4"/>
        <v>3060</v>
      </c>
      <c r="P33" s="4135">
        <f t="shared" si="5"/>
        <v>0</v>
      </c>
      <c r="Q33" s="4135">
        <f t="shared" si="6"/>
        <v>3182.4</v>
      </c>
      <c r="R33" s="4136">
        <f t="shared" si="7"/>
        <v>3182.4</v>
      </c>
      <c r="T33" s="253">
        <v>0</v>
      </c>
    </row>
    <row r="34" spans="2:20">
      <c r="B34" s="254"/>
      <c r="C34" s="255" t="s">
        <v>42</v>
      </c>
      <c r="D34" s="256">
        <v>0</v>
      </c>
      <c r="E34" s="4449">
        <v>3348</v>
      </c>
      <c r="F34" s="249">
        <f t="shared" si="9"/>
        <v>3348</v>
      </c>
      <c r="H34" s="132"/>
      <c r="I34" s="4125" t="s">
        <v>277</v>
      </c>
      <c r="J34" s="4126"/>
      <c r="K34" s="4127"/>
      <c r="L34" s="4455">
        <v>1.01</v>
      </c>
      <c r="M34" s="4133">
        <v>0</v>
      </c>
      <c r="N34" s="4784">
        <v>20546</v>
      </c>
      <c r="O34" s="4134">
        <f t="shared" si="4"/>
        <v>20546</v>
      </c>
      <c r="P34" s="4135">
        <f t="shared" si="5"/>
        <v>0</v>
      </c>
      <c r="Q34" s="4135">
        <f t="shared" si="6"/>
        <v>20751.46</v>
      </c>
      <c r="R34" s="4136">
        <f t="shared" si="7"/>
        <v>20751.46</v>
      </c>
      <c r="T34" s="253">
        <v>0</v>
      </c>
    </row>
    <row r="35" spans="2:20">
      <c r="B35" s="254"/>
      <c r="C35" s="255" t="s">
        <v>70</v>
      </c>
      <c r="D35" s="256">
        <v>0</v>
      </c>
      <c r="E35" s="4449">
        <v>3348</v>
      </c>
      <c r="F35" s="249">
        <f t="shared" si="9"/>
        <v>3348</v>
      </c>
      <c r="H35" s="132"/>
      <c r="I35" s="4125" t="s">
        <v>278</v>
      </c>
      <c r="J35" s="4126"/>
      <c r="K35" s="4128"/>
      <c r="L35" s="4129">
        <f t="shared" si="3"/>
        <v>1.3</v>
      </c>
      <c r="M35" s="4133">
        <v>0</v>
      </c>
      <c r="N35" s="4784">
        <v>4910</v>
      </c>
      <c r="O35" s="4134">
        <f t="shared" si="4"/>
        <v>4910</v>
      </c>
      <c r="P35" s="4135">
        <f t="shared" si="5"/>
        <v>0</v>
      </c>
      <c r="Q35" s="4135">
        <f t="shared" si="6"/>
        <v>6383</v>
      </c>
      <c r="R35" s="4136">
        <f t="shared" si="7"/>
        <v>6383</v>
      </c>
      <c r="T35" s="253">
        <v>0</v>
      </c>
    </row>
    <row r="36" spans="2:20">
      <c r="B36" s="254"/>
      <c r="C36" s="255" t="s">
        <v>141</v>
      </c>
      <c r="D36" s="256">
        <v>0</v>
      </c>
      <c r="E36" s="256"/>
      <c r="F36" s="249">
        <f t="shared" si="9"/>
        <v>0</v>
      </c>
      <c r="H36" s="132"/>
      <c r="I36" s="4125" t="s">
        <v>279</v>
      </c>
      <c r="J36" s="4126"/>
      <c r="K36" s="4128"/>
      <c r="L36" s="4455">
        <v>1.21</v>
      </c>
      <c r="M36" s="4133">
        <v>0</v>
      </c>
      <c r="N36" s="4784">
        <v>23640</v>
      </c>
      <c r="O36" s="4134">
        <f t="shared" si="4"/>
        <v>23640</v>
      </c>
      <c r="P36" s="4135">
        <f t="shared" si="5"/>
        <v>0</v>
      </c>
      <c r="Q36" s="4135">
        <f t="shared" si="6"/>
        <v>28604.399999999998</v>
      </c>
      <c r="R36" s="4136">
        <f t="shared" si="7"/>
        <v>28604.399999999998</v>
      </c>
      <c r="T36" s="253">
        <v>0</v>
      </c>
    </row>
    <row r="37" spans="2:20" ht="13.5" thickBot="1">
      <c r="B37" s="254"/>
      <c r="C37" s="255" t="s">
        <v>142</v>
      </c>
      <c r="D37" s="256">
        <v>0</v>
      </c>
      <c r="E37" s="256"/>
      <c r="F37" s="249">
        <f t="shared" si="9"/>
        <v>0</v>
      </c>
      <c r="H37" s="132"/>
      <c r="I37" s="4125" t="s">
        <v>280</v>
      </c>
      <c r="J37" s="4126"/>
      <c r="K37" s="4128"/>
      <c r="L37" s="4455">
        <v>1.47</v>
      </c>
      <c r="M37" s="4133">
        <v>0</v>
      </c>
      <c r="N37" s="4784">
        <v>70636</v>
      </c>
      <c r="O37" s="4134">
        <f t="shared" si="4"/>
        <v>70636</v>
      </c>
      <c r="P37" s="4135">
        <f t="shared" si="5"/>
        <v>0</v>
      </c>
      <c r="Q37" s="4135">
        <f t="shared" si="6"/>
        <v>103834.92</v>
      </c>
      <c r="R37" s="4136">
        <f t="shared" si="7"/>
        <v>103834.92</v>
      </c>
      <c r="T37" s="253">
        <v>0</v>
      </c>
    </row>
    <row r="38" spans="2:20" ht="13.5" thickBot="1">
      <c r="B38" s="262">
        <v>117202</v>
      </c>
      <c r="C38" s="236" t="s">
        <v>147</v>
      </c>
      <c r="D38" s="237">
        <f>SUM(D39:D42)</f>
        <v>0</v>
      </c>
      <c r="E38" s="237">
        <f>SUM(E39:E42)</f>
        <v>22320</v>
      </c>
      <c r="F38" s="238">
        <f>D38+E38</f>
        <v>22320</v>
      </c>
      <c r="H38" s="132"/>
      <c r="I38" s="4125" t="s">
        <v>281</v>
      </c>
      <c r="J38" s="4126"/>
      <c r="K38" s="4128"/>
      <c r="L38" s="4455">
        <v>1.1299999999999999</v>
      </c>
      <c r="M38" s="4133">
        <v>0</v>
      </c>
      <c r="N38" s="4784">
        <v>62094</v>
      </c>
      <c r="O38" s="4134">
        <f t="shared" si="4"/>
        <v>62094</v>
      </c>
      <c r="P38" s="4135">
        <f t="shared" si="5"/>
        <v>0</v>
      </c>
      <c r="Q38" s="4135">
        <f t="shared" si="6"/>
        <v>70166.219999999987</v>
      </c>
      <c r="R38" s="4136">
        <f t="shared" si="7"/>
        <v>70166.219999999987</v>
      </c>
      <c r="T38" s="253">
        <v>0</v>
      </c>
    </row>
    <row r="39" spans="2:20">
      <c r="B39" s="254"/>
      <c r="C39" s="255" t="s">
        <v>243</v>
      </c>
      <c r="D39" s="2306">
        <v>0</v>
      </c>
      <c r="E39" s="4454">
        <v>22320</v>
      </c>
      <c r="F39" s="249">
        <f t="shared" ref="F39:F52" si="10">SUM(D39:E39)</f>
        <v>22320</v>
      </c>
      <c r="H39" s="132"/>
      <c r="I39" s="4125" t="s">
        <v>282</v>
      </c>
      <c r="J39" s="4126"/>
      <c r="K39" s="4128"/>
      <c r="L39" s="4455">
        <v>0.59</v>
      </c>
      <c r="M39" s="4133">
        <v>0</v>
      </c>
      <c r="N39" s="4784">
        <v>35472</v>
      </c>
      <c r="O39" s="4134">
        <f t="shared" si="4"/>
        <v>35472</v>
      </c>
      <c r="P39" s="4135">
        <f t="shared" si="5"/>
        <v>0</v>
      </c>
      <c r="Q39" s="4135">
        <f t="shared" si="6"/>
        <v>20928.48</v>
      </c>
      <c r="R39" s="4136">
        <f t="shared" si="7"/>
        <v>20928.48</v>
      </c>
      <c r="T39" s="253">
        <v>0</v>
      </c>
    </row>
    <row r="40" spans="2:20">
      <c r="B40" s="254"/>
      <c r="C40" s="255" t="s">
        <v>244</v>
      </c>
      <c r="D40" s="2306"/>
      <c r="E40" s="2306"/>
      <c r="F40" s="249">
        <f t="shared" si="10"/>
        <v>0</v>
      </c>
      <c r="H40" s="132"/>
      <c r="I40" s="4125" t="s">
        <v>283</v>
      </c>
      <c r="J40" s="4126"/>
      <c r="K40" s="4128"/>
      <c r="L40" s="4129">
        <f t="shared" si="3"/>
        <v>0.76</v>
      </c>
      <c r="M40" s="4133">
        <v>0</v>
      </c>
      <c r="N40" s="4784">
        <v>12</v>
      </c>
      <c r="O40" s="4134">
        <f t="shared" si="4"/>
        <v>12</v>
      </c>
      <c r="P40" s="4135">
        <f t="shared" si="5"/>
        <v>0</v>
      </c>
      <c r="Q40" s="4135">
        <f t="shared" si="6"/>
        <v>9.120000000000001</v>
      </c>
      <c r="R40" s="4136">
        <f t="shared" si="7"/>
        <v>9.120000000000001</v>
      </c>
      <c r="T40" s="253">
        <v>0</v>
      </c>
    </row>
    <row r="41" spans="2:20">
      <c r="B41" s="254"/>
      <c r="C41" s="255" t="s">
        <v>141</v>
      </c>
      <c r="D41" s="256">
        <v>0</v>
      </c>
      <c r="E41" s="256"/>
      <c r="F41" s="249">
        <f t="shared" si="10"/>
        <v>0</v>
      </c>
      <c r="H41" s="132"/>
      <c r="I41" s="4125" t="s">
        <v>284</v>
      </c>
      <c r="J41" s="4126"/>
      <c r="K41" s="4128"/>
      <c r="L41" s="4455">
        <v>0.6</v>
      </c>
      <c r="M41" s="4133">
        <v>0</v>
      </c>
      <c r="N41" s="4784">
        <v>12</v>
      </c>
      <c r="O41" s="4134">
        <f t="shared" si="4"/>
        <v>12</v>
      </c>
      <c r="P41" s="4135">
        <f t="shared" si="5"/>
        <v>0</v>
      </c>
      <c r="Q41" s="4135">
        <f t="shared" si="6"/>
        <v>7.1999999999999993</v>
      </c>
      <c r="R41" s="4136">
        <f t="shared" si="7"/>
        <v>7.1999999999999993</v>
      </c>
      <c r="T41" s="253">
        <v>0</v>
      </c>
    </row>
    <row r="42" spans="2:20" ht="13.5" thickBot="1">
      <c r="B42" s="254"/>
      <c r="C42" s="255" t="s">
        <v>142</v>
      </c>
      <c r="D42" s="256">
        <v>0</v>
      </c>
      <c r="E42" s="256"/>
      <c r="F42" s="249">
        <f t="shared" si="10"/>
        <v>0</v>
      </c>
      <c r="H42" s="132"/>
      <c r="I42" s="4125" t="s">
        <v>285</v>
      </c>
      <c r="J42" s="4126"/>
      <c r="K42" s="4128"/>
      <c r="L42" s="4129">
        <f t="shared" si="3"/>
        <v>2.2999999999999998</v>
      </c>
      <c r="M42" s="4133">
        <v>0</v>
      </c>
      <c r="N42" s="4784">
        <v>0</v>
      </c>
      <c r="O42" s="4134">
        <f t="shared" si="4"/>
        <v>0</v>
      </c>
      <c r="P42" s="4135">
        <f t="shared" si="5"/>
        <v>0</v>
      </c>
      <c r="Q42" s="4135">
        <f t="shared" si="6"/>
        <v>0</v>
      </c>
      <c r="R42" s="4136">
        <f t="shared" si="7"/>
        <v>0</v>
      </c>
      <c r="T42" s="253">
        <v>0</v>
      </c>
    </row>
    <row r="43" spans="2:20" ht="13.5" thickBot="1">
      <c r="B43" s="262">
        <v>459</v>
      </c>
      <c r="C43" s="236" t="s">
        <v>148</v>
      </c>
      <c r="D43" s="237">
        <f>SUM(D44:D47)</f>
        <v>0</v>
      </c>
      <c r="E43" s="237">
        <f>SUM(E44:E47)</f>
        <v>10800</v>
      </c>
      <c r="F43" s="238">
        <f>D43+E43</f>
        <v>10800</v>
      </c>
      <c r="H43" s="132"/>
      <c r="I43" s="4125" t="s">
        <v>286</v>
      </c>
      <c r="J43" s="4126"/>
      <c r="K43" s="4128"/>
      <c r="L43" s="4129">
        <f t="shared" si="3"/>
        <v>1.3</v>
      </c>
      <c r="M43" s="4133">
        <v>0</v>
      </c>
      <c r="N43" s="4784">
        <v>500</v>
      </c>
      <c r="O43" s="4134">
        <f t="shared" si="4"/>
        <v>500</v>
      </c>
      <c r="P43" s="4135">
        <f t="shared" si="5"/>
        <v>0</v>
      </c>
      <c r="Q43" s="4135">
        <f t="shared" si="6"/>
        <v>650</v>
      </c>
      <c r="R43" s="4136">
        <f t="shared" si="7"/>
        <v>650</v>
      </c>
      <c r="T43" s="253">
        <v>0</v>
      </c>
    </row>
    <row r="44" spans="2:20">
      <c r="B44" s="254"/>
      <c r="C44" s="255" t="s">
        <v>245</v>
      </c>
      <c r="D44" s="256">
        <v>0</v>
      </c>
      <c r="E44" s="256">
        <v>10800</v>
      </c>
      <c r="F44" s="249">
        <f t="shared" si="10"/>
        <v>10800</v>
      </c>
      <c r="H44" s="132"/>
      <c r="I44" s="4125" t="s">
        <v>287</v>
      </c>
      <c r="J44" s="4126"/>
      <c r="K44" s="4128"/>
      <c r="L44" s="4455">
        <v>1.38</v>
      </c>
      <c r="M44" s="4133">
        <v>0</v>
      </c>
      <c r="N44" s="4784">
        <v>500</v>
      </c>
      <c r="O44" s="4134">
        <f t="shared" si="4"/>
        <v>500</v>
      </c>
      <c r="P44" s="4135">
        <f t="shared" si="5"/>
        <v>0</v>
      </c>
      <c r="Q44" s="4135">
        <f t="shared" si="6"/>
        <v>690</v>
      </c>
      <c r="R44" s="4136">
        <f t="shared" si="7"/>
        <v>690</v>
      </c>
      <c r="T44" s="253">
        <v>0</v>
      </c>
    </row>
    <row r="45" spans="2:20">
      <c r="B45" s="254"/>
      <c r="C45" s="255" t="s">
        <v>140</v>
      </c>
      <c r="D45" s="256">
        <v>0</v>
      </c>
      <c r="E45" s="256"/>
      <c r="F45" s="249">
        <f t="shared" si="10"/>
        <v>0</v>
      </c>
      <c r="H45" s="132"/>
      <c r="I45" s="4125" t="s">
        <v>288</v>
      </c>
      <c r="J45" s="4126"/>
      <c r="K45" s="4128"/>
      <c r="L45" s="4129">
        <v>1.79</v>
      </c>
      <c r="M45" s="4133">
        <v>0</v>
      </c>
      <c r="N45" s="4784">
        <v>25000</v>
      </c>
      <c r="O45" s="4134">
        <f t="shared" si="4"/>
        <v>25000</v>
      </c>
      <c r="P45" s="4135">
        <f t="shared" si="5"/>
        <v>0</v>
      </c>
      <c r="Q45" s="4135">
        <f t="shared" si="6"/>
        <v>44750</v>
      </c>
      <c r="R45" s="4136">
        <f t="shared" si="7"/>
        <v>44750</v>
      </c>
      <c r="T45" s="253">
        <v>0</v>
      </c>
    </row>
    <row r="46" spans="2:20">
      <c r="B46" s="254"/>
      <c r="C46" s="255" t="s">
        <v>141</v>
      </c>
      <c r="D46" s="256">
        <v>0</v>
      </c>
      <c r="E46" s="256"/>
      <c r="F46" s="249">
        <f t="shared" si="10"/>
        <v>0</v>
      </c>
      <c r="H46" s="132"/>
      <c r="I46" s="4125" t="s">
        <v>1149</v>
      </c>
      <c r="J46" s="4126"/>
      <c r="K46" s="4128"/>
      <c r="L46" s="4129">
        <f t="shared" si="3"/>
        <v>307</v>
      </c>
      <c r="M46" s="4133">
        <v>0</v>
      </c>
      <c r="N46" s="4784">
        <v>0</v>
      </c>
      <c r="O46" s="4134">
        <f t="shared" si="4"/>
        <v>0</v>
      </c>
      <c r="P46" s="4135">
        <f t="shared" si="5"/>
        <v>0</v>
      </c>
      <c r="Q46" s="4135">
        <f t="shared" si="6"/>
        <v>0</v>
      </c>
      <c r="R46" s="4136">
        <f t="shared" si="7"/>
        <v>0</v>
      </c>
      <c r="T46" s="253">
        <v>0</v>
      </c>
    </row>
    <row r="47" spans="2:20" ht="13.5" thickBot="1">
      <c r="B47" s="254"/>
      <c r="C47" s="255" t="s">
        <v>142</v>
      </c>
      <c r="D47" s="256">
        <v>0</v>
      </c>
      <c r="E47" s="256"/>
      <c r="F47" s="249">
        <f t="shared" si="10"/>
        <v>0</v>
      </c>
      <c r="H47" s="132"/>
      <c r="I47" s="4125" t="s">
        <v>290</v>
      </c>
      <c r="J47" s="4126"/>
      <c r="K47" s="4127"/>
      <c r="L47" s="4129">
        <f t="shared" si="3"/>
        <v>139</v>
      </c>
      <c r="M47" s="4133">
        <v>0</v>
      </c>
      <c r="N47" s="4784">
        <v>20</v>
      </c>
      <c r="O47" s="4134">
        <f t="shared" si="4"/>
        <v>20</v>
      </c>
      <c r="P47" s="4135">
        <f t="shared" si="5"/>
        <v>0</v>
      </c>
      <c r="Q47" s="4135">
        <f t="shared" si="6"/>
        <v>2780</v>
      </c>
      <c r="R47" s="4136">
        <f t="shared" si="7"/>
        <v>2780</v>
      </c>
      <c r="T47" s="253">
        <v>0</v>
      </c>
    </row>
    <row r="48" spans="2:20" ht="13.5" thickBot="1">
      <c r="B48" s="262">
        <v>8258</v>
      </c>
      <c r="C48" s="236" t="s">
        <v>149</v>
      </c>
      <c r="D48" s="237">
        <f>SUM(D49:D52)</f>
        <v>0</v>
      </c>
      <c r="E48" s="237">
        <f>SUM(E49:E52)</f>
        <v>909.93</v>
      </c>
      <c r="F48" s="238">
        <f>D48+E48</f>
        <v>909.93</v>
      </c>
      <c r="H48" s="132"/>
      <c r="I48" s="4125" t="s">
        <v>291</v>
      </c>
      <c r="J48" s="4126"/>
      <c r="K48" s="4127"/>
      <c r="L48" s="4129">
        <f t="shared" si="3"/>
        <v>139</v>
      </c>
      <c r="M48" s="4133">
        <v>0</v>
      </c>
      <c r="N48" s="4784">
        <v>20</v>
      </c>
      <c r="O48" s="4134">
        <f t="shared" si="4"/>
        <v>20</v>
      </c>
      <c r="P48" s="4135">
        <f t="shared" si="5"/>
        <v>0</v>
      </c>
      <c r="Q48" s="4135">
        <f t="shared" si="6"/>
        <v>2780</v>
      </c>
      <c r="R48" s="4136">
        <f t="shared" si="7"/>
        <v>2780</v>
      </c>
      <c r="T48" s="253">
        <v>0</v>
      </c>
    </row>
    <row r="49" spans="2:24">
      <c r="B49" s="254"/>
      <c r="C49" s="255" t="s">
        <v>139</v>
      </c>
      <c r="D49" s="256">
        <v>0</v>
      </c>
      <c r="E49" s="256">
        <v>909.93</v>
      </c>
      <c r="F49" s="249">
        <f t="shared" si="10"/>
        <v>909.93</v>
      </c>
      <c r="H49" s="132"/>
      <c r="I49" s="4125" t="s">
        <v>292</v>
      </c>
      <c r="J49" s="4126"/>
      <c r="K49" s="4127"/>
      <c r="L49" s="4129">
        <f t="shared" si="3"/>
        <v>139</v>
      </c>
      <c r="M49" s="4133">
        <v>0</v>
      </c>
      <c r="N49" s="4784">
        <v>20</v>
      </c>
      <c r="O49" s="4134">
        <f t="shared" si="4"/>
        <v>20</v>
      </c>
      <c r="P49" s="4135">
        <f t="shared" si="5"/>
        <v>0</v>
      </c>
      <c r="Q49" s="4135">
        <f t="shared" si="6"/>
        <v>2780</v>
      </c>
      <c r="R49" s="4136">
        <f t="shared" si="7"/>
        <v>2780</v>
      </c>
      <c r="T49" s="253">
        <v>0</v>
      </c>
    </row>
    <row r="50" spans="2:24">
      <c r="B50" s="254"/>
      <c r="C50" s="255" t="s">
        <v>140</v>
      </c>
      <c r="D50" s="256">
        <v>0</v>
      </c>
      <c r="E50" s="256"/>
      <c r="F50" s="249">
        <f t="shared" si="10"/>
        <v>0</v>
      </c>
      <c r="I50" s="4125" t="s">
        <v>293</v>
      </c>
      <c r="J50" s="4126"/>
      <c r="K50" s="4127"/>
      <c r="L50" s="4129">
        <f t="shared" si="3"/>
        <v>49</v>
      </c>
      <c r="M50" s="4133">
        <v>0</v>
      </c>
      <c r="N50" s="4784">
        <v>12</v>
      </c>
      <c r="O50" s="4134">
        <f t="shared" si="4"/>
        <v>12</v>
      </c>
      <c r="P50" s="4135">
        <f t="shared" si="5"/>
        <v>0</v>
      </c>
      <c r="Q50" s="4135">
        <f t="shared" si="6"/>
        <v>588</v>
      </c>
      <c r="R50" s="4136">
        <f t="shared" si="7"/>
        <v>588</v>
      </c>
      <c r="T50" s="253">
        <v>0</v>
      </c>
    </row>
    <row r="51" spans="2:24">
      <c r="B51" s="254"/>
      <c r="C51" s="255" t="s">
        <v>141</v>
      </c>
      <c r="D51" s="256">
        <v>0</v>
      </c>
      <c r="E51" s="256"/>
      <c r="F51" s="249">
        <f t="shared" si="10"/>
        <v>0</v>
      </c>
      <c r="I51" s="4125" t="s">
        <v>294</v>
      </c>
      <c r="J51" s="4125"/>
      <c r="K51" s="4126"/>
      <c r="L51" s="4129">
        <f t="shared" si="3"/>
        <v>49</v>
      </c>
      <c r="M51" s="4133">
        <v>0</v>
      </c>
      <c r="N51" s="4784">
        <v>12</v>
      </c>
      <c r="O51" s="4134">
        <f t="shared" si="4"/>
        <v>12</v>
      </c>
      <c r="P51" s="4135">
        <f t="shared" si="5"/>
        <v>0</v>
      </c>
      <c r="Q51" s="4135">
        <f t="shared" si="6"/>
        <v>588</v>
      </c>
      <c r="R51" s="4136">
        <f t="shared" si="7"/>
        <v>588</v>
      </c>
      <c r="T51" s="253">
        <v>0</v>
      </c>
    </row>
    <row r="52" spans="2:24" ht="13.5" thickBot="1">
      <c r="B52" s="254"/>
      <c r="C52" s="255" t="s">
        <v>142</v>
      </c>
      <c r="D52" s="256">
        <v>0</v>
      </c>
      <c r="E52" s="256"/>
      <c r="F52" s="249">
        <f t="shared" si="10"/>
        <v>0</v>
      </c>
      <c r="I52" s="4125" t="s">
        <v>295</v>
      </c>
      <c r="J52" s="4126"/>
      <c r="K52" s="4127"/>
      <c r="L52" s="4129">
        <f t="shared" si="3"/>
        <v>49</v>
      </c>
      <c r="M52" s="4133">
        <v>0</v>
      </c>
      <c r="N52" s="4784">
        <v>750</v>
      </c>
      <c r="O52" s="4134">
        <f t="shared" si="4"/>
        <v>750</v>
      </c>
      <c r="P52" s="4135">
        <f t="shared" si="5"/>
        <v>0</v>
      </c>
      <c r="Q52" s="4135">
        <f t="shared" si="6"/>
        <v>36750</v>
      </c>
      <c r="R52" s="4136">
        <f t="shared" si="7"/>
        <v>36750</v>
      </c>
      <c r="T52" s="253">
        <v>0</v>
      </c>
    </row>
    <row r="53" spans="2:24" ht="13.5" thickBot="1">
      <c r="B53" s="262">
        <v>2041511</v>
      </c>
      <c r="C53" s="236" t="s">
        <v>150</v>
      </c>
      <c r="D53" s="237">
        <f>T199*1.15</f>
        <v>0</v>
      </c>
      <c r="E53" s="3562">
        <v>2086134</v>
      </c>
      <c r="F53" s="238">
        <f>D53+E53</f>
        <v>2086134</v>
      </c>
      <c r="G53" s="261" t="s">
        <v>151</v>
      </c>
      <c r="I53" s="4125" t="s">
        <v>296</v>
      </c>
      <c r="J53" s="4126"/>
      <c r="K53" s="4127"/>
      <c r="L53" s="4129">
        <f t="shared" si="3"/>
        <v>23</v>
      </c>
      <c r="M53" s="4133">
        <v>0</v>
      </c>
      <c r="N53" s="4784">
        <v>50</v>
      </c>
      <c r="O53" s="4134">
        <f t="shared" si="4"/>
        <v>50</v>
      </c>
      <c r="P53" s="4135">
        <f t="shared" si="5"/>
        <v>0</v>
      </c>
      <c r="Q53" s="4135">
        <f t="shared" si="6"/>
        <v>1150</v>
      </c>
      <c r="R53" s="4136">
        <f t="shared" si="7"/>
        <v>1150</v>
      </c>
      <c r="T53" s="253">
        <v>0</v>
      </c>
    </row>
    <row r="54" spans="2:24" ht="13.5" thickBot="1">
      <c r="B54" s="262">
        <v>0</v>
      </c>
      <c r="C54" s="236" t="s">
        <v>152</v>
      </c>
      <c r="D54" s="237">
        <v>0</v>
      </c>
      <c r="E54" s="237">
        <v>0</v>
      </c>
      <c r="F54" s="238">
        <v>0</v>
      </c>
      <c r="I54" s="4125" t="s">
        <v>297</v>
      </c>
      <c r="J54" s="4126"/>
      <c r="K54" s="4127"/>
      <c r="L54" s="4129">
        <f t="shared" si="3"/>
        <v>23</v>
      </c>
      <c r="M54" s="4133">
        <v>0</v>
      </c>
      <c r="N54" s="4784">
        <v>44</v>
      </c>
      <c r="O54" s="4134">
        <f t="shared" si="4"/>
        <v>44</v>
      </c>
      <c r="P54" s="4135">
        <f t="shared" si="5"/>
        <v>0</v>
      </c>
      <c r="Q54" s="4135">
        <f t="shared" si="6"/>
        <v>1012</v>
      </c>
      <c r="R54" s="4136">
        <f t="shared" si="7"/>
        <v>1012</v>
      </c>
      <c r="T54" s="253">
        <v>0</v>
      </c>
    </row>
    <row r="55" spans="2:24">
      <c r="B55" s="299">
        <f>B13+B18+B23+B28+B33+B38+B43+B48+B53+B54</f>
        <v>2423215</v>
      </c>
      <c r="C55" s="264" t="s">
        <v>153</v>
      </c>
      <c r="D55" s="299">
        <f>D13+D18+D23+D28+D33+D38+D43+D48+D53+D54</f>
        <v>0</v>
      </c>
      <c r="E55" s="299">
        <f>E13+E18+E23+E28+E33+E38+E43+E48+E53+E54</f>
        <v>2425463.40411</v>
      </c>
      <c r="F55" s="299">
        <f>F13+F18+F23+F28+F33+F38+F43+F48+F53+F54</f>
        <v>2425463.40411</v>
      </c>
      <c r="I55" s="4125" t="s">
        <v>298</v>
      </c>
      <c r="J55" s="4126"/>
      <c r="K55" s="4127"/>
      <c r="L55" s="4129">
        <f t="shared" si="3"/>
        <v>23</v>
      </c>
      <c r="M55" s="4133">
        <v>0</v>
      </c>
      <c r="N55" s="4784">
        <v>38</v>
      </c>
      <c r="O55" s="4134">
        <f t="shared" si="4"/>
        <v>38</v>
      </c>
      <c r="P55" s="4135">
        <f t="shared" si="5"/>
        <v>0</v>
      </c>
      <c r="Q55" s="4135">
        <f t="shared" si="6"/>
        <v>874</v>
      </c>
      <c r="R55" s="4136">
        <f t="shared" si="7"/>
        <v>874</v>
      </c>
      <c r="T55" s="253">
        <v>0</v>
      </c>
    </row>
    <row r="56" spans="2:24">
      <c r="C56" s="264"/>
      <c r="D56" s="263"/>
      <c r="E56" s="263"/>
      <c r="F56" s="263"/>
      <c r="I56" s="4125" t="s">
        <v>299</v>
      </c>
      <c r="J56" s="4126"/>
      <c r="K56" s="4127"/>
      <c r="L56" s="4129">
        <f t="shared" si="3"/>
        <v>23</v>
      </c>
      <c r="M56" s="4133">
        <v>0</v>
      </c>
      <c r="N56" s="4784">
        <v>0</v>
      </c>
      <c r="O56" s="4134">
        <f t="shared" si="4"/>
        <v>0</v>
      </c>
      <c r="P56" s="4135">
        <f t="shared" si="5"/>
        <v>0</v>
      </c>
      <c r="Q56" s="4135">
        <f t="shared" si="6"/>
        <v>0</v>
      </c>
      <c r="R56" s="4136">
        <f t="shared" si="7"/>
        <v>0</v>
      </c>
      <c r="T56" s="253">
        <v>0</v>
      </c>
    </row>
    <row r="57" spans="2:24">
      <c r="C57" s="264" t="s">
        <v>154</v>
      </c>
      <c r="D57" s="299">
        <f>D55-D53</f>
        <v>0</v>
      </c>
      <c r="E57" s="299">
        <f>E55-E53</f>
        <v>339329.40411</v>
      </c>
      <c r="F57" s="299">
        <f>F55-F53</f>
        <v>339329.40411</v>
      </c>
      <c r="I57" s="4125" t="s">
        <v>300</v>
      </c>
      <c r="J57" s="4126"/>
      <c r="K57" s="4127"/>
      <c r="L57" s="4129">
        <f t="shared" si="3"/>
        <v>23</v>
      </c>
      <c r="M57" s="4133">
        <v>0</v>
      </c>
      <c r="N57" s="4784">
        <v>0</v>
      </c>
      <c r="O57" s="4134">
        <f t="shared" si="4"/>
        <v>0</v>
      </c>
      <c r="P57" s="4135">
        <f t="shared" si="5"/>
        <v>0</v>
      </c>
      <c r="Q57" s="4135">
        <f t="shared" si="6"/>
        <v>0</v>
      </c>
      <c r="R57" s="4136">
        <f t="shared" si="7"/>
        <v>0</v>
      </c>
      <c r="T57" s="253">
        <v>0</v>
      </c>
    </row>
    <row r="58" spans="2:24">
      <c r="C58" s="264" t="s">
        <v>155</v>
      </c>
      <c r="D58" s="299">
        <f>D53</f>
        <v>0</v>
      </c>
      <c r="E58" s="299">
        <f>E53</f>
        <v>2086134</v>
      </c>
      <c r="F58" s="299">
        <f>F53</f>
        <v>2086134</v>
      </c>
      <c r="G58" s="267">
        <f>F58/(F57+F58)</f>
        <v>0.86009708349546765</v>
      </c>
      <c r="H58" s="268" t="s">
        <v>156</v>
      </c>
      <c r="I58" s="4125" t="s">
        <v>301</v>
      </c>
      <c r="J58" s="4126"/>
      <c r="K58" s="4127"/>
      <c r="L58" s="4129">
        <f t="shared" si="3"/>
        <v>23</v>
      </c>
      <c r="M58" s="4133">
        <v>0</v>
      </c>
      <c r="N58" s="4784">
        <v>0</v>
      </c>
      <c r="O58" s="4134">
        <f t="shared" si="4"/>
        <v>0</v>
      </c>
      <c r="P58" s="4135">
        <f t="shared" si="5"/>
        <v>0</v>
      </c>
      <c r="Q58" s="4135">
        <f t="shared" si="6"/>
        <v>0</v>
      </c>
      <c r="R58" s="4136">
        <f t="shared" si="7"/>
        <v>0</v>
      </c>
      <c r="T58" s="253">
        <v>0</v>
      </c>
    </row>
    <row r="59" spans="2:24">
      <c r="C59" s="264"/>
      <c r="D59" s="266"/>
      <c r="E59" s="266"/>
      <c r="F59" s="266"/>
      <c r="I59" s="4125" t="s">
        <v>302</v>
      </c>
      <c r="J59" s="4126"/>
      <c r="K59" s="4127"/>
      <c r="L59" s="4129">
        <f t="shared" si="3"/>
        <v>54135</v>
      </c>
      <c r="M59" s="4133">
        <v>0</v>
      </c>
      <c r="N59" s="4784">
        <v>0</v>
      </c>
      <c r="O59" s="4134">
        <f t="shared" si="4"/>
        <v>0</v>
      </c>
      <c r="P59" s="4135">
        <f t="shared" si="5"/>
        <v>0</v>
      </c>
      <c r="Q59" s="4135">
        <f t="shared" si="6"/>
        <v>0</v>
      </c>
      <c r="R59" s="4136">
        <f t="shared" si="7"/>
        <v>0</v>
      </c>
      <c r="S59" t="s">
        <v>246</v>
      </c>
      <c r="T59" s="253">
        <v>0</v>
      </c>
    </row>
    <row r="60" spans="2:24">
      <c r="C60" s="4096"/>
      <c r="D60" s="4097"/>
      <c r="E60" s="4098"/>
      <c r="F60" s="4097"/>
      <c r="I60" s="4125" t="s">
        <v>304</v>
      </c>
      <c r="J60" s="4126"/>
      <c r="K60" s="4127"/>
      <c r="L60" s="4129">
        <f t="shared" si="3"/>
        <v>1082</v>
      </c>
      <c r="M60" s="4133">
        <v>0</v>
      </c>
      <c r="N60" s="4784">
        <v>120</v>
      </c>
      <c r="O60" s="4134">
        <f t="shared" si="4"/>
        <v>120</v>
      </c>
      <c r="P60" s="4135">
        <f t="shared" si="5"/>
        <v>0</v>
      </c>
      <c r="Q60" s="4135">
        <f t="shared" si="6"/>
        <v>129840</v>
      </c>
      <c r="R60" s="4136">
        <f t="shared" si="7"/>
        <v>129840</v>
      </c>
      <c r="T60" s="253">
        <v>0</v>
      </c>
    </row>
    <row r="61" spans="2:24">
      <c r="C61" s="4099"/>
      <c r="D61" s="4098"/>
      <c r="E61" s="4098"/>
      <c r="F61" s="4098"/>
      <c r="I61" s="4125" t="s">
        <v>305</v>
      </c>
      <c r="J61" s="4126"/>
      <c r="K61" s="4127"/>
      <c r="L61" s="4129">
        <f t="shared" si="3"/>
        <v>1244</v>
      </c>
      <c r="M61" s="4133">
        <v>0</v>
      </c>
      <c r="N61" s="4784">
        <v>36</v>
      </c>
      <c r="O61" s="4134">
        <f t="shared" si="4"/>
        <v>36</v>
      </c>
      <c r="P61" s="4135">
        <f t="shared" si="5"/>
        <v>0</v>
      </c>
      <c r="Q61" s="4135">
        <f t="shared" si="6"/>
        <v>44784</v>
      </c>
      <c r="R61" s="4136">
        <f t="shared" si="7"/>
        <v>44784</v>
      </c>
      <c r="T61" s="253">
        <v>0</v>
      </c>
      <c r="W61" s="253"/>
    </row>
    <row r="62" spans="2:24">
      <c r="C62" s="4099"/>
      <c r="D62" s="4098"/>
      <c r="E62" s="4098"/>
      <c r="F62" s="4098"/>
      <c r="I62" s="4125" t="s">
        <v>306</v>
      </c>
      <c r="J62" s="4126"/>
      <c r="K62" s="4127"/>
      <c r="L62" s="4455">
        <v>0.84</v>
      </c>
      <c r="M62" s="4133">
        <v>0</v>
      </c>
      <c r="N62" s="4784">
        <v>128960</v>
      </c>
      <c r="O62" s="4134">
        <f t="shared" si="4"/>
        <v>128960</v>
      </c>
      <c r="P62" s="4135">
        <f t="shared" si="5"/>
        <v>0</v>
      </c>
      <c r="Q62" s="4135">
        <f t="shared" si="6"/>
        <v>108326.39999999999</v>
      </c>
      <c r="R62" s="4136">
        <f t="shared" si="7"/>
        <v>108326.39999999999</v>
      </c>
      <c r="T62" s="253">
        <v>0</v>
      </c>
      <c r="W62" s="253"/>
    </row>
    <row r="63" spans="2:24">
      <c r="C63" s="4099"/>
      <c r="D63" s="4098"/>
      <c r="E63" s="4100"/>
      <c r="F63" s="4101"/>
      <c r="I63" s="4125" t="s">
        <v>307</v>
      </c>
      <c r="J63" s="4126"/>
      <c r="K63" s="4127"/>
      <c r="L63" s="4455">
        <v>1.7</v>
      </c>
      <c r="M63" s="4133">
        <v>0</v>
      </c>
      <c r="N63" s="4784">
        <v>83886</v>
      </c>
      <c r="O63" s="4134">
        <f t="shared" si="4"/>
        <v>83886</v>
      </c>
      <c r="P63" s="4135">
        <f t="shared" si="5"/>
        <v>0</v>
      </c>
      <c r="Q63" s="4135">
        <f t="shared" si="6"/>
        <v>142606.19999999998</v>
      </c>
      <c r="R63" s="4136">
        <f t="shared" si="7"/>
        <v>142606.19999999998</v>
      </c>
      <c r="T63" s="253">
        <v>0</v>
      </c>
      <c r="V63" s="302"/>
      <c r="W63" s="302"/>
      <c r="X63" s="302"/>
    </row>
    <row r="64" spans="2:24">
      <c r="C64" s="4099"/>
      <c r="D64" s="4098"/>
      <c r="E64" s="4098"/>
      <c r="F64" s="4101"/>
      <c r="I64" s="4125" t="s">
        <v>308</v>
      </c>
      <c r="J64" s="4126"/>
      <c r="K64" s="4127"/>
      <c r="L64" s="4129">
        <f t="shared" si="3"/>
        <v>1.1000000000000001</v>
      </c>
      <c r="M64" s="4133">
        <v>0</v>
      </c>
      <c r="N64" s="4784">
        <v>0</v>
      </c>
      <c r="O64" s="4134">
        <f t="shared" si="4"/>
        <v>0</v>
      </c>
      <c r="P64" s="4135">
        <f t="shared" si="5"/>
        <v>0</v>
      </c>
      <c r="Q64" s="4135">
        <f t="shared" si="6"/>
        <v>0</v>
      </c>
      <c r="R64" s="4136">
        <f t="shared" si="7"/>
        <v>0</v>
      </c>
      <c r="T64" s="253">
        <v>0</v>
      </c>
      <c r="V64" s="302"/>
      <c r="W64" s="302"/>
      <c r="X64" s="302"/>
    </row>
    <row r="65" spans="3:24">
      <c r="C65" s="4099"/>
      <c r="D65" s="4100"/>
      <c r="E65" s="4098"/>
      <c r="F65" s="4098"/>
      <c r="I65" s="4125" t="s">
        <v>309</v>
      </c>
      <c r="J65" s="4126"/>
      <c r="K65" s="4127"/>
      <c r="L65" s="4129">
        <f t="shared" si="3"/>
        <v>27000</v>
      </c>
      <c r="M65" s="4133">
        <v>0</v>
      </c>
      <c r="N65" s="4784">
        <v>0</v>
      </c>
      <c r="O65" s="4134">
        <f t="shared" si="4"/>
        <v>0</v>
      </c>
      <c r="P65" s="4135">
        <f t="shared" si="5"/>
        <v>0</v>
      </c>
      <c r="Q65" s="4135">
        <f t="shared" si="6"/>
        <v>0</v>
      </c>
      <c r="R65" s="4136">
        <f t="shared" si="7"/>
        <v>0</v>
      </c>
      <c r="S65" t="s">
        <v>247</v>
      </c>
      <c r="T65" s="253">
        <v>0</v>
      </c>
      <c r="V65" s="302"/>
      <c r="W65" s="302"/>
      <c r="X65" s="302"/>
    </row>
    <row r="66" spans="3:24">
      <c r="C66" s="4099"/>
      <c r="D66" s="4098"/>
      <c r="E66" s="4098"/>
      <c r="F66" s="4098"/>
      <c r="I66" s="4125" t="s">
        <v>311</v>
      </c>
      <c r="J66" s="4126"/>
      <c r="K66" s="4127"/>
      <c r="L66" s="4129">
        <f t="shared" si="3"/>
        <v>435.8</v>
      </c>
      <c r="M66" s="4133">
        <v>0</v>
      </c>
      <c r="N66" s="4784">
        <v>0</v>
      </c>
      <c r="O66" s="4134">
        <f t="shared" si="4"/>
        <v>0</v>
      </c>
      <c r="P66" s="4135">
        <f t="shared" si="5"/>
        <v>0</v>
      </c>
      <c r="Q66" s="4135">
        <f t="shared" si="6"/>
        <v>0</v>
      </c>
      <c r="R66" s="4136">
        <f t="shared" si="7"/>
        <v>0</v>
      </c>
      <c r="T66" s="253">
        <v>0</v>
      </c>
      <c r="V66" s="302"/>
      <c r="W66" s="302"/>
      <c r="X66" s="302"/>
    </row>
    <row r="67" spans="3:24">
      <c r="C67" s="4099"/>
      <c r="D67" s="4098"/>
      <c r="E67" s="4098"/>
      <c r="F67" s="4098"/>
      <c r="I67" s="4125" t="s">
        <v>312</v>
      </c>
      <c r="J67" s="4126"/>
      <c r="K67" s="4127"/>
      <c r="L67" s="4129">
        <f t="shared" si="3"/>
        <v>348</v>
      </c>
      <c r="M67" s="4133">
        <v>0</v>
      </c>
      <c r="N67" s="4784">
        <v>5</v>
      </c>
      <c r="O67" s="4134">
        <f t="shared" si="4"/>
        <v>5</v>
      </c>
      <c r="P67" s="4135">
        <f t="shared" si="5"/>
        <v>0</v>
      </c>
      <c r="Q67" s="4135">
        <f t="shared" si="6"/>
        <v>1740</v>
      </c>
      <c r="R67" s="4136">
        <f t="shared" si="7"/>
        <v>1740</v>
      </c>
      <c r="T67" s="253">
        <v>0</v>
      </c>
      <c r="V67" s="302"/>
      <c r="W67" s="302"/>
      <c r="X67" s="302"/>
    </row>
    <row r="68" spans="3:24">
      <c r="C68" s="4099"/>
      <c r="D68" s="4098"/>
      <c r="E68" s="4098"/>
      <c r="F68" s="4098"/>
      <c r="I68" s="4125" t="s">
        <v>313</v>
      </c>
      <c r="J68" s="4126"/>
      <c r="K68" s="4127"/>
      <c r="L68" s="4129">
        <f t="shared" si="3"/>
        <v>131</v>
      </c>
      <c r="M68" s="4133">
        <v>0</v>
      </c>
      <c r="N68" s="4784">
        <v>12</v>
      </c>
      <c r="O68" s="4134">
        <f t="shared" si="4"/>
        <v>12</v>
      </c>
      <c r="P68" s="4135">
        <f t="shared" si="5"/>
        <v>0</v>
      </c>
      <c r="Q68" s="4135">
        <f t="shared" si="6"/>
        <v>1572</v>
      </c>
      <c r="R68" s="4136">
        <f t="shared" si="7"/>
        <v>1572</v>
      </c>
      <c r="T68" s="253">
        <v>0</v>
      </c>
      <c r="V68" s="302"/>
      <c r="W68" s="302"/>
      <c r="X68" s="302"/>
    </row>
    <row r="69" spans="3:24">
      <c r="C69" s="4099"/>
      <c r="D69" s="4098"/>
      <c r="E69" s="4098"/>
      <c r="F69" s="4098"/>
      <c r="I69" s="4125" t="s">
        <v>314</v>
      </c>
      <c r="J69" s="4126"/>
      <c r="K69" s="4127"/>
      <c r="L69" s="4129">
        <f t="shared" si="3"/>
        <v>131</v>
      </c>
      <c r="M69" s="4133">
        <v>0</v>
      </c>
      <c r="N69" s="4784">
        <v>12</v>
      </c>
      <c r="O69" s="4134">
        <f t="shared" si="4"/>
        <v>12</v>
      </c>
      <c r="P69" s="4135">
        <f t="shared" si="5"/>
        <v>0</v>
      </c>
      <c r="Q69" s="4135">
        <f t="shared" si="6"/>
        <v>1572</v>
      </c>
      <c r="R69" s="4136">
        <f t="shared" si="7"/>
        <v>1572</v>
      </c>
      <c r="T69" s="253">
        <v>0</v>
      </c>
      <c r="V69" s="302"/>
      <c r="W69" s="302"/>
      <c r="X69" s="302"/>
    </row>
    <row r="70" spans="3:24">
      <c r="C70" s="4099"/>
      <c r="D70" s="4098"/>
      <c r="E70" s="4098"/>
      <c r="F70" s="4098"/>
      <c r="I70" s="4125" t="s">
        <v>315</v>
      </c>
      <c r="J70" s="4126"/>
      <c r="K70" s="4127"/>
      <c r="L70" s="4129">
        <f t="shared" si="3"/>
        <v>131</v>
      </c>
      <c r="M70" s="4133">
        <v>0</v>
      </c>
      <c r="N70" s="4784">
        <v>12</v>
      </c>
      <c r="O70" s="4134">
        <f t="shared" si="4"/>
        <v>12</v>
      </c>
      <c r="P70" s="4135">
        <f t="shared" si="5"/>
        <v>0</v>
      </c>
      <c r="Q70" s="4135">
        <f t="shared" si="6"/>
        <v>1572</v>
      </c>
      <c r="R70" s="4136">
        <f t="shared" si="7"/>
        <v>1572</v>
      </c>
      <c r="T70" s="253">
        <v>0</v>
      </c>
      <c r="V70" s="302"/>
      <c r="W70" s="302"/>
      <c r="X70" s="302"/>
    </row>
    <row r="71" spans="3:24">
      <c r="C71" s="264"/>
      <c r="D71" s="263"/>
      <c r="E71" s="263"/>
      <c r="F71" s="263"/>
      <c r="I71" s="4125" t="s">
        <v>316</v>
      </c>
      <c r="J71" s="4126"/>
      <c r="K71" s="4127"/>
      <c r="L71" s="4129">
        <f t="shared" si="3"/>
        <v>3500</v>
      </c>
      <c r="M71" s="4133">
        <v>0</v>
      </c>
      <c r="N71" s="4784">
        <v>12</v>
      </c>
      <c r="O71" s="4134">
        <f t="shared" si="4"/>
        <v>12</v>
      </c>
      <c r="P71" s="4135">
        <f t="shared" si="5"/>
        <v>0</v>
      </c>
      <c r="Q71" s="4135">
        <f t="shared" si="6"/>
        <v>42000</v>
      </c>
      <c r="R71" s="4136">
        <f t="shared" si="7"/>
        <v>42000</v>
      </c>
      <c r="T71" s="253">
        <v>0</v>
      </c>
      <c r="V71" s="302"/>
      <c r="W71" s="302"/>
      <c r="X71" s="302"/>
    </row>
    <row r="72" spans="3:24">
      <c r="C72" s="264"/>
      <c r="D72" s="263"/>
      <c r="E72" s="263"/>
      <c r="F72" s="263"/>
      <c r="I72" s="4125" t="s">
        <v>317</v>
      </c>
      <c r="J72" s="4126"/>
      <c r="K72" s="4127"/>
      <c r="L72" s="4129">
        <f t="shared" si="3"/>
        <v>0</v>
      </c>
      <c r="M72" s="4133">
        <v>0</v>
      </c>
      <c r="N72" s="4784">
        <v>0</v>
      </c>
      <c r="O72" s="4134">
        <f t="shared" si="4"/>
        <v>0</v>
      </c>
      <c r="P72" s="4135">
        <f t="shared" si="5"/>
        <v>0</v>
      </c>
      <c r="Q72" s="4135">
        <f t="shared" si="6"/>
        <v>0</v>
      </c>
      <c r="R72" s="4136">
        <f t="shared" si="7"/>
        <v>0</v>
      </c>
      <c r="T72" s="253">
        <v>0</v>
      </c>
      <c r="V72" s="302"/>
      <c r="W72" s="302"/>
      <c r="X72" s="302"/>
    </row>
    <row r="73" spans="3:24">
      <c r="C73" s="264"/>
      <c r="D73" s="263"/>
      <c r="E73" s="263"/>
      <c r="F73" s="263"/>
      <c r="I73" s="4125" t="s">
        <v>318</v>
      </c>
      <c r="J73" s="4126"/>
      <c r="K73" s="4127"/>
      <c r="L73" s="4129">
        <f t="shared" si="3"/>
        <v>0</v>
      </c>
      <c r="M73" s="4133">
        <v>0</v>
      </c>
      <c r="N73" s="4784">
        <v>0</v>
      </c>
      <c r="O73" s="4134">
        <f t="shared" si="4"/>
        <v>0</v>
      </c>
      <c r="P73" s="4135">
        <f t="shared" si="5"/>
        <v>0</v>
      </c>
      <c r="Q73" s="4135">
        <f t="shared" si="6"/>
        <v>0</v>
      </c>
      <c r="R73" s="4136">
        <f t="shared" si="7"/>
        <v>0</v>
      </c>
      <c r="T73" s="253">
        <v>0</v>
      </c>
      <c r="V73" s="302"/>
      <c r="W73" s="302"/>
      <c r="X73" s="302"/>
    </row>
    <row r="74" spans="3:24">
      <c r="C74" s="264"/>
      <c r="D74" s="263"/>
      <c r="E74" s="263"/>
      <c r="F74" s="263"/>
      <c r="I74" s="4125" t="s">
        <v>319</v>
      </c>
      <c r="J74" s="4126"/>
      <c r="K74" s="4127"/>
      <c r="L74" s="4129">
        <f t="shared" si="3"/>
        <v>20</v>
      </c>
      <c r="M74" s="4133">
        <v>0</v>
      </c>
      <c r="N74" s="4784">
        <v>16</v>
      </c>
      <c r="O74" s="4134">
        <f t="shared" si="4"/>
        <v>16</v>
      </c>
      <c r="P74" s="4135">
        <f t="shared" si="5"/>
        <v>0</v>
      </c>
      <c r="Q74" s="4135">
        <f t="shared" si="6"/>
        <v>320</v>
      </c>
      <c r="R74" s="4136">
        <f t="shared" si="7"/>
        <v>320</v>
      </c>
      <c r="T74" s="253">
        <v>0</v>
      </c>
      <c r="V74" s="302"/>
      <c r="W74" s="302"/>
      <c r="X74" s="302"/>
    </row>
    <row r="75" spans="3:24">
      <c r="C75" s="264"/>
      <c r="D75" s="263"/>
      <c r="E75" s="263"/>
      <c r="F75" s="263"/>
      <c r="I75" s="4125" t="s">
        <v>320</v>
      </c>
      <c r="J75" s="4126"/>
      <c r="K75" s="4127"/>
      <c r="L75" s="4129">
        <f t="shared" si="3"/>
        <v>20</v>
      </c>
      <c r="M75" s="4133">
        <v>0</v>
      </c>
      <c r="N75" s="4784">
        <v>96</v>
      </c>
      <c r="O75" s="4134">
        <f t="shared" si="4"/>
        <v>96</v>
      </c>
      <c r="P75" s="4135">
        <f t="shared" si="5"/>
        <v>0</v>
      </c>
      <c r="Q75" s="4135">
        <f t="shared" si="6"/>
        <v>1920</v>
      </c>
      <c r="R75" s="4136">
        <f t="shared" si="7"/>
        <v>1920</v>
      </c>
      <c r="T75" s="253">
        <v>0</v>
      </c>
      <c r="V75" s="302"/>
      <c r="W75" s="302"/>
      <c r="X75" s="302"/>
    </row>
    <row r="76" spans="3:24">
      <c r="C76" s="264"/>
      <c r="D76" s="263"/>
      <c r="E76" s="263"/>
      <c r="F76" s="263"/>
      <c r="I76" s="4125" t="s">
        <v>321</v>
      </c>
      <c r="J76" s="4126"/>
      <c r="K76" s="4127"/>
      <c r="L76" s="4129">
        <f t="shared" si="3"/>
        <v>20</v>
      </c>
      <c r="M76" s="4133">
        <v>0</v>
      </c>
      <c r="N76" s="4784">
        <v>20</v>
      </c>
      <c r="O76" s="4134">
        <f t="shared" si="4"/>
        <v>20</v>
      </c>
      <c r="P76" s="4135">
        <f t="shared" si="5"/>
        <v>0</v>
      </c>
      <c r="Q76" s="4135">
        <f t="shared" si="6"/>
        <v>400</v>
      </c>
      <c r="R76" s="4136">
        <f t="shared" si="7"/>
        <v>400</v>
      </c>
      <c r="T76" s="253">
        <v>0</v>
      </c>
      <c r="V76" s="302"/>
      <c r="W76" s="302"/>
      <c r="X76" s="302"/>
    </row>
    <row r="77" spans="3:24">
      <c r="C77" s="264"/>
      <c r="D77" s="263"/>
      <c r="E77" s="263"/>
      <c r="F77" s="263"/>
      <c r="I77" s="4125" t="s">
        <v>322</v>
      </c>
      <c r="J77" s="4126"/>
      <c r="K77" s="4127"/>
      <c r="L77" s="4129">
        <f t="shared" si="3"/>
        <v>11.94</v>
      </c>
      <c r="M77" s="4133">
        <v>0</v>
      </c>
      <c r="N77" s="4784">
        <v>1500</v>
      </c>
      <c r="O77" s="4134">
        <f t="shared" si="4"/>
        <v>1500</v>
      </c>
      <c r="P77" s="4135">
        <f t="shared" si="5"/>
        <v>0</v>
      </c>
      <c r="Q77" s="4135">
        <f t="shared" si="6"/>
        <v>17910</v>
      </c>
      <c r="R77" s="4136">
        <f t="shared" si="7"/>
        <v>17910</v>
      </c>
      <c r="T77" s="253">
        <v>0</v>
      </c>
      <c r="V77" s="302"/>
      <c r="W77" s="302"/>
      <c r="X77" s="302"/>
    </row>
    <row r="78" spans="3:24" ht="15.75">
      <c r="C78" s="303"/>
      <c r="D78" s="263"/>
      <c r="E78" s="263"/>
      <c r="F78" s="263"/>
      <c r="I78" s="4125" t="s">
        <v>323</v>
      </c>
      <c r="J78" s="4126"/>
      <c r="K78" s="4127"/>
      <c r="L78" s="4455">
        <v>12.26</v>
      </c>
      <c r="M78" s="4133">
        <v>0</v>
      </c>
      <c r="N78" s="4784">
        <v>500</v>
      </c>
      <c r="O78" s="4134">
        <f t="shared" ref="O78:O101" si="11">M78+N78</f>
        <v>500</v>
      </c>
      <c r="P78" s="4135">
        <f t="shared" ref="P78:P101" si="12">M78*L78</f>
        <v>0</v>
      </c>
      <c r="Q78" s="4135">
        <f t="shared" ref="Q78:Q101" si="13">N78*L78</f>
        <v>6130</v>
      </c>
      <c r="R78" s="4136">
        <f t="shared" ref="R78:R101" si="14">P78+Q78</f>
        <v>6130</v>
      </c>
      <c r="T78" s="253">
        <v>0</v>
      </c>
      <c r="V78" s="302"/>
      <c r="W78" s="302"/>
      <c r="X78" s="302"/>
    </row>
    <row r="79" spans="3:24">
      <c r="C79" s="304"/>
      <c r="D79" s="263"/>
      <c r="E79" s="263"/>
      <c r="F79" s="263"/>
      <c r="I79" s="4125" t="s">
        <v>324</v>
      </c>
      <c r="J79" s="4126"/>
      <c r="K79" s="4127"/>
      <c r="L79" s="4129">
        <f t="shared" ref="L79:L101" si="15">D176</f>
        <v>11.53</v>
      </c>
      <c r="M79" s="4133">
        <v>0</v>
      </c>
      <c r="N79" s="4784">
        <v>500</v>
      </c>
      <c r="O79" s="4134">
        <f t="shared" si="11"/>
        <v>500</v>
      </c>
      <c r="P79" s="4135">
        <f t="shared" si="12"/>
        <v>0</v>
      </c>
      <c r="Q79" s="4135">
        <f t="shared" si="13"/>
        <v>5765</v>
      </c>
      <c r="R79" s="4136">
        <f t="shared" si="14"/>
        <v>5765</v>
      </c>
      <c r="T79" s="253">
        <v>0</v>
      </c>
      <c r="V79" s="302"/>
      <c r="W79" s="302"/>
      <c r="X79" s="302"/>
    </row>
    <row r="80" spans="3:24">
      <c r="C80" s="304"/>
      <c r="D80" s="263"/>
      <c r="E80" s="263"/>
      <c r="F80" s="263"/>
      <c r="I80" s="4125" t="s">
        <v>325</v>
      </c>
      <c r="J80" s="4126"/>
      <c r="K80" s="4127"/>
      <c r="L80" s="4129">
        <f t="shared" si="15"/>
        <v>21.65</v>
      </c>
      <c r="M80" s="4133">
        <v>0</v>
      </c>
      <c r="N80" s="4784">
        <v>1000</v>
      </c>
      <c r="O80" s="4134">
        <f t="shared" si="11"/>
        <v>1000</v>
      </c>
      <c r="P80" s="4135">
        <f t="shared" si="12"/>
        <v>0</v>
      </c>
      <c r="Q80" s="4135">
        <f t="shared" si="13"/>
        <v>21650</v>
      </c>
      <c r="R80" s="4136">
        <f t="shared" si="14"/>
        <v>21650</v>
      </c>
      <c r="T80" s="253">
        <v>0</v>
      </c>
      <c r="V80" s="302"/>
      <c r="W80" s="302"/>
      <c r="X80" s="302"/>
    </row>
    <row r="81" spans="3:24">
      <c r="C81" s="264"/>
      <c r="D81" s="263"/>
      <c r="E81" s="263"/>
      <c r="F81" s="263"/>
      <c r="I81" s="4125" t="s">
        <v>326</v>
      </c>
      <c r="J81" s="4126"/>
      <c r="K81" s="4127"/>
      <c r="L81" s="4455">
        <v>20.11</v>
      </c>
      <c r="M81" s="4133">
        <v>0</v>
      </c>
      <c r="N81" s="4784">
        <v>1086</v>
      </c>
      <c r="O81" s="4134">
        <f t="shared" si="11"/>
        <v>1086</v>
      </c>
      <c r="P81" s="4135">
        <f t="shared" si="12"/>
        <v>0</v>
      </c>
      <c r="Q81" s="4135">
        <f t="shared" si="13"/>
        <v>21839.46</v>
      </c>
      <c r="R81" s="4136">
        <f t="shared" si="14"/>
        <v>21839.46</v>
      </c>
      <c r="T81" s="253">
        <v>0</v>
      </c>
      <c r="V81" s="302"/>
      <c r="W81" s="302"/>
      <c r="X81" s="302"/>
    </row>
    <row r="82" spans="3:24">
      <c r="C82" s="264"/>
      <c r="D82" s="263"/>
      <c r="E82" s="263"/>
      <c r="F82" s="263"/>
      <c r="G82" s="287">
        <f>F81+F82</f>
        <v>0</v>
      </c>
      <c r="I82" s="4125" t="s">
        <v>327</v>
      </c>
      <c r="J82" s="4126"/>
      <c r="K82" s="4127"/>
      <c r="L82" s="4129">
        <f t="shared" si="15"/>
        <v>20.84</v>
      </c>
      <c r="M82" s="4133">
        <v>0</v>
      </c>
      <c r="N82" s="4784">
        <v>1000</v>
      </c>
      <c r="O82" s="4134">
        <f t="shared" si="11"/>
        <v>1000</v>
      </c>
      <c r="P82" s="4135">
        <f t="shared" si="12"/>
        <v>0</v>
      </c>
      <c r="Q82" s="4135">
        <f t="shared" si="13"/>
        <v>20840</v>
      </c>
      <c r="R82" s="4136">
        <f t="shared" si="14"/>
        <v>20840</v>
      </c>
      <c r="T82" s="253">
        <v>0</v>
      </c>
    </row>
    <row r="83" spans="3:24">
      <c r="C83" s="264"/>
      <c r="D83" s="263"/>
      <c r="E83" s="263"/>
      <c r="F83" s="263"/>
      <c r="I83" s="4125" t="s">
        <v>328</v>
      </c>
      <c r="J83" s="4126"/>
      <c r="K83" s="4127"/>
      <c r="L83" s="4129">
        <f t="shared" si="15"/>
        <v>23.58</v>
      </c>
      <c r="M83" s="4133">
        <v>0</v>
      </c>
      <c r="N83" s="4784">
        <v>12</v>
      </c>
      <c r="O83" s="4134">
        <f t="shared" si="11"/>
        <v>12</v>
      </c>
      <c r="P83" s="4135">
        <f t="shared" si="12"/>
        <v>0</v>
      </c>
      <c r="Q83" s="4135">
        <f t="shared" si="13"/>
        <v>282.95999999999998</v>
      </c>
      <c r="R83" s="4136">
        <f t="shared" si="14"/>
        <v>282.95999999999998</v>
      </c>
      <c r="T83" s="253"/>
    </row>
    <row r="84" spans="3:24">
      <c r="C84" s="264"/>
      <c r="D84" s="263"/>
      <c r="E84" s="263"/>
      <c r="F84" s="305"/>
      <c r="I84" s="4125" t="s">
        <v>329</v>
      </c>
      <c r="J84" s="4126"/>
      <c r="K84" s="4127"/>
      <c r="L84" s="4129">
        <f t="shared" si="15"/>
        <v>22.73</v>
      </c>
      <c r="M84" s="4133">
        <v>0</v>
      </c>
      <c r="N84" s="4784">
        <v>12</v>
      </c>
      <c r="O84" s="4134">
        <f t="shared" si="11"/>
        <v>12</v>
      </c>
      <c r="P84" s="4135">
        <f t="shared" si="12"/>
        <v>0</v>
      </c>
      <c r="Q84" s="4135">
        <f t="shared" si="13"/>
        <v>272.76</v>
      </c>
      <c r="R84" s="4136">
        <f t="shared" si="14"/>
        <v>272.76</v>
      </c>
      <c r="T84" s="253">
        <v>0</v>
      </c>
    </row>
    <row r="85" spans="3:24">
      <c r="C85" s="264"/>
      <c r="D85" s="263"/>
      <c r="E85" s="263"/>
      <c r="F85" s="263"/>
      <c r="I85" s="4125" t="s">
        <v>330</v>
      </c>
      <c r="J85" s="4126"/>
      <c r="K85" s="4127"/>
      <c r="L85" s="4129">
        <f t="shared" si="15"/>
        <v>13.87</v>
      </c>
      <c r="M85" s="4133">
        <v>0</v>
      </c>
      <c r="N85" s="4784">
        <v>12</v>
      </c>
      <c r="O85" s="4134">
        <f t="shared" si="11"/>
        <v>12</v>
      </c>
      <c r="P85" s="4135">
        <f t="shared" si="12"/>
        <v>0</v>
      </c>
      <c r="Q85" s="4135">
        <f t="shared" si="13"/>
        <v>166.44</v>
      </c>
      <c r="R85" s="4136">
        <f t="shared" si="14"/>
        <v>166.44</v>
      </c>
      <c r="T85" s="253">
        <v>0</v>
      </c>
    </row>
    <row r="86" spans="3:24">
      <c r="C86" s="264"/>
      <c r="D86" s="263"/>
      <c r="E86" s="263"/>
      <c r="F86" s="263"/>
      <c r="I86" s="4125" t="s">
        <v>331</v>
      </c>
      <c r="J86" s="4126"/>
      <c r="K86" s="4127"/>
      <c r="L86" s="4129">
        <f t="shared" si="15"/>
        <v>13.41</v>
      </c>
      <c r="M86" s="4133">
        <v>0</v>
      </c>
      <c r="N86" s="4784">
        <v>12</v>
      </c>
      <c r="O86" s="4134">
        <f t="shared" si="11"/>
        <v>12</v>
      </c>
      <c r="P86" s="4135">
        <f t="shared" si="12"/>
        <v>0</v>
      </c>
      <c r="Q86" s="4135">
        <f t="shared" si="13"/>
        <v>160.92000000000002</v>
      </c>
      <c r="R86" s="4136">
        <f t="shared" si="14"/>
        <v>160.92000000000002</v>
      </c>
      <c r="T86" s="253">
        <v>0</v>
      </c>
    </row>
    <row r="87" spans="3:24">
      <c r="C87" s="264"/>
      <c r="D87" s="263"/>
      <c r="E87" s="263"/>
      <c r="F87" s="263"/>
      <c r="I87" s="4125" t="s">
        <v>1422</v>
      </c>
      <c r="J87" s="4126"/>
      <c r="K87" s="4127"/>
      <c r="L87" s="4129">
        <f t="shared" si="15"/>
        <v>128</v>
      </c>
      <c r="M87" s="4133">
        <v>0</v>
      </c>
      <c r="N87" s="4784">
        <v>100</v>
      </c>
      <c r="O87" s="4134">
        <f t="shared" si="11"/>
        <v>100</v>
      </c>
      <c r="P87" s="4135">
        <f t="shared" si="12"/>
        <v>0</v>
      </c>
      <c r="Q87" s="4135">
        <f t="shared" si="13"/>
        <v>12800</v>
      </c>
      <c r="R87" s="4136">
        <f t="shared" si="14"/>
        <v>12800</v>
      </c>
      <c r="T87" s="253">
        <v>0</v>
      </c>
    </row>
    <row r="88" spans="3:24">
      <c r="C88" s="264"/>
      <c r="D88" s="263"/>
      <c r="E88" s="263"/>
      <c r="F88" s="263"/>
      <c r="I88" s="4125" t="s">
        <v>1423</v>
      </c>
      <c r="J88" s="4126"/>
      <c r="K88" s="4127"/>
      <c r="L88" s="4129">
        <f t="shared" si="15"/>
        <v>128</v>
      </c>
      <c r="M88" s="4133">
        <v>0</v>
      </c>
      <c r="N88" s="4784">
        <v>50</v>
      </c>
      <c r="O88" s="4134">
        <f t="shared" si="11"/>
        <v>50</v>
      </c>
      <c r="P88" s="4135">
        <f t="shared" si="12"/>
        <v>0</v>
      </c>
      <c r="Q88" s="4135">
        <f t="shared" si="13"/>
        <v>6400</v>
      </c>
      <c r="R88" s="4136">
        <f t="shared" si="14"/>
        <v>6400</v>
      </c>
      <c r="T88" s="253">
        <v>0</v>
      </c>
    </row>
    <row r="89" spans="3:24">
      <c r="C89" s="264"/>
      <c r="D89" s="263"/>
      <c r="E89" s="263"/>
      <c r="F89" s="263"/>
      <c r="I89" s="4125" t="s">
        <v>1424</v>
      </c>
      <c r="J89" s="4126"/>
      <c r="K89" s="4127"/>
      <c r="L89" s="4129">
        <f t="shared" si="15"/>
        <v>128</v>
      </c>
      <c r="M89" s="4133">
        <v>0</v>
      </c>
      <c r="N89" s="4784">
        <v>74</v>
      </c>
      <c r="O89" s="4134">
        <f t="shared" si="11"/>
        <v>74</v>
      </c>
      <c r="P89" s="4135">
        <f t="shared" si="12"/>
        <v>0</v>
      </c>
      <c r="Q89" s="4135">
        <f t="shared" si="13"/>
        <v>9472</v>
      </c>
      <c r="R89" s="4136">
        <f t="shared" si="14"/>
        <v>9472</v>
      </c>
      <c r="T89" s="253">
        <v>0</v>
      </c>
    </row>
    <row r="90" spans="3:24">
      <c r="C90" s="264"/>
      <c r="D90" s="263"/>
      <c r="E90" s="263"/>
      <c r="F90" s="306"/>
      <c r="I90" s="4125" t="s">
        <v>332</v>
      </c>
      <c r="J90" s="4126"/>
      <c r="K90" s="4127"/>
      <c r="L90" s="4129">
        <f t="shared" si="15"/>
        <v>100</v>
      </c>
      <c r="M90" s="4133">
        <v>0</v>
      </c>
      <c r="N90" s="4784">
        <v>12</v>
      </c>
      <c r="O90" s="4134">
        <f t="shared" si="11"/>
        <v>12</v>
      </c>
      <c r="P90" s="4135">
        <f t="shared" si="12"/>
        <v>0</v>
      </c>
      <c r="Q90" s="4135">
        <f t="shared" si="13"/>
        <v>1200</v>
      </c>
      <c r="R90" s="4136">
        <f t="shared" si="14"/>
        <v>1200</v>
      </c>
      <c r="T90" s="253">
        <v>0</v>
      </c>
    </row>
    <row r="91" spans="3:24">
      <c r="C91" s="264"/>
      <c r="D91" s="263"/>
      <c r="E91" s="263"/>
      <c r="F91" s="263"/>
      <c r="I91" s="4125" t="s">
        <v>333</v>
      </c>
      <c r="J91" s="4126"/>
      <c r="K91" s="4127"/>
      <c r="L91" s="4129">
        <f t="shared" si="15"/>
        <v>100</v>
      </c>
      <c r="M91" s="4133">
        <v>0</v>
      </c>
      <c r="N91" s="4784">
        <v>12</v>
      </c>
      <c r="O91" s="4134">
        <f t="shared" si="11"/>
        <v>12</v>
      </c>
      <c r="P91" s="4135">
        <f t="shared" si="12"/>
        <v>0</v>
      </c>
      <c r="Q91" s="4135">
        <f t="shared" si="13"/>
        <v>1200</v>
      </c>
      <c r="R91" s="4136">
        <f t="shared" si="14"/>
        <v>1200</v>
      </c>
      <c r="T91" s="253">
        <v>0</v>
      </c>
    </row>
    <row r="92" spans="3:24">
      <c r="C92" s="264"/>
      <c r="D92" s="263"/>
      <c r="E92" s="263"/>
      <c r="F92" s="263"/>
      <c r="I92" s="4125" t="s">
        <v>334</v>
      </c>
      <c r="J92" s="4126"/>
      <c r="K92" s="4127"/>
      <c r="L92" s="4129">
        <f t="shared" si="15"/>
        <v>100</v>
      </c>
      <c r="M92" s="4133">
        <v>0</v>
      </c>
      <c r="N92" s="4784">
        <v>12</v>
      </c>
      <c r="O92" s="4134">
        <f t="shared" si="11"/>
        <v>12</v>
      </c>
      <c r="P92" s="4135">
        <f t="shared" si="12"/>
        <v>0</v>
      </c>
      <c r="Q92" s="4135">
        <f t="shared" si="13"/>
        <v>1200</v>
      </c>
      <c r="R92" s="4136">
        <f t="shared" si="14"/>
        <v>1200</v>
      </c>
      <c r="T92" s="253">
        <v>0</v>
      </c>
    </row>
    <row r="93" spans="3:24">
      <c r="C93" s="264"/>
      <c r="D93" s="263"/>
      <c r="E93" s="263"/>
      <c r="F93" s="263"/>
      <c r="I93" s="4125" t="s">
        <v>335</v>
      </c>
      <c r="J93" s="4126"/>
      <c r="K93" s="4127"/>
      <c r="L93" s="4129">
        <f t="shared" si="15"/>
        <v>34</v>
      </c>
      <c r="M93" s="4133">
        <v>0</v>
      </c>
      <c r="N93" s="4784">
        <v>12</v>
      </c>
      <c r="O93" s="4134">
        <f t="shared" si="11"/>
        <v>12</v>
      </c>
      <c r="P93" s="4135">
        <f t="shared" si="12"/>
        <v>0</v>
      </c>
      <c r="Q93" s="4135">
        <f t="shared" si="13"/>
        <v>408</v>
      </c>
      <c r="R93" s="4136">
        <f t="shared" si="14"/>
        <v>408</v>
      </c>
      <c r="T93" s="253">
        <v>0</v>
      </c>
    </row>
    <row r="94" spans="3:24">
      <c r="C94" s="264"/>
      <c r="D94" s="263"/>
      <c r="E94" s="263"/>
      <c r="F94" s="263"/>
      <c r="I94" s="4125" t="s">
        <v>336</v>
      </c>
      <c r="J94" s="4126"/>
      <c r="K94" s="4127"/>
      <c r="L94" s="4129">
        <f t="shared" si="15"/>
        <v>34</v>
      </c>
      <c r="M94" s="4133">
        <v>0</v>
      </c>
      <c r="N94" s="4784">
        <v>12</v>
      </c>
      <c r="O94" s="4134">
        <f t="shared" si="11"/>
        <v>12</v>
      </c>
      <c r="P94" s="4135">
        <f t="shared" si="12"/>
        <v>0</v>
      </c>
      <c r="Q94" s="4135">
        <f t="shared" si="13"/>
        <v>408</v>
      </c>
      <c r="R94" s="4136">
        <f t="shared" si="14"/>
        <v>408</v>
      </c>
      <c r="T94" s="253">
        <v>0</v>
      </c>
    </row>
    <row r="95" spans="3:24">
      <c r="C95" s="264"/>
      <c r="D95" s="263"/>
      <c r="E95" s="263"/>
      <c r="F95" s="4098"/>
      <c r="I95" s="4125" t="s">
        <v>337</v>
      </c>
      <c r="J95" s="4126"/>
      <c r="K95" s="4127"/>
      <c r="L95" s="4129">
        <f>D192</f>
        <v>34</v>
      </c>
      <c r="M95" s="4133">
        <v>0</v>
      </c>
      <c r="N95" s="4784">
        <v>12</v>
      </c>
      <c r="O95" s="4134">
        <f t="shared" si="11"/>
        <v>12</v>
      </c>
      <c r="P95" s="4135">
        <f t="shared" si="12"/>
        <v>0</v>
      </c>
      <c r="Q95" s="4135">
        <f t="shared" si="13"/>
        <v>408</v>
      </c>
      <c r="R95" s="4136">
        <f t="shared" si="14"/>
        <v>408</v>
      </c>
      <c r="T95" s="253">
        <v>0</v>
      </c>
    </row>
    <row r="96" spans="3:24">
      <c r="C96" s="264"/>
      <c r="D96" s="263"/>
      <c r="E96" s="263"/>
      <c r="F96" s="263"/>
      <c r="I96" s="4125" t="s">
        <v>1150</v>
      </c>
      <c r="J96" s="4126"/>
      <c r="K96" s="4127"/>
      <c r="L96" s="4129">
        <f t="shared" si="15"/>
        <v>61</v>
      </c>
      <c r="M96" s="4133">
        <v>0</v>
      </c>
      <c r="N96" s="4784">
        <v>12</v>
      </c>
      <c r="O96" s="4134">
        <f t="shared" si="11"/>
        <v>12</v>
      </c>
      <c r="P96" s="4135">
        <f t="shared" si="12"/>
        <v>0</v>
      </c>
      <c r="Q96" s="4135">
        <f t="shared" si="13"/>
        <v>732</v>
      </c>
      <c r="R96" s="4136">
        <f t="shared" si="14"/>
        <v>732</v>
      </c>
      <c r="T96" s="253">
        <v>0</v>
      </c>
    </row>
    <row r="97" spans="2:23">
      <c r="C97" s="264"/>
      <c r="D97" s="263"/>
      <c r="E97" s="263"/>
      <c r="F97" s="263"/>
      <c r="I97" s="4125" t="s">
        <v>1151</v>
      </c>
      <c r="J97" s="4126"/>
      <c r="K97" s="4127"/>
      <c r="L97" s="4129">
        <f t="shared" si="15"/>
        <v>61</v>
      </c>
      <c r="M97" s="4133">
        <v>0</v>
      </c>
      <c r="N97" s="4784">
        <v>12</v>
      </c>
      <c r="O97" s="4134">
        <f t="shared" si="11"/>
        <v>12</v>
      </c>
      <c r="P97" s="4135">
        <f t="shared" si="12"/>
        <v>0</v>
      </c>
      <c r="Q97" s="4135">
        <f t="shared" si="13"/>
        <v>732</v>
      </c>
      <c r="R97" s="4136">
        <f t="shared" si="14"/>
        <v>732</v>
      </c>
      <c r="T97" s="253">
        <v>0</v>
      </c>
    </row>
    <row r="98" spans="2:23">
      <c r="C98" s="264"/>
      <c r="D98" s="263"/>
      <c r="E98" s="263"/>
      <c r="F98" s="263"/>
      <c r="I98" s="4125" t="s">
        <v>1152</v>
      </c>
      <c r="J98" s="4126"/>
      <c r="K98" s="4127"/>
      <c r="L98" s="4129">
        <f t="shared" si="15"/>
        <v>61</v>
      </c>
      <c r="M98" s="4133">
        <v>0</v>
      </c>
      <c r="N98" s="4784">
        <v>12</v>
      </c>
      <c r="O98" s="4134">
        <f t="shared" si="11"/>
        <v>12</v>
      </c>
      <c r="P98" s="4135">
        <f t="shared" si="12"/>
        <v>0</v>
      </c>
      <c r="Q98" s="4135">
        <f t="shared" si="13"/>
        <v>732</v>
      </c>
      <c r="R98" s="4136">
        <f t="shared" si="14"/>
        <v>732</v>
      </c>
      <c r="T98" s="253">
        <v>0</v>
      </c>
    </row>
    <row r="99" spans="2:23">
      <c r="C99" s="264"/>
      <c r="D99" s="263"/>
      <c r="E99" s="263"/>
      <c r="F99" s="263"/>
      <c r="I99" s="4125" t="s">
        <v>338</v>
      </c>
      <c r="J99" s="4126"/>
      <c r="K99" s="4127"/>
      <c r="L99" s="4129">
        <f t="shared" si="15"/>
        <v>0</v>
      </c>
      <c r="M99" s="4133">
        <v>0</v>
      </c>
      <c r="N99" s="4784">
        <v>1</v>
      </c>
      <c r="O99" s="4134">
        <f t="shared" si="11"/>
        <v>1</v>
      </c>
      <c r="P99" s="4135">
        <f t="shared" si="12"/>
        <v>0</v>
      </c>
      <c r="Q99" s="4135">
        <f t="shared" si="13"/>
        <v>0</v>
      </c>
      <c r="R99" s="4136">
        <f t="shared" si="14"/>
        <v>0</v>
      </c>
      <c r="S99" s="2127"/>
    </row>
    <row r="100" spans="2:23">
      <c r="C100" s="264"/>
      <c r="D100" s="263"/>
      <c r="E100" s="263"/>
      <c r="F100" s="263"/>
      <c r="I100" s="4130" t="s">
        <v>1153</v>
      </c>
      <c r="J100" s="4131"/>
      <c r="K100" s="4132"/>
      <c r="L100" s="4129">
        <f t="shared" si="15"/>
        <v>379521</v>
      </c>
      <c r="M100" s="4133">
        <v>0</v>
      </c>
      <c r="N100" s="4784">
        <v>0</v>
      </c>
      <c r="O100" s="4134">
        <f t="shared" si="11"/>
        <v>0</v>
      </c>
      <c r="P100" s="4135">
        <f t="shared" si="12"/>
        <v>0</v>
      </c>
      <c r="Q100" s="4135">
        <f t="shared" si="13"/>
        <v>0</v>
      </c>
      <c r="R100" s="4136">
        <f t="shared" si="14"/>
        <v>0</v>
      </c>
      <c r="T100" s="265">
        <f>SUM(T13:T98)</f>
        <v>1501108</v>
      </c>
    </row>
    <row r="101" spans="2:23">
      <c r="C101" s="300"/>
      <c r="D101" s="263"/>
      <c r="E101" s="263"/>
      <c r="F101" s="301"/>
      <c r="I101" s="4125" t="s">
        <v>940</v>
      </c>
      <c r="J101" s="4126"/>
      <c r="K101" s="4127"/>
      <c r="L101" s="4129">
        <f t="shared" si="15"/>
        <v>0</v>
      </c>
      <c r="M101" s="4133">
        <v>0</v>
      </c>
      <c r="N101" s="4784">
        <v>1</v>
      </c>
      <c r="O101" s="4134">
        <f t="shared" si="11"/>
        <v>1</v>
      </c>
      <c r="P101" s="4135">
        <f t="shared" si="12"/>
        <v>0</v>
      </c>
      <c r="Q101" s="4135">
        <f t="shared" si="13"/>
        <v>0</v>
      </c>
      <c r="R101" s="4136">
        <f t="shared" si="14"/>
        <v>0</v>
      </c>
    </row>
    <row r="102" spans="2:23">
      <c r="C102" s="264"/>
      <c r="D102" s="266"/>
      <c r="E102" s="266"/>
      <c r="F102" s="266"/>
      <c r="N102">
        <f>SUM(N13:N101)</f>
        <v>662181</v>
      </c>
      <c r="P102" s="4116">
        <f>SUM(P13:P101)</f>
        <v>0</v>
      </c>
      <c r="Q102" s="4116">
        <f>SUM(Q13:Q101)</f>
        <v>1201202.0359999996</v>
      </c>
      <c r="R102" s="4116">
        <f>P102+Q102</f>
        <v>1201202.0359999996</v>
      </c>
    </row>
    <row r="103" spans="2:23">
      <c r="C103" s="264"/>
      <c r="D103" s="266"/>
      <c r="E103" s="266"/>
      <c r="F103" s="266"/>
    </row>
    <row r="104" spans="2:23">
      <c r="C104" s="307"/>
      <c r="D104" s="308"/>
      <c r="E104" s="266"/>
      <c r="F104" s="266"/>
    </row>
    <row r="105" spans="2:23" ht="13.5" thickBot="1">
      <c r="I105" s="266"/>
    </row>
    <row r="106" spans="2:23" ht="16.5" thickBot="1">
      <c r="B106" s="269" t="s">
        <v>157</v>
      </c>
      <c r="C106" s="270"/>
      <c r="D106" s="5130" t="s">
        <v>158</v>
      </c>
      <c r="E106" s="5131"/>
      <c r="F106" s="5131"/>
      <c r="G106" s="5131"/>
      <c r="H106" s="5131"/>
    </row>
    <row r="107" spans="2:23" ht="16.5" thickBot="1">
      <c r="B107" s="309" t="s">
        <v>159</v>
      </c>
      <c r="C107" s="310"/>
      <c r="D107" s="310"/>
      <c r="E107" s="310"/>
      <c r="F107" s="310"/>
      <c r="G107" s="310"/>
      <c r="H107" s="310"/>
      <c r="I107" s="310"/>
      <c r="J107" s="310"/>
      <c r="K107" s="4878"/>
      <c r="L107" s="5132"/>
      <c r="M107" s="5132"/>
      <c r="N107" s="5132"/>
      <c r="O107" s="5132"/>
      <c r="P107" s="5132"/>
      <c r="Q107" s="5132"/>
      <c r="R107" s="5132"/>
      <c r="S107" s="4861"/>
      <c r="T107" s="4861"/>
      <c r="U107" s="4861"/>
      <c r="V107" s="3535"/>
    </row>
    <row r="108" spans="2:23" ht="13.5" thickBot="1">
      <c r="B108" s="272" t="s">
        <v>162</v>
      </c>
      <c r="C108" s="273" t="s">
        <v>129</v>
      </c>
      <c r="D108" s="273" t="s">
        <v>130</v>
      </c>
      <c r="E108" s="273" t="s">
        <v>163</v>
      </c>
      <c r="F108" s="273" t="s">
        <v>164</v>
      </c>
      <c r="G108" s="273" t="s">
        <v>165</v>
      </c>
      <c r="H108" s="273" t="s">
        <v>166</v>
      </c>
      <c r="I108" s="273" t="s">
        <v>167</v>
      </c>
      <c r="J108" s="273" t="s">
        <v>168</v>
      </c>
      <c r="K108" s="4879" t="s">
        <v>169</v>
      </c>
      <c r="L108" s="4104"/>
      <c r="M108" s="4862"/>
      <c r="N108" s="4862"/>
      <c r="O108" s="4862"/>
      <c r="P108" s="4862"/>
      <c r="Q108" s="4862"/>
      <c r="R108" s="4862"/>
      <c r="S108" s="4862"/>
      <c r="T108" s="296"/>
      <c r="U108" s="296"/>
      <c r="V108" s="296"/>
    </row>
    <row r="109" spans="2:23">
      <c r="B109" s="3532"/>
      <c r="C109" s="4119" t="s">
        <v>248</v>
      </c>
      <c r="D109" s="3574">
        <v>0</v>
      </c>
      <c r="E109" s="4119" t="s">
        <v>181</v>
      </c>
      <c r="F109" s="4118" t="s">
        <v>250</v>
      </c>
      <c r="G109" s="3594">
        <v>0</v>
      </c>
      <c r="H109" s="3594">
        <v>0</v>
      </c>
      <c r="I109" s="4122">
        <v>0</v>
      </c>
      <c r="J109" s="4119" t="s">
        <v>251</v>
      </c>
      <c r="K109" s="4880"/>
      <c r="L109" s="3323"/>
      <c r="M109" s="4863"/>
      <c r="N109" s="4863"/>
      <c r="O109" s="4114"/>
      <c r="P109" s="4114"/>
      <c r="Q109" s="4864"/>
      <c r="R109" s="4864"/>
      <c r="S109" s="4865"/>
      <c r="T109" s="4866"/>
      <c r="U109" s="4115"/>
      <c r="V109" s="4115"/>
      <c r="W109" s="4115"/>
    </row>
    <row r="110" spans="2:23">
      <c r="B110" s="3532"/>
      <c r="C110" s="4119" t="s">
        <v>252</v>
      </c>
      <c r="D110" s="3574">
        <v>755</v>
      </c>
      <c r="E110" s="4119" t="s">
        <v>181</v>
      </c>
      <c r="F110" s="4119" t="s">
        <v>186</v>
      </c>
      <c r="G110" s="4464">
        <v>600</v>
      </c>
      <c r="H110" s="4464">
        <v>600</v>
      </c>
      <c r="I110" s="4121">
        <v>1.1676661170329075E-2</v>
      </c>
      <c r="J110" s="4119">
        <v>22</v>
      </c>
      <c r="K110" s="4880" t="s">
        <v>253</v>
      </c>
      <c r="L110" s="3323"/>
      <c r="M110" s="4863"/>
      <c r="N110" s="4863"/>
      <c r="O110" s="4114"/>
      <c r="P110" s="4114"/>
      <c r="Q110" s="4864"/>
      <c r="R110" s="4864"/>
      <c r="S110" s="4865"/>
      <c r="T110" s="4867"/>
      <c r="U110" s="4115"/>
      <c r="V110" s="4868"/>
      <c r="W110" s="4115"/>
    </row>
    <row r="111" spans="2:23">
      <c r="B111" s="3532"/>
      <c r="C111" s="4118" t="s">
        <v>254</v>
      </c>
      <c r="D111" s="4456">
        <v>755</v>
      </c>
      <c r="E111" s="4118" t="s">
        <v>181</v>
      </c>
      <c r="F111" s="4118" t="s">
        <v>186</v>
      </c>
      <c r="G111" s="4464">
        <v>600</v>
      </c>
      <c r="H111" s="4464">
        <v>600</v>
      </c>
      <c r="I111" s="4121">
        <v>2.8802430886811718E-2</v>
      </c>
      <c r="J111" s="4119">
        <v>22</v>
      </c>
      <c r="K111" s="4880" t="s">
        <v>253</v>
      </c>
      <c r="L111" s="3323"/>
      <c r="M111" s="4863"/>
      <c r="N111" s="4863"/>
      <c r="O111" s="4114"/>
      <c r="P111" s="4114"/>
      <c r="Q111" s="4864"/>
      <c r="R111" s="4864"/>
      <c r="S111" s="4865"/>
      <c r="T111" s="4867"/>
      <c r="U111" s="4115"/>
      <c r="V111" s="4868"/>
      <c r="W111" s="4115"/>
    </row>
    <row r="112" spans="2:23">
      <c r="B112" s="3532"/>
      <c r="C112" s="4118" t="s">
        <v>255</v>
      </c>
      <c r="D112" s="4456">
        <v>755</v>
      </c>
      <c r="E112" s="4118" t="s">
        <v>181</v>
      </c>
      <c r="F112" s="4118" t="s">
        <v>186</v>
      </c>
      <c r="G112" s="4464">
        <v>600</v>
      </c>
      <c r="H112" s="4464">
        <v>600</v>
      </c>
      <c r="I112" s="4121">
        <v>2.2964100301647181E-2</v>
      </c>
      <c r="J112" s="4119">
        <v>22</v>
      </c>
      <c r="K112" s="4880" t="s">
        <v>253</v>
      </c>
      <c r="L112" s="3323"/>
      <c r="M112" s="4863"/>
      <c r="N112" s="4863"/>
      <c r="O112" s="4114"/>
      <c r="P112" s="4114"/>
      <c r="Q112" s="4864"/>
      <c r="R112" s="4864"/>
      <c r="S112" s="4865"/>
      <c r="T112" s="4867"/>
      <c r="U112" s="4115"/>
      <c r="V112" s="4868"/>
      <c r="W112" s="4115"/>
    </row>
    <row r="113" spans="2:23">
      <c r="B113" s="3532"/>
      <c r="C113" s="4118" t="s">
        <v>256</v>
      </c>
      <c r="D113" s="4456">
        <v>2.1800000000000002</v>
      </c>
      <c r="E113" s="4118" t="s">
        <v>181</v>
      </c>
      <c r="F113" s="4118" t="s">
        <v>257</v>
      </c>
      <c r="G113" s="4464">
        <v>2.4300000000000002</v>
      </c>
      <c r="H113" s="4464">
        <v>2.4300000000000002</v>
      </c>
      <c r="I113" s="4121">
        <v>1.1238464172767058E-6</v>
      </c>
      <c r="J113" s="4119">
        <v>30</v>
      </c>
      <c r="K113" s="4880" t="s">
        <v>258</v>
      </c>
      <c r="L113" s="3323"/>
      <c r="M113" s="4863"/>
      <c r="N113" s="4863"/>
      <c r="O113" s="4114"/>
      <c r="P113" s="4114"/>
      <c r="Q113" s="4864"/>
      <c r="R113" s="4864"/>
      <c r="S113" s="4865"/>
      <c r="T113" s="4867"/>
      <c r="U113" s="4115"/>
      <c r="V113" s="4868"/>
      <c r="W113" s="4115"/>
    </row>
    <row r="114" spans="2:23">
      <c r="B114" s="3532"/>
      <c r="C114" s="4118" t="s">
        <v>259</v>
      </c>
      <c r="D114" s="4457">
        <v>1.91</v>
      </c>
      <c r="E114" s="4118" t="s">
        <v>181</v>
      </c>
      <c r="F114" s="4118" t="s">
        <v>257</v>
      </c>
      <c r="G114" s="4464">
        <v>2.4300000000000002</v>
      </c>
      <c r="H114" s="4464">
        <v>2.4300000000000002</v>
      </c>
      <c r="I114" s="4121">
        <v>1.3050939749341871E-2</v>
      </c>
      <c r="J114" s="4119">
        <v>30</v>
      </c>
      <c r="K114" s="4880" t="s">
        <v>260</v>
      </c>
      <c r="L114" s="3323"/>
      <c r="M114" s="4863"/>
      <c r="N114" s="4863"/>
      <c r="O114" s="4114"/>
      <c r="P114" s="4114"/>
      <c r="Q114" s="4864"/>
      <c r="R114" s="4864"/>
      <c r="S114" s="4865"/>
      <c r="T114" s="4867"/>
      <c r="U114" s="4115"/>
      <c r="V114" s="4868"/>
      <c r="W114" s="4115"/>
    </row>
    <row r="115" spans="2:23">
      <c r="B115" s="3532"/>
      <c r="C115" s="4118" t="s">
        <v>261</v>
      </c>
      <c r="D115" s="4456">
        <v>1.39</v>
      </c>
      <c r="E115" s="4118" t="s">
        <v>181</v>
      </c>
      <c r="F115" s="4118" t="s">
        <v>257</v>
      </c>
      <c r="G115" s="4464">
        <v>1.95</v>
      </c>
      <c r="H115" s="4464">
        <v>1.95</v>
      </c>
      <c r="I115" s="4121">
        <v>1.1610405784297697E-2</v>
      </c>
      <c r="J115" s="4119">
        <v>30</v>
      </c>
      <c r="K115" s="4880" t="s">
        <v>258</v>
      </c>
      <c r="L115" s="3323"/>
      <c r="M115" s="4863"/>
      <c r="N115" s="4863"/>
      <c r="O115" s="4114"/>
      <c r="P115" s="4114"/>
      <c r="Q115" s="4864"/>
      <c r="R115" s="4864"/>
      <c r="S115" s="4865"/>
      <c r="T115" s="4867"/>
      <c r="U115" s="4115"/>
      <c r="V115" s="4868"/>
      <c r="W115" s="4115"/>
    </row>
    <row r="116" spans="2:23">
      <c r="B116" s="3532"/>
      <c r="C116" s="4118" t="s">
        <v>262</v>
      </c>
      <c r="D116" s="4457">
        <v>1.21</v>
      </c>
      <c r="E116" s="4118" t="s">
        <v>181</v>
      </c>
      <c r="F116" s="4118" t="s">
        <v>257</v>
      </c>
      <c r="G116" s="4464">
        <v>1.95</v>
      </c>
      <c r="H116" s="4464">
        <v>1.95</v>
      </c>
      <c r="I116" s="4121">
        <v>1.3826416460401494E-2</v>
      </c>
      <c r="J116" s="4119">
        <v>30</v>
      </c>
      <c r="K116" s="4880" t="s">
        <v>260</v>
      </c>
      <c r="L116" s="3323"/>
      <c r="M116" s="4863"/>
      <c r="N116" s="4863"/>
      <c r="O116" s="4114"/>
      <c r="P116" s="4114"/>
      <c r="Q116" s="4864"/>
      <c r="R116" s="4864"/>
      <c r="S116" s="4865"/>
      <c r="T116" s="4867"/>
      <c r="U116" s="4115"/>
      <c r="V116" s="4868"/>
      <c r="W116" s="4115"/>
    </row>
    <row r="117" spans="2:23">
      <c r="B117" s="3532"/>
      <c r="C117" s="4118" t="s">
        <v>263</v>
      </c>
      <c r="D117" s="312">
        <v>0.57999999999999996</v>
      </c>
      <c r="E117" s="4118" t="s">
        <v>181</v>
      </c>
      <c r="F117" s="4118" t="s">
        <v>257</v>
      </c>
      <c r="G117" s="4464">
        <v>1.35</v>
      </c>
      <c r="H117" s="4464">
        <v>1.35</v>
      </c>
      <c r="I117" s="4121">
        <v>2.9900501010114185E-7</v>
      </c>
      <c r="J117" s="4119">
        <v>30</v>
      </c>
      <c r="K117" s="4880" t="s">
        <v>258</v>
      </c>
      <c r="L117" s="3323"/>
      <c r="M117" s="4863"/>
      <c r="N117" s="4863"/>
      <c r="O117" s="4114"/>
      <c r="P117" s="4114"/>
      <c r="Q117" s="4864"/>
      <c r="R117" s="4864"/>
      <c r="S117" s="4865"/>
      <c r="T117" s="4867"/>
      <c r="U117" s="4115"/>
      <c r="V117" s="4868"/>
      <c r="W117" s="4115"/>
    </row>
    <row r="118" spans="2:23">
      <c r="B118" s="3532"/>
      <c r="C118" s="4118" t="s">
        <v>264</v>
      </c>
      <c r="D118" s="4457">
        <v>0.50900000000000001</v>
      </c>
      <c r="E118" s="4118" t="s">
        <v>181</v>
      </c>
      <c r="F118" s="4118" t="s">
        <v>257</v>
      </c>
      <c r="G118" s="4464">
        <v>1.35</v>
      </c>
      <c r="H118" s="4464">
        <v>1.35</v>
      </c>
      <c r="I118" s="4121">
        <v>3.9546887230303739E-3</v>
      </c>
      <c r="J118" s="4119">
        <v>30</v>
      </c>
      <c r="K118" s="4880" t="s">
        <v>260</v>
      </c>
      <c r="L118" s="3323"/>
      <c r="M118" s="4863"/>
      <c r="N118" s="4863"/>
      <c r="O118" s="4114"/>
      <c r="P118" s="4114"/>
      <c r="Q118" s="4864"/>
      <c r="R118" s="4864"/>
      <c r="S118" s="4865"/>
      <c r="T118" s="4867"/>
      <c r="U118" s="4115"/>
      <c r="V118" s="4868"/>
      <c r="W118" s="4115"/>
    </row>
    <row r="119" spans="2:23">
      <c r="B119" s="3532"/>
      <c r="C119" s="4118" t="s">
        <v>265</v>
      </c>
      <c r="D119" s="4456">
        <v>1.59</v>
      </c>
      <c r="E119" s="4118" t="s">
        <v>181</v>
      </c>
      <c r="F119" s="4118" t="s">
        <v>257</v>
      </c>
      <c r="G119" s="4465">
        <v>2.21</v>
      </c>
      <c r="H119" s="4465">
        <v>2.21</v>
      </c>
      <c r="I119" s="4121">
        <v>8.1968614838071654E-7</v>
      </c>
      <c r="J119" s="4119">
        <v>30</v>
      </c>
      <c r="K119" s="4880" t="s">
        <v>258</v>
      </c>
      <c r="L119" s="3323"/>
      <c r="M119" s="4863"/>
      <c r="N119" s="4863"/>
      <c r="O119" s="4114"/>
      <c r="P119" s="4114"/>
      <c r="Q119" s="4864"/>
      <c r="R119" s="4864"/>
      <c r="S119" s="4865"/>
      <c r="T119" s="4867"/>
      <c r="U119" s="4115"/>
      <c r="V119" s="4868"/>
      <c r="W119" s="4115"/>
    </row>
    <row r="120" spans="2:23">
      <c r="B120" s="3532"/>
      <c r="C120" s="4118" t="s">
        <v>266</v>
      </c>
      <c r="D120" s="4457">
        <v>0.5</v>
      </c>
      <c r="E120" s="4118" t="s">
        <v>181</v>
      </c>
      <c r="F120" s="4118" t="s">
        <v>257</v>
      </c>
      <c r="G120" s="4465">
        <v>1.1000000000000001</v>
      </c>
      <c r="H120" s="4465">
        <v>1.1000000000000001</v>
      </c>
      <c r="I120" s="4121">
        <v>2.9384975130629458E-7</v>
      </c>
      <c r="J120" s="4119">
        <v>25</v>
      </c>
      <c r="K120" s="4880" t="s">
        <v>260</v>
      </c>
      <c r="L120" s="3323"/>
      <c r="M120" s="4863"/>
      <c r="N120" s="4863"/>
      <c r="O120" s="4114"/>
      <c r="P120" s="4114"/>
      <c r="Q120" s="4864"/>
      <c r="R120" s="4864"/>
      <c r="S120" s="4865"/>
      <c r="T120" s="4867"/>
      <c r="U120" s="4115"/>
      <c r="V120" s="4868"/>
      <c r="W120" s="4115"/>
    </row>
    <row r="121" spans="2:23">
      <c r="B121" s="3532"/>
      <c r="C121" s="4118" t="s">
        <v>267</v>
      </c>
      <c r="D121" s="4457">
        <v>1.39</v>
      </c>
      <c r="E121" s="4118" t="s">
        <v>181</v>
      </c>
      <c r="F121" s="4118" t="s">
        <v>257</v>
      </c>
      <c r="G121" s="4465">
        <v>2.21</v>
      </c>
      <c r="H121" s="4465">
        <v>2.21</v>
      </c>
      <c r="I121" s="4121">
        <v>2.3896686617635057E-3</v>
      </c>
      <c r="J121" s="4119">
        <v>30</v>
      </c>
      <c r="K121" s="4880" t="s">
        <v>260</v>
      </c>
      <c r="L121" s="3323"/>
      <c r="M121" s="4863"/>
      <c r="N121" s="4863"/>
      <c r="O121" s="4114"/>
      <c r="P121" s="4114"/>
      <c r="Q121" s="4864"/>
      <c r="R121" s="4864"/>
      <c r="S121" s="4865"/>
      <c r="T121" s="4867"/>
      <c r="U121" s="4115"/>
      <c r="V121" s="4868"/>
      <c r="W121" s="4115"/>
    </row>
    <row r="122" spans="2:23">
      <c r="B122" s="3532"/>
      <c r="C122" s="4118" t="s">
        <v>268</v>
      </c>
      <c r="D122" s="4456">
        <v>1.01</v>
      </c>
      <c r="E122" s="4118" t="s">
        <v>181</v>
      </c>
      <c r="F122" s="4118" t="s">
        <v>257</v>
      </c>
      <c r="G122" s="4464">
        <v>1.71</v>
      </c>
      <c r="H122" s="4464">
        <v>1.71</v>
      </c>
      <c r="I122" s="4121">
        <v>1.8706818508394452E-2</v>
      </c>
      <c r="J122" s="4119">
        <v>25</v>
      </c>
      <c r="K122" s="4880" t="s">
        <v>260</v>
      </c>
      <c r="L122" s="3323"/>
      <c r="M122" s="4863"/>
      <c r="N122" s="4863"/>
      <c r="O122" s="4114"/>
      <c r="P122" s="4114"/>
      <c r="Q122" s="4864"/>
      <c r="R122" s="4864"/>
      <c r="S122" s="4865"/>
      <c r="T122" s="4867"/>
      <c r="U122" s="4115"/>
      <c r="V122" s="4868"/>
      <c r="W122" s="4115"/>
    </row>
    <row r="123" spans="2:23" s="4590" customFormat="1">
      <c r="C123" s="4854" t="s">
        <v>269</v>
      </c>
      <c r="D123" s="4858">
        <v>2.31</v>
      </c>
      <c r="E123" s="4859" t="s">
        <v>181</v>
      </c>
      <c r="F123" s="4859" t="s">
        <v>257</v>
      </c>
      <c r="G123" s="4860">
        <v>0</v>
      </c>
      <c r="H123" s="4860">
        <v>0</v>
      </c>
      <c r="I123" s="4855">
        <v>1.1908647816097203E-6</v>
      </c>
      <c r="J123" s="4856">
        <v>30</v>
      </c>
      <c r="K123" s="4881" t="s">
        <v>258</v>
      </c>
      <c r="L123" s="4869"/>
      <c r="M123" s="4870"/>
      <c r="N123" s="4870"/>
      <c r="O123" s="4871"/>
      <c r="P123" s="4871"/>
      <c r="Q123" s="4872"/>
      <c r="R123" s="4872"/>
      <c r="S123" s="4873"/>
      <c r="T123" s="4874"/>
      <c r="U123" s="4857"/>
      <c r="V123" s="4875"/>
      <c r="W123" s="4857"/>
    </row>
    <row r="124" spans="2:23" s="4590" customFormat="1">
      <c r="C124" s="4854" t="s">
        <v>270</v>
      </c>
      <c r="D124" s="4858">
        <v>2.2400000000000002</v>
      </c>
      <c r="E124" s="4859" t="s">
        <v>181</v>
      </c>
      <c r="F124" s="4859" t="s">
        <v>257</v>
      </c>
      <c r="G124" s="4860">
        <v>0</v>
      </c>
      <c r="H124" s="4860">
        <v>0</v>
      </c>
      <c r="I124" s="4855">
        <v>1.1547779700457894E-6</v>
      </c>
      <c r="J124" s="4856">
        <v>30</v>
      </c>
      <c r="K124" s="4881" t="s">
        <v>260</v>
      </c>
      <c r="L124" s="4869"/>
      <c r="M124" s="4870"/>
      <c r="N124" s="4870"/>
      <c r="O124" s="4871"/>
      <c r="P124" s="4871"/>
      <c r="Q124" s="4872"/>
      <c r="R124" s="4872"/>
      <c r="S124" s="4873"/>
      <c r="T124" s="4874"/>
      <c r="U124" s="4857"/>
      <c r="V124" s="4875"/>
      <c r="W124" s="4857"/>
    </row>
    <row r="125" spans="2:23">
      <c r="B125" s="3532"/>
      <c r="C125" s="4118" t="s">
        <v>271</v>
      </c>
      <c r="D125" s="4457">
        <v>0.84</v>
      </c>
      <c r="E125" s="4118" t="s">
        <v>181</v>
      </c>
      <c r="F125" s="4118" t="s">
        <v>257</v>
      </c>
      <c r="G125" s="4465">
        <v>2.1</v>
      </c>
      <c r="H125" s="4465">
        <v>2.1</v>
      </c>
      <c r="I125" s="4121">
        <v>4.9490484430533824E-7</v>
      </c>
      <c r="J125" s="4119">
        <v>25</v>
      </c>
      <c r="K125" s="4880" t="s">
        <v>260</v>
      </c>
      <c r="L125" s="3323"/>
      <c r="M125" s="4863"/>
      <c r="N125" s="4863"/>
      <c r="O125" s="4114"/>
      <c r="P125" s="4114"/>
      <c r="Q125" s="4864"/>
      <c r="R125" s="4864"/>
      <c r="S125" s="4865"/>
      <c r="T125" s="4867"/>
      <c r="U125" s="4115"/>
      <c r="V125" s="4868"/>
      <c r="W125" s="4115"/>
    </row>
    <row r="126" spans="2:23">
      <c r="B126" s="3532"/>
      <c r="C126" s="4859" t="s">
        <v>272</v>
      </c>
      <c r="D126" s="4858">
        <v>2.06</v>
      </c>
      <c r="E126" s="4859" t="s">
        <v>181</v>
      </c>
      <c r="F126" s="4859" t="s">
        <v>257</v>
      </c>
      <c r="G126" s="4860">
        <v>0</v>
      </c>
      <c r="H126" s="4860">
        <v>0</v>
      </c>
      <c r="I126" s="4121">
        <v>1.0619833117385385E-6</v>
      </c>
      <c r="J126" s="4119">
        <v>25</v>
      </c>
      <c r="K126" s="4880" t="s">
        <v>260</v>
      </c>
      <c r="L126" s="3323"/>
      <c r="M126" s="4863"/>
      <c r="N126" s="4863"/>
      <c r="O126" s="4114"/>
      <c r="P126" s="4114"/>
      <c r="Q126" s="4864"/>
      <c r="R126" s="4864"/>
      <c r="S126" s="4865"/>
      <c r="T126" s="4867"/>
      <c r="U126" s="4115"/>
      <c r="V126" s="4868"/>
      <c r="W126" s="4115"/>
    </row>
    <row r="127" spans="2:23">
      <c r="B127" s="3532"/>
      <c r="C127" s="4859" t="s">
        <v>273</v>
      </c>
      <c r="D127" s="5083">
        <v>1.77</v>
      </c>
      <c r="E127" s="4859" t="s">
        <v>181</v>
      </c>
      <c r="F127" s="4859" t="s">
        <v>257</v>
      </c>
      <c r="G127" s="4860">
        <v>0</v>
      </c>
      <c r="H127" s="4860">
        <v>0</v>
      </c>
      <c r="I127" s="4121">
        <v>9.1248080668796745E-7</v>
      </c>
      <c r="J127" s="4119">
        <v>25</v>
      </c>
      <c r="K127" s="4880" t="s">
        <v>260</v>
      </c>
      <c r="L127" s="3323"/>
      <c r="M127" s="4863"/>
      <c r="N127" s="4863"/>
      <c r="O127" s="4114"/>
      <c r="P127" s="4114"/>
      <c r="Q127" s="4864"/>
      <c r="R127" s="4864"/>
      <c r="S127" s="4865"/>
      <c r="T127" s="4867"/>
      <c r="U127" s="4115"/>
      <c r="V127" s="4868"/>
      <c r="W127" s="4115"/>
    </row>
    <row r="128" spans="2:23">
      <c r="B128" s="3532"/>
      <c r="C128" s="4118" t="s">
        <v>274</v>
      </c>
      <c r="D128" s="3593">
        <v>4.6500000000000004</v>
      </c>
      <c r="E128" s="4118" t="s">
        <v>181</v>
      </c>
      <c r="F128" s="4118" t="s">
        <v>257</v>
      </c>
      <c r="G128" s="4464">
        <v>6.46</v>
      </c>
      <c r="H128" s="4464">
        <v>6.46</v>
      </c>
      <c r="I128" s="4121">
        <v>2.3971953396039826E-6</v>
      </c>
      <c r="J128" s="4119">
        <v>30</v>
      </c>
      <c r="K128" s="4880" t="s">
        <v>258</v>
      </c>
      <c r="L128" s="3323"/>
      <c r="M128" s="4863"/>
      <c r="N128" s="4863"/>
      <c r="O128" s="4114"/>
      <c r="P128" s="4114"/>
      <c r="Q128" s="4864"/>
      <c r="R128" s="4864"/>
      <c r="S128" s="4865"/>
      <c r="T128" s="4867"/>
      <c r="U128" s="4115"/>
      <c r="V128" s="4868"/>
      <c r="W128" s="4115"/>
    </row>
    <row r="129" spans="2:23">
      <c r="B129" s="3532"/>
      <c r="C129" s="4118" t="s">
        <v>275</v>
      </c>
      <c r="D129" s="3593">
        <v>4.6500000000000004</v>
      </c>
      <c r="E129" s="4118" t="s">
        <v>181</v>
      </c>
      <c r="F129" s="4118" t="s">
        <v>257</v>
      </c>
      <c r="G129" s="4464">
        <v>6.46</v>
      </c>
      <c r="H129" s="4464">
        <v>6.46</v>
      </c>
      <c r="I129" s="4121">
        <v>2.6445858986511128E-3</v>
      </c>
      <c r="J129" s="4119">
        <v>30</v>
      </c>
      <c r="K129" s="4880" t="s">
        <v>260</v>
      </c>
      <c r="L129" s="3323"/>
      <c r="M129" s="4863"/>
      <c r="N129" s="4863"/>
      <c r="O129" s="4114"/>
      <c r="P129" s="4114"/>
      <c r="Q129" s="4864"/>
      <c r="R129" s="4864"/>
      <c r="S129" s="4865"/>
      <c r="T129" s="4867"/>
      <c r="U129" s="4115"/>
      <c r="V129" s="4868"/>
      <c r="W129" s="4115"/>
    </row>
    <row r="130" spans="2:23">
      <c r="B130" s="3532"/>
      <c r="C130" s="4118" t="s">
        <v>276</v>
      </c>
      <c r="D130" s="3593">
        <v>1.04</v>
      </c>
      <c r="E130" s="4118" t="s">
        <v>181</v>
      </c>
      <c r="F130" s="4118" t="s">
        <v>257</v>
      </c>
      <c r="G130" s="3594">
        <v>1.87</v>
      </c>
      <c r="H130" s="3594">
        <v>1.87</v>
      </c>
      <c r="I130" s="4121">
        <v>8.2030477943609824E-4</v>
      </c>
      <c r="J130" s="4119">
        <v>30</v>
      </c>
      <c r="K130" s="4880" t="s">
        <v>258</v>
      </c>
      <c r="L130" s="3323"/>
      <c r="M130" s="4863"/>
      <c r="N130" s="4863"/>
      <c r="O130" s="4114"/>
      <c r="P130" s="4114"/>
      <c r="Q130" s="4864"/>
      <c r="R130" s="4864"/>
      <c r="S130" s="4865"/>
      <c r="T130" s="4867"/>
      <c r="U130" s="4115"/>
      <c r="V130" s="4868"/>
      <c r="W130" s="4115"/>
    </row>
    <row r="131" spans="2:23">
      <c r="B131" s="3532"/>
      <c r="C131" s="4118" t="s">
        <v>277</v>
      </c>
      <c r="D131" s="4457">
        <v>1.01</v>
      </c>
      <c r="E131" s="4118" t="s">
        <v>181</v>
      </c>
      <c r="F131" s="4118" t="s">
        <v>257</v>
      </c>
      <c r="G131" s="3594">
        <v>1.87</v>
      </c>
      <c r="H131" s="3594">
        <v>1.87</v>
      </c>
      <c r="I131" s="4121">
        <v>5.5079444837274009E-3</v>
      </c>
      <c r="J131" s="4119">
        <v>30</v>
      </c>
      <c r="K131" s="4880" t="s">
        <v>260</v>
      </c>
      <c r="L131" s="3323"/>
      <c r="M131" s="4863"/>
      <c r="N131" s="4863"/>
      <c r="O131" s="4114"/>
      <c r="P131" s="4114"/>
      <c r="Q131" s="4864"/>
      <c r="R131" s="4864"/>
      <c r="S131" s="4865"/>
      <c r="T131" s="4867"/>
      <c r="U131" s="4115"/>
      <c r="V131" s="4868"/>
      <c r="W131" s="4115"/>
    </row>
    <row r="132" spans="2:23">
      <c r="B132" s="3532"/>
      <c r="C132" s="4118" t="s">
        <v>278</v>
      </c>
      <c r="D132" s="3593">
        <v>1.3</v>
      </c>
      <c r="E132" s="4118" t="s">
        <v>181</v>
      </c>
      <c r="F132" s="4118" t="s">
        <v>257</v>
      </c>
      <c r="G132" s="3594">
        <v>2.2000000000000002</v>
      </c>
      <c r="H132" s="3594">
        <v>2.2000000000000002</v>
      </c>
      <c r="I132" s="4121">
        <v>1.6454348811041732E-3</v>
      </c>
      <c r="J132" s="4119">
        <v>30</v>
      </c>
      <c r="K132" s="4880" t="s">
        <v>258</v>
      </c>
      <c r="L132" s="3323"/>
      <c r="M132" s="4863"/>
      <c r="N132" s="4863"/>
      <c r="O132" s="4114"/>
      <c r="P132" s="4114"/>
      <c r="Q132" s="4864"/>
      <c r="R132" s="4864"/>
      <c r="S132" s="4865"/>
      <c r="T132" s="4867"/>
      <c r="U132" s="4115"/>
      <c r="V132" s="4868"/>
      <c r="W132" s="4115"/>
    </row>
    <row r="133" spans="2:23">
      <c r="B133" s="3532"/>
      <c r="C133" s="4118" t="s">
        <v>279</v>
      </c>
      <c r="D133" s="4459">
        <v>1.21</v>
      </c>
      <c r="E133" s="4118" t="s">
        <v>181</v>
      </c>
      <c r="F133" s="4118" t="s">
        <v>257</v>
      </c>
      <c r="G133" s="3594">
        <v>2.2000000000000002</v>
      </c>
      <c r="H133" s="3594">
        <v>2.2000000000000002</v>
      </c>
      <c r="I133" s="4121">
        <v>7.8607685108841325E-3</v>
      </c>
      <c r="J133" s="4119">
        <v>30</v>
      </c>
      <c r="K133" s="4880" t="s">
        <v>260</v>
      </c>
      <c r="L133" s="3323"/>
      <c r="M133" s="4863"/>
      <c r="N133" s="4863"/>
      <c r="O133" s="4114"/>
      <c r="P133" s="4114"/>
      <c r="Q133" s="4864"/>
      <c r="R133" s="4864"/>
      <c r="S133" s="4865"/>
      <c r="T133" s="4867"/>
      <c r="U133" s="4115"/>
      <c r="V133" s="4868"/>
      <c r="W133" s="4115"/>
    </row>
    <row r="134" spans="2:23">
      <c r="B134" s="3532"/>
      <c r="C134" s="4118" t="s">
        <v>280</v>
      </c>
      <c r="D134" s="3595">
        <v>1.47</v>
      </c>
      <c r="E134" s="4118" t="s">
        <v>181</v>
      </c>
      <c r="F134" s="4118" t="s">
        <v>257</v>
      </c>
      <c r="G134" s="4465">
        <v>2.46</v>
      </c>
      <c r="H134" s="4465">
        <v>2.46</v>
      </c>
      <c r="I134" s="4121">
        <v>9.6403339463644024E-7</v>
      </c>
      <c r="J134" s="4119">
        <v>25</v>
      </c>
      <c r="K134" s="4880" t="s">
        <v>260</v>
      </c>
      <c r="L134" s="3323"/>
      <c r="M134" s="4863"/>
      <c r="N134" s="4863"/>
      <c r="O134" s="4114"/>
      <c r="P134" s="4114"/>
      <c r="Q134" s="4864"/>
      <c r="R134" s="4864"/>
      <c r="S134" s="4865"/>
      <c r="T134" s="4867"/>
      <c r="U134" s="4115"/>
      <c r="V134" s="4868"/>
      <c r="W134" s="4115"/>
    </row>
    <row r="135" spans="2:23">
      <c r="B135" s="3532"/>
      <c r="C135" s="4118" t="s">
        <v>281</v>
      </c>
      <c r="D135" s="4459">
        <v>1.1299999999999999</v>
      </c>
      <c r="E135" s="4118" t="s">
        <v>181</v>
      </c>
      <c r="F135" s="4118" t="s">
        <v>257</v>
      </c>
      <c r="G135" s="4465">
        <v>2.2599999999999998</v>
      </c>
      <c r="H135" s="4465">
        <v>2.2599999999999998</v>
      </c>
      <c r="I135" s="4121">
        <v>5.5805501175422718E-2</v>
      </c>
      <c r="J135" s="4119">
        <v>25</v>
      </c>
      <c r="K135" s="4880" t="s">
        <v>260</v>
      </c>
      <c r="L135" s="3323"/>
      <c r="M135" s="4863"/>
      <c r="N135" s="4863"/>
      <c r="O135" s="4114"/>
      <c r="P135" s="4114"/>
      <c r="Q135" s="4864"/>
      <c r="R135" s="4864"/>
      <c r="S135" s="4865"/>
      <c r="T135" s="4867"/>
      <c r="U135" s="4115"/>
      <c r="V135" s="4868"/>
      <c r="W135" s="4115"/>
    </row>
    <row r="136" spans="2:23">
      <c r="B136" s="3532"/>
      <c r="C136" s="4118" t="s">
        <v>282</v>
      </c>
      <c r="D136" s="4459">
        <v>0.59</v>
      </c>
      <c r="E136" s="4118" t="s">
        <v>181</v>
      </c>
      <c r="F136" s="4118" t="s">
        <v>257</v>
      </c>
      <c r="G136" s="4465">
        <v>1.4</v>
      </c>
      <c r="H136" s="4465">
        <v>1.4</v>
      </c>
      <c r="I136" s="4121">
        <v>3.1447078648568369E-7</v>
      </c>
      <c r="J136" s="4119">
        <v>25</v>
      </c>
      <c r="K136" s="4880" t="s">
        <v>260</v>
      </c>
      <c r="L136" s="3323"/>
      <c r="M136" s="4863"/>
      <c r="N136" s="4863"/>
      <c r="O136" s="4114"/>
      <c r="P136" s="4114"/>
      <c r="Q136" s="4864"/>
      <c r="R136" s="4864"/>
      <c r="S136" s="4865"/>
      <c r="T136" s="4867"/>
      <c r="U136" s="4115"/>
      <c r="V136" s="4868"/>
      <c r="W136" s="4115"/>
    </row>
    <row r="137" spans="2:23">
      <c r="B137" s="3532"/>
      <c r="C137" s="4118" t="s">
        <v>283</v>
      </c>
      <c r="D137" s="3595">
        <v>0.76</v>
      </c>
      <c r="E137" s="4118" t="s">
        <v>181</v>
      </c>
      <c r="F137" s="4118" t="s">
        <v>257</v>
      </c>
      <c r="G137" s="3594">
        <v>1.1299999999999999</v>
      </c>
      <c r="H137" s="3594">
        <v>1.1299999999999999</v>
      </c>
      <c r="I137" s="4121">
        <v>3.9179966840839282E-7</v>
      </c>
      <c r="J137" s="4119">
        <v>30</v>
      </c>
      <c r="K137" s="4880" t="s">
        <v>258</v>
      </c>
      <c r="L137" s="3323"/>
      <c r="M137" s="4863"/>
      <c r="N137" s="4863"/>
      <c r="O137" s="4114"/>
      <c r="P137" s="4114"/>
      <c r="Q137" s="4864"/>
      <c r="R137" s="4864"/>
      <c r="S137" s="4865"/>
      <c r="T137" s="4867"/>
      <c r="U137" s="4115"/>
      <c r="V137" s="4868"/>
      <c r="W137" s="4115"/>
    </row>
    <row r="138" spans="2:23">
      <c r="B138" s="3532"/>
      <c r="C138" s="4118" t="s">
        <v>284</v>
      </c>
      <c r="D138" s="4459">
        <v>0.6</v>
      </c>
      <c r="E138" s="4118" t="s">
        <v>181</v>
      </c>
      <c r="F138" s="4118" t="s">
        <v>257</v>
      </c>
      <c r="G138" s="3594">
        <v>1.38</v>
      </c>
      <c r="H138" s="3594">
        <v>1.38</v>
      </c>
      <c r="I138" s="4121">
        <v>4.7428380912594923E-7</v>
      </c>
      <c r="J138" s="4119">
        <v>30</v>
      </c>
      <c r="K138" s="4880" t="s">
        <v>260</v>
      </c>
      <c r="L138" s="3323"/>
      <c r="M138" s="4863"/>
      <c r="N138" s="4863"/>
      <c r="O138" s="4114"/>
      <c r="P138" s="4114"/>
      <c r="Q138" s="4864"/>
      <c r="R138" s="4864"/>
      <c r="S138" s="4865"/>
      <c r="T138" s="4867"/>
      <c r="U138" s="4115"/>
      <c r="V138" s="4868"/>
      <c r="W138" s="4115"/>
    </row>
    <row r="139" spans="2:23">
      <c r="B139" s="3532"/>
      <c r="C139" s="4859" t="s">
        <v>285</v>
      </c>
      <c r="D139" s="5084">
        <v>2.2999999999999998</v>
      </c>
      <c r="E139" s="4859" t="s">
        <v>181</v>
      </c>
      <c r="F139" s="4859" t="s">
        <v>257</v>
      </c>
      <c r="G139" s="4860">
        <v>0</v>
      </c>
      <c r="H139" s="4860">
        <v>0</v>
      </c>
      <c r="I139" s="4121">
        <v>1.185709522814873E-6</v>
      </c>
      <c r="J139" s="4119">
        <v>30</v>
      </c>
      <c r="K139" s="4880" t="s">
        <v>258</v>
      </c>
      <c r="L139" s="3323"/>
      <c r="M139" s="4863"/>
      <c r="N139" s="4863"/>
      <c r="O139" s="4114"/>
      <c r="P139" s="4114"/>
      <c r="Q139" s="4864"/>
      <c r="R139" s="4864"/>
      <c r="S139" s="4865"/>
      <c r="T139" s="4867"/>
      <c r="U139" s="4115"/>
      <c r="V139" s="4868"/>
      <c r="W139" s="4115"/>
    </row>
    <row r="140" spans="2:23">
      <c r="B140" s="3532"/>
      <c r="C140" s="4118" t="s">
        <v>286</v>
      </c>
      <c r="D140" s="3595">
        <v>1.3</v>
      </c>
      <c r="E140" s="4118" t="s">
        <v>181</v>
      </c>
      <c r="F140" s="4118" t="s">
        <v>257</v>
      </c>
      <c r="G140" s="4464">
        <v>2.75</v>
      </c>
      <c r="H140" s="4464">
        <v>2.75</v>
      </c>
      <c r="I140" s="4121">
        <v>6.3324312090978791E-3</v>
      </c>
      <c r="J140" s="4119">
        <v>30</v>
      </c>
      <c r="K140" s="4880" t="s">
        <v>258</v>
      </c>
      <c r="L140" s="3323"/>
      <c r="M140" s="4863"/>
      <c r="N140" s="4863"/>
      <c r="O140" s="4114"/>
      <c r="P140" s="4114"/>
      <c r="Q140" s="4864"/>
      <c r="R140" s="4864"/>
      <c r="S140" s="4865"/>
      <c r="T140" s="4867"/>
      <c r="U140" s="4115"/>
      <c r="V140" s="4868"/>
      <c r="W140" s="4115"/>
    </row>
    <row r="141" spans="2:23">
      <c r="B141" s="3532"/>
      <c r="C141" s="4118" t="s">
        <v>287</v>
      </c>
      <c r="D141" s="4459">
        <v>1.38</v>
      </c>
      <c r="E141" s="4118" t="s">
        <v>181</v>
      </c>
      <c r="F141" s="4118" t="s">
        <v>257</v>
      </c>
      <c r="G141" s="4464">
        <v>2.75</v>
      </c>
      <c r="H141" s="4464">
        <v>2.75</v>
      </c>
      <c r="I141" s="4121">
        <v>9.4224685854871187E-3</v>
      </c>
      <c r="J141" s="4119">
        <v>30</v>
      </c>
      <c r="K141" s="4880" t="s">
        <v>260</v>
      </c>
      <c r="L141" s="3323"/>
      <c r="M141" s="4863"/>
      <c r="N141" s="4863"/>
      <c r="O141" s="4114"/>
      <c r="P141" s="4114"/>
      <c r="Q141" s="4864"/>
      <c r="R141" s="4864"/>
      <c r="S141" s="4865"/>
      <c r="T141" s="4867"/>
      <c r="U141" s="4115"/>
      <c r="V141" s="4868"/>
      <c r="W141" s="4115"/>
    </row>
    <row r="142" spans="2:23">
      <c r="B142" s="3532"/>
      <c r="C142" s="4118" t="s">
        <v>288</v>
      </c>
      <c r="D142" s="4461">
        <v>1.79</v>
      </c>
      <c r="E142" s="4118" t="s">
        <v>181</v>
      </c>
      <c r="F142" s="4118" t="s">
        <v>257</v>
      </c>
      <c r="G142" s="4464">
        <v>2.75</v>
      </c>
      <c r="H142" s="4464">
        <v>2.75</v>
      </c>
      <c r="I142" s="4121">
        <v>7.1658097248377096E-7</v>
      </c>
      <c r="J142" s="4119">
        <v>25</v>
      </c>
      <c r="K142" s="4880" t="s">
        <v>260</v>
      </c>
      <c r="L142" s="3323"/>
      <c r="M142" s="4863"/>
      <c r="N142" s="4863"/>
      <c r="O142" s="4114"/>
      <c r="P142" s="4114"/>
      <c r="Q142" s="4864"/>
      <c r="R142" s="4864"/>
      <c r="S142" s="4865"/>
      <c r="T142" s="4867"/>
      <c r="U142" s="4115"/>
      <c r="V142" s="4868"/>
      <c r="W142" s="4115"/>
    </row>
    <row r="143" spans="2:23">
      <c r="B143" s="3532"/>
      <c r="C143" s="4859" t="s">
        <v>1149</v>
      </c>
      <c r="D143" s="5084">
        <v>307</v>
      </c>
      <c r="E143" s="4859" t="s">
        <v>181</v>
      </c>
      <c r="F143" s="4859" t="s">
        <v>186</v>
      </c>
      <c r="G143" s="4860">
        <v>0</v>
      </c>
      <c r="H143" s="4860">
        <v>0</v>
      </c>
      <c r="I143" s="4121">
        <v>2.3739966750271695E-4</v>
      </c>
      <c r="J143" s="4119">
        <v>30</v>
      </c>
      <c r="K143" s="4880" t="s">
        <v>260</v>
      </c>
      <c r="L143" s="3323"/>
      <c r="M143" s="4863"/>
      <c r="N143" s="4863"/>
      <c r="O143" s="4114"/>
      <c r="P143" s="4114"/>
      <c r="Q143" s="4864"/>
      <c r="R143" s="4864"/>
      <c r="S143" s="4865"/>
      <c r="T143" s="4867"/>
      <c r="U143" s="4115"/>
      <c r="V143" s="4868"/>
      <c r="W143" s="4115"/>
    </row>
    <row r="144" spans="2:23">
      <c r="B144" s="3532"/>
      <c r="C144" s="4118" t="s">
        <v>290</v>
      </c>
      <c r="D144" s="3595">
        <v>139</v>
      </c>
      <c r="E144" s="4118" t="s">
        <v>181</v>
      </c>
      <c r="F144" s="4118" t="s">
        <v>186</v>
      </c>
      <c r="G144" s="3594">
        <v>40.5</v>
      </c>
      <c r="H144" s="3594">
        <v>40.5</v>
      </c>
      <c r="I144" s="4121">
        <v>2.8663238899350841E-2</v>
      </c>
      <c r="J144" s="4119">
        <v>10</v>
      </c>
      <c r="K144" s="4880" t="s">
        <v>233</v>
      </c>
      <c r="L144" s="3323"/>
      <c r="M144" s="4863"/>
      <c r="N144" s="4863"/>
      <c r="O144" s="4114"/>
      <c r="P144" s="4114"/>
      <c r="Q144" s="4864"/>
      <c r="R144" s="4864"/>
      <c r="S144" s="4865"/>
      <c r="T144" s="4867"/>
      <c r="U144" s="4115"/>
      <c r="V144" s="4868"/>
      <c r="W144" s="4115"/>
    </row>
    <row r="145" spans="2:23">
      <c r="B145" s="3532"/>
      <c r="C145" s="4118" t="s">
        <v>291</v>
      </c>
      <c r="D145" s="3595">
        <v>139</v>
      </c>
      <c r="E145" s="4118" t="s">
        <v>181</v>
      </c>
      <c r="F145" s="4118" t="s">
        <v>186</v>
      </c>
      <c r="G145" s="3594">
        <v>40.5</v>
      </c>
      <c r="H145" s="3594">
        <v>40.5</v>
      </c>
      <c r="I145" s="4121">
        <v>7.1658097248377102E-3</v>
      </c>
      <c r="J145" s="4119">
        <v>10</v>
      </c>
      <c r="K145" s="4880" t="s">
        <v>233</v>
      </c>
      <c r="L145" s="3323"/>
      <c r="M145" s="4863"/>
      <c r="N145" s="4863"/>
      <c r="O145" s="4114"/>
      <c r="P145" s="4114"/>
      <c r="Q145" s="4864"/>
      <c r="R145" s="4864"/>
      <c r="S145" s="4865"/>
      <c r="T145" s="4867"/>
      <c r="U145" s="4115"/>
      <c r="V145" s="4868"/>
      <c r="W145" s="4115"/>
    </row>
    <row r="146" spans="2:23">
      <c r="B146" s="3532"/>
      <c r="C146" s="4118" t="s">
        <v>292</v>
      </c>
      <c r="D146" s="3595">
        <v>139</v>
      </c>
      <c r="E146" s="4118" t="s">
        <v>181</v>
      </c>
      <c r="F146" s="4118" t="s">
        <v>186</v>
      </c>
      <c r="G146" s="3594">
        <v>40.5</v>
      </c>
      <c r="H146" s="3594">
        <v>40.5</v>
      </c>
      <c r="I146" s="4121">
        <v>3.5829048624188551E-3</v>
      </c>
      <c r="J146" s="4119">
        <v>10</v>
      </c>
      <c r="K146" s="4880" t="s">
        <v>233</v>
      </c>
      <c r="L146" s="3323"/>
      <c r="M146" s="4863"/>
      <c r="N146" s="4863"/>
      <c r="O146" s="4114"/>
      <c r="P146" s="4114"/>
      <c r="Q146" s="4864"/>
      <c r="R146" s="4864"/>
      <c r="S146" s="4865"/>
      <c r="T146" s="4867"/>
      <c r="U146" s="4115"/>
      <c r="V146" s="4868"/>
      <c r="W146" s="4115"/>
    </row>
    <row r="147" spans="2:23">
      <c r="B147" s="3532"/>
      <c r="C147" s="4118" t="s">
        <v>293</v>
      </c>
      <c r="D147" s="3595">
        <v>49</v>
      </c>
      <c r="E147" s="4118" t="s">
        <v>181</v>
      </c>
      <c r="F147" s="4118" t="s">
        <v>186</v>
      </c>
      <c r="G147" s="3594">
        <v>50</v>
      </c>
      <c r="H147" s="3594">
        <v>50</v>
      </c>
      <c r="I147" s="4121">
        <v>2.5260768094751643E-5</v>
      </c>
      <c r="J147" s="4119">
        <v>15</v>
      </c>
      <c r="K147" s="4880" t="s">
        <v>183</v>
      </c>
      <c r="L147" s="3323"/>
      <c r="M147" s="4863"/>
      <c r="N147" s="4863"/>
      <c r="O147" s="4114"/>
      <c r="P147" s="4114"/>
      <c r="Q147" s="4864"/>
      <c r="R147" s="4864"/>
      <c r="S147" s="4865"/>
      <c r="T147" s="4867"/>
      <c r="U147" s="4115"/>
      <c r="V147" s="4868"/>
      <c r="W147" s="4115"/>
    </row>
    <row r="148" spans="2:23">
      <c r="B148" s="3532"/>
      <c r="C148" s="4118" t="s">
        <v>294</v>
      </c>
      <c r="D148" s="3595">
        <v>49</v>
      </c>
      <c r="E148" s="4118" t="s">
        <v>181</v>
      </c>
      <c r="F148" s="4118" t="s">
        <v>186</v>
      </c>
      <c r="G148" s="3594">
        <v>50</v>
      </c>
      <c r="H148" s="3594">
        <v>50</v>
      </c>
      <c r="I148" s="4121">
        <v>2.5260768094751643E-5</v>
      </c>
      <c r="J148" s="4119">
        <v>15</v>
      </c>
      <c r="K148" s="4880" t="s">
        <v>183</v>
      </c>
      <c r="L148" s="3323"/>
      <c r="M148" s="4863"/>
      <c r="N148" s="4863"/>
      <c r="O148" s="4114"/>
      <c r="P148" s="4114"/>
      <c r="Q148" s="4864"/>
      <c r="R148" s="4864"/>
      <c r="S148" s="4865"/>
      <c r="T148" s="4867"/>
      <c r="U148" s="4115"/>
      <c r="V148" s="4868"/>
      <c r="W148" s="4115"/>
    </row>
    <row r="149" spans="2:23">
      <c r="B149" s="3532"/>
      <c r="C149" s="4118" t="s">
        <v>295</v>
      </c>
      <c r="D149" s="3595">
        <v>49</v>
      </c>
      <c r="E149" s="4118" t="s">
        <v>181</v>
      </c>
      <c r="F149" s="4118" t="s">
        <v>186</v>
      </c>
      <c r="G149" s="3594">
        <v>50</v>
      </c>
      <c r="H149" s="3594">
        <v>50</v>
      </c>
      <c r="I149" s="4121">
        <v>0.14113191134537742</v>
      </c>
      <c r="J149" s="4119">
        <v>15</v>
      </c>
      <c r="K149" s="4880" t="s">
        <v>183</v>
      </c>
      <c r="L149" s="3323"/>
      <c r="M149" s="4863"/>
      <c r="N149" s="4863"/>
      <c r="O149" s="4114"/>
      <c r="P149" s="4114"/>
      <c r="Q149" s="4864"/>
      <c r="R149" s="4864"/>
      <c r="S149" s="4865"/>
      <c r="T149" s="4867"/>
      <c r="U149" s="4115"/>
      <c r="V149" s="4868"/>
      <c r="W149" s="4115"/>
    </row>
    <row r="150" spans="2:23">
      <c r="B150" s="3532"/>
      <c r="C150" s="4118" t="s">
        <v>296</v>
      </c>
      <c r="D150" s="3595">
        <v>23</v>
      </c>
      <c r="E150" s="4118" t="s">
        <v>181</v>
      </c>
      <c r="F150" s="4118" t="s">
        <v>186</v>
      </c>
      <c r="G150" s="4464">
        <v>5</v>
      </c>
      <c r="H150" s="4464">
        <v>5</v>
      </c>
      <c r="I150" s="4121">
        <v>2.845702854755695E-4</v>
      </c>
      <c r="J150" s="4119">
        <v>5</v>
      </c>
      <c r="K150" s="4880" t="s">
        <v>183</v>
      </c>
      <c r="L150" s="3323"/>
      <c r="M150" s="4863"/>
      <c r="N150" s="4863"/>
      <c r="O150" s="4114"/>
      <c r="P150" s="4114"/>
      <c r="Q150" s="4864"/>
      <c r="R150" s="4864"/>
      <c r="S150" s="4865"/>
      <c r="T150" s="4867"/>
      <c r="U150" s="4115"/>
      <c r="V150" s="4868"/>
      <c r="W150" s="4115"/>
    </row>
    <row r="151" spans="2:23">
      <c r="B151" s="3532"/>
      <c r="C151" s="4118" t="s">
        <v>297</v>
      </c>
      <c r="D151" s="3595">
        <v>23</v>
      </c>
      <c r="E151" s="4118" t="s">
        <v>181</v>
      </c>
      <c r="F151" s="4118" t="s">
        <v>186</v>
      </c>
      <c r="G151" s="4464">
        <v>5</v>
      </c>
      <c r="H151" s="4464">
        <v>5</v>
      </c>
      <c r="I151" s="4121">
        <v>7.707111898296674E-3</v>
      </c>
      <c r="J151" s="4119">
        <v>5</v>
      </c>
      <c r="K151" s="4880" t="s">
        <v>183</v>
      </c>
      <c r="L151" s="3323"/>
      <c r="M151" s="4863"/>
      <c r="N151" s="4863"/>
      <c r="O151" s="4114"/>
      <c r="P151" s="4114"/>
      <c r="Q151" s="4864"/>
      <c r="R151" s="4864"/>
      <c r="S151" s="4865"/>
      <c r="T151" s="4867"/>
      <c r="U151" s="4115"/>
      <c r="V151" s="4868"/>
      <c r="W151" s="4115"/>
    </row>
    <row r="152" spans="2:23">
      <c r="B152" s="3532"/>
      <c r="C152" s="4118" t="s">
        <v>298</v>
      </c>
      <c r="D152" s="3595">
        <v>23</v>
      </c>
      <c r="E152" s="4118" t="s">
        <v>181</v>
      </c>
      <c r="F152" s="4118" t="s">
        <v>186</v>
      </c>
      <c r="G152" s="4464">
        <v>5</v>
      </c>
      <c r="H152" s="4464">
        <v>5</v>
      </c>
      <c r="I152" s="4121">
        <v>7.0668287559766431E-3</v>
      </c>
      <c r="J152" s="4119">
        <v>5</v>
      </c>
      <c r="K152" s="4880" t="s">
        <v>183</v>
      </c>
      <c r="L152" s="3323"/>
      <c r="M152" s="4863"/>
      <c r="N152" s="4863"/>
      <c r="O152" s="4114"/>
      <c r="P152" s="4114"/>
      <c r="Q152" s="4864"/>
      <c r="R152" s="4864"/>
      <c r="S152" s="4865"/>
      <c r="T152" s="4867"/>
      <c r="U152" s="4115"/>
      <c r="V152" s="4868"/>
      <c r="W152" s="4115"/>
    </row>
    <row r="153" spans="2:23">
      <c r="B153" s="3532"/>
      <c r="C153" s="4859" t="s">
        <v>299</v>
      </c>
      <c r="D153" s="5084">
        <v>23</v>
      </c>
      <c r="E153" s="4118" t="s">
        <v>181</v>
      </c>
      <c r="F153" s="4118" t="s">
        <v>186</v>
      </c>
      <c r="G153" s="313">
        <v>0</v>
      </c>
      <c r="H153" s="313">
        <v>0</v>
      </c>
      <c r="I153" s="4121">
        <v>1.1857095228148729E-5</v>
      </c>
      <c r="J153" s="4119">
        <v>15</v>
      </c>
      <c r="K153" s="4880" t="s">
        <v>183</v>
      </c>
      <c r="L153" s="3323"/>
      <c r="M153" s="4863"/>
      <c r="N153" s="4863"/>
      <c r="O153" s="4114"/>
      <c r="P153" s="4114"/>
      <c r="Q153" s="4864"/>
      <c r="R153" s="4864"/>
      <c r="S153" s="4865"/>
      <c r="T153" s="4867"/>
      <c r="U153" s="4115"/>
      <c r="V153" s="4868"/>
      <c r="W153" s="4115"/>
    </row>
    <row r="154" spans="2:23">
      <c r="B154" s="3532"/>
      <c r="C154" s="4859" t="s">
        <v>300</v>
      </c>
      <c r="D154" s="5084">
        <v>23</v>
      </c>
      <c r="E154" s="4118" t="s">
        <v>181</v>
      </c>
      <c r="F154" s="4118" t="s">
        <v>186</v>
      </c>
      <c r="G154" s="313">
        <v>0</v>
      </c>
      <c r="H154" s="313">
        <v>0</v>
      </c>
      <c r="I154" s="4121">
        <v>1.1857095228148729E-5</v>
      </c>
      <c r="J154" s="4119">
        <v>15</v>
      </c>
      <c r="K154" s="4880" t="s">
        <v>183</v>
      </c>
      <c r="L154" s="3323"/>
      <c r="M154" s="4863"/>
      <c r="N154" s="4863"/>
      <c r="O154" s="4114"/>
      <c r="P154" s="4114"/>
      <c r="Q154" s="4864"/>
      <c r="R154" s="4864"/>
      <c r="S154" s="4865"/>
      <c r="T154" s="4867"/>
      <c r="U154" s="4115"/>
      <c r="V154" s="4868"/>
      <c r="W154" s="4115"/>
    </row>
    <row r="155" spans="2:23">
      <c r="B155" s="3532"/>
      <c r="C155" s="4859" t="s">
        <v>301</v>
      </c>
      <c r="D155" s="5084">
        <v>23</v>
      </c>
      <c r="E155" s="4118" t="s">
        <v>181</v>
      </c>
      <c r="F155" s="4118" t="s">
        <v>186</v>
      </c>
      <c r="G155" s="313">
        <v>0</v>
      </c>
      <c r="H155" s="313">
        <v>0</v>
      </c>
      <c r="I155" s="4121">
        <v>1.1857095228148729E-5</v>
      </c>
      <c r="J155" s="4119">
        <v>15</v>
      </c>
      <c r="K155" s="4880" t="s">
        <v>183</v>
      </c>
      <c r="L155" s="3323"/>
      <c r="M155" s="4863"/>
      <c r="N155" s="4863"/>
      <c r="O155" s="4114"/>
      <c r="P155" s="4114"/>
      <c r="Q155" s="4864"/>
      <c r="R155" s="4864"/>
      <c r="S155" s="4865"/>
      <c r="T155" s="4867"/>
      <c r="U155" s="4115"/>
      <c r="V155" s="4868"/>
      <c r="W155" s="4115"/>
    </row>
    <row r="156" spans="2:23">
      <c r="B156" s="3532"/>
      <c r="C156" s="4118" t="s">
        <v>302</v>
      </c>
      <c r="D156" s="3595">
        <v>54135</v>
      </c>
      <c r="E156" s="4118" t="s">
        <v>181</v>
      </c>
      <c r="F156" s="4118" t="s">
        <v>303</v>
      </c>
      <c r="G156" s="3594">
        <v>16055</v>
      </c>
      <c r="H156" s="3594">
        <v>8000</v>
      </c>
      <c r="I156" s="4121">
        <v>6.6979184366173727E-2</v>
      </c>
      <c r="J156" s="4119">
        <v>15</v>
      </c>
      <c r="K156" s="4880" t="s">
        <v>183</v>
      </c>
      <c r="L156" s="3323"/>
      <c r="M156" s="4863"/>
      <c r="N156" s="4863"/>
      <c r="O156" s="4114"/>
      <c r="P156" s="4114"/>
      <c r="Q156" s="4864"/>
      <c r="R156" s="4864"/>
      <c r="S156" s="4865"/>
      <c r="T156" s="4867"/>
      <c r="U156" s="4115"/>
      <c r="V156" s="4868"/>
      <c r="W156" s="4115"/>
    </row>
    <row r="157" spans="2:23">
      <c r="B157" s="3532"/>
      <c r="C157" s="4118" t="s">
        <v>304</v>
      </c>
      <c r="D157" s="3595">
        <v>1082</v>
      </c>
      <c r="E157" s="4118" t="s">
        <v>181</v>
      </c>
      <c r="F157" s="4118" t="s">
        <v>186</v>
      </c>
      <c r="G157" s="4464">
        <v>500</v>
      </c>
      <c r="H157" s="4464">
        <v>500</v>
      </c>
      <c r="I157" s="4121">
        <v>8.47854482435762E-2</v>
      </c>
      <c r="J157" s="4119">
        <v>20</v>
      </c>
      <c r="K157" s="4880" t="s">
        <v>260</v>
      </c>
      <c r="L157" s="3323"/>
      <c r="M157" s="4863"/>
      <c r="N157" s="4863"/>
      <c r="O157" s="4114"/>
      <c r="P157" s="4114"/>
      <c r="Q157" s="4864"/>
      <c r="R157" s="4864"/>
      <c r="S157" s="4865"/>
      <c r="T157" s="4867"/>
      <c r="U157" s="4115"/>
      <c r="V157" s="4868"/>
      <c r="W157" s="4115"/>
    </row>
    <row r="158" spans="2:23">
      <c r="B158" s="3532"/>
      <c r="C158" s="4118" t="s">
        <v>305</v>
      </c>
      <c r="D158" s="3595">
        <v>1244</v>
      </c>
      <c r="E158" s="4118" t="s">
        <v>181</v>
      </c>
      <c r="F158" s="4118" t="s">
        <v>186</v>
      </c>
      <c r="G158" s="4464">
        <v>500</v>
      </c>
      <c r="H158" s="4464">
        <v>500</v>
      </c>
      <c r="I158" s="4121">
        <v>1.1543655493422015E-2</v>
      </c>
      <c r="J158" s="4119">
        <v>20</v>
      </c>
      <c r="K158" s="4880" t="s">
        <v>260</v>
      </c>
      <c r="L158" s="3323"/>
      <c r="M158" s="4863"/>
      <c r="N158" s="4863"/>
      <c r="O158" s="4114"/>
      <c r="P158" s="4114"/>
      <c r="Q158" s="4864"/>
      <c r="R158" s="4864"/>
      <c r="S158" s="4865"/>
      <c r="T158" s="4867"/>
      <c r="U158" s="4115"/>
      <c r="V158" s="4868"/>
      <c r="W158" s="4115"/>
    </row>
    <row r="159" spans="2:23">
      <c r="B159" s="3532"/>
      <c r="C159" s="4118" t="s">
        <v>306</v>
      </c>
      <c r="D159" s="4459">
        <v>0.84</v>
      </c>
      <c r="E159" s="4118" t="s">
        <v>181</v>
      </c>
      <c r="F159" s="4118" t="s">
        <v>303</v>
      </c>
      <c r="G159" s="4464">
        <v>1</v>
      </c>
      <c r="H159" s="4464">
        <v>1</v>
      </c>
      <c r="I159" s="4121">
        <v>7.6060230472195692E-2</v>
      </c>
      <c r="J159" s="4119">
        <v>25</v>
      </c>
      <c r="K159" s="4880" t="s">
        <v>260</v>
      </c>
      <c r="L159" s="3323"/>
      <c r="M159" s="4863"/>
      <c r="N159" s="4863"/>
      <c r="O159" s="4114"/>
      <c r="P159" s="4114"/>
      <c r="Q159" s="4864"/>
      <c r="R159" s="4864"/>
      <c r="S159" s="4865"/>
      <c r="T159" s="4867"/>
      <c r="U159" s="4115"/>
      <c r="V159" s="4868"/>
      <c r="W159" s="4115"/>
    </row>
    <row r="160" spans="2:23">
      <c r="B160" s="3532"/>
      <c r="C160" s="4118" t="s">
        <v>307</v>
      </c>
      <c r="D160" s="4459">
        <v>1.7</v>
      </c>
      <c r="E160" s="4118" t="s">
        <v>181</v>
      </c>
      <c r="F160" s="4118" t="s">
        <v>303</v>
      </c>
      <c r="G160" s="4464">
        <v>1</v>
      </c>
      <c r="H160" s="4464">
        <v>1</v>
      </c>
      <c r="I160" s="4121">
        <v>1.6745352859493273E-2</v>
      </c>
      <c r="J160" s="4119">
        <v>20</v>
      </c>
      <c r="K160" s="4880" t="s">
        <v>260</v>
      </c>
      <c r="L160" s="3323"/>
      <c r="M160" s="4863"/>
      <c r="N160" s="4863"/>
      <c r="O160" s="4114"/>
      <c r="P160" s="4114"/>
      <c r="Q160" s="4864"/>
      <c r="R160" s="4864"/>
      <c r="S160" s="4865"/>
      <c r="T160" s="4867"/>
      <c r="U160" s="4115"/>
      <c r="V160" s="4868"/>
      <c r="W160" s="4115"/>
    </row>
    <row r="161" spans="2:23">
      <c r="B161" s="3532"/>
      <c r="C161" s="5085" t="s">
        <v>308</v>
      </c>
      <c r="D161" s="5084">
        <v>1.1000000000000001</v>
      </c>
      <c r="E161" s="4118" t="s">
        <v>181</v>
      </c>
      <c r="F161" s="4118" t="s">
        <v>303</v>
      </c>
      <c r="G161" s="313">
        <v>0</v>
      </c>
      <c r="H161" s="313">
        <v>0</v>
      </c>
      <c r="I161" s="4121">
        <v>0</v>
      </c>
      <c r="J161" s="4123">
        <v>20</v>
      </c>
      <c r="K161" s="4880" t="s">
        <v>258</v>
      </c>
      <c r="L161" s="3323"/>
      <c r="M161" s="4863"/>
      <c r="N161" s="4863"/>
      <c r="O161" s="4114"/>
      <c r="P161" s="4114"/>
      <c r="Q161" s="4864"/>
      <c r="R161" s="4864"/>
      <c r="S161" s="4865"/>
      <c r="T161" s="4867"/>
      <c r="U161" s="4115"/>
      <c r="V161" s="4868"/>
      <c r="W161" s="4115"/>
    </row>
    <row r="162" spans="2:23">
      <c r="B162" s="3532"/>
      <c r="C162" s="4118" t="s">
        <v>309</v>
      </c>
      <c r="D162" s="3595">
        <v>27000</v>
      </c>
      <c r="E162" s="4118" t="s">
        <v>181</v>
      </c>
      <c r="F162" s="4118" t="s">
        <v>303</v>
      </c>
      <c r="G162" s="3594">
        <v>12665</v>
      </c>
      <c r="H162" s="3594">
        <v>8000</v>
      </c>
      <c r="I162" s="4121">
        <v>0</v>
      </c>
      <c r="J162" s="4119">
        <v>12</v>
      </c>
      <c r="K162" s="4880" t="s">
        <v>310</v>
      </c>
      <c r="L162" s="3323"/>
      <c r="M162" s="4863"/>
      <c r="N162" s="4863"/>
      <c r="O162" s="4114"/>
      <c r="P162" s="4114"/>
      <c r="Q162" s="4864"/>
      <c r="R162" s="4864"/>
      <c r="S162" s="4865"/>
      <c r="T162" s="4867"/>
      <c r="U162" s="4115"/>
      <c r="V162" s="4868"/>
      <c r="W162" s="4115"/>
    </row>
    <row r="163" spans="2:23">
      <c r="B163" s="3532"/>
      <c r="C163" s="4859" t="s">
        <v>311</v>
      </c>
      <c r="D163" s="5084">
        <v>435.8</v>
      </c>
      <c r="E163" s="4118" t="s">
        <v>181</v>
      </c>
      <c r="F163" s="4118" t="s">
        <v>186</v>
      </c>
      <c r="G163" s="3594">
        <v>0</v>
      </c>
      <c r="H163" s="3594">
        <v>0</v>
      </c>
      <c r="I163" s="4121">
        <v>2.2017285471385532E-2</v>
      </c>
      <c r="J163" s="4119">
        <v>15</v>
      </c>
      <c r="K163" s="4880" t="s">
        <v>260</v>
      </c>
      <c r="L163" s="3323"/>
      <c r="M163" s="4863"/>
      <c r="N163" s="4863"/>
      <c r="O163" s="4114"/>
      <c r="P163" s="4114"/>
      <c r="Q163" s="4864"/>
      <c r="R163" s="4864"/>
      <c r="S163" s="4865"/>
      <c r="T163" s="4867"/>
      <c r="U163" s="4115"/>
      <c r="V163" s="4868"/>
      <c r="W163" s="4115"/>
    </row>
    <row r="164" spans="2:23">
      <c r="B164" s="3532"/>
      <c r="C164" s="4118" t="s">
        <v>312</v>
      </c>
      <c r="D164" s="3595">
        <v>348</v>
      </c>
      <c r="E164" s="4118" t="s">
        <v>181</v>
      </c>
      <c r="F164" s="4118" t="s">
        <v>186</v>
      </c>
      <c r="G164" s="3594">
        <v>202.5</v>
      </c>
      <c r="H164" s="3594">
        <v>202.5</v>
      </c>
      <c r="I164" s="4121">
        <v>2.2466617827944417E-3</v>
      </c>
      <c r="J164" s="4119">
        <v>15</v>
      </c>
      <c r="K164" s="4880" t="s">
        <v>260</v>
      </c>
      <c r="L164" s="3323"/>
      <c r="M164" s="4863"/>
      <c r="N164" s="4863"/>
      <c r="O164" s="4114"/>
      <c r="P164" s="4114"/>
      <c r="Q164" s="4864"/>
      <c r="R164" s="4864"/>
      <c r="S164" s="4865"/>
      <c r="T164" s="4867"/>
      <c r="U164" s="4115"/>
      <c r="V164" s="4868"/>
      <c r="W164" s="4115"/>
    </row>
    <row r="165" spans="2:23">
      <c r="B165" s="3532"/>
      <c r="C165" s="4118" t="s">
        <v>313</v>
      </c>
      <c r="D165" s="3595">
        <v>131</v>
      </c>
      <c r="E165" s="4118" t="s">
        <v>181</v>
      </c>
      <c r="F165" s="4118" t="s">
        <v>186</v>
      </c>
      <c r="G165" s="3594">
        <v>67</v>
      </c>
      <c r="H165" s="3594">
        <v>67</v>
      </c>
      <c r="I165" s="4121">
        <v>1.3506778042499858E-4</v>
      </c>
      <c r="J165" s="4119">
        <v>15</v>
      </c>
      <c r="K165" s="4880" t="s">
        <v>233</v>
      </c>
      <c r="L165" s="3323"/>
      <c r="M165" s="4863"/>
      <c r="N165" s="4863"/>
      <c r="O165" s="4114"/>
      <c r="P165" s="4114"/>
      <c r="Q165" s="4864"/>
      <c r="R165" s="4864"/>
      <c r="S165" s="4865"/>
      <c r="T165" s="4867"/>
      <c r="U165" s="4115"/>
      <c r="V165" s="4868"/>
      <c r="W165" s="4115"/>
    </row>
    <row r="166" spans="2:23">
      <c r="B166" s="3532"/>
      <c r="C166" s="4118" t="s">
        <v>314</v>
      </c>
      <c r="D166" s="3595">
        <v>131</v>
      </c>
      <c r="E166" s="4118" t="s">
        <v>181</v>
      </c>
      <c r="F166" s="4118" t="s">
        <v>186</v>
      </c>
      <c r="G166" s="3594">
        <v>67</v>
      </c>
      <c r="H166" s="3594">
        <v>67</v>
      </c>
      <c r="I166" s="4121">
        <v>1.3506778042499858E-4</v>
      </c>
      <c r="J166" s="4119">
        <v>15</v>
      </c>
      <c r="K166" s="4880" t="s">
        <v>233</v>
      </c>
      <c r="L166" s="3323"/>
      <c r="M166" s="4863"/>
      <c r="N166" s="4863"/>
      <c r="O166" s="4114"/>
      <c r="P166" s="4114"/>
      <c r="Q166" s="4864"/>
      <c r="R166" s="4864"/>
      <c r="S166" s="4865"/>
      <c r="T166" s="4867"/>
      <c r="U166" s="4115"/>
      <c r="V166" s="4868"/>
      <c r="W166" s="4115"/>
    </row>
    <row r="167" spans="2:23">
      <c r="B167" s="3532"/>
      <c r="C167" s="4118" t="s">
        <v>315</v>
      </c>
      <c r="D167" s="3595">
        <v>131</v>
      </c>
      <c r="E167" s="4118" t="s">
        <v>181</v>
      </c>
      <c r="F167" s="4118" t="s">
        <v>186</v>
      </c>
      <c r="G167" s="3594">
        <v>67</v>
      </c>
      <c r="H167" s="3594">
        <v>67</v>
      </c>
      <c r="I167" s="4121">
        <v>1.3506778042499858E-4</v>
      </c>
      <c r="J167" s="4119">
        <v>15</v>
      </c>
      <c r="K167" s="4880" t="s">
        <v>233</v>
      </c>
      <c r="L167" s="3323"/>
      <c r="M167" s="4863"/>
      <c r="N167" s="4863"/>
      <c r="O167" s="4114"/>
      <c r="P167" s="4114"/>
      <c r="Q167" s="4864"/>
      <c r="R167" s="4864"/>
      <c r="S167" s="4865"/>
      <c r="T167" s="4867"/>
      <c r="U167" s="4115"/>
      <c r="V167" s="4868"/>
      <c r="W167" s="4115"/>
    </row>
    <row r="168" spans="2:23">
      <c r="B168" s="3532"/>
      <c r="C168" s="4118" t="s">
        <v>316</v>
      </c>
      <c r="D168" s="3595">
        <v>3500</v>
      </c>
      <c r="E168" s="4118" t="s">
        <v>181</v>
      </c>
      <c r="F168" s="4118" t="s">
        <v>186</v>
      </c>
      <c r="G168" s="3594">
        <v>3407</v>
      </c>
      <c r="H168" s="3594">
        <v>3407</v>
      </c>
      <c r="I168" s="4121">
        <v>4.5108514454913649E-3</v>
      </c>
      <c r="J168" s="4119">
        <v>20</v>
      </c>
      <c r="K168" s="4880" t="s">
        <v>260</v>
      </c>
      <c r="L168" s="3323"/>
      <c r="M168" s="4863"/>
      <c r="N168" s="4863"/>
      <c r="O168" s="4114"/>
      <c r="P168" s="4114"/>
      <c r="Q168" s="4864"/>
      <c r="R168" s="4864"/>
      <c r="S168" s="4865"/>
      <c r="T168" s="4867"/>
      <c r="U168" s="4115"/>
      <c r="V168" s="4868"/>
      <c r="W168" s="4115"/>
    </row>
    <row r="169" spans="2:23">
      <c r="B169" s="3532"/>
      <c r="C169" s="5085" t="s">
        <v>317</v>
      </c>
      <c r="D169" s="5084">
        <v>0</v>
      </c>
      <c r="E169" s="4118" t="s">
        <v>181</v>
      </c>
      <c r="F169" s="4118" t="s">
        <v>186</v>
      </c>
      <c r="G169" s="313">
        <v>0</v>
      </c>
      <c r="H169" s="313">
        <v>0</v>
      </c>
      <c r="I169" s="4121">
        <v>0</v>
      </c>
      <c r="J169" s="4119">
        <v>20</v>
      </c>
      <c r="K169" s="4880" t="s">
        <v>258</v>
      </c>
      <c r="L169" s="3323"/>
      <c r="M169" s="4863"/>
      <c r="N169" s="4863"/>
      <c r="O169" s="4114"/>
      <c r="P169" s="4114"/>
      <c r="Q169" s="4864"/>
      <c r="R169" s="4864"/>
      <c r="S169" s="4865"/>
      <c r="T169" s="4867"/>
      <c r="U169" s="4115"/>
      <c r="V169" s="4868"/>
      <c r="W169" s="4115"/>
    </row>
    <row r="170" spans="2:23">
      <c r="B170" s="3532"/>
      <c r="C170" s="5085" t="s">
        <v>318</v>
      </c>
      <c r="D170" s="5084">
        <v>0</v>
      </c>
      <c r="E170" s="4118" t="s">
        <v>181</v>
      </c>
      <c r="F170" s="4118" t="s">
        <v>186</v>
      </c>
      <c r="G170" s="313">
        <v>0</v>
      </c>
      <c r="H170" s="313">
        <v>0</v>
      </c>
      <c r="I170" s="4121">
        <v>0</v>
      </c>
      <c r="J170" s="4119">
        <v>20</v>
      </c>
      <c r="K170" s="4880" t="s">
        <v>260</v>
      </c>
      <c r="L170" s="3323"/>
      <c r="M170" s="4863"/>
      <c r="N170" s="4863"/>
      <c r="O170" s="4114"/>
      <c r="P170" s="4114"/>
      <c r="Q170" s="4864"/>
      <c r="R170" s="4864"/>
      <c r="S170" s="4865"/>
      <c r="T170" s="4867"/>
      <c r="U170" s="4115"/>
      <c r="V170" s="4868"/>
      <c r="W170" s="4115"/>
    </row>
    <row r="171" spans="2:23">
      <c r="B171" s="3532"/>
      <c r="C171" s="4118" t="s">
        <v>319</v>
      </c>
      <c r="D171" s="3595">
        <v>20</v>
      </c>
      <c r="E171" s="4118" t="s">
        <v>181</v>
      </c>
      <c r="F171" s="4118" t="s">
        <v>186</v>
      </c>
      <c r="G171" s="3594">
        <v>13.5</v>
      </c>
      <c r="H171" s="3594">
        <v>13.5</v>
      </c>
      <c r="I171" s="4121">
        <v>8.2484140717556373E-5</v>
      </c>
      <c r="J171" s="4119">
        <v>15</v>
      </c>
      <c r="K171" s="4880" t="s">
        <v>233</v>
      </c>
      <c r="L171" s="3323"/>
      <c r="M171" s="4863"/>
      <c r="N171" s="4863"/>
      <c r="O171" s="4114"/>
      <c r="P171" s="4114"/>
      <c r="Q171" s="4864"/>
      <c r="R171" s="4864"/>
      <c r="S171" s="4865"/>
      <c r="T171" s="4867"/>
      <c r="U171" s="4115"/>
      <c r="V171" s="4868"/>
      <c r="W171" s="4115"/>
    </row>
    <row r="172" spans="2:23">
      <c r="B172" s="3532"/>
      <c r="C172" s="4118" t="s">
        <v>320</v>
      </c>
      <c r="D172" s="3595">
        <v>20</v>
      </c>
      <c r="E172" s="4118" t="s">
        <v>181</v>
      </c>
      <c r="F172" s="4118" t="s">
        <v>186</v>
      </c>
      <c r="G172" s="3594">
        <v>13.5</v>
      </c>
      <c r="H172" s="3594">
        <v>13.5</v>
      </c>
      <c r="I172" s="4121">
        <v>2.2889349049121897E-3</v>
      </c>
      <c r="J172" s="4119">
        <v>15</v>
      </c>
      <c r="K172" s="4880" t="s">
        <v>233</v>
      </c>
      <c r="L172" s="3323"/>
      <c r="M172" s="4863"/>
      <c r="N172" s="4863"/>
      <c r="O172" s="4114"/>
      <c r="P172" s="4114"/>
      <c r="Q172" s="4864"/>
      <c r="R172" s="4864"/>
      <c r="S172" s="4865"/>
      <c r="T172" s="4867"/>
      <c r="U172" s="4115"/>
      <c r="V172" s="4868"/>
      <c r="W172" s="4115"/>
    </row>
    <row r="173" spans="2:23">
      <c r="B173" s="3532"/>
      <c r="C173" s="4118" t="s">
        <v>321</v>
      </c>
      <c r="D173" s="3595">
        <v>20</v>
      </c>
      <c r="E173" s="4118" t="s">
        <v>181</v>
      </c>
      <c r="F173" s="4118" t="s">
        <v>186</v>
      </c>
      <c r="G173" s="3594">
        <v>13.5</v>
      </c>
      <c r="H173" s="3594">
        <v>13.5</v>
      </c>
      <c r="I173" s="4121">
        <v>1.1341569348664003E-3</v>
      </c>
      <c r="J173" s="4119">
        <v>15</v>
      </c>
      <c r="K173" s="4880" t="s">
        <v>233</v>
      </c>
      <c r="L173" s="3323"/>
      <c r="M173" s="4863"/>
      <c r="N173" s="4863"/>
      <c r="O173" s="4114"/>
      <c r="P173" s="4114"/>
      <c r="Q173" s="4864"/>
      <c r="R173" s="4864"/>
      <c r="S173" s="4865"/>
      <c r="T173" s="4867"/>
      <c r="U173" s="4115"/>
      <c r="V173" s="4868"/>
      <c r="W173" s="4115"/>
    </row>
    <row r="174" spans="2:23">
      <c r="B174" s="3532"/>
      <c r="C174" s="4118" t="s">
        <v>322</v>
      </c>
      <c r="D174" s="3595">
        <v>11.94</v>
      </c>
      <c r="E174" s="4118" t="s">
        <v>181</v>
      </c>
      <c r="F174" s="4118" t="s">
        <v>257</v>
      </c>
      <c r="G174" s="3594">
        <v>21.64</v>
      </c>
      <c r="H174" s="3594">
        <v>6</v>
      </c>
      <c r="I174" s="4121">
        <v>9.5085832656583588E-2</v>
      </c>
      <c r="J174" s="4119">
        <v>30</v>
      </c>
      <c r="K174" s="4880" t="s">
        <v>258</v>
      </c>
      <c r="L174" s="3323"/>
      <c r="M174" s="4863"/>
      <c r="N174" s="4863"/>
      <c r="O174" s="4114"/>
      <c r="P174" s="4114"/>
      <c r="Q174" s="4864"/>
      <c r="R174" s="4864"/>
      <c r="S174" s="4865"/>
      <c r="T174" s="4867"/>
      <c r="U174" s="4115"/>
      <c r="V174" s="4868"/>
      <c r="W174" s="4115"/>
    </row>
    <row r="175" spans="2:23">
      <c r="B175" s="3532"/>
      <c r="C175" s="4118" t="s">
        <v>323</v>
      </c>
      <c r="D175" s="4459">
        <v>12.26</v>
      </c>
      <c r="E175" s="4118" t="s">
        <v>181</v>
      </c>
      <c r="F175" s="4118" t="s">
        <v>257</v>
      </c>
      <c r="G175" s="3594">
        <v>21.64</v>
      </c>
      <c r="H175" s="3594">
        <v>10</v>
      </c>
      <c r="I175" s="4121">
        <v>3.286613580547321E-3</v>
      </c>
      <c r="J175" s="4119">
        <v>25</v>
      </c>
      <c r="K175" s="4880" t="s">
        <v>260</v>
      </c>
      <c r="L175" s="3323"/>
      <c r="M175" s="4863"/>
      <c r="N175" s="4863"/>
      <c r="O175" s="4114"/>
      <c r="P175" s="4114"/>
      <c r="Q175" s="4864"/>
      <c r="R175" s="4864"/>
      <c r="S175" s="4865"/>
      <c r="T175" s="4867"/>
      <c r="U175" s="4115"/>
      <c r="V175" s="4868"/>
      <c r="W175" s="4115"/>
    </row>
    <row r="176" spans="2:23">
      <c r="B176" s="3532"/>
      <c r="C176" s="4118" t="s">
        <v>324</v>
      </c>
      <c r="D176" s="3595">
        <v>11.53</v>
      </c>
      <c r="E176" s="4118" t="s">
        <v>181</v>
      </c>
      <c r="F176" s="4118" t="s">
        <v>257</v>
      </c>
      <c r="G176" s="3594">
        <v>21.64</v>
      </c>
      <c r="H176" s="3594">
        <v>10</v>
      </c>
      <c r="I176" s="4121">
        <v>2.0304749741807621E-3</v>
      </c>
      <c r="J176" s="4119">
        <v>30</v>
      </c>
      <c r="K176" s="4880" t="s">
        <v>260</v>
      </c>
      <c r="L176" s="3323"/>
      <c r="M176" s="4863"/>
      <c r="N176" s="4863"/>
      <c r="O176" s="4114"/>
      <c r="P176" s="4114"/>
      <c r="Q176" s="4864"/>
      <c r="R176" s="4864"/>
      <c r="S176" s="4865"/>
      <c r="T176" s="4867"/>
      <c r="U176" s="4115"/>
      <c r="V176" s="4868"/>
      <c r="W176" s="4115"/>
    </row>
    <row r="177" spans="2:23">
      <c r="B177" s="3532"/>
      <c r="C177" s="4118" t="s">
        <v>325</v>
      </c>
      <c r="D177" s="3595">
        <v>21.65</v>
      </c>
      <c r="E177" s="4118" t="s">
        <v>181</v>
      </c>
      <c r="F177" s="4118" t="s">
        <v>257</v>
      </c>
      <c r="G177" s="3594">
        <v>21.64</v>
      </c>
      <c r="H177" s="3594">
        <v>16.2</v>
      </c>
      <c r="I177" s="4121">
        <v>3.0724373228636314E-2</v>
      </c>
      <c r="J177" s="4119">
        <v>30</v>
      </c>
      <c r="K177" s="4880" t="s">
        <v>258</v>
      </c>
      <c r="L177" s="3323"/>
      <c r="M177" s="4863"/>
      <c r="N177" s="4863"/>
      <c r="O177" s="4114"/>
      <c r="P177" s="4114"/>
      <c r="Q177" s="4864"/>
      <c r="R177" s="4864"/>
      <c r="S177" s="4865"/>
      <c r="T177" s="4867"/>
      <c r="U177" s="4115"/>
      <c r="V177" s="4868"/>
      <c r="W177" s="4115"/>
    </row>
    <row r="178" spans="2:23">
      <c r="B178" s="3532"/>
      <c r="C178" s="4118" t="s">
        <v>326</v>
      </c>
      <c r="D178" s="4459">
        <v>20.11</v>
      </c>
      <c r="E178" s="4118" t="s">
        <v>181</v>
      </c>
      <c r="F178" s="4118" t="s">
        <v>257</v>
      </c>
      <c r="G178" s="3594">
        <v>21.64</v>
      </c>
      <c r="H178" s="3594">
        <v>12</v>
      </c>
      <c r="I178" s="4121">
        <v>1.3061188403826028E-2</v>
      </c>
      <c r="J178" s="4119">
        <v>25</v>
      </c>
      <c r="K178" s="4880" t="s">
        <v>260</v>
      </c>
      <c r="L178" s="3323"/>
      <c r="M178" s="4863"/>
      <c r="N178" s="4863"/>
      <c r="O178" s="4114"/>
      <c r="P178" s="4114"/>
      <c r="Q178" s="4864"/>
      <c r="R178" s="4864"/>
      <c r="S178" s="4865"/>
      <c r="T178" s="4867"/>
      <c r="U178" s="4115"/>
      <c r="V178" s="4868"/>
      <c r="W178" s="4115"/>
    </row>
    <row r="179" spans="2:23">
      <c r="B179" s="3532"/>
      <c r="C179" s="4118" t="s">
        <v>327</v>
      </c>
      <c r="D179" s="3595">
        <v>20.84</v>
      </c>
      <c r="E179" s="4118" t="s">
        <v>181</v>
      </c>
      <c r="F179" s="4118" t="s">
        <v>257</v>
      </c>
      <c r="G179" s="3594">
        <v>21.64</v>
      </c>
      <c r="H179" s="3594">
        <v>13</v>
      </c>
      <c r="I179" s="4121">
        <v>1.2032786447877124E-4</v>
      </c>
      <c r="J179" s="4119">
        <v>30</v>
      </c>
      <c r="K179" s="4880" t="s">
        <v>260</v>
      </c>
      <c r="L179" s="3323"/>
      <c r="M179" s="4863"/>
      <c r="N179" s="4863"/>
      <c r="O179" s="4114"/>
      <c r="P179" s="4114"/>
      <c r="Q179" s="4864"/>
      <c r="R179" s="4864"/>
      <c r="S179" s="4865"/>
      <c r="T179" s="4867"/>
      <c r="U179" s="4115"/>
      <c r="V179" s="4868"/>
      <c r="W179" s="4115"/>
    </row>
    <row r="180" spans="2:23">
      <c r="B180" s="3532"/>
      <c r="C180" s="4118" t="s">
        <v>328</v>
      </c>
      <c r="D180" s="3595">
        <v>23.58</v>
      </c>
      <c r="E180" s="4118" t="s">
        <v>181</v>
      </c>
      <c r="F180" s="4118" t="s">
        <v>257</v>
      </c>
      <c r="G180" s="3594">
        <v>26.62</v>
      </c>
      <c r="H180" s="3594">
        <v>18</v>
      </c>
      <c r="I180" s="4121">
        <v>1.215610023824987E-5</v>
      </c>
      <c r="J180" s="4119">
        <v>30</v>
      </c>
      <c r="K180" s="4880" t="s">
        <v>258</v>
      </c>
      <c r="L180" s="3323"/>
      <c r="M180" s="4863"/>
      <c r="N180" s="4863"/>
      <c r="O180" s="4114"/>
      <c r="P180" s="4114"/>
      <c r="Q180" s="4864"/>
      <c r="R180" s="4864"/>
      <c r="S180" s="4865"/>
      <c r="T180" s="4867"/>
      <c r="U180" s="4115"/>
      <c r="V180" s="4868"/>
      <c r="W180" s="4115"/>
    </row>
    <row r="181" spans="2:23">
      <c r="B181" s="3532"/>
      <c r="C181" s="4118" t="s">
        <v>329</v>
      </c>
      <c r="D181" s="3595">
        <v>22.73</v>
      </c>
      <c r="E181" s="4118" t="s">
        <v>181</v>
      </c>
      <c r="F181" s="4118" t="s">
        <v>257</v>
      </c>
      <c r="G181" s="3594">
        <v>26.62</v>
      </c>
      <c r="H181" s="313">
        <v>18</v>
      </c>
      <c r="I181" s="4121">
        <v>1.1717903240687854E-5</v>
      </c>
      <c r="J181" s="4119">
        <v>30</v>
      </c>
      <c r="K181" s="4880" t="s">
        <v>260</v>
      </c>
      <c r="L181" s="3323"/>
      <c r="M181" s="4863"/>
      <c r="N181" s="4863"/>
      <c r="O181" s="4114"/>
      <c r="P181" s="4114"/>
      <c r="Q181" s="4864"/>
      <c r="R181" s="4864"/>
      <c r="S181" s="4865"/>
      <c r="T181" s="4867"/>
      <c r="U181" s="4115"/>
      <c r="V181" s="4868"/>
      <c r="W181" s="4115"/>
    </row>
    <row r="182" spans="2:23">
      <c r="B182" s="3532"/>
      <c r="C182" s="4118" t="s">
        <v>330</v>
      </c>
      <c r="D182" s="3595">
        <v>13.87</v>
      </c>
      <c r="E182" s="4118" t="s">
        <v>181</v>
      </c>
      <c r="F182" s="4118" t="s">
        <v>257</v>
      </c>
      <c r="G182" s="3594">
        <v>26.62</v>
      </c>
      <c r="H182" s="3594">
        <v>8</v>
      </c>
      <c r="I182" s="4121">
        <v>7.1503439484531683E-6</v>
      </c>
      <c r="J182" s="4119">
        <v>30</v>
      </c>
      <c r="K182" s="4880" t="s">
        <v>258</v>
      </c>
      <c r="L182" s="3323"/>
      <c r="M182" s="4863"/>
      <c r="N182" s="4863"/>
      <c r="O182" s="4114"/>
      <c r="P182" s="4114"/>
      <c r="Q182" s="4864"/>
      <c r="R182" s="4864"/>
      <c r="S182" s="4865"/>
      <c r="T182" s="4867"/>
      <c r="U182" s="4115"/>
      <c r="V182" s="4868"/>
      <c r="W182" s="4115"/>
    </row>
    <row r="183" spans="2:23">
      <c r="B183" s="3532"/>
      <c r="C183" s="4118" t="s">
        <v>331</v>
      </c>
      <c r="D183" s="3595">
        <v>13.41</v>
      </c>
      <c r="E183" s="4118" t="s">
        <v>181</v>
      </c>
      <c r="F183" s="4118" t="s">
        <v>257</v>
      </c>
      <c r="G183" s="3594">
        <v>26.62</v>
      </c>
      <c r="H183" s="313">
        <v>8</v>
      </c>
      <c r="I183" s="4121">
        <v>6.9132020438901944E-6</v>
      </c>
      <c r="J183" s="4119">
        <v>30</v>
      </c>
      <c r="K183" s="4880" t="s">
        <v>260</v>
      </c>
      <c r="L183" s="3323"/>
      <c r="M183" s="4863"/>
      <c r="N183" s="4863"/>
      <c r="O183" s="4114"/>
      <c r="P183" s="4114"/>
      <c r="Q183" s="4864"/>
      <c r="R183" s="4864"/>
      <c r="S183" s="4865"/>
      <c r="T183" s="4867"/>
      <c r="U183" s="4115"/>
      <c r="V183" s="4868"/>
      <c r="W183" s="4115"/>
    </row>
    <row r="184" spans="2:23">
      <c r="B184" s="3532"/>
      <c r="C184" s="5086" t="s">
        <v>1422</v>
      </c>
      <c r="D184" s="5084">
        <v>128</v>
      </c>
      <c r="E184" s="4118" t="s">
        <v>181</v>
      </c>
      <c r="F184" s="4118" t="s">
        <v>186</v>
      </c>
      <c r="G184" s="313">
        <v>50</v>
      </c>
      <c r="H184" s="313">
        <v>50</v>
      </c>
      <c r="I184" s="4121">
        <v>2.9694290658320296E-2</v>
      </c>
      <c r="J184" s="4144">
        <v>15</v>
      </c>
      <c r="K184" s="4880" t="s">
        <v>258</v>
      </c>
      <c r="L184" s="3323"/>
      <c r="M184" s="4863"/>
      <c r="N184" s="4863"/>
      <c r="O184" s="4114"/>
      <c r="P184" s="4114"/>
      <c r="Q184" s="4864"/>
      <c r="R184" s="4864"/>
      <c r="S184" s="4865"/>
      <c r="T184" s="4867"/>
      <c r="U184" s="4115"/>
      <c r="V184" s="4868"/>
      <c r="W184" s="4115"/>
    </row>
    <row r="185" spans="2:23">
      <c r="B185" s="3532"/>
      <c r="C185" s="5086" t="s">
        <v>1423</v>
      </c>
      <c r="D185" s="5084">
        <v>128</v>
      </c>
      <c r="E185" s="4118" t="s">
        <v>181</v>
      </c>
      <c r="F185" s="4118" t="s">
        <v>186</v>
      </c>
      <c r="G185" s="313">
        <v>50</v>
      </c>
      <c r="H185" s="313">
        <v>50</v>
      </c>
      <c r="I185" s="4121">
        <v>3.299365628702255E-3</v>
      </c>
      <c r="J185" s="4144">
        <v>15</v>
      </c>
      <c r="K185" s="4880" t="s">
        <v>260</v>
      </c>
      <c r="L185" s="3323"/>
      <c r="M185" s="4863"/>
      <c r="N185" s="4863"/>
      <c r="O185" s="4114"/>
      <c r="P185" s="4114"/>
      <c r="Q185" s="4864"/>
      <c r="R185" s="4864"/>
      <c r="S185" s="4865"/>
      <c r="T185" s="4867"/>
      <c r="U185" s="4115"/>
      <c r="V185" s="4868"/>
      <c r="W185" s="4115"/>
    </row>
    <row r="186" spans="2:23">
      <c r="B186" s="3532"/>
      <c r="C186" s="5086" t="s">
        <v>1424</v>
      </c>
      <c r="D186" s="5084">
        <v>128</v>
      </c>
      <c r="E186" s="4118" t="s">
        <v>181</v>
      </c>
      <c r="F186" s="4118" t="s">
        <v>186</v>
      </c>
      <c r="G186" s="313">
        <v>50</v>
      </c>
      <c r="H186" s="313">
        <v>50</v>
      </c>
      <c r="I186" s="4121">
        <v>6.5987312574045101E-3</v>
      </c>
      <c r="J186" s="4144">
        <v>15</v>
      </c>
      <c r="K186" s="4880" t="s">
        <v>260</v>
      </c>
      <c r="L186" s="3323"/>
      <c r="M186" s="4863"/>
      <c r="N186" s="4863"/>
      <c r="O186" s="4114"/>
      <c r="P186" s="4114"/>
      <c r="Q186" s="4864"/>
      <c r="R186" s="4864"/>
      <c r="S186" s="4865"/>
      <c r="T186" s="4867"/>
      <c r="U186" s="4115"/>
      <c r="V186" s="4868"/>
      <c r="W186" s="4115"/>
    </row>
    <row r="187" spans="2:23">
      <c r="B187" s="3532"/>
      <c r="C187" s="4118" t="s">
        <v>332</v>
      </c>
      <c r="D187" s="3595">
        <v>100</v>
      </c>
      <c r="E187" s="4118" t="s">
        <v>181</v>
      </c>
      <c r="F187" s="4118" t="s">
        <v>186</v>
      </c>
      <c r="G187" s="3594">
        <v>25</v>
      </c>
      <c r="H187" s="3594">
        <v>25</v>
      </c>
      <c r="I187" s="4121">
        <v>6.4440734935590918E-3</v>
      </c>
      <c r="J187" s="4119">
        <v>4</v>
      </c>
      <c r="K187" s="4880" t="s">
        <v>310</v>
      </c>
      <c r="L187" s="3323"/>
      <c r="M187" s="4863"/>
      <c r="N187" s="4863"/>
      <c r="O187" s="4114"/>
      <c r="P187" s="4114"/>
      <c r="Q187" s="4864"/>
      <c r="R187" s="4864"/>
      <c r="S187" s="4865"/>
      <c r="T187" s="4867"/>
      <c r="U187" s="4115"/>
      <c r="V187" s="4868"/>
      <c r="W187" s="4115"/>
    </row>
    <row r="188" spans="2:23">
      <c r="B188" s="3532"/>
      <c r="C188" s="4118" t="s">
        <v>333</v>
      </c>
      <c r="D188" s="3595">
        <v>100</v>
      </c>
      <c r="E188" s="4118" t="s">
        <v>181</v>
      </c>
      <c r="F188" s="4118" t="s">
        <v>186</v>
      </c>
      <c r="G188" s="3594">
        <v>25</v>
      </c>
      <c r="H188" s="3594">
        <v>25</v>
      </c>
      <c r="I188" s="4121">
        <v>1.2888146987118183E-3</v>
      </c>
      <c r="J188" s="4119">
        <v>4</v>
      </c>
      <c r="K188" s="4880" t="s">
        <v>310</v>
      </c>
      <c r="L188" s="3323"/>
      <c r="M188" s="4863"/>
      <c r="N188" s="4863"/>
      <c r="O188" s="4114"/>
      <c r="P188" s="4114"/>
      <c r="Q188" s="4864"/>
      <c r="R188" s="4864"/>
      <c r="S188" s="4865"/>
      <c r="T188" s="4867"/>
      <c r="U188" s="4115"/>
      <c r="V188" s="4868"/>
      <c r="W188" s="4115"/>
    </row>
    <row r="189" spans="2:23">
      <c r="B189" s="3532"/>
      <c r="C189" s="4118" t="s">
        <v>334</v>
      </c>
      <c r="D189" s="3595">
        <v>100</v>
      </c>
      <c r="E189" s="4118" t="s">
        <v>181</v>
      </c>
      <c r="F189" s="4118" t="s">
        <v>186</v>
      </c>
      <c r="G189" s="3594">
        <v>25</v>
      </c>
      <c r="H189" s="3594">
        <v>25</v>
      </c>
      <c r="I189" s="4121">
        <v>1.2888146987118183E-3</v>
      </c>
      <c r="J189" s="4119">
        <v>4</v>
      </c>
      <c r="K189" s="4880" t="s">
        <v>310</v>
      </c>
      <c r="L189" s="3323"/>
      <c r="M189" s="4863"/>
      <c r="N189" s="4863"/>
      <c r="O189" s="4114"/>
      <c r="P189" s="4114"/>
      <c r="Q189" s="4864"/>
      <c r="R189" s="4864"/>
      <c r="S189" s="4865"/>
      <c r="T189" s="4867"/>
      <c r="U189" s="4115"/>
      <c r="V189" s="4868"/>
      <c r="W189" s="4115"/>
    </row>
    <row r="190" spans="2:23">
      <c r="B190" s="3532"/>
      <c r="C190" s="4118" t="s">
        <v>335</v>
      </c>
      <c r="D190" s="4463">
        <v>34</v>
      </c>
      <c r="E190" s="4118" t="s">
        <v>181</v>
      </c>
      <c r="F190" s="4118" t="s">
        <v>186</v>
      </c>
      <c r="G190" s="3594">
        <v>40</v>
      </c>
      <c r="H190" s="3594">
        <v>40</v>
      </c>
      <c r="I190" s="4121">
        <v>2.6369148735643803E-3</v>
      </c>
      <c r="J190" s="4119">
        <v>21</v>
      </c>
      <c r="K190" s="4880" t="s">
        <v>183</v>
      </c>
      <c r="L190" s="3323"/>
      <c r="M190" s="4863"/>
      <c r="N190" s="4863"/>
      <c r="O190" s="4114"/>
      <c r="P190" s="4114"/>
      <c r="Q190" s="4864"/>
      <c r="R190" s="4864"/>
      <c r="S190" s="4865"/>
      <c r="T190" s="4867"/>
      <c r="U190" s="4115"/>
      <c r="V190" s="4868"/>
      <c r="W190" s="4115"/>
    </row>
    <row r="191" spans="2:23">
      <c r="B191" s="3532"/>
      <c r="C191" s="4118" t="s">
        <v>336</v>
      </c>
      <c r="D191" s="4463">
        <v>34</v>
      </c>
      <c r="E191" s="4118" t="s">
        <v>181</v>
      </c>
      <c r="F191" s="4118" t="s">
        <v>186</v>
      </c>
      <c r="G191" s="3594">
        <v>40</v>
      </c>
      <c r="H191" s="3594">
        <v>40</v>
      </c>
      <c r="I191" s="4121">
        <v>1.7579432490429204E-5</v>
      </c>
      <c r="J191" s="4119">
        <v>21</v>
      </c>
      <c r="K191" s="4880" t="s">
        <v>183</v>
      </c>
      <c r="L191" s="3323"/>
      <c r="M191" s="4863"/>
      <c r="N191" s="4863"/>
      <c r="O191" s="4114"/>
      <c r="P191" s="4114"/>
      <c r="Q191" s="4864"/>
      <c r="R191" s="4864"/>
      <c r="S191" s="4865"/>
      <c r="T191" s="4867"/>
      <c r="U191" s="4115"/>
      <c r="V191" s="4868"/>
      <c r="W191" s="4115"/>
    </row>
    <row r="192" spans="2:23">
      <c r="B192" s="3532"/>
      <c r="C192" s="4118" t="s">
        <v>337</v>
      </c>
      <c r="D192" s="4463">
        <v>34</v>
      </c>
      <c r="E192" s="4118" t="s">
        <v>181</v>
      </c>
      <c r="F192" s="4118" t="s">
        <v>186</v>
      </c>
      <c r="G192" s="3594">
        <v>40</v>
      </c>
      <c r="H192" s="3594">
        <v>40</v>
      </c>
      <c r="I192" s="4121">
        <v>1.7579432490429204E-5</v>
      </c>
      <c r="J192" s="4119">
        <v>21</v>
      </c>
      <c r="K192" s="4880" t="s">
        <v>183</v>
      </c>
      <c r="L192" s="3323"/>
      <c r="M192" s="4863"/>
      <c r="N192" s="4863"/>
      <c r="O192" s="4114"/>
      <c r="P192" s="4114"/>
      <c r="Q192" s="4864"/>
      <c r="R192" s="4864"/>
      <c r="S192" s="4865"/>
      <c r="T192" s="4867"/>
      <c r="U192" s="4115"/>
      <c r="V192" s="4868"/>
      <c r="W192" s="4115"/>
    </row>
    <row r="193" spans="2:23">
      <c r="B193" s="3532"/>
      <c r="C193" s="4118" t="s">
        <v>1150</v>
      </c>
      <c r="D193" s="3595">
        <v>61</v>
      </c>
      <c r="E193" s="4118" t="s">
        <v>181</v>
      </c>
      <c r="F193" s="4118" t="s">
        <v>186</v>
      </c>
      <c r="G193" s="3594">
        <v>60</v>
      </c>
      <c r="H193" s="3594">
        <v>60</v>
      </c>
      <c r="I193" s="4121">
        <v>4.7170617972852559E-3</v>
      </c>
      <c r="J193" s="4119">
        <v>29</v>
      </c>
      <c r="K193" s="4880" t="s">
        <v>183</v>
      </c>
      <c r="L193" s="3323"/>
      <c r="M193" s="4863"/>
      <c r="N193" s="4863"/>
      <c r="O193" s="4114"/>
      <c r="P193" s="4114"/>
      <c r="Q193" s="4864"/>
      <c r="R193" s="4864"/>
      <c r="S193" s="4865"/>
      <c r="T193" s="4867"/>
      <c r="U193" s="4115"/>
      <c r="V193" s="4868"/>
      <c r="W193" s="4115"/>
    </row>
    <row r="194" spans="2:23">
      <c r="B194" s="3532"/>
      <c r="C194" s="4118" t="s">
        <v>1151</v>
      </c>
      <c r="D194" s="3595">
        <v>61</v>
      </c>
      <c r="E194" s="4118" t="s">
        <v>181</v>
      </c>
      <c r="F194" s="4118" t="s">
        <v>186</v>
      </c>
      <c r="G194" s="3594">
        <v>60</v>
      </c>
      <c r="H194" s="3594">
        <v>60</v>
      </c>
      <c r="I194" s="4121">
        <v>3.144707864856837E-5</v>
      </c>
      <c r="J194" s="4119">
        <v>29</v>
      </c>
      <c r="K194" s="4880" t="s">
        <v>183</v>
      </c>
      <c r="L194" s="3323"/>
      <c r="M194" s="4863"/>
      <c r="N194" s="4863"/>
      <c r="O194" s="4114"/>
      <c r="P194" s="4114"/>
      <c r="Q194" s="4864"/>
      <c r="R194" s="4864"/>
      <c r="S194" s="4865"/>
      <c r="T194" s="4867"/>
      <c r="U194" s="4115"/>
      <c r="V194" s="4868"/>
      <c r="W194" s="4115"/>
    </row>
    <row r="195" spans="2:23">
      <c r="B195" s="3532"/>
      <c r="C195" s="4118" t="s">
        <v>1152</v>
      </c>
      <c r="D195" s="3595">
        <v>61</v>
      </c>
      <c r="E195" s="4118" t="s">
        <v>181</v>
      </c>
      <c r="F195" s="4118" t="s">
        <v>186</v>
      </c>
      <c r="G195" s="3594">
        <v>60</v>
      </c>
      <c r="H195" s="3594">
        <v>60</v>
      </c>
      <c r="I195" s="4121">
        <v>3.144707864856837E-5</v>
      </c>
      <c r="J195" s="4119">
        <v>29</v>
      </c>
      <c r="K195" s="4880" t="s">
        <v>183</v>
      </c>
      <c r="L195" s="3323"/>
      <c r="M195" s="4863"/>
      <c r="N195" s="4863"/>
      <c r="O195" s="4114"/>
      <c r="P195" s="4114"/>
      <c r="Q195" s="4864"/>
      <c r="R195" s="4864"/>
      <c r="S195" s="4865"/>
      <c r="T195" s="4867"/>
      <c r="U195" s="4115"/>
      <c r="V195" s="4868"/>
      <c r="W195" s="4115"/>
    </row>
    <row r="196" spans="2:23">
      <c r="B196" s="3532"/>
      <c r="C196" s="4120" t="s">
        <v>338</v>
      </c>
      <c r="D196" s="3595">
        <v>0</v>
      </c>
      <c r="E196" s="4118" t="s">
        <v>181</v>
      </c>
      <c r="F196" s="4118" t="s">
        <v>186</v>
      </c>
      <c r="G196" s="3594">
        <v>0</v>
      </c>
      <c r="H196" s="3594">
        <v>0</v>
      </c>
      <c r="I196" s="4121">
        <v>0</v>
      </c>
      <c r="J196" s="4123">
        <v>30</v>
      </c>
      <c r="K196" s="4880" t="s">
        <v>258</v>
      </c>
      <c r="L196" s="3323"/>
      <c r="M196" s="4863"/>
      <c r="N196" s="4863"/>
      <c r="O196" s="4114"/>
      <c r="P196" s="4114"/>
      <c r="Q196" s="4864"/>
      <c r="R196" s="4864"/>
      <c r="S196" s="4865"/>
      <c r="T196" s="4867"/>
      <c r="U196" s="4115"/>
      <c r="V196" s="4868"/>
      <c r="W196" s="4114"/>
    </row>
    <row r="197" spans="2:23">
      <c r="B197" s="3532"/>
      <c r="C197" s="5085" t="s">
        <v>1153</v>
      </c>
      <c r="D197" s="5087">
        <v>379521</v>
      </c>
      <c r="E197" s="4118" t="s">
        <v>181</v>
      </c>
      <c r="F197" s="4118" t="s">
        <v>186</v>
      </c>
      <c r="G197" s="313">
        <v>0</v>
      </c>
      <c r="H197" s="313">
        <v>0</v>
      </c>
      <c r="I197" s="4121">
        <v>9.7826448653961603E-2</v>
      </c>
      <c r="J197" s="4123">
        <v>25</v>
      </c>
      <c r="K197" s="4880" t="s">
        <v>260</v>
      </c>
      <c r="L197" s="3323"/>
      <c r="M197" s="4863"/>
      <c r="N197" s="4863"/>
      <c r="O197" s="4114"/>
      <c r="P197" s="4114"/>
      <c r="Q197" s="4864"/>
      <c r="R197" s="4864"/>
      <c r="S197" s="4865"/>
      <c r="T197" s="4867"/>
      <c r="U197" s="4115"/>
      <c r="V197" s="4868"/>
      <c r="W197" s="3066"/>
    </row>
    <row r="198" spans="2:23">
      <c r="B198" s="3532"/>
      <c r="C198" s="4120" t="s">
        <v>940</v>
      </c>
      <c r="D198" s="3595">
        <v>0</v>
      </c>
      <c r="E198" s="4118" t="s">
        <v>181</v>
      </c>
      <c r="F198" s="4118" t="s">
        <v>186</v>
      </c>
      <c r="G198" s="3594">
        <v>607800</v>
      </c>
      <c r="H198" s="4467">
        <v>419676</v>
      </c>
      <c r="I198" s="4121">
        <v>0</v>
      </c>
      <c r="J198" s="4123">
        <v>30</v>
      </c>
      <c r="K198" s="4880" t="s">
        <v>260</v>
      </c>
      <c r="L198" s="3323"/>
      <c r="M198" s="4863"/>
      <c r="N198" s="4863"/>
      <c r="O198" s="4114"/>
      <c r="P198" s="4114"/>
      <c r="Q198" s="4864"/>
      <c r="R198" s="4864"/>
      <c r="S198" s="4865"/>
      <c r="T198" s="4867"/>
      <c r="U198" s="4115"/>
      <c r="V198" s="4868"/>
      <c r="W198" s="4114"/>
    </row>
    <row r="199" spans="2:23">
      <c r="B199" s="4117"/>
      <c r="C199" s="4117"/>
      <c r="D199" s="4117"/>
      <c r="E199" s="4117"/>
      <c r="F199" s="4117"/>
      <c r="G199" s="4117"/>
      <c r="H199" s="4124">
        <v>1</v>
      </c>
      <c r="I199" s="4117"/>
      <c r="J199" s="4117"/>
      <c r="L199" s="3066"/>
      <c r="M199" s="4863"/>
      <c r="N199" s="4863"/>
      <c r="O199" s="4864"/>
      <c r="P199" s="4864"/>
      <c r="Q199" s="4864"/>
      <c r="R199" s="3323"/>
      <c r="S199" s="3066"/>
      <c r="T199" s="4866"/>
      <c r="U199" s="4876"/>
      <c r="V199" s="4877"/>
    </row>
    <row r="200" spans="2:23">
      <c r="L200" s="3066"/>
      <c r="M200" s="3066"/>
      <c r="N200" s="3066"/>
      <c r="O200" s="3066"/>
      <c r="P200" s="3066"/>
      <c r="Q200" s="3066"/>
      <c r="R200" s="3066"/>
      <c r="S200" s="3066"/>
      <c r="T200" s="3066"/>
      <c r="U200" s="3066"/>
      <c r="V200" s="3066"/>
    </row>
    <row r="201" spans="2:23">
      <c r="L201" s="3066"/>
      <c r="M201" s="3066"/>
      <c r="N201" s="3066"/>
      <c r="O201" s="3066"/>
      <c r="P201" s="3066"/>
      <c r="Q201" s="3066"/>
      <c r="R201" s="3066"/>
      <c r="S201" s="3066"/>
      <c r="T201" s="3066"/>
      <c r="U201" s="3066"/>
      <c r="V201" s="3066"/>
    </row>
    <row r="202" spans="2:23">
      <c r="L202" s="3066"/>
      <c r="M202" s="3066"/>
      <c r="N202" s="3066"/>
      <c r="O202" s="3066"/>
      <c r="P202" s="3066"/>
      <c r="Q202" s="3066"/>
      <c r="R202" s="3066"/>
      <c r="S202" s="3066"/>
      <c r="T202" s="3066"/>
      <c r="U202" s="3066"/>
      <c r="V202" s="3066"/>
    </row>
    <row r="203" spans="2:23">
      <c r="L203" s="3066"/>
      <c r="M203" s="3066"/>
      <c r="N203" s="3066"/>
      <c r="O203" s="3066"/>
      <c r="P203" s="3066"/>
      <c r="Q203" s="3066"/>
      <c r="R203" s="3066"/>
      <c r="S203" s="3066"/>
      <c r="T203" s="3066"/>
      <c r="U203" s="3066"/>
      <c r="V203" s="3066"/>
    </row>
    <row r="204" spans="2:23">
      <c r="L204" s="3066"/>
      <c r="M204" s="3066"/>
      <c r="N204" s="3066"/>
      <c r="O204" s="3066"/>
      <c r="P204" s="3066"/>
      <c r="Q204" s="3066"/>
      <c r="R204" s="3066"/>
      <c r="S204" s="3066"/>
      <c r="T204" s="3066"/>
      <c r="U204" s="3066"/>
      <c r="V204" s="3066"/>
    </row>
    <row r="205" spans="2:23">
      <c r="L205" s="3066"/>
      <c r="M205" s="3066"/>
      <c r="N205" s="3066"/>
      <c r="O205" s="3066"/>
      <c r="P205" s="3066"/>
      <c r="Q205" s="3066"/>
      <c r="R205" s="3066"/>
      <c r="S205" s="3066"/>
      <c r="T205" s="3066"/>
      <c r="U205" s="3066"/>
      <c r="V205" s="3066"/>
    </row>
  </sheetData>
  <customSheetViews>
    <customSheetView guid="{074EB09C-6289-46D7-9513-012B68BCA7BF}" fitToPage="1">
      <pane xSplit="1" ySplit="1" topLeftCell="B2" activePane="bottomRight" state="frozen"/>
      <selection pane="bottomRight" activeCell="C26" sqref="C26"/>
      <pageMargins left="0.17" right="0.24" top="0.43" bottom="0.39" header="0.3" footer="0.3"/>
      <pageSetup paperSize="17" scale="28" orientation="landscape" r:id="rId1"/>
    </customSheetView>
    <customSheetView guid="{AF9F1D33-B8C2-423F-86A1-47612B8F532C}" scale="70" fitToPage="1">
      <pane xSplit="1" ySplit="1" topLeftCell="B14" activePane="bottomRight" state="frozenSplit"/>
      <selection pane="bottomRight" activeCell="E53" sqref="E53"/>
      <pageMargins left="0.7" right="0.7" top="0.75" bottom="0.75" header="0.3" footer="0.3"/>
      <pageSetup paperSize="17" scale="28" orientation="landscape"/>
    </customSheetView>
  </customSheetViews>
  <mergeCells count="12">
    <mergeCell ref="I12:K12"/>
    <mergeCell ref="D106:H106"/>
    <mergeCell ref="L107:R107"/>
    <mergeCell ref="Q2:R2"/>
    <mergeCell ref="S2:U2"/>
    <mergeCell ref="V2:V3"/>
    <mergeCell ref="D10:E10"/>
    <mergeCell ref="I10:L10"/>
    <mergeCell ref="C11:F11"/>
    <mergeCell ref="I11:L11"/>
    <mergeCell ref="M11:O11"/>
    <mergeCell ref="P11:R11"/>
  </mergeCells>
  <pageMargins left="0.17" right="0.24" top="0.43" bottom="0.39" header="0.3" footer="0.3"/>
  <pageSetup paperSize="17" scale="28" orientation="landscape" r:id="rId2"/>
  <drawing r:id="rId3"/>
  <legacyDrawing r:id="rId4"/>
</worksheet>
</file>

<file path=xl/worksheets/sheet60.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X105"/>
  <sheetViews>
    <sheetView zoomScaleNormal="100" workbookViewId="0">
      <pane xSplit="1" ySplit="1" topLeftCell="B2" activePane="bottomRight" state="frozen"/>
      <selection pane="topRight" activeCell="B1" sqref="B1"/>
      <selection pane="bottomLeft" activeCell="A2" sqref="A2"/>
      <selection pane="bottomRight" activeCell="C6" sqref="C6"/>
    </sheetView>
  </sheetViews>
  <sheetFormatPr defaultColWidth="8.85546875" defaultRowHeight="12.75"/>
  <cols>
    <col min="1" max="1" width="16.28515625" style="3064" customWidth="1"/>
    <col min="2" max="2" width="15.85546875" customWidth="1"/>
    <col min="3" max="3" width="37.28515625" customWidth="1"/>
    <col min="4" max="6" width="12.85546875" customWidth="1"/>
    <col min="7" max="7" width="14.7109375" customWidth="1"/>
    <col min="8" max="8" width="15.85546875" customWidth="1"/>
    <col min="10" max="10" width="10.42578125" customWidth="1"/>
    <col min="11" max="11" width="15.140625" customWidth="1"/>
    <col min="12" max="12" width="14.42578125" customWidth="1"/>
    <col min="13" max="13" width="11.28515625" customWidth="1"/>
    <col min="14" max="14" width="13.42578125" customWidth="1"/>
    <col min="15" max="15" width="15.28515625" customWidth="1"/>
    <col min="16" max="16" width="11.140625" customWidth="1"/>
    <col min="17" max="17" width="13.28515625" customWidth="1"/>
    <col min="18" max="18" width="14" customWidth="1"/>
  </cols>
  <sheetData>
    <row r="1" spans="2:22" ht="45" customHeight="1" thickBot="1">
      <c r="B1" s="3461"/>
      <c r="C1" s="1526"/>
      <c r="D1" s="1526"/>
      <c r="E1" s="1526"/>
      <c r="F1" s="1537"/>
      <c r="G1" s="1537">
        <v>18230621</v>
      </c>
      <c r="H1" s="4057" t="s">
        <v>1157</v>
      </c>
      <c r="I1" s="1537"/>
      <c r="J1" s="1526"/>
      <c r="K1" s="1526"/>
      <c r="L1" s="1526"/>
      <c r="M1" s="1526"/>
      <c r="N1" s="1526"/>
      <c r="O1" s="1526"/>
      <c r="P1" s="1526"/>
      <c r="Q1" s="1526"/>
      <c r="R1" s="1526"/>
      <c r="S1" s="1526"/>
      <c r="T1" s="1526"/>
      <c r="U1" s="1526"/>
      <c r="V1" s="1526"/>
    </row>
    <row r="2" spans="2:22" ht="16.5" thickBot="1">
      <c r="B2" s="1537" t="s">
        <v>109</v>
      </c>
      <c r="C2" s="4976" t="s">
        <v>1369</v>
      </c>
      <c r="D2" s="1526"/>
      <c r="E2" s="1526"/>
      <c r="F2" s="1526"/>
      <c r="G2" s="1543" t="s">
        <v>8</v>
      </c>
      <c r="H2" s="1526"/>
      <c r="I2" s="1526"/>
      <c r="J2" s="1526"/>
      <c r="K2" s="1526"/>
      <c r="L2" s="1526"/>
      <c r="M2" s="1526"/>
      <c r="N2" s="1526"/>
      <c r="O2" s="1526"/>
      <c r="P2" s="1526"/>
      <c r="Q2" s="5152"/>
      <c r="R2" s="5152"/>
      <c r="S2" s="5153" t="s">
        <v>110</v>
      </c>
      <c r="T2" s="5154"/>
      <c r="U2" s="5155"/>
      <c r="V2" s="5147" t="s">
        <v>111</v>
      </c>
    </row>
    <row r="3" spans="2:22" ht="16.5" thickBot="1">
      <c r="B3" s="1569" t="s">
        <v>6</v>
      </c>
      <c r="C3" s="1569">
        <v>18230621</v>
      </c>
      <c r="D3" s="1526"/>
      <c r="E3" s="1526"/>
      <c r="F3" s="1526"/>
      <c r="G3" s="1555" t="s">
        <v>9</v>
      </c>
      <c r="H3" s="1553" t="s">
        <v>10</v>
      </c>
      <c r="I3" s="1553" t="s">
        <v>11</v>
      </c>
      <c r="J3" s="1553" t="s">
        <v>12</v>
      </c>
      <c r="K3" s="1553" t="s">
        <v>13</v>
      </c>
      <c r="L3" s="1553" t="s">
        <v>14</v>
      </c>
      <c r="M3" s="1553" t="s">
        <v>15</v>
      </c>
      <c r="N3" s="1553" t="s">
        <v>16</v>
      </c>
      <c r="O3" s="1553" t="s">
        <v>112</v>
      </c>
      <c r="P3" s="1553" t="s">
        <v>113</v>
      </c>
      <c r="Q3" s="1556" t="s">
        <v>18</v>
      </c>
      <c r="R3" s="1556" t="s">
        <v>114</v>
      </c>
      <c r="S3" s="1545" t="s">
        <v>115</v>
      </c>
      <c r="T3" s="1545" t="s">
        <v>12</v>
      </c>
      <c r="U3" s="1546" t="s">
        <v>116</v>
      </c>
      <c r="V3" s="5148"/>
    </row>
    <row r="4" spans="2:22" ht="16.5" thickBot="1">
      <c r="B4" s="1569" t="s">
        <v>117</v>
      </c>
      <c r="C4" s="4057" t="s">
        <v>1157</v>
      </c>
      <c r="D4" s="4056"/>
      <c r="E4" s="4056"/>
      <c r="F4" s="1537">
        <v>2011</v>
      </c>
      <c r="G4" s="1592">
        <v>99904</v>
      </c>
      <c r="H4" s="1593">
        <v>0</v>
      </c>
      <c r="I4" s="1593">
        <v>62939</v>
      </c>
      <c r="J4" s="1593">
        <v>4000</v>
      </c>
      <c r="K4" s="1593">
        <v>216</v>
      </c>
      <c r="L4" s="1593">
        <v>31994</v>
      </c>
      <c r="M4" s="1593">
        <v>0</v>
      </c>
      <c r="N4" s="1593">
        <v>0</v>
      </c>
      <c r="O4" s="1593">
        <v>0</v>
      </c>
      <c r="P4" s="1593">
        <v>0</v>
      </c>
      <c r="Q4" s="1597">
        <v>199053</v>
      </c>
      <c r="R4" s="1609">
        <v>0</v>
      </c>
      <c r="S4" s="1616">
        <v>0</v>
      </c>
      <c r="T4" s="1616">
        <v>2.0095150537796466E-2</v>
      </c>
      <c r="U4" s="1616">
        <v>0.16073106157656503</v>
      </c>
      <c r="V4" s="1618" t="e">
        <v>#DIV/0!</v>
      </c>
    </row>
    <row r="5" spans="2:22" ht="16.5" thickBot="1">
      <c r="B5" s="1537" t="s">
        <v>33</v>
      </c>
      <c r="C5" s="1526"/>
      <c r="D5" s="1526"/>
      <c r="E5" s="1526"/>
      <c r="F5" s="1537">
        <v>2012</v>
      </c>
      <c r="G5" s="1594">
        <f>D13</f>
        <v>54935.45</v>
      </c>
      <c r="H5" s="1595">
        <v>0</v>
      </c>
      <c r="I5" s="1595">
        <f>D23</f>
        <v>34609.333500000001</v>
      </c>
      <c r="J5" s="1595">
        <f>D28</f>
        <v>0</v>
      </c>
      <c r="K5" s="1595">
        <f>D33</f>
        <v>840</v>
      </c>
      <c r="L5" s="1595">
        <f>D38</f>
        <v>30650</v>
      </c>
      <c r="M5" s="1595">
        <f>D43</f>
        <v>8850</v>
      </c>
      <c r="N5" s="1595">
        <f>D48</f>
        <v>0</v>
      </c>
      <c r="O5" s="1595">
        <f>D53</f>
        <v>0</v>
      </c>
      <c r="P5" s="1595">
        <v>0</v>
      </c>
      <c r="Q5" s="1596">
        <f>SUM(G5:P5)</f>
        <v>129884.78349999999</v>
      </c>
      <c r="R5" s="1610">
        <v>0</v>
      </c>
      <c r="S5" s="1617">
        <v>0</v>
      </c>
      <c r="T5" s="1617">
        <v>1.437582555424468E-2</v>
      </c>
      <c r="U5" s="1617">
        <v>0.53909345828417543</v>
      </c>
      <c r="V5" s="1619" t="e">
        <v>#DIV/0!</v>
      </c>
    </row>
    <row r="6" spans="2:22" s="3532" customFormat="1" ht="16.5" thickBot="1">
      <c r="B6" s="3331"/>
      <c r="C6" s="4117"/>
      <c r="D6" s="4117"/>
      <c r="E6" s="4117"/>
      <c r="F6" s="4271" t="s">
        <v>1168</v>
      </c>
      <c r="G6" s="4267">
        <v>55622.39</v>
      </c>
      <c r="H6" s="4268">
        <v>0</v>
      </c>
      <c r="I6" s="4268">
        <v>35042.1057</v>
      </c>
      <c r="J6" s="4268">
        <v>0</v>
      </c>
      <c r="K6" s="4268">
        <v>840</v>
      </c>
      <c r="L6" s="4268">
        <v>30650</v>
      </c>
      <c r="M6" s="4268">
        <v>8950</v>
      </c>
      <c r="N6" s="4268">
        <v>0</v>
      </c>
      <c r="O6" s="4268">
        <v>0</v>
      </c>
      <c r="P6" s="4268">
        <v>0</v>
      </c>
      <c r="Q6" s="4272">
        <v>131104.4957</v>
      </c>
      <c r="R6" s="4269"/>
      <c r="S6" s="3637"/>
      <c r="T6" s="3637"/>
      <c r="U6" s="3637"/>
      <c r="V6" s="2096"/>
    </row>
    <row r="7" spans="2:22" ht="16.5" thickBot="1">
      <c r="B7" s="1526"/>
      <c r="C7" s="1537" t="s">
        <v>807</v>
      </c>
      <c r="D7" s="1526"/>
      <c r="E7" s="1526"/>
      <c r="F7" s="4270" t="s">
        <v>1169</v>
      </c>
      <c r="G7" s="4228">
        <f>E13</f>
        <v>20785.599999999999</v>
      </c>
      <c r="H7" s="4229">
        <v>0</v>
      </c>
      <c r="I7" s="4229">
        <f>E23</f>
        <v>14165.6592</v>
      </c>
      <c r="J7" s="4229">
        <f>E28</f>
        <v>0</v>
      </c>
      <c r="K7" s="4229">
        <f>E33</f>
        <v>840</v>
      </c>
      <c r="L7" s="4229">
        <f>E38</f>
        <v>30650</v>
      </c>
      <c r="M7" s="4229">
        <f>E43</f>
        <v>17800</v>
      </c>
      <c r="N7" s="4229">
        <f>E48</f>
        <v>0</v>
      </c>
      <c r="O7" s="4229">
        <f>E53</f>
        <v>0</v>
      </c>
      <c r="P7" s="4229">
        <v>0</v>
      </c>
      <c r="Q7" s="4273">
        <f>SUM(G7:P7)</f>
        <v>84241.2592</v>
      </c>
      <c r="R7" s="4274">
        <v>0</v>
      </c>
      <c r="S7" s="1617">
        <v>0</v>
      </c>
      <c r="T7" s="1617">
        <v>2.4232596002551763E-2</v>
      </c>
      <c r="U7" s="1617">
        <v>0.52741532476142072</v>
      </c>
      <c r="V7" s="1619" t="e">
        <v>#DIV/0!</v>
      </c>
    </row>
    <row r="8" spans="2:22" ht="16.5" thickBot="1">
      <c r="B8" s="1526"/>
      <c r="C8" s="2086" t="s">
        <v>1431</v>
      </c>
      <c r="D8" s="1526"/>
      <c r="E8" s="1526"/>
      <c r="F8" s="1986" t="s">
        <v>1170</v>
      </c>
      <c r="G8" s="1608">
        <f>SUM(G5+G7)</f>
        <v>75721.049999999988</v>
      </c>
      <c r="H8" s="1987">
        <f t="shared" ref="H8:Q8" si="0">SUM(H5+H7)</f>
        <v>0</v>
      </c>
      <c r="I8" s="1987">
        <f t="shared" si="0"/>
        <v>48774.992700000003</v>
      </c>
      <c r="J8" s="1987">
        <f t="shared" si="0"/>
        <v>0</v>
      </c>
      <c r="K8" s="1987">
        <f t="shared" si="0"/>
        <v>1680</v>
      </c>
      <c r="L8" s="1987">
        <f t="shared" si="0"/>
        <v>61300</v>
      </c>
      <c r="M8" s="1987">
        <f t="shared" si="0"/>
        <v>26650</v>
      </c>
      <c r="N8" s="1987">
        <f t="shared" si="0"/>
        <v>0</v>
      </c>
      <c r="O8" s="1987">
        <f t="shared" si="0"/>
        <v>0</v>
      </c>
      <c r="P8" s="1987">
        <f t="shared" si="0"/>
        <v>0</v>
      </c>
      <c r="Q8" s="1987">
        <f t="shared" si="0"/>
        <v>214126.04269999999</v>
      </c>
      <c r="R8" s="1611">
        <v>0</v>
      </c>
      <c r="S8" s="1617">
        <v>0</v>
      </c>
      <c r="T8" s="1617">
        <v>1.9325101084817234E-2</v>
      </c>
      <c r="U8" s="1617">
        <v>0.53322964104403103</v>
      </c>
      <c r="V8" s="1619" t="e">
        <v>#DIV/0!</v>
      </c>
    </row>
    <row r="10" spans="2:22" ht="13.5" thickBot="1">
      <c r="B10" s="1526"/>
      <c r="C10" s="1588" t="s">
        <v>118</v>
      </c>
      <c r="D10" s="5149" t="s">
        <v>119</v>
      </c>
      <c r="E10" s="5149"/>
      <c r="F10" s="1526"/>
      <c r="G10" s="1526"/>
      <c r="H10" s="1526"/>
      <c r="I10" s="5150" t="s">
        <v>120</v>
      </c>
      <c r="J10" s="5150"/>
      <c r="K10" s="5150"/>
      <c r="L10" s="5150"/>
      <c r="M10" s="5151" t="s">
        <v>119</v>
      </c>
      <c r="N10" s="5151"/>
      <c r="O10" s="1526"/>
      <c r="P10" s="1526"/>
      <c r="Q10" s="1526"/>
      <c r="R10" s="1526"/>
      <c r="S10" s="1526"/>
      <c r="T10" s="1526"/>
      <c r="U10" s="1526"/>
      <c r="V10" s="1526"/>
    </row>
    <row r="11" spans="2:22" ht="16.5" thickBot="1">
      <c r="B11" s="1591" t="s">
        <v>121</v>
      </c>
      <c r="C11" s="5156" t="s">
        <v>122</v>
      </c>
      <c r="D11" s="5156"/>
      <c r="E11" s="5156"/>
      <c r="F11" s="5157"/>
      <c r="G11" s="1526"/>
      <c r="H11" s="1526"/>
      <c r="I11" s="5153" t="s">
        <v>123</v>
      </c>
      <c r="J11" s="5154"/>
      <c r="K11" s="5154"/>
      <c r="L11" s="5155"/>
      <c r="M11" s="5153" t="s">
        <v>124</v>
      </c>
      <c r="N11" s="5154"/>
      <c r="O11" s="5155"/>
      <c r="P11" s="5153" t="s">
        <v>125</v>
      </c>
      <c r="Q11" s="5154"/>
      <c r="R11" s="5155"/>
      <c r="S11" s="1526"/>
      <c r="T11" s="4897"/>
      <c r="U11" s="4056"/>
      <c r="V11" s="1526"/>
    </row>
    <row r="12" spans="2:22" ht="16.5" thickBot="1">
      <c r="B12" s="1601">
        <v>2011</v>
      </c>
      <c r="C12" s="1590" t="s">
        <v>127</v>
      </c>
      <c r="D12" s="1583">
        <v>2012</v>
      </c>
      <c r="E12" s="1583">
        <v>2013</v>
      </c>
      <c r="F12" s="1583" t="s">
        <v>128</v>
      </c>
      <c r="G12" s="1526"/>
      <c r="H12" s="1544"/>
      <c r="I12" s="5158" t="s">
        <v>129</v>
      </c>
      <c r="J12" s="5159"/>
      <c r="K12" s="5160"/>
      <c r="L12" s="1579" t="s">
        <v>130</v>
      </c>
      <c r="M12" s="1580" t="s">
        <v>131</v>
      </c>
      <c r="N12" s="1581" t="s">
        <v>132</v>
      </c>
      <c r="O12" s="1582" t="s">
        <v>133</v>
      </c>
      <c r="P12" s="1580" t="s">
        <v>134</v>
      </c>
      <c r="Q12" s="1580" t="s">
        <v>135</v>
      </c>
      <c r="R12" s="1582" t="s">
        <v>136</v>
      </c>
      <c r="S12" s="1526"/>
      <c r="T12" s="4898"/>
      <c r="U12" s="4056"/>
      <c r="V12" s="1526"/>
    </row>
    <row r="13" spans="2:22" ht="13.5" thickBot="1">
      <c r="B13" s="1598"/>
      <c r="C13" s="1557" t="s">
        <v>138</v>
      </c>
      <c r="D13" s="1558">
        <f>SUM(D14:D17)</f>
        <v>54935.45</v>
      </c>
      <c r="E13" s="2032">
        <f>SUM(E14:E17)</f>
        <v>20785.599999999999</v>
      </c>
      <c r="F13" s="2032">
        <f t="shared" ref="F13:F18" si="1">SUM(D13:E13)</f>
        <v>75721.049999999988</v>
      </c>
      <c r="G13" s="1526"/>
      <c r="H13" s="1547"/>
      <c r="I13" s="1576" t="s">
        <v>368</v>
      </c>
      <c r="J13" s="1577"/>
      <c r="K13" s="1578"/>
      <c r="L13" s="1586">
        <v>0</v>
      </c>
      <c r="M13" s="1533"/>
      <c r="N13" s="1533"/>
      <c r="O13" s="1548">
        <v>0</v>
      </c>
      <c r="P13" s="1584">
        <v>0</v>
      </c>
      <c r="Q13" s="1584">
        <v>0</v>
      </c>
      <c r="R13" s="1585">
        <v>0</v>
      </c>
      <c r="S13" s="1526"/>
      <c r="T13" s="4900"/>
      <c r="U13" s="4056"/>
      <c r="V13" s="1526"/>
    </row>
    <row r="14" spans="2:22">
      <c r="B14" s="1599"/>
      <c r="C14" s="3220" t="s">
        <v>1439</v>
      </c>
      <c r="D14" s="1539">
        <v>54935.45</v>
      </c>
      <c r="E14" s="4453">
        <v>13905.6</v>
      </c>
      <c r="F14" s="1539">
        <f t="shared" si="1"/>
        <v>68841.05</v>
      </c>
      <c r="G14" s="1526"/>
      <c r="H14" s="1547"/>
      <c r="I14" s="1572" t="s">
        <v>369</v>
      </c>
      <c r="J14" s="1573"/>
      <c r="K14" s="1574"/>
      <c r="L14" s="1586">
        <v>0</v>
      </c>
      <c r="M14" s="1533"/>
      <c r="N14" s="1533"/>
      <c r="O14" s="1548">
        <v>0</v>
      </c>
      <c r="P14" s="1584">
        <v>0</v>
      </c>
      <c r="Q14" s="1584">
        <v>0</v>
      </c>
      <c r="R14" s="1585">
        <v>0</v>
      </c>
      <c r="S14" s="1526"/>
      <c r="T14" s="4900"/>
      <c r="U14" s="4056"/>
      <c r="V14" s="1526"/>
    </row>
    <row r="15" spans="2:22">
      <c r="B15" s="1600"/>
      <c r="C15" s="4752" t="s">
        <v>1335</v>
      </c>
      <c r="D15" s="1540"/>
      <c r="E15" s="4454">
        <v>6880</v>
      </c>
      <c r="F15" s="3164">
        <f t="shared" si="1"/>
        <v>6880</v>
      </c>
      <c r="G15" s="1526"/>
      <c r="H15" s="1547"/>
      <c r="I15" s="1572" t="s">
        <v>370</v>
      </c>
      <c r="J15" s="1573"/>
      <c r="K15" s="1574"/>
      <c r="L15" s="1586">
        <v>0</v>
      </c>
      <c r="M15" s="1533">
        <v>0</v>
      </c>
      <c r="N15" s="1533">
        <v>0</v>
      </c>
      <c r="O15" s="1548">
        <v>0</v>
      </c>
      <c r="P15" s="1584">
        <v>0</v>
      </c>
      <c r="Q15" s="1584">
        <v>0</v>
      </c>
      <c r="R15" s="1585">
        <v>0</v>
      </c>
      <c r="S15" s="1526"/>
      <c r="T15" s="4900"/>
      <c r="U15" s="4056"/>
      <c r="V15" s="1526"/>
    </row>
    <row r="16" spans="2:22">
      <c r="B16" s="1600"/>
      <c r="C16" s="1532" t="s">
        <v>141</v>
      </c>
      <c r="D16" s="1541">
        <v>0</v>
      </c>
      <c r="E16" s="1541"/>
      <c r="F16" s="3164">
        <f t="shared" si="1"/>
        <v>0</v>
      </c>
      <c r="G16" s="1526"/>
      <c r="H16" s="1547"/>
      <c r="I16" s="1572" t="s">
        <v>188</v>
      </c>
      <c r="J16" s="1573"/>
      <c r="K16" s="1574"/>
      <c r="L16" s="1586">
        <v>0</v>
      </c>
      <c r="M16" s="1533">
        <v>0</v>
      </c>
      <c r="N16" s="1533">
        <v>0</v>
      </c>
      <c r="O16" s="1548">
        <v>0</v>
      </c>
      <c r="P16" s="1584">
        <v>0</v>
      </c>
      <c r="Q16" s="1584">
        <v>0</v>
      </c>
      <c r="R16" s="1585">
        <v>0</v>
      </c>
      <c r="S16" s="1526"/>
      <c r="T16" s="4900"/>
      <c r="U16" s="4056"/>
      <c r="V16" s="1526"/>
    </row>
    <row r="17" spans="2:22" ht="13.5" thickBot="1">
      <c r="B17" s="1600"/>
      <c r="C17" s="1532" t="s">
        <v>142</v>
      </c>
      <c r="D17" s="1541">
        <v>0</v>
      </c>
      <c r="E17" s="1541"/>
      <c r="F17" s="3164">
        <f t="shared" si="1"/>
        <v>0</v>
      </c>
      <c r="G17" s="1526"/>
      <c r="H17" s="1547"/>
      <c r="I17" s="1572" t="s">
        <v>189</v>
      </c>
      <c r="J17" s="1573"/>
      <c r="K17" s="1574"/>
      <c r="L17" s="1586">
        <v>0</v>
      </c>
      <c r="M17" s="1533">
        <v>0</v>
      </c>
      <c r="N17" s="1533">
        <v>0</v>
      </c>
      <c r="O17" s="1548">
        <v>0</v>
      </c>
      <c r="P17" s="1584">
        <v>0</v>
      </c>
      <c r="Q17" s="1584">
        <v>0</v>
      </c>
      <c r="R17" s="1585">
        <v>0</v>
      </c>
      <c r="S17" s="1526"/>
      <c r="T17" s="4900"/>
      <c r="U17" s="4056"/>
      <c r="V17" s="1526"/>
    </row>
    <row r="18" spans="2:22" ht="13.5" thickBot="1">
      <c r="B18" s="1598"/>
      <c r="C18" s="1557" t="s">
        <v>143</v>
      </c>
      <c r="D18" s="1558">
        <v>0</v>
      </c>
      <c r="E18" s="1558">
        <v>0</v>
      </c>
      <c r="F18" s="1559">
        <f t="shared" si="1"/>
        <v>0</v>
      </c>
      <c r="G18" s="1526"/>
      <c r="H18" s="1547"/>
      <c r="I18" s="1572" t="s">
        <v>190</v>
      </c>
      <c r="J18" s="1573"/>
      <c r="K18" s="1574"/>
      <c r="L18" s="1586">
        <v>0</v>
      </c>
      <c r="M18" s="1533">
        <v>0</v>
      </c>
      <c r="N18" s="1533">
        <v>0</v>
      </c>
      <c r="O18" s="1548">
        <v>0</v>
      </c>
      <c r="P18" s="1584">
        <v>0</v>
      </c>
      <c r="Q18" s="1584">
        <v>0</v>
      </c>
      <c r="R18" s="1585">
        <v>0</v>
      </c>
      <c r="S18" s="1526"/>
      <c r="T18" s="4900"/>
      <c r="U18" s="3535"/>
    </row>
    <row r="19" spans="2:22">
      <c r="B19" s="1599"/>
      <c r="C19" s="1532" t="s">
        <v>139</v>
      </c>
      <c r="D19" s="1539">
        <v>0</v>
      </c>
      <c r="E19" s="1539">
        <v>0</v>
      </c>
      <c r="F19" s="1539">
        <v>0</v>
      </c>
      <c r="G19" s="1526"/>
      <c r="H19" s="1547"/>
      <c r="I19" s="1572" t="s">
        <v>191</v>
      </c>
      <c r="J19" s="1573"/>
      <c r="K19" s="1574"/>
      <c r="L19" s="1586">
        <v>0</v>
      </c>
      <c r="M19" s="1533">
        <v>0</v>
      </c>
      <c r="N19" s="1533">
        <v>0</v>
      </c>
      <c r="O19" s="1548">
        <v>0</v>
      </c>
      <c r="P19" s="1584">
        <v>0</v>
      </c>
      <c r="Q19" s="1584">
        <v>0</v>
      </c>
      <c r="R19" s="1585">
        <v>0</v>
      </c>
      <c r="S19" s="1526"/>
      <c r="T19" s="4900"/>
      <c r="U19" s="3535"/>
    </row>
    <row r="20" spans="2:22">
      <c r="B20" s="1600"/>
      <c r="C20" s="1532" t="s">
        <v>140</v>
      </c>
      <c r="D20" s="1539">
        <v>0</v>
      </c>
      <c r="E20" s="1539">
        <v>0</v>
      </c>
      <c r="F20" s="1539">
        <v>0</v>
      </c>
      <c r="G20" s="1526"/>
      <c r="H20" s="1547"/>
      <c r="I20" s="1572" t="s">
        <v>192</v>
      </c>
      <c r="J20" s="1573"/>
      <c r="K20" s="1574"/>
      <c r="L20" s="1586">
        <v>0</v>
      </c>
      <c r="M20" s="1533">
        <v>0</v>
      </c>
      <c r="N20" s="1533">
        <v>0</v>
      </c>
      <c r="O20" s="1548">
        <v>0</v>
      </c>
      <c r="P20" s="1584">
        <v>0</v>
      </c>
      <c r="Q20" s="1584">
        <v>0</v>
      </c>
      <c r="R20" s="1585">
        <v>0</v>
      </c>
      <c r="S20" s="1526"/>
      <c r="T20" s="4900"/>
      <c r="U20" s="3535"/>
    </row>
    <row r="21" spans="2:22">
      <c r="B21" s="1600"/>
      <c r="C21" s="1532" t="s">
        <v>141</v>
      </c>
      <c r="D21" s="1541">
        <v>0</v>
      </c>
      <c r="E21" s="1541"/>
      <c r="F21" s="1539">
        <v>0</v>
      </c>
      <c r="G21" s="1526"/>
      <c r="H21" s="1547"/>
      <c r="I21" s="1572" t="s">
        <v>193</v>
      </c>
      <c r="J21" s="1573"/>
      <c r="K21" s="1574"/>
      <c r="L21" s="1586">
        <v>0</v>
      </c>
      <c r="M21" s="1533">
        <v>0</v>
      </c>
      <c r="N21" s="1533">
        <v>0</v>
      </c>
      <c r="O21" s="1548">
        <v>0</v>
      </c>
      <c r="P21" s="1584">
        <v>0</v>
      </c>
      <c r="Q21" s="1584">
        <v>0</v>
      </c>
      <c r="R21" s="1585">
        <v>0</v>
      </c>
      <c r="S21" s="1526"/>
      <c r="T21" s="4900"/>
      <c r="U21" s="3535"/>
    </row>
    <row r="22" spans="2:22" ht="13.5" thickBot="1">
      <c r="B22" s="1600"/>
      <c r="C22" s="1532" t="s">
        <v>142</v>
      </c>
      <c r="D22" s="1541">
        <v>0</v>
      </c>
      <c r="E22" s="1541"/>
      <c r="F22" s="1539">
        <v>0</v>
      </c>
      <c r="G22" s="1526"/>
      <c r="H22" s="1547"/>
      <c r="I22" s="1572" t="s">
        <v>194</v>
      </c>
      <c r="J22" s="1573"/>
      <c r="K22" s="1574"/>
      <c r="L22" s="1586">
        <v>0</v>
      </c>
      <c r="M22" s="1533">
        <v>0</v>
      </c>
      <c r="N22" s="1533">
        <v>0</v>
      </c>
      <c r="O22" s="1548">
        <v>0</v>
      </c>
      <c r="P22" s="1584">
        <v>0</v>
      </c>
      <c r="Q22" s="1584">
        <v>0</v>
      </c>
      <c r="R22" s="1585">
        <v>0</v>
      </c>
      <c r="S22" s="1526"/>
      <c r="T22" s="4900"/>
      <c r="U22" s="3535"/>
    </row>
    <row r="23" spans="2:22" ht="13.5" thickBot="1">
      <c r="B23" s="1598"/>
      <c r="C23" s="1557" t="s">
        <v>144</v>
      </c>
      <c r="D23" s="1558">
        <f>SUM(D24:D27)</f>
        <v>34609.333500000001</v>
      </c>
      <c r="E23" s="2032">
        <f>SUM(E24:E27)</f>
        <v>14165.6592</v>
      </c>
      <c r="F23" s="2032">
        <f>SUM(F24:F27)</f>
        <v>44440.592700000001</v>
      </c>
      <c r="G23" s="1531"/>
      <c r="H23" s="1547"/>
      <c r="I23" s="1572" t="s">
        <v>195</v>
      </c>
      <c r="J23" s="1573"/>
      <c r="K23" s="1574"/>
      <c r="L23" s="1586">
        <v>0</v>
      </c>
      <c r="M23" s="1533">
        <v>0</v>
      </c>
      <c r="N23" s="1533">
        <v>0</v>
      </c>
      <c r="O23" s="1548">
        <v>0</v>
      </c>
      <c r="P23" s="1584">
        <v>0</v>
      </c>
      <c r="Q23" s="1584">
        <v>0</v>
      </c>
      <c r="R23" s="1585">
        <v>0</v>
      </c>
      <c r="S23" s="1526"/>
      <c r="T23" s="4900"/>
      <c r="U23" s="3535"/>
    </row>
    <row r="24" spans="2:22">
      <c r="B24" s="1599"/>
      <c r="C24" s="3220" t="s">
        <v>1202</v>
      </c>
      <c r="D24" s="1539">
        <f>D14*0.63</f>
        <v>34609.333500000001</v>
      </c>
      <c r="E24" s="1539">
        <f>E14*0.707</f>
        <v>9831.2592000000004</v>
      </c>
      <c r="F24" s="1539">
        <f>SUM(D24:E24)</f>
        <v>44440.592700000001</v>
      </c>
      <c r="G24" s="1526"/>
      <c r="H24" s="1547"/>
      <c r="I24" s="1572" t="s">
        <v>196</v>
      </c>
      <c r="J24" s="1573"/>
      <c r="K24" s="1574"/>
      <c r="L24" s="1586">
        <v>0</v>
      </c>
      <c r="M24" s="1533">
        <v>0</v>
      </c>
      <c r="N24" s="1533">
        <v>0</v>
      </c>
      <c r="O24" s="1548">
        <v>0</v>
      </c>
      <c r="P24" s="1584">
        <v>0</v>
      </c>
      <c r="Q24" s="1584">
        <v>0</v>
      </c>
      <c r="R24" s="1585">
        <v>0</v>
      </c>
      <c r="S24" s="1526"/>
      <c r="T24" s="4900"/>
      <c r="U24" s="3535"/>
    </row>
    <row r="25" spans="2:22">
      <c r="B25" s="1599"/>
      <c r="C25" s="3220" t="s">
        <v>1203</v>
      </c>
      <c r="D25" s="3232">
        <f t="shared" ref="D25:E27" si="2">D15*0.63</f>
        <v>0</v>
      </c>
      <c r="E25" s="3232">
        <f t="shared" si="2"/>
        <v>4334.3999999999996</v>
      </c>
      <c r="F25" s="1539">
        <v>0</v>
      </c>
      <c r="G25" s="1526"/>
      <c r="H25" s="1547"/>
      <c r="I25" s="1572" t="s">
        <v>197</v>
      </c>
      <c r="J25" s="1573"/>
      <c r="K25" s="1574"/>
      <c r="L25" s="1586">
        <v>0</v>
      </c>
      <c r="M25" s="1533">
        <v>0</v>
      </c>
      <c r="N25" s="1533">
        <v>0</v>
      </c>
      <c r="O25" s="1548">
        <v>0</v>
      </c>
      <c r="P25" s="1584">
        <v>0</v>
      </c>
      <c r="Q25" s="1584">
        <v>0</v>
      </c>
      <c r="R25" s="1585">
        <v>0</v>
      </c>
      <c r="S25" s="1526"/>
      <c r="T25" s="4900"/>
      <c r="U25" s="3535"/>
    </row>
    <row r="26" spans="2:22">
      <c r="B26" s="1600"/>
      <c r="C26" s="1532"/>
      <c r="D26" s="3232">
        <f t="shared" si="2"/>
        <v>0</v>
      </c>
      <c r="E26" s="3232">
        <f t="shared" si="2"/>
        <v>0</v>
      </c>
      <c r="F26" s="1541"/>
      <c r="G26" s="1526"/>
      <c r="H26" s="1547"/>
      <c r="I26" s="1572" t="s">
        <v>198</v>
      </c>
      <c r="J26" s="1573"/>
      <c r="K26" s="1574"/>
      <c r="L26" s="1586">
        <v>0</v>
      </c>
      <c r="M26" s="1533">
        <v>0</v>
      </c>
      <c r="N26" s="1533">
        <v>0</v>
      </c>
      <c r="O26" s="1548">
        <v>0</v>
      </c>
      <c r="P26" s="1584">
        <v>0</v>
      </c>
      <c r="Q26" s="1584">
        <v>0</v>
      </c>
      <c r="R26" s="1585">
        <v>0</v>
      </c>
      <c r="S26" s="1526"/>
      <c r="T26" s="4900"/>
      <c r="U26" s="3535"/>
    </row>
    <row r="27" spans="2:22" ht="13.5" thickBot="1">
      <c r="B27" s="1600"/>
      <c r="C27" s="1532"/>
      <c r="D27" s="3232">
        <f t="shared" si="2"/>
        <v>0</v>
      </c>
      <c r="E27" s="3232">
        <f t="shared" si="2"/>
        <v>0</v>
      </c>
      <c r="F27" s="1541"/>
      <c r="G27" s="1526"/>
      <c r="H27" s="1547"/>
      <c r="I27" s="1572" t="s">
        <v>199</v>
      </c>
      <c r="J27" s="1573"/>
      <c r="K27" s="1574"/>
      <c r="L27" s="1586">
        <v>0</v>
      </c>
      <c r="M27" s="1533">
        <v>0</v>
      </c>
      <c r="N27" s="1533">
        <v>0</v>
      </c>
      <c r="O27" s="1548">
        <v>0</v>
      </c>
      <c r="P27" s="1584">
        <v>0</v>
      </c>
      <c r="Q27" s="1584">
        <v>0</v>
      </c>
      <c r="R27" s="1585">
        <v>0</v>
      </c>
      <c r="S27" s="1526"/>
      <c r="T27" s="4900"/>
      <c r="U27" s="3535"/>
    </row>
    <row r="28" spans="2:22" ht="13.5" thickBot="1">
      <c r="B28" s="1598"/>
      <c r="C28" s="1557" t="s">
        <v>145</v>
      </c>
      <c r="D28" s="1558">
        <v>0</v>
      </c>
      <c r="E28" s="1558">
        <v>0</v>
      </c>
      <c r="F28" s="1559">
        <f>SUM(D28:E28)</f>
        <v>0</v>
      </c>
      <c r="G28" s="1526"/>
      <c r="H28" s="1547"/>
      <c r="I28" s="1572" t="s">
        <v>200</v>
      </c>
      <c r="J28" s="1573"/>
      <c r="K28" s="1574"/>
      <c r="L28" s="1586">
        <v>0</v>
      </c>
      <c r="M28" s="1533">
        <v>0</v>
      </c>
      <c r="N28" s="1533">
        <v>0</v>
      </c>
      <c r="O28" s="1548">
        <v>0</v>
      </c>
      <c r="P28" s="1584">
        <v>0</v>
      </c>
      <c r="Q28" s="1584">
        <v>0</v>
      </c>
      <c r="R28" s="1585">
        <v>0</v>
      </c>
      <c r="S28" s="1526"/>
      <c r="T28" s="4900"/>
      <c r="U28" s="3535"/>
    </row>
    <row r="29" spans="2:22">
      <c r="B29" s="1599"/>
      <c r="C29" s="3235" t="s">
        <v>139</v>
      </c>
      <c r="D29" s="1539">
        <v>0</v>
      </c>
      <c r="E29" s="1539">
        <v>0</v>
      </c>
      <c r="F29" s="1539">
        <v>0</v>
      </c>
      <c r="G29" s="1526"/>
      <c r="H29" s="1547"/>
      <c r="I29" s="1572" t="s">
        <v>201</v>
      </c>
      <c r="J29" s="1573"/>
      <c r="K29" s="1574"/>
      <c r="L29" s="1586">
        <v>0</v>
      </c>
      <c r="M29" s="1533">
        <v>0</v>
      </c>
      <c r="N29" s="1533">
        <v>0</v>
      </c>
      <c r="O29" s="1548">
        <v>0</v>
      </c>
      <c r="P29" s="1584">
        <v>0</v>
      </c>
      <c r="Q29" s="1584">
        <v>0</v>
      </c>
      <c r="R29" s="1585">
        <v>0</v>
      </c>
      <c r="S29" s="1526"/>
      <c r="T29" s="4900"/>
      <c r="U29" s="3535"/>
    </row>
    <row r="30" spans="2:22">
      <c r="B30" s="1600"/>
      <c r="C30" s="1532" t="s">
        <v>140</v>
      </c>
      <c r="D30" s="1540">
        <v>0</v>
      </c>
      <c r="E30" s="1540"/>
      <c r="F30" s="1539">
        <v>0</v>
      </c>
      <c r="G30" s="1526"/>
      <c r="H30" s="1547"/>
      <c r="I30" s="1572" t="s">
        <v>202</v>
      </c>
      <c r="J30" s="1573"/>
      <c r="K30" s="1574"/>
      <c r="L30" s="1586">
        <v>0</v>
      </c>
      <c r="M30" s="1533">
        <v>0</v>
      </c>
      <c r="N30" s="1533">
        <v>0</v>
      </c>
      <c r="O30" s="1548">
        <v>0</v>
      </c>
      <c r="P30" s="1584">
        <v>0</v>
      </c>
      <c r="Q30" s="1584">
        <v>0</v>
      </c>
      <c r="R30" s="1585">
        <v>0</v>
      </c>
      <c r="S30" s="1526"/>
      <c r="T30" s="4900"/>
      <c r="U30" s="3535"/>
    </row>
    <row r="31" spans="2:22">
      <c r="B31" s="1600"/>
      <c r="C31" s="1532" t="s">
        <v>141</v>
      </c>
      <c r="D31" s="1540">
        <v>0</v>
      </c>
      <c r="E31" s="1540"/>
      <c r="F31" s="1539">
        <v>0</v>
      </c>
      <c r="G31" s="1526"/>
      <c r="H31" s="1547"/>
      <c r="I31" s="1572" t="s">
        <v>203</v>
      </c>
      <c r="J31" s="1573"/>
      <c r="K31" s="1574"/>
      <c r="L31" s="1586">
        <v>0</v>
      </c>
      <c r="M31" s="1533">
        <v>0</v>
      </c>
      <c r="N31" s="1533">
        <v>0</v>
      </c>
      <c r="O31" s="1548">
        <v>0</v>
      </c>
      <c r="P31" s="1584">
        <v>0</v>
      </c>
      <c r="Q31" s="1584">
        <v>0</v>
      </c>
      <c r="R31" s="1585">
        <v>0</v>
      </c>
      <c r="S31" s="1526"/>
      <c r="T31" s="4900"/>
      <c r="U31" s="3535"/>
    </row>
    <row r="32" spans="2:22" ht="13.5" thickBot="1">
      <c r="B32" s="1600"/>
      <c r="C32" s="1532" t="s">
        <v>142</v>
      </c>
      <c r="D32" s="1540">
        <v>0</v>
      </c>
      <c r="E32" s="1540"/>
      <c r="F32" s="1539">
        <v>0</v>
      </c>
      <c r="G32" s="1526"/>
      <c r="H32" s="1547"/>
      <c r="I32" s="1572" t="s">
        <v>204</v>
      </c>
      <c r="J32" s="1573"/>
      <c r="K32" s="1574"/>
      <c r="L32" s="1586">
        <v>0</v>
      </c>
      <c r="M32" s="1533">
        <v>0</v>
      </c>
      <c r="N32" s="1533">
        <v>0</v>
      </c>
      <c r="O32" s="1548">
        <v>0</v>
      </c>
      <c r="P32" s="1584">
        <v>0</v>
      </c>
      <c r="Q32" s="1584">
        <v>0</v>
      </c>
      <c r="R32" s="1585">
        <v>0</v>
      </c>
      <c r="S32" s="1526"/>
      <c r="T32" s="4900"/>
      <c r="U32" s="3535"/>
    </row>
    <row r="33" spans="2:21" ht="13.5" thickBot="1">
      <c r="B33" s="1598"/>
      <c r="C33" s="1557" t="s">
        <v>146</v>
      </c>
      <c r="D33" s="1558">
        <f>SUM(D34:D37)</f>
        <v>840</v>
      </c>
      <c r="E33" s="3243">
        <f>SUM(E34:E37)</f>
        <v>840</v>
      </c>
      <c r="F33" s="1559">
        <f>SUM(D33:E33)</f>
        <v>1680</v>
      </c>
      <c r="G33" s="1526"/>
      <c r="H33" s="1547"/>
      <c r="I33" s="1572" t="s">
        <v>205</v>
      </c>
      <c r="J33" s="1573"/>
      <c r="K33" s="1574"/>
      <c r="L33" s="1586">
        <v>0</v>
      </c>
      <c r="M33" s="1533">
        <v>0</v>
      </c>
      <c r="N33" s="1533">
        <v>0</v>
      </c>
      <c r="O33" s="1548">
        <v>0</v>
      </c>
      <c r="P33" s="1584">
        <v>0</v>
      </c>
      <c r="Q33" s="1584">
        <v>0</v>
      </c>
      <c r="R33" s="1585">
        <v>0</v>
      </c>
      <c r="S33" s="1526"/>
      <c r="T33" s="4900"/>
      <c r="U33" s="3535"/>
    </row>
    <row r="34" spans="2:21">
      <c r="B34" s="1600"/>
      <c r="C34" s="3235" t="s">
        <v>990</v>
      </c>
      <c r="D34" s="3236">
        <v>840</v>
      </c>
      <c r="E34" s="3236">
        <v>840</v>
      </c>
      <c r="F34" s="1539">
        <f>SUM(D34:E34)</f>
        <v>1680</v>
      </c>
      <c r="G34" s="1526"/>
      <c r="H34" s="1547"/>
      <c r="I34" s="1572" t="s">
        <v>206</v>
      </c>
      <c r="J34" s="1573"/>
      <c r="K34" s="1574"/>
      <c r="L34" s="1586">
        <v>0</v>
      </c>
      <c r="M34" s="1533">
        <v>0</v>
      </c>
      <c r="N34" s="1533">
        <v>0</v>
      </c>
      <c r="O34" s="1548">
        <v>0</v>
      </c>
      <c r="P34" s="1584">
        <v>0</v>
      </c>
      <c r="Q34" s="1584">
        <v>0</v>
      </c>
      <c r="R34" s="1585">
        <v>0</v>
      </c>
      <c r="S34" s="1526"/>
      <c r="T34" s="4900"/>
      <c r="U34" s="3535"/>
    </row>
    <row r="35" spans="2:21">
      <c r="B35" s="1600"/>
      <c r="C35" s="1532" t="s">
        <v>140</v>
      </c>
      <c r="D35" s="1540">
        <v>0</v>
      </c>
      <c r="E35" s="1540"/>
      <c r="F35" s="1539">
        <v>0</v>
      </c>
      <c r="G35" s="1526"/>
      <c r="H35" s="1547"/>
      <c r="I35" s="1572" t="s">
        <v>207</v>
      </c>
      <c r="J35" s="1573"/>
      <c r="K35" s="1574"/>
      <c r="L35" s="1586">
        <v>0</v>
      </c>
      <c r="M35" s="1533">
        <v>0</v>
      </c>
      <c r="N35" s="1533">
        <v>0</v>
      </c>
      <c r="O35" s="1548">
        <v>0</v>
      </c>
      <c r="P35" s="1584">
        <v>0</v>
      </c>
      <c r="Q35" s="1584">
        <v>0</v>
      </c>
      <c r="R35" s="1585">
        <v>0</v>
      </c>
      <c r="S35" s="1526"/>
      <c r="T35" s="4900"/>
      <c r="U35" s="3535"/>
    </row>
    <row r="36" spans="2:21">
      <c r="B36" s="1600"/>
      <c r="C36" s="1532" t="s">
        <v>141</v>
      </c>
      <c r="D36" s="1540">
        <v>0</v>
      </c>
      <c r="E36" s="1540"/>
      <c r="F36" s="1539">
        <v>0</v>
      </c>
      <c r="G36" s="1526"/>
      <c r="H36" s="1547"/>
      <c r="I36" s="1572" t="s">
        <v>208</v>
      </c>
      <c r="J36" s="1573"/>
      <c r="K36" s="1574"/>
      <c r="L36" s="1586">
        <v>0</v>
      </c>
      <c r="M36" s="1533">
        <v>0</v>
      </c>
      <c r="N36" s="1533">
        <v>0</v>
      </c>
      <c r="O36" s="1548">
        <v>0</v>
      </c>
      <c r="P36" s="1584">
        <v>0</v>
      </c>
      <c r="Q36" s="1584">
        <v>0</v>
      </c>
      <c r="R36" s="1585">
        <v>0</v>
      </c>
      <c r="S36" s="1526"/>
      <c r="T36" s="4900"/>
      <c r="U36" s="3535"/>
    </row>
    <row r="37" spans="2:21" ht="13.5" thickBot="1">
      <c r="B37" s="1600"/>
      <c r="C37" s="1532" t="s">
        <v>142</v>
      </c>
      <c r="D37" s="1540">
        <v>0</v>
      </c>
      <c r="E37" s="1540"/>
      <c r="F37" s="1539">
        <v>0</v>
      </c>
      <c r="G37" s="1526"/>
      <c r="H37" s="1547"/>
      <c r="I37" s="1572" t="s">
        <v>209</v>
      </c>
      <c r="J37" s="1573"/>
      <c r="K37" s="1574"/>
      <c r="L37" s="1586">
        <v>0</v>
      </c>
      <c r="M37" s="1533">
        <v>0</v>
      </c>
      <c r="N37" s="1533">
        <v>0</v>
      </c>
      <c r="O37" s="1548">
        <v>0</v>
      </c>
      <c r="P37" s="1584">
        <v>0</v>
      </c>
      <c r="Q37" s="1584">
        <v>0</v>
      </c>
      <c r="R37" s="1585">
        <v>0</v>
      </c>
      <c r="S37" s="1526"/>
      <c r="T37" s="4900"/>
      <c r="U37" s="3535"/>
    </row>
    <row r="38" spans="2:21" ht="13.5" thickBot="1">
      <c r="B38" s="1598"/>
      <c r="C38" s="1557" t="s">
        <v>147</v>
      </c>
      <c r="D38" s="1558">
        <f>SUM(D39:D42)</f>
        <v>30650</v>
      </c>
      <c r="E38" s="3243">
        <f>SUM(E39:E42)</f>
        <v>30650</v>
      </c>
      <c r="F38" s="1559">
        <f>SUM(D38:E38)</f>
        <v>61300</v>
      </c>
      <c r="G38" s="1526"/>
      <c r="H38" s="1547"/>
      <c r="I38" s="1572" t="s">
        <v>210</v>
      </c>
      <c r="J38" s="1573"/>
      <c r="K38" s="1575"/>
      <c r="L38" s="1586">
        <v>0</v>
      </c>
      <c r="M38" s="1533">
        <v>0</v>
      </c>
      <c r="N38" s="1533">
        <v>0</v>
      </c>
      <c r="O38" s="1548">
        <v>0</v>
      </c>
      <c r="P38" s="1584">
        <v>0</v>
      </c>
      <c r="Q38" s="1584">
        <v>0</v>
      </c>
      <c r="R38" s="1585">
        <v>0</v>
      </c>
      <c r="S38" s="1526"/>
      <c r="T38" s="4900"/>
      <c r="U38" s="3535"/>
    </row>
    <row r="39" spans="2:21">
      <c r="B39" s="1600"/>
      <c r="C39" s="3237" t="s">
        <v>991</v>
      </c>
      <c r="D39" s="3238">
        <v>21850</v>
      </c>
      <c r="E39" s="3238">
        <v>21850</v>
      </c>
      <c r="F39" s="1539">
        <f>SUM(D39:E39)</f>
        <v>43700</v>
      </c>
      <c r="G39" s="1526"/>
      <c r="H39" s="1547"/>
      <c r="I39" s="1572" t="s">
        <v>211</v>
      </c>
      <c r="J39" s="1573"/>
      <c r="K39" s="1575"/>
      <c r="L39" s="1586">
        <v>0</v>
      </c>
      <c r="M39" s="1533">
        <v>0</v>
      </c>
      <c r="N39" s="1533">
        <v>0</v>
      </c>
      <c r="O39" s="1548">
        <v>0</v>
      </c>
      <c r="P39" s="1584">
        <v>0</v>
      </c>
      <c r="Q39" s="1584">
        <v>0</v>
      </c>
      <c r="R39" s="1585">
        <v>0</v>
      </c>
      <c r="S39" s="1526"/>
      <c r="T39" s="4900"/>
      <c r="U39" s="3535"/>
    </row>
    <row r="40" spans="2:21">
      <c r="B40" s="1600"/>
      <c r="C40" s="3237" t="s">
        <v>992</v>
      </c>
      <c r="D40" s="3238">
        <v>8800</v>
      </c>
      <c r="E40" s="3238">
        <v>8800</v>
      </c>
      <c r="F40" s="1539">
        <f>SUM(D40:E40)</f>
        <v>17600</v>
      </c>
      <c r="G40" s="1526"/>
      <c r="H40" s="1547"/>
      <c r="I40" s="1572" t="s">
        <v>212</v>
      </c>
      <c r="J40" s="1573"/>
      <c r="K40" s="1575"/>
      <c r="L40" s="1586">
        <v>0</v>
      </c>
      <c r="M40" s="1533">
        <v>0</v>
      </c>
      <c r="N40" s="1533">
        <v>0</v>
      </c>
      <c r="O40" s="1548">
        <v>0</v>
      </c>
      <c r="P40" s="1584">
        <v>0</v>
      </c>
      <c r="Q40" s="1584">
        <v>0</v>
      </c>
      <c r="R40" s="1585">
        <v>0</v>
      </c>
      <c r="S40" s="1526"/>
      <c r="T40" s="4900"/>
      <c r="U40" s="3535"/>
    </row>
    <row r="41" spans="2:21">
      <c r="B41" s="1600"/>
      <c r="C41" s="1532" t="s">
        <v>141</v>
      </c>
      <c r="D41" s="1540">
        <v>0</v>
      </c>
      <c r="E41" s="1540">
        <v>0</v>
      </c>
      <c r="F41" s="1539">
        <v>0</v>
      </c>
      <c r="G41" s="1526"/>
      <c r="H41" s="1547"/>
      <c r="I41" s="1572" t="s">
        <v>213</v>
      </c>
      <c r="J41" s="1573"/>
      <c r="K41" s="1575"/>
      <c r="L41" s="1586">
        <v>0</v>
      </c>
      <c r="M41" s="1533">
        <v>0</v>
      </c>
      <c r="N41" s="1533">
        <v>0</v>
      </c>
      <c r="O41" s="1548">
        <v>0</v>
      </c>
      <c r="P41" s="1584">
        <v>0</v>
      </c>
      <c r="Q41" s="1584">
        <v>0</v>
      </c>
      <c r="R41" s="1585">
        <v>0</v>
      </c>
      <c r="S41" s="1526"/>
      <c r="T41" s="4900"/>
      <c r="U41" s="3535"/>
    </row>
    <row r="42" spans="2:21" ht="13.5" thickBot="1">
      <c r="B42" s="1600"/>
      <c r="C42" s="1532" t="s">
        <v>142</v>
      </c>
      <c r="D42" s="1540">
        <v>0</v>
      </c>
      <c r="E42" s="1540"/>
      <c r="F42" s="1539">
        <v>0</v>
      </c>
      <c r="G42" s="1526"/>
      <c r="H42" s="1547"/>
      <c r="I42" s="1572" t="s">
        <v>214</v>
      </c>
      <c r="J42" s="1573"/>
      <c r="K42" s="1575"/>
      <c r="L42" s="1586">
        <v>0</v>
      </c>
      <c r="M42" s="1533">
        <v>0</v>
      </c>
      <c r="N42" s="1533">
        <v>0</v>
      </c>
      <c r="O42" s="1548">
        <v>0</v>
      </c>
      <c r="P42" s="1584">
        <v>0</v>
      </c>
      <c r="Q42" s="1584">
        <v>0</v>
      </c>
      <c r="R42" s="1585">
        <v>0</v>
      </c>
      <c r="S42" s="1526"/>
      <c r="T42" s="4900"/>
      <c r="U42" s="3535"/>
    </row>
    <row r="43" spans="2:21" ht="13.5" thickBot="1">
      <c r="B43" s="1598"/>
      <c r="C43" s="1557" t="s">
        <v>148</v>
      </c>
      <c r="D43" s="1558">
        <f>SUM(D44:D47)</f>
        <v>8850</v>
      </c>
      <c r="E43" s="3243">
        <f>SUM(E44:E47)</f>
        <v>17800</v>
      </c>
      <c r="F43" s="1559">
        <f>SUM(D43:E43)</f>
        <v>26650</v>
      </c>
      <c r="G43" s="1526"/>
      <c r="H43" s="1547"/>
      <c r="I43" s="1572" t="s">
        <v>215</v>
      </c>
      <c r="J43" s="1573"/>
      <c r="K43" s="1575"/>
      <c r="L43" s="1586">
        <v>0</v>
      </c>
      <c r="M43" s="1533">
        <v>0</v>
      </c>
      <c r="N43" s="1533">
        <v>0</v>
      </c>
      <c r="O43" s="1548">
        <v>0</v>
      </c>
      <c r="P43" s="1584">
        <v>0</v>
      </c>
      <c r="Q43" s="1584">
        <v>0</v>
      </c>
      <c r="R43" s="1585">
        <v>0</v>
      </c>
      <c r="S43" s="1526"/>
      <c r="T43" s="4900"/>
      <c r="U43" s="3535"/>
    </row>
    <row r="44" spans="2:21">
      <c r="B44" s="1600"/>
      <c r="C44" s="3244" t="s">
        <v>993</v>
      </c>
      <c r="D44" s="3241">
        <v>4350</v>
      </c>
      <c r="E44" s="4454">
        <v>8700</v>
      </c>
      <c r="F44" s="1539">
        <f>SUM(D44:E44)</f>
        <v>13050</v>
      </c>
      <c r="G44" s="1526"/>
      <c r="H44" s="1547"/>
      <c r="I44" s="1572" t="s">
        <v>216</v>
      </c>
      <c r="J44" s="1573"/>
      <c r="K44" s="1575"/>
      <c r="L44" s="1586">
        <v>0</v>
      </c>
      <c r="M44" s="1533">
        <v>0</v>
      </c>
      <c r="N44" s="1533">
        <v>0</v>
      </c>
      <c r="O44" s="1548">
        <v>0</v>
      </c>
      <c r="P44" s="1584">
        <v>0</v>
      </c>
      <c r="Q44" s="1584">
        <v>0</v>
      </c>
      <c r="R44" s="1585">
        <v>0</v>
      </c>
      <c r="S44" s="1526"/>
      <c r="T44" s="4900"/>
      <c r="U44" s="3535"/>
    </row>
    <row r="45" spans="2:21">
      <c r="B45" s="1600"/>
      <c r="C45" s="3239" t="s">
        <v>994</v>
      </c>
      <c r="D45" s="3241">
        <v>4500</v>
      </c>
      <c r="E45" s="4454">
        <v>9100</v>
      </c>
      <c r="F45" s="3489">
        <f>SUM(D45:E45)</f>
        <v>13600</v>
      </c>
      <c r="G45" s="1526"/>
      <c r="H45" s="1547"/>
      <c r="I45" s="1572" t="s">
        <v>217</v>
      </c>
      <c r="J45" s="1573"/>
      <c r="K45" s="1575"/>
      <c r="L45" s="1586">
        <v>0</v>
      </c>
      <c r="M45" s="1533">
        <v>0</v>
      </c>
      <c r="N45" s="1533">
        <v>0</v>
      </c>
      <c r="O45" s="1548">
        <v>0</v>
      </c>
      <c r="P45" s="1584">
        <v>0</v>
      </c>
      <c r="Q45" s="1584">
        <v>0</v>
      </c>
      <c r="R45" s="1585">
        <v>0</v>
      </c>
      <c r="S45" s="1526"/>
      <c r="T45" s="4900"/>
      <c r="U45" s="3535"/>
    </row>
    <row r="46" spans="2:21">
      <c r="B46" s="1600"/>
      <c r="C46" s="1532" t="s">
        <v>141</v>
      </c>
      <c r="D46" s="1540">
        <v>0</v>
      </c>
      <c r="E46" s="1540"/>
      <c r="F46" s="1539">
        <v>0</v>
      </c>
      <c r="G46" s="1526"/>
      <c r="H46" s="1547"/>
      <c r="I46" s="1572" t="s">
        <v>218</v>
      </c>
      <c r="J46" s="1573"/>
      <c r="K46" s="1575"/>
      <c r="L46" s="1586">
        <v>0</v>
      </c>
      <c r="M46" s="1533">
        <v>0</v>
      </c>
      <c r="N46" s="1533">
        <v>0</v>
      </c>
      <c r="O46" s="1548">
        <v>0</v>
      </c>
      <c r="P46" s="1584">
        <v>0</v>
      </c>
      <c r="Q46" s="1584">
        <v>0</v>
      </c>
      <c r="R46" s="1585">
        <v>0</v>
      </c>
      <c r="S46" s="1526"/>
      <c r="T46" s="4900"/>
      <c r="U46" s="3535"/>
    </row>
    <row r="47" spans="2:21" ht="13.5" thickBot="1">
      <c r="B47" s="1600"/>
      <c r="C47" s="1532" t="s">
        <v>142</v>
      </c>
      <c r="D47" s="1540">
        <v>0</v>
      </c>
      <c r="E47" s="1540"/>
      <c r="F47" s="1539">
        <v>0</v>
      </c>
      <c r="G47" s="1526"/>
      <c r="H47" s="1547"/>
      <c r="I47" s="1572" t="s">
        <v>219</v>
      </c>
      <c r="J47" s="1573"/>
      <c r="K47" s="1575"/>
      <c r="L47" s="1586">
        <v>0</v>
      </c>
      <c r="M47" s="1533">
        <v>0</v>
      </c>
      <c r="N47" s="1533">
        <v>0</v>
      </c>
      <c r="O47" s="1548">
        <v>0</v>
      </c>
      <c r="P47" s="1584">
        <v>0</v>
      </c>
      <c r="Q47" s="1584">
        <v>0</v>
      </c>
      <c r="R47" s="1585">
        <v>0</v>
      </c>
      <c r="S47" s="1526"/>
      <c r="T47" s="4900"/>
      <c r="U47" s="3535"/>
    </row>
    <row r="48" spans="2:21" ht="13.5" thickBot="1">
      <c r="B48" s="1598"/>
      <c r="C48" s="1557" t="s">
        <v>149</v>
      </c>
      <c r="D48" s="1558">
        <f>SUM(D49:D52)</f>
        <v>0</v>
      </c>
      <c r="E48" s="3243">
        <f>SUM(E49:E52)</f>
        <v>0</v>
      </c>
      <c r="F48" s="2032">
        <f>SUM(D48:E48)</f>
        <v>0</v>
      </c>
      <c r="G48" s="1526"/>
      <c r="H48" s="1547"/>
      <c r="I48" s="1572" t="s">
        <v>220</v>
      </c>
      <c r="J48" s="1573"/>
      <c r="K48" s="1575"/>
      <c r="L48" s="1586">
        <v>0</v>
      </c>
      <c r="M48" s="1533">
        <v>0</v>
      </c>
      <c r="N48" s="1533">
        <v>0</v>
      </c>
      <c r="O48" s="1548">
        <v>0</v>
      </c>
      <c r="P48" s="1584">
        <v>0</v>
      </c>
      <c r="Q48" s="1584">
        <v>0</v>
      </c>
      <c r="R48" s="1585">
        <v>0</v>
      </c>
      <c r="S48" s="1526"/>
      <c r="T48" s="4900"/>
      <c r="U48" s="3535"/>
    </row>
    <row r="49" spans="2:24">
      <c r="B49" s="1600"/>
      <c r="C49" s="3239" t="s">
        <v>139</v>
      </c>
      <c r="D49" s="1540">
        <v>0</v>
      </c>
      <c r="E49" s="1540">
        <v>0</v>
      </c>
      <c r="F49" s="1539">
        <f>SUM(D49:E49)</f>
        <v>0</v>
      </c>
      <c r="G49" s="1526"/>
      <c r="H49" s="1547"/>
      <c r="I49" s="1572" t="s">
        <v>221</v>
      </c>
      <c r="J49" s="1573"/>
      <c r="K49" s="1575"/>
      <c r="L49" s="1586">
        <v>0</v>
      </c>
      <c r="M49" s="1533">
        <v>0</v>
      </c>
      <c r="N49" s="1533">
        <v>0</v>
      </c>
      <c r="O49" s="1548">
        <v>0</v>
      </c>
      <c r="P49" s="1584">
        <v>0</v>
      </c>
      <c r="Q49" s="1584">
        <v>0</v>
      </c>
      <c r="R49" s="1585">
        <v>0</v>
      </c>
      <c r="S49" s="1526"/>
      <c r="T49" s="4900"/>
      <c r="U49" s="3535"/>
    </row>
    <row r="50" spans="2:24">
      <c r="B50" s="1600"/>
      <c r="C50" s="3239" t="s">
        <v>140</v>
      </c>
      <c r="D50" s="1540">
        <v>0</v>
      </c>
      <c r="E50" s="1540"/>
      <c r="F50" s="1539">
        <v>0</v>
      </c>
      <c r="G50" s="1526"/>
      <c r="H50" s="1526"/>
      <c r="I50" s="1572" t="s">
        <v>222</v>
      </c>
      <c r="J50" s="1573"/>
      <c r="K50" s="1574"/>
      <c r="L50" s="1586">
        <v>0</v>
      </c>
      <c r="M50" s="1533">
        <v>0</v>
      </c>
      <c r="N50" s="1533">
        <v>0</v>
      </c>
      <c r="O50" s="1548">
        <v>0</v>
      </c>
      <c r="P50" s="1584">
        <v>0</v>
      </c>
      <c r="Q50" s="1584">
        <v>0</v>
      </c>
      <c r="R50" s="1585">
        <v>0</v>
      </c>
      <c r="S50" s="1526"/>
      <c r="T50" s="4900"/>
      <c r="U50" s="4056"/>
      <c r="V50" s="1526"/>
      <c r="W50" s="1526"/>
      <c r="X50" s="1526"/>
    </row>
    <row r="51" spans="2:24">
      <c r="B51" s="1600"/>
      <c r="C51" s="3239" t="s">
        <v>141</v>
      </c>
      <c r="D51" s="1540">
        <v>0</v>
      </c>
      <c r="E51" s="1540"/>
      <c r="F51" s="1539">
        <v>0</v>
      </c>
      <c r="G51" s="1526"/>
      <c r="H51" s="1526"/>
      <c r="I51" s="1572" t="s">
        <v>223</v>
      </c>
      <c r="J51" s="1573"/>
      <c r="K51" s="1574"/>
      <c r="L51" s="1586">
        <v>0</v>
      </c>
      <c r="M51" s="1533">
        <v>0</v>
      </c>
      <c r="N51" s="1533">
        <v>0</v>
      </c>
      <c r="O51" s="1548">
        <v>0</v>
      </c>
      <c r="P51" s="1584">
        <v>0</v>
      </c>
      <c r="Q51" s="1584">
        <v>0</v>
      </c>
      <c r="R51" s="1585">
        <v>0</v>
      </c>
      <c r="S51" s="1526"/>
      <c r="T51" s="4900"/>
      <c r="U51" s="4056"/>
      <c r="V51" s="1526"/>
      <c r="W51" s="1526"/>
      <c r="X51" s="1526"/>
    </row>
    <row r="52" spans="2:24" ht="13.5" thickBot="1">
      <c r="B52" s="1600"/>
      <c r="C52" s="1532" t="s">
        <v>142</v>
      </c>
      <c r="D52" s="1540">
        <v>0</v>
      </c>
      <c r="E52" s="1540"/>
      <c r="F52" s="1539">
        <v>0</v>
      </c>
      <c r="G52" s="1526"/>
      <c r="H52" s="1526"/>
      <c r="I52" s="1572" t="s">
        <v>224</v>
      </c>
      <c r="J52" s="1573"/>
      <c r="K52" s="1574"/>
      <c r="L52" s="1586">
        <v>0</v>
      </c>
      <c r="M52" s="1533">
        <v>0</v>
      </c>
      <c r="N52" s="1533">
        <v>0</v>
      </c>
      <c r="O52" s="1548">
        <v>0</v>
      </c>
      <c r="P52" s="1584">
        <v>0</v>
      </c>
      <c r="Q52" s="1584">
        <v>0</v>
      </c>
      <c r="R52" s="1585">
        <v>0</v>
      </c>
      <c r="S52" s="1526"/>
      <c r="T52" s="4900"/>
      <c r="U52" s="4056"/>
      <c r="V52" s="1526"/>
      <c r="W52" s="1526"/>
      <c r="X52" s="1526"/>
    </row>
    <row r="53" spans="2:24" ht="13.5" thickBot="1">
      <c r="B53" s="1598"/>
      <c r="C53" s="1557" t="s">
        <v>150</v>
      </c>
      <c r="D53" s="1558">
        <v>0</v>
      </c>
      <c r="E53" s="1558">
        <v>0</v>
      </c>
      <c r="F53" s="1559">
        <v>0</v>
      </c>
      <c r="G53" s="1560" t="s">
        <v>151</v>
      </c>
      <c r="H53" s="1526"/>
      <c r="I53" s="1572" t="s">
        <v>225</v>
      </c>
      <c r="J53" s="1573"/>
      <c r="K53" s="1574"/>
      <c r="L53" s="1586">
        <v>0</v>
      </c>
      <c r="M53" s="1533">
        <v>0</v>
      </c>
      <c r="N53" s="1533">
        <v>0</v>
      </c>
      <c r="O53" s="1548">
        <v>0</v>
      </c>
      <c r="P53" s="1584">
        <v>0</v>
      </c>
      <c r="Q53" s="1584">
        <v>0</v>
      </c>
      <c r="R53" s="1585">
        <v>0</v>
      </c>
      <c r="S53" s="1526"/>
      <c r="T53" s="4900"/>
      <c r="U53" s="4056"/>
      <c r="V53" s="1526"/>
      <c r="W53" s="1526"/>
      <c r="X53" s="1526"/>
    </row>
    <row r="54" spans="2:24" ht="13.5" thickBot="1">
      <c r="B54" s="1598"/>
      <c r="C54" s="1557" t="s">
        <v>152</v>
      </c>
      <c r="D54" s="1558">
        <v>0</v>
      </c>
      <c r="E54" s="1558">
        <v>0</v>
      </c>
      <c r="F54" s="1559">
        <v>0</v>
      </c>
      <c r="G54" s="1526"/>
      <c r="H54" s="1526"/>
      <c r="I54" s="1572" t="s">
        <v>226</v>
      </c>
      <c r="J54" s="1573"/>
      <c r="K54" s="1574"/>
      <c r="L54" s="1586">
        <v>0</v>
      </c>
      <c r="M54" s="1533">
        <v>0</v>
      </c>
      <c r="N54" s="1533">
        <v>0</v>
      </c>
      <c r="O54" s="1548">
        <v>0</v>
      </c>
      <c r="P54" s="1584">
        <v>0</v>
      </c>
      <c r="Q54" s="1584">
        <v>0</v>
      </c>
      <c r="R54" s="1585">
        <v>0</v>
      </c>
      <c r="S54" s="1526"/>
      <c r="T54" s="4900"/>
      <c r="U54" s="4056"/>
      <c r="V54" s="1526"/>
      <c r="W54" s="1526"/>
      <c r="X54" s="1526"/>
    </row>
    <row r="55" spans="2:24">
      <c r="B55" s="1542"/>
      <c r="C55" s="1527" t="s">
        <v>153</v>
      </c>
      <c r="D55" s="1542">
        <f>D13+D18+D23+D28+D33+D38+D43+D48+D53+D54</f>
        <v>129884.78349999999</v>
      </c>
      <c r="E55" s="3242">
        <f>E13+E18+E23+E28+E33+E38+E43+E48+E53+E54</f>
        <v>84241.2592</v>
      </c>
      <c r="F55" s="3242">
        <f>F13+F18+F23+F28+F33+F38+F43+F48+F53+F54</f>
        <v>209791.6427</v>
      </c>
      <c r="G55" s="1526"/>
      <c r="H55" s="1526"/>
      <c r="I55" s="1526"/>
      <c r="J55" s="1526"/>
      <c r="K55" s="1526"/>
      <c r="L55" s="1526"/>
      <c r="M55" s="1526"/>
      <c r="N55" s="1526"/>
      <c r="O55" s="1526"/>
      <c r="P55" s="1606">
        <v>0</v>
      </c>
      <c r="Q55" s="1606">
        <v>0</v>
      </c>
      <c r="R55" s="1606">
        <v>0</v>
      </c>
      <c r="S55" s="1526"/>
      <c r="T55" s="4901"/>
      <c r="U55" s="4056"/>
      <c r="V55" s="1526"/>
      <c r="W55" s="1526"/>
      <c r="X55" s="1526"/>
    </row>
    <row r="56" spans="2:24">
      <c r="B56" s="1526"/>
      <c r="C56" s="1527"/>
      <c r="D56" s="1542"/>
      <c r="E56" s="1542"/>
      <c r="F56" s="1542"/>
      <c r="G56" s="1526"/>
      <c r="H56" s="1526"/>
      <c r="I56" s="1526"/>
      <c r="J56" s="1526"/>
      <c r="K56" s="1526"/>
      <c r="L56" s="1526"/>
      <c r="M56" s="1526"/>
      <c r="N56" s="1526"/>
      <c r="O56" s="1526"/>
      <c r="P56" s="1526"/>
      <c r="Q56" s="1526"/>
      <c r="R56" s="1526"/>
      <c r="S56" s="1526"/>
      <c r="T56" s="1526"/>
      <c r="U56" s="1526"/>
      <c r="V56" s="1526"/>
      <c r="W56" s="1526"/>
      <c r="X56" s="1526"/>
    </row>
    <row r="57" spans="2:24">
      <c r="B57" s="1526"/>
      <c r="C57" s="1527" t="s">
        <v>154</v>
      </c>
      <c r="D57" s="1542"/>
      <c r="E57" s="1542"/>
      <c r="F57" s="1542"/>
      <c r="G57" s="1526"/>
      <c r="H57" s="1526"/>
      <c r="I57" s="1526"/>
      <c r="J57" s="1526"/>
      <c r="K57" s="1526"/>
      <c r="L57" s="1526"/>
      <c r="M57" s="1526"/>
      <c r="N57" s="1526"/>
      <c r="O57" s="1526"/>
      <c r="P57" s="1526"/>
      <c r="Q57" s="1526"/>
      <c r="R57" s="1526"/>
      <c r="S57" s="1526"/>
      <c r="T57" s="1526"/>
      <c r="U57" s="1526"/>
      <c r="V57" s="1526"/>
      <c r="W57" s="1526"/>
      <c r="X57" s="1526"/>
    </row>
    <row r="58" spans="2:24">
      <c r="B58" s="1526"/>
      <c r="C58" s="1527" t="s">
        <v>155</v>
      </c>
      <c r="D58" s="1528">
        <v>0</v>
      </c>
      <c r="E58" s="1528">
        <v>0</v>
      </c>
      <c r="F58" s="1528">
        <v>0</v>
      </c>
      <c r="G58" s="1613">
        <v>0</v>
      </c>
      <c r="H58" s="1614" t="s">
        <v>156</v>
      </c>
      <c r="I58" s="1526"/>
      <c r="J58" s="1526"/>
      <c r="K58" s="1526"/>
      <c r="L58" s="1526"/>
      <c r="M58" s="1526"/>
      <c r="N58" s="1526"/>
      <c r="O58" s="1526"/>
      <c r="P58" s="1526"/>
      <c r="Q58" s="1526"/>
      <c r="R58" s="1526"/>
      <c r="S58" s="1526"/>
      <c r="T58" s="1526"/>
      <c r="U58" s="1526"/>
      <c r="V58" s="1526"/>
      <c r="W58" s="1526"/>
      <c r="X58" s="1526"/>
    </row>
    <row r="59" spans="2:24" ht="13.5" thickBot="1">
      <c r="B59" s="1526"/>
      <c r="C59" s="1526"/>
      <c r="D59" s="1526"/>
      <c r="E59" s="1526"/>
      <c r="F59" s="1526"/>
      <c r="G59" s="1526"/>
      <c r="H59" s="1526"/>
      <c r="I59" s="1526"/>
      <c r="J59" s="1526"/>
      <c r="K59" s="1526"/>
      <c r="L59" s="1526"/>
      <c r="M59" s="1526"/>
      <c r="N59" s="1526"/>
      <c r="O59" s="1526"/>
      <c r="P59" s="1526"/>
      <c r="Q59" s="1526"/>
      <c r="R59" s="1526"/>
      <c r="S59" s="1526"/>
      <c r="T59" s="1526"/>
      <c r="U59" s="1526"/>
      <c r="V59" s="1526"/>
      <c r="W59" s="1526"/>
      <c r="X59" s="1526"/>
    </row>
    <row r="60" spans="2:24" ht="16.5" thickBot="1">
      <c r="B60" s="1570" t="s">
        <v>157</v>
      </c>
      <c r="C60" s="1571"/>
      <c r="D60" s="5161" t="s">
        <v>158</v>
      </c>
      <c r="E60" s="5151"/>
      <c r="F60" s="5151"/>
      <c r="G60" s="5151"/>
      <c r="H60" s="5151"/>
      <c r="I60" s="1526"/>
      <c r="J60" s="1526"/>
      <c r="K60" s="1589"/>
      <c r="L60" s="1526"/>
      <c r="M60" s="1526"/>
      <c r="N60" s="1526"/>
      <c r="O60" s="1526"/>
      <c r="P60" s="1526"/>
      <c r="Q60" s="1526"/>
      <c r="R60" s="1526"/>
      <c r="S60" s="1526"/>
      <c r="T60" s="1526"/>
      <c r="U60" s="1526"/>
      <c r="V60" s="1526"/>
      <c r="W60" s="1526"/>
      <c r="X60" s="1526"/>
    </row>
    <row r="61" spans="2:24" ht="16.5" thickBot="1">
      <c r="B61" s="5153" t="s">
        <v>159</v>
      </c>
      <c r="C61" s="5154"/>
      <c r="D61" s="5154"/>
      <c r="E61" s="5154"/>
      <c r="F61" s="5154"/>
      <c r="G61" s="5154"/>
      <c r="H61" s="5154"/>
      <c r="I61" s="5154"/>
      <c r="J61" s="5154"/>
      <c r="K61" s="5155"/>
      <c r="L61" s="5153" t="s">
        <v>160</v>
      </c>
      <c r="M61" s="5154"/>
      <c r="N61" s="5154"/>
      <c r="O61" s="5154"/>
      <c r="P61" s="5154"/>
      <c r="Q61" s="5154"/>
      <c r="R61" s="5155"/>
      <c r="S61" s="5153" t="s">
        <v>161</v>
      </c>
      <c r="T61" s="5154"/>
      <c r="U61" s="5155"/>
      <c r="V61" s="5153" t="s">
        <v>110</v>
      </c>
      <c r="W61" s="5154"/>
      <c r="X61" s="5155"/>
    </row>
    <row r="62" spans="2:24" ht="13.5" thickBot="1">
      <c r="B62" s="1534" t="s">
        <v>162</v>
      </c>
      <c r="C62" s="1535" t="s">
        <v>129</v>
      </c>
      <c r="D62" s="1535" t="s">
        <v>130</v>
      </c>
      <c r="E62" s="1535" t="s">
        <v>163</v>
      </c>
      <c r="F62" s="1535" t="s">
        <v>164</v>
      </c>
      <c r="G62" s="1535" t="s">
        <v>165</v>
      </c>
      <c r="H62" s="1535" t="s">
        <v>166</v>
      </c>
      <c r="I62" s="1535" t="s">
        <v>167</v>
      </c>
      <c r="J62" s="1535" t="s">
        <v>168</v>
      </c>
      <c r="K62" s="1536" t="s">
        <v>169</v>
      </c>
      <c r="L62" s="1607" t="s">
        <v>170</v>
      </c>
      <c r="M62" s="1561" t="s">
        <v>171</v>
      </c>
      <c r="N62" s="1561" t="s">
        <v>808</v>
      </c>
      <c r="O62" s="1561" t="s">
        <v>809</v>
      </c>
      <c r="P62" s="1568" t="s">
        <v>810</v>
      </c>
      <c r="Q62" s="1568" t="s">
        <v>811</v>
      </c>
      <c r="R62" s="1568" t="s">
        <v>806</v>
      </c>
      <c r="S62" s="1545" t="s">
        <v>177</v>
      </c>
      <c r="T62" s="1545" t="s">
        <v>178</v>
      </c>
      <c r="U62" s="1546" t="s">
        <v>179</v>
      </c>
      <c r="V62" s="1545" t="s">
        <v>115</v>
      </c>
      <c r="W62" s="1545" t="s">
        <v>12</v>
      </c>
      <c r="X62" s="1546" t="s">
        <v>116</v>
      </c>
    </row>
    <row r="63" spans="2:24">
      <c r="B63" s="1533"/>
      <c r="C63" s="1530" t="s">
        <v>368</v>
      </c>
      <c r="D63" s="1533"/>
      <c r="E63" s="1533" t="s">
        <v>181</v>
      </c>
      <c r="F63" s="1533" t="s">
        <v>186</v>
      </c>
      <c r="G63" s="1538"/>
      <c r="H63" s="1612"/>
      <c r="I63" s="1549">
        <v>0</v>
      </c>
      <c r="J63" s="1533"/>
      <c r="K63" s="1533"/>
      <c r="L63" s="1562" t="e">
        <v>#N/A</v>
      </c>
      <c r="M63" s="1562" t="e">
        <v>#N/A</v>
      </c>
      <c r="N63" s="1554" t="e">
        <v>#DIV/0!</v>
      </c>
      <c r="O63" s="1554" t="e">
        <v>#DIV/0!</v>
      </c>
      <c r="P63" s="1554" t="e">
        <v>#N/A</v>
      </c>
      <c r="Q63" s="1554" t="e">
        <v>#N/A</v>
      </c>
      <c r="R63" s="1554" t="e">
        <v>#N/A</v>
      </c>
      <c r="S63" s="1551">
        <v>0</v>
      </c>
      <c r="T63" s="1551">
        <v>0</v>
      </c>
      <c r="U63" s="1551">
        <v>0</v>
      </c>
      <c r="V63" s="1615" t="e">
        <v>#DIV/0!</v>
      </c>
      <c r="W63" s="1615" t="e">
        <v>#DIV/0!</v>
      </c>
      <c r="X63" s="1615" t="e">
        <v>#DIV/0!</v>
      </c>
    </row>
    <row r="64" spans="2:24">
      <c r="B64" s="1530"/>
      <c r="C64" s="1530" t="s">
        <v>369</v>
      </c>
      <c r="D64" s="1530"/>
      <c r="E64" s="1530" t="s">
        <v>181</v>
      </c>
      <c r="F64" s="1533" t="s">
        <v>186</v>
      </c>
      <c r="G64" s="1538"/>
      <c r="H64" s="1612"/>
      <c r="I64" s="1549">
        <v>0</v>
      </c>
      <c r="J64" s="1533"/>
      <c r="K64" s="1533"/>
      <c r="L64" s="1562" t="e">
        <v>#N/A</v>
      </c>
      <c r="M64" s="1562" t="e">
        <v>#N/A</v>
      </c>
      <c r="N64" s="1554" t="e">
        <v>#DIV/0!</v>
      </c>
      <c r="O64" s="1554" t="e">
        <v>#DIV/0!</v>
      </c>
      <c r="P64" s="1554" t="e">
        <v>#N/A</v>
      </c>
      <c r="Q64" s="1554" t="e">
        <v>#N/A</v>
      </c>
      <c r="R64" s="1554" t="e">
        <v>#N/A</v>
      </c>
      <c r="S64" s="1551">
        <v>0</v>
      </c>
      <c r="T64" s="1551">
        <v>0</v>
      </c>
      <c r="U64" s="1551">
        <v>0</v>
      </c>
      <c r="V64" s="1615" t="e">
        <v>#DIV/0!</v>
      </c>
      <c r="W64" s="1615" t="e">
        <v>#DIV/0!</v>
      </c>
      <c r="X64" s="1615" t="e">
        <v>#DIV/0!</v>
      </c>
    </row>
    <row r="65" spans="2:24">
      <c r="B65" s="1530"/>
      <c r="C65" s="1530" t="s">
        <v>370</v>
      </c>
      <c r="D65" s="1530">
        <v>0</v>
      </c>
      <c r="E65" s="1530" t="s">
        <v>181</v>
      </c>
      <c r="F65" s="1530" t="s">
        <v>186</v>
      </c>
      <c r="G65" s="1538"/>
      <c r="H65" s="1538"/>
      <c r="I65" s="1549">
        <v>0</v>
      </c>
      <c r="J65" s="1533"/>
      <c r="K65" s="1533"/>
      <c r="L65" s="1562" t="e">
        <v>#N/A</v>
      </c>
      <c r="M65" s="1562" t="e">
        <v>#N/A</v>
      </c>
      <c r="N65" s="1554" t="e">
        <v>#DIV/0!</v>
      </c>
      <c r="O65" s="1554" t="e">
        <v>#DIV/0!</v>
      </c>
      <c r="P65" s="1554" t="e">
        <v>#N/A</v>
      </c>
      <c r="Q65" s="1554" t="e">
        <v>#N/A</v>
      </c>
      <c r="R65" s="1554" t="e">
        <v>#N/A</v>
      </c>
      <c r="S65" s="1551">
        <v>0</v>
      </c>
      <c r="T65" s="1551">
        <v>0</v>
      </c>
      <c r="U65" s="1551">
        <v>0</v>
      </c>
      <c r="V65" s="1615" t="e">
        <v>#DIV/0!</v>
      </c>
      <c r="W65" s="1615" t="e">
        <v>#DIV/0!</v>
      </c>
      <c r="X65" s="1615" t="e">
        <v>#DIV/0!</v>
      </c>
    </row>
    <row r="66" spans="2:24">
      <c r="B66" s="1530"/>
      <c r="C66" s="1530" t="s">
        <v>188</v>
      </c>
      <c r="D66" s="1530">
        <v>0</v>
      </c>
      <c r="E66" s="1530" t="s">
        <v>181</v>
      </c>
      <c r="F66" s="1530" t="s">
        <v>186</v>
      </c>
      <c r="G66" s="1538"/>
      <c r="H66" s="1538"/>
      <c r="I66" s="1549">
        <v>0</v>
      </c>
      <c r="J66" s="1533"/>
      <c r="K66" s="1533"/>
      <c r="L66" s="1562" t="e">
        <v>#N/A</v>
      </c>
      <c r="M66" s="1562" t="e">
        <v>#N/A</v>
      </c>
      <c r="N66" s="1554" t="e">
        <v>#DIV/0!</v>
      </c>
      <c r="O66" s="1554" t="e">
        <v>#DIV/0!</v>
      </c>
      <c r="P66" s="1554" t="e">
        <v>#N/A</v>
      </c>
      <c r="Q66" s="1554" t="e">
        <v>#N/A</v>
      </c>
      <c r="R66" s="1554" t="e">
        <v>#N/A</v>
      </c>
      <c r="S66" s="1551">
        <v>0</v>
      </c>
      <c r="T66" s="1551">
        <v>0</v>
      </c>
      <c r="U66" s="1551">
        <v>0</v>
      </c>
      <c r="V66" s="1615" t="e">
        <v>#DIV/0!</v>
      </c>
      <c r="W66" s="1615" t="e">
        <v>#DIV/0!</v>
      </c>
      <c r="X66" s="1615" t="e">
        <v>#DIV/0!</v>
      </c>
    </row>
    <row r="67" spans="2:24">
      <c r="B67" s="1530"/>
      <c r="C67" s="1530" t="s">
        <v>189</v>
      </c>
      <c r="D67" s="1530">
        <v>0</v>
      </c>
      <c r="E67" s="1530" t="s">
        <v>181</v>
      </c>
      <c r="F67" s="1530" t="s">
        <v>186</v>
      </c>
      <c r="G67" s="1538"/>
      <c r="H67" s="1538"/>
      <c r="I67" s="1549">
        <v>0</v>
      </c>
      <c r="J67" s="1533"/>
      <c r="K67" s="1533"/>
      <c r="L67" s="1562" t="e">
        <v>#N/A</v>
      </c>
      <c r="M67" s="1562" t="e">
        <v>#N/A</v>
      </c>
      <c r="N67" s="1554" t="e">
        <v>#DIV/0!</v>
      </c>
      <c r="O67" s="1554" t="e">
        <v>#DIV/0!</v>
      </c>
      <c r="P67" s="1554" t="e">
        <v>#N/A</v>
      </c>
      <c r="Q67" s="1602" t="e">
        <v>#N/A</v>
      </c>
      <c r="R67" s="1554" t="e">
        <v>#N/A</v>
      </c>
      <c r="S67" s="1551">
        <v>0</v>
      </c>
      <c r="T67" s="1551">
        <v>0</v>
      </c>
      <c r="U67" s="1551">
        <v>0</v>
      </c>
      <c r="V67" s="1615" t="e">
        <v>#DIV/0!</v>
      </c>
      <c r="W67" s="1615" t="e">
        <v>#DIV/0!</v>
      </c>
      <c r="X67" s="1615" t="e">
        <v>#DIV/0!</v>
      </c>
    </row>
    <row r="68" spans="2:24">
      <c r="B68" s="1530"/>
      <c r="C68" s="1530" t="s">
        <v>190</v>
      </c>
      <c r="D68" s="1530">
        <v>0</v>
      </c>
      <c r="E68" s="1530" t="s">
        <v>181</v>
      </c>
      <c r="F68" s="1530" t="s">
        <v>186</v>
      </c>
      <c r="G68" s="1538"/>
      <c r="H68" s="1538"/>
      <c r="I68" s="1549">
        <v>0</v>
      </c>
      <c r="J68" s="1533"/>
      <c r="K68" s="1533"/>
      <c r="L68" s="1562" t="e">
        <v>#N/A</v>
      </c>
      <c r="M68" s="1562" t="e">
        <v>#N/A</v>
      </c>
      <c r="N68" s="1554" t="e">
        <v>#DIV/0!</v>
      </c>
      <c r="O68" s="1554" t="e">
        <v>#DIV/0!</v>
      </c>
      <c r="P68" s="1554" t="e">
        <v>#N/A</v>
      </c>
      <c r="Q68" s="1602" t="e">
        <v>#N/A</v>
      </c>
      <c r="R68" s="1554" t="e">
        <v>#N/A</v>
      </c>
      <c r="S68" s="1551">
        <v>0</v>
      </c>
      <c r="T68" s="1551">
        <v>0</v>
      </c>
      <c r="U68" s="1551">
        <v>0</v>
      </c>
      <c r="V68" s="1615" t="e">
        <v>#DIV/0!</v>
      </c>
      <c r="W68" s="1615" t="e">
        <v>#DIV/0!</v>
      </c>
      <c r="X68" s="1615" t="e">
        <v>#DIV/0!</v>
      </c>
    </row>
    <row r="69" spans="2:24">
      <c r="B69" s="1530"/>
      <c r="C69" s="1530" t="s">
        <v>191</v>
      </c>
      <c r="D69" s="1530">
        <v>0</v>
      </c>
      <c r="E69" s="1530" t="s">
        <v>181</v>
      </c>
      <c r="F69" s="1530" t="s">
        <v>186</v>
      </c>
      <c r="G69" s="1538"/>
      <c r="H69" s="1538"/>
      <c r="I69" s="1549">
        <v>0</v>
      </c>
      <c r="J69" s="1533"/>
      <c r="K69" s="1533"/>
      <c r="L69" s="1562" t="e">
        <v>#N/A</v>
      </c>
      <c r="M69" s="1562" t="e">
        <v>#N/A</v>
      </c>
      <c r="N69" s="1554" t="e">
        <v>#DIV/0!</v>
      </c>
      <c r="O69" s="1554" t="e">
        <v>#DIV/0!</v>
      </c>
      <c r="P69" s="1554" t="e">
        <v>#N/A</v>
      </c>
      <c r="Q69" s="1602" t="e">
        <v>#N/A</v>
      </c>
      <c r="R69" s="1554" t="e">
        <v>#N/A</v>
      </c>
      <c r="S69" s="1551">
        <v>0</v>
      </c>
      <c r="T69" s="1551">
        <v>0</v>
      </c>
      <c r="U69" s="1551">
        <v>0</v>
      </c>
      <c r="V69" s="1615" t="e">
        <v>#DIV/0!</v>
      </c>
      <c r="W69" s="1615" t="e">
        <v>#DIV/0!</v>
      </c>
      <c r="X69" s="1615" t="e">
        <v>#DIV/0!</v>
      </c>
    </row>
    <row r="70" spans="2:24">
      <c r="B70" s="1530"/>
      <c r="C70" s="1530" t="s">
        <v>192</v>
      </c>
      <c r="D70" s="1530">
        <v>0</v>
      </c>
      <c r="E70" s="1530" t="s">
        <v>181</v>
      </c>
      <c r="F70" s="1530" t="s">
        <v>186</v>
      </c>
      <c r="G70" s="1538"/>
      <c r="H70" s="1538"/>
      <c r="I70" s="1549">
        <v>0</v>
      </c>
      <c r="J70" s="1533"/>
      <c r="K70" s="1533"/>
      <c r="L70" s="1562" t="e">
        <v>#N/A</v>
      </c>
      <c r="M70" s="1562" t="e">
        <v>#N/A</v>
      </c>
      <c r="N70" s="1554" t="e">
        <v>#DIV/0!</v>
      </c>
      <c r="O70" s="1554" t="e">
        <v>#DIV/0!</v>
      </c>
      <c r="P70" s="1554" t="e">
        <v>#N/A</v>
      </c>
      <c r="Q70" s="1602" t="e">
        <v>#N/A</v>
      </c>
      <c r="R70" s="1554" t="e">
        <v>#N/A</v>
      </c>
      <c r="S70" s="1551">
        <v>0</v>
      </c>
      <c r="T70" s="1551">
        <v>0</v>
      </c>
      <c r="U70" s="1551">
        <v>0</v>
      </c>
      <c r="V70" s="1615" t="e">
        <v>#DIV/0!</v>
      </c>
      <c r="W70" s="1615" t="e">
        <v>#DIV/0!</v>
      </c>
      <c r="X70" s="1615" t="e">
        <v>#DIV/0!</v>
      </c>
    </row>
    <row r="71" spans="2:24">
      <c r="B71" s="1530"/>
      <c r="C71" s="1530" t="s">
        <v>193</v>
      </c>
      <c r="D71" s="1530">
        <v>0</v>
      </c>
      <c r="E71" s="1530" t="s">
        <v>181</v>
      </c>
      <c r="F71" s="1530" t="s">
        <v>186</v>
      </c>
      <c r="G71" s="1538"/>
      <c r="H71" s="1538"/>
      <c r="I71" s="1549">
        <v>0</v>
      </c>
      <c r="J71" s="1533"/>
      <c r="K71" s="1533"/>
      <c r="L71" s="1562" t="e">
        <v>#N/A</v>
      </c>
      <c r="M71" s="1562" t="e">
        <v>#N/A</v>
      </c>
      <c r="N71" s="1554" t="e">
        <v>#DIV/0!</v>
      </c>
      <c r="O71" s="1554" t="e">
        <v>#DIV/0!</v>
      </c>
      <c r="P71" s="1554" t="e">
        <v>#N/A</v>
      </c>
      <c r="Q71" s="1602" t="e">
        <v>#N/A</v>
      </c>
      <c r="R71" s="1554" t="e">
        <v>#N/A</v>
      </c>
      <c r="S71" s="1551">
        <v>0</v>
      </c>
      <c r="T71" s="1551">
        <v>0</v>
      </c>
      <c r="U71" s="1551">
        <v>0</v>
      </c>
      <c r="V71" s="1615" t="e">
        <v>#DIV/0!</v>
      </c>
      <c r="W71" s="1615" t="e">
        <v>#DIV/0!</v>
      </c>
      <c r="X71" s="1615" t="e">
        <v>#DIV/0!</v>
      </c>
    </row>
    <row r="72" spans="2:24">
      <c r="B72" s="1530"/>
      <c r="C72" s="1530" t="s">
        <v>194</v>
      </c>
      <c r="D72" s="1530">
        <v>0</v>
      </c>
      <c r="E72" s="1530" t="s">
        <v>181</v>
      </c>
      <c r="F72" s="1530" t="s">
        <v>186</v>
      </c>
      <c r="G72" s="1538"/>
      <c r="H72" s="1538"/>
      <c r="I72" s="1549">
        <v>0</v>
      </c>
      <c r="J72" s="1533"/>
      <c r="K72" s="1533"/>
      <c r="L72" s="1562" t="e">
        <v>#N/A</v>
      </c>
      <c r="M72" s="1562" t="e">
        <v>#N/A</v>
      </c>
      <c r="N72" s="1554" t="e">
        <v>#DIV/0!</v>
      </c>
      <c r="O72" s="1554" t="e">
        <v>#DIV/0!</v>
      </c>
      <c r="P72" s="1554" t="e">
        <v>#N/A</v>
      </c>
      <c r="Q72" s="1602" t="e">
        <v>#N/A</v>
      </c>
      <c r="R72" s="1554" t="e">
        <v>#N/A</v>
      </c>
      <c r="S72" s="1551">
        <v>0</v>
      </c>
      <c r="T72" s="1551">
        <v>0</v>
      </c>
      <c r="U72" s="1551">
        <v>0</v>
      </c>
      <c r="V72" s="1615" t="e">
        <v>#DIV/0!</v>
      </c>
      <c r="W72" s="1615" t="e">
        <v>#DIV/0!</v>
      </c>
      <c r="X72" s="1615" t="e">
        <v>#DIV/0!</v>
      </c>
    </row>
    <row r="73" spans="2:24">
      <c r="B73" s="1530"/>
      <c r="C73" s="1530" t="s">
        <v>195</v>
      </c>
      <c r="D73" s="1530">
        <v>0</v>
      </c>
      <c r="E73" s="1530" t="s">
        <v>181</v>
      </c>
      <c r="F73" s="1530" t="s">
        <v>186</v>
      </c>
      <c r="G73" s="1538"/>
      <c r="H73" s="1538"/>
      <c r="I73" s="1549">
        <v>0</v>
      </c>
      <c r="J73" s="1533"/>
      <c r="K73" s="1533"/>
      <c r="L73" s="1562" t="e">
        <v>#N/A</v>
      </c>
      <c r="M73" s="1562" t="e">
        <v>#N/A</v>
      </c>
      <c r="N73" s="1554" t="e">
        <v>#DIV/0!</v>
      </c>
      <c r="O73" s="1554" t="e">
        <v>#DIV/0!</v>
      </c>
      <c r="P73" s="1554" t="e">
        <v>#N/A</v>
      </c>
      <c r="Q73" s="1602" t="e">
        <v>#N/A</v>
      </c>
      <c r="R73" s="1554" t="e">
        <v>#N/A</v>
      </c>
      <c r="S73" s="1551">
        <v>0</v>
      </c>
      <c r="T73" s="1551">
        <v>0</v>
      </c>
      <c r="U73" s="1551">
        <v>0</v>
      </c>
      <c r="V73" s="1615" t="e">
        <v>#DIV/0!</v>
      </c>
      <c r="W73" s="1615" t="e">
        <v>#DIV/0!</v>
      </c>
      <c r="X73" s="1615" t="e">
        <v>#DIV/0!</v>
      </c>
    </row>
    <row r="74" spans="2:24">
      <c r="B74" s="1530"/>
      <c r="C74" s="1530" t="s">
        <v>196</v>
      </c>
      <c r="D74" s="1530">
        <v>0</v>
      </c>
      <c r="E74" s="1530" t="s">
        <v>181</v>
      </c>
      <c r="F74" s="1530" t="s">
        <v>186</v>
      </c>
      <c r="G74" s="1538"/>
      <c r="H74" s="1538"/>
      <c r="I74" s="1549">
        <v>0</v>
      </c>
      <c r="J74" s="1533"/>
      <c r="K74" s="1533"/>
      <c r="L74" s="1562" t="e">
        <v>#N/A</v>
      </c>
      <c r="M74" s="1562" t="e">
        <v>#N/A</v>
      </c>
      <c r="N74" s="1554" t="e">
        <v>#DIV/0!</v>
      </c>
      <c r="O74" s="1554" t="e">
        <v>#DIV/0!</v>
      </c>
      <c r="P74" s="1554" t="e">
        <v>#N/A</v>
      </c>
      <c r="Q74" s="1602" t="e">
        <v>#N/A</v>
      </c>
      <c r="R74" s="1554" t="e">
        <v>#N/A</v>
      </c>
      <c r="S74" s="1551">
        <v>0</v>
      </c>
      <c r="T74" s="1551">
        <v>0</v>
      </c>
      <c r="U74" s="1551">
        <v>0</v>
      </c>
      <c r="V74" s="1615" t="e">
        <v>#DIV/0!</v>
      </c>
      <c r="W74" s="1615" t="e">
        <v>#DIV/0!</v>
      </c>
      <c r="X74" s="1615" t="e">
        <v>#DIV/0!</v>
      </c>
    </row>
    <row r="75" spans="2:24">
      <c r="B75" s="1530"/>
      <c r="C75" s="1530" t="s">
        <v>197</v>
      </c>
      <c r="D75" s="1530">
        <v>0</v>
      </c>
      <c r="E75" s="1530" t="s">
        <v>181</v>
      </c>
      <c r="F75" s="1530" t="s">
        <v>186</v>
      </c>
      <c r="G75" s="1538"/>
      <c r="H75" s="1538"/>
      <c r="I75" s="1549">
        <v>0</v>
      </c>
      <c r="J75" s="1533"/>
      <c r="K75" s="1533"/>
      <c r="L75" s="1562" t="e">
        <v>#N/A</v>
      </c>
      <c r="M75" s="1562" t="e">
        <v>#N/A</v>
      </c>
      <c r="N75" s="1554" t="e">
        <v>#DIV/0!</v>
      </c>
      <c r="O75" s="1554" t="e">
        <v>#DIV/0!</v>
      </c>
      <c r="P75" s="1554" t="e">
        <v>#N/A</v>
      </c>
      <c r="Q75" s="1602" t="e">
        <v>#N/A</v>
      </c>
      <c r="R75" s="1554" t="e">
        <v>#N/A</v>
      </c>
      <c r="S75" s="1551">
        <v>0</v>
      </c>
      <c r="T75" s="1551">
        <v>0</v>
      </c>
      <c r="U75" s="1551">
        <v>0</v>
      </c>
      <c r="V75" s="1615" t="e">
        <v>#DIV/0!</v>
      </c>
      <c r="W75" s="1615" t="e">
        <v>#DIV/0!</v>
      </c>
      <c r="X75" s="1615" t="e">
        <v>#DIV/0!</v>
      </c>
    </row>
    <row r="76" spans="2:24">
      <c r="B76" s="1530"/>
      <c r="C76" s="1530" t="s">
        <v>198</v>
      </c>
      <c r="D76" s="1530">
        <v>0</v>
      </c>
      <c r="E76" s="1530" t="s">
        <v>181</v>
      </c>
      <c r="F76" s="1530" t="s">
        <v>186</v>
      </c>
      <c r="G76" s="1538"/>
      <c r="H76" s="1538"/>
      <c r="I76" s="1549">
        <v>0</v>
      </c>
      <c r="J76" s="1533"/>
      <c r="K76" s="1533"/>
      <c r="L76" s="1562" t="e">
        <v>#N/A</v>
      </c>
      <c r="M76" s="1562" t="e">
        <v>#N/A</v>
      </c>
      <c r="N76" s="1554" t="e">
        <v>#DIV/0!</v>
      </c>
      <c r="O76" s="1554" t="e">
        <v>#DIV/0!</v>
      </c>
      <c r="P76" s="1554" t="e">
        <v>#N/A</v>
      </c>
      <c r="Q76" s="1602" t="e">
        <v>#N/A</v>
      </c>
      <c r="R76" s="1554" t="e">
        <v>#N/A</v>
      </c>
      <c r="S76" s="1551">
        <v>0</v>
      </c>
      <c r="T76" s="1551">
        <v>0</v>
      </c>
      <c r="U76" s="1551">
        <v>0</v>
      </c>
      <c r="V76" s="1615" t="e">
        <v>#DIV/0!</v>
      </c>
      <c r="W76" s="1615" t="e">
        <v>#DIV/0!</v>
      </c>
      <c r="X76" s="1615" t="e">
        <v>#DIV/0!</v>
      </c>
    </row>
    <row r="77" spans="2:24">
      <c r="B77" s="1530"/>
      <c r="C77" s="1530" t="s">
        <v>199</v>
      </c>
      <c r="D77" s="1530">
        <v>0</v>
      </c>
      <c r="E77" s="1530" t="s">
        <v>181</v>
      </c>
      <c r="F77" s="1530" t="s">
        <v>186</v>
      </c>
      <c r="G77" s="1538"/>
      <c r="H77" s="1538"/>
      <c r="I77" s="1549">
        <v>0</v>
      </c>
      <c r="J77" s="1533"/>
      <c r="K77" s="1533"/>
      <c r="L77" s="1562" t="e">
        <v>#N/A</v>
      </c>
      <c r="M77" s="1562" t="e">
        <v>#N/A</v>
      </c>
      <c r="N77" s="1554" t="e">
        <v>#DIV/0!</v>
      </c>
      <c r="O77" s="1554" t="e">
        <v>#DIV/0!</v>
      </c>
      <c r="P77" s="1554" t="e">
        <v>#N/A</v>
      </c>
      <c r="Q77" s="1602" t="e">
        <v>#N/A</v>
      </c>
      <c r="R77" s="1554" t="e">
        <v>#N/A</v>
      </c>
      <c r="S77" s="1551">
        <v>0</v>
      </c>
      <c r="T77" s="1551">
        <v>0</v>
      </c>
      <c r="U77" s="1551">
        <v>0</v>
      </c>
      <c r="V77" s="1615" t="e">
        <v>#DIV/0!</v>
      </c>
      <c r="W77" s="1615" t="e">
        <v>#DIV/0!</v>
      </c>
      <c r="X77" s="1615" t="e">
        <v>#DIV/0!</v>
      </c>
    </row>
    <row r="78" spans="2:24">
      <c r="B78" s="1530"/>
      <c r="C78" s="1530" t="s">
        <v>200</v>
      </c>
      <c r="D78" s="1530">
        <v>0</v>
      </c>
      <c r="E78" s="1530" t="s">
        <v>181</v>
      </c>
      <c r="F78" s="1530" t="s">
        <v>186</v>
      </c>
      <c r="G78" s="1538"/>
      <c r="H78" s="1538"/>
      <c r="I78" s="1549">
        <v>0</v>
      </c>
      <c r="J78" s="1533"/>
      <c r="K78" s="1533"/>
      <c r="L78" s="1562" t="e">
        <v>#N/A</v>
      </c>
      <c r="M78" s="1562" t="e">
        <v>#N/A</v>
      </c>
      <c r="N78" s="1554" t="e">
        <v>#DIV/0!</v>
      </c>
      <c r="O78" s="1554" t="e">
        <v>#DIV/0!</v>
      </c>
      <c r="P78" s="1554" t="e">
        <v>#N/A</v>
      </c>
      <c r="Q78" s="1602" t="e">
        <v>#N/A</v>
      </c>
      <c r="R78" s="1554" t="e">
        <v>#N/A</v>
      </c>
      <c r="S78" s="1551">
        <v>0</v>
      </c>
      <c r="T78" s="1551">
        <v>0</v>
      </c>
      <c r="U78" s="1551">
        <v>0</v>
      </c>
      <c r="V78" s="1615" t="e">
        <v>#DIV/0!</v>
      </c>
      <c r="W78" s="1615" t="e">
        <v>#DIV/0!</v>
      </c>
      <c r="X78" s="1615" t="e">
        <v>#DIV/0!</v>
      </c>
    </row>
    <row r="79" spans="2:24">
      <c r="B79" s="1530"/>
      <c r="C79" s="1530" t="s">
        <v>201</v>
      </c>
      <c r="D79" s="1530">
        <v>0</v>
      </c>
      <c r="E79" s="1530" t="s">
        <v>181</v>
      </c>
      <c r="F79" s="1530" t="s">
        <v>186</v>
      </c>
      <c r="G79" s="1538"/>
      <c r="H79" s="1538"/>
      <c r="I79" s="1549">
        <v>0</v>
      </c>
      <c r="J79" s="1533"/>
      <c r="K79" s="1533"/>
      <c r="L79" s="1562" t="e">
        <v>#N/A</v>
      </c>
      <c r="M79" s="1562" t="e">
        <v>#N/A</v>
      </c>
      <c r="N79" s="1602" t="e">
        <v>#DIV/0!</v>
      </c>
      <c r="O79" s="1602" t="e">
        <v>#DIV/0!</v>
      </c>
      <c r="P79" s="1554" t="e">
        <v>#N/A</v>
      </c>
      <c r="Q79" s="1602" t="e">
        <v>#N/A</v>
      </c>
      <c r="R79" s="1602" t="e">
        <v>#N/A</v>
      </c>
      <c r="S79" s="1551">
        <v>0</v>
      </c>
      <c r="T79" s="1551">
        <v>0</v>
      </c>
      <c r="U79" s="1551">
        <v>0</v>
      </c>
      <c r="V79" s="1615" t="e">
        <v>#DIV/0!</v>
      </c>
      <c r="W79" s="1615" t="e">
        <v>#DIV/0!</v>
      </c>
      <c r="X79" s="1615" t="e">
        <v>#DIV/0!</v>
      </c>
    </row>
    <row r="80" spans="2:24">
      <c r="B80" s="1530"/>
      <c r="C80" s="1530" t="s">
        <v>202</v>
      </c>
      <c r="D80" s="1530">
        <v>0</v>
      </c>
      <c r="E80" s="1530" t="s">
        <v>181</v>
      </c>
      <c r="F80" s="1530" t="s">
        <v>186</v>
      </c>
      <c r="G80" s="1538"/>
      <c r="H80" s="1538"/>
      <c r="I80" s="1549">
        <v>0</v>
      </c>
      <c r="J80" s="1533"/>
      <c r="K80" s="1533"/>
      <c r="L80" s="1562" t="e">
        <v>#N/A</v>
      </c>
      <c r="M80" s="1562" t="e">
        <v>#N/A</v>
      </c>
      <c r="N80" s="1602" t="e">
        <v>#DIV/0!</v>
      </c>
      <c r="O80" s="1602" t="e">
        <v>#DIV/0!</v>
      </c>
      <c r="P80" s="1554" t="e">
        <v>#N/A</v>
      </c>
      <c r="Q80" s="1602" t="e">
        <v>#N/A</v>
      </c>
      <c r="R80" s="1602" t="e">
        <v>#N/A</v>
      </c>
      <c r="S80" s="1551">
        <v>0</v>
      </c>
      <c r="T80" s="1551">
        <v>0</v>
      </c>
      <c r="U80" s="1551">
        <v>0</v>
      </c>
      <c r="V80" s="1615" t="e">
        <v>#DIV/0!</v>
      </c>
      <c r="W80" s="1615" t="e">
        <v>#DIV/0!</v>
      </c>
      <c r="X80" s="1615" t="e">
        <v>#DIV/0!</v>
      </c>
    </row>
    <row r="81" spans="2:24">
      <c r="B81" s="1530"/>
      <c r="C81" s="1530" t="s">
        <v>203</v>
      </c>
      <c r="D81" s="1530">
        <v>0</v>
      </c>
      <c r="E81" s="1530" t="s">
        <v>181</v>
      </c>
      <c r="F81" s="1530" t="s">
        <v>186</v>
      </c>
      <c r="G81" s="1538"/>
      <c r="H81" s="1538"/>
      <c r="I81" s="1549">
        <v>0</v>
      </c>
      <c r="J81" s="1533"/>
      <c r="K81" s="1533"/>
      <c r="L81" s="1562" t="e">
        <v>#N/A</v>
      </c>
      <c r="M81" s="1562" t="e">
        <v>#N/A</v>
      </c>
      <c r="N81" s="1602" t="e">
        <v>#DIV/0!</v>
      </c>
      <c r="O81" s="1602" t="e">
        <v>#DIV/0!</v>
      </c>
      <c r="P81" s="1554" t="e">
        <v>#N/A</v>
      </c>
      <c r="Q81" s="1602" t="e">
        <v>#N/A</v>
      </c>
      <c r="R81" s="1602" t="e">
        <v>#N/A</v>
      </c>
      <c r="S81" s="1551">
        <v>0</v>
      </c>
      <c r="T81" s="1551">
        <v>0</v>
      </c>
      <c r="U81" s="1551">
        <v>0</v>
      </c>
      <c r="V81" s="1615" t="e">
        <v>#DIV/0!</v>
      </c>
      <c r="W81" s="1615" t="e">
        <v>#DIV/0!</v>
      </c>
      <c r="X81" s="1615" t="e">
        <v>#DIV/0!</v>
      </c>
    </row>
    <row r="82" spans="2:24">
      <c r="B82" s="1530"/>
      <c r="C82" s="1530" t="s">
        <v>204</v>
      </c>
      <c r="D82" s="1530">
        <v>0</v>
      </c>
      <c r="E82" s="1530" t="s">
        <v>181</v>
      </c>
      <c r="F82" s="1530" t="s">
        <v>186</v>
      </c>
      <c r="G82" s="1538"/>
      <c r="H82" s="1538"/>
      <c r="I82" s="1549">
        <v>0</v>
      </c>
      <c r="J82" s="1533"/>
      <c r="K82" s="1533"/>
      <c r="L82" s="1562" t="e">
        <v>#N/A</v>
      </c>
      <c r="M82" s="1562" t="e">
        <v>#N/A</v>
      </c>
      <c r="N82" s="1602" t="e">
        <v>#DIV/0!</v>
      </c>
      <c r="O82" s="1602" t="e">
        <v>#DIV/0!</v>
      </c>
      <c r="P82" s="1554" t="e">
        <v>#N/A</v>
      </c>
      <c r="Q82" s="1602" t="e">
        <v>#N/A</v>
      </c>
      <c r="R82" s="1602" t="e">
        <v>#N/A</v>
      </c>
      <c r="S82" s="1551">
        <v>0</v>
      </c>
      <c r="T82" s="1551">
        <v>0</v>
      </c>
      <c r="U82" s="1551">
        <v>0</v>
      </c>
    </row>
    <row r="83" spans="2:24">
      <c r="B83" s="1530"/>
      <c r="C83" s="1530" t="s">
        <v>205</v>
      </c>
      <c r="D83" s="1587">
        <v>0</v>
      </c>
      <c r="E83" s="1530" t="s">
        <v>181</v>
      </c>
      <c r="F83" s="1530" t="s">
        <v>186</v>
      </c>
      <c r="G83" s="1538"/>
      <c r="H83" s="1538"/>
      <c r="I83" s="1549">
        <v>0</v>
      </c>
      <c r="J83" s="1533"/>
      <c r="K83" s="1533"/>
      <c r="L83" s="1562" t="e">
        <v>#N/A</v>
      </c>
      <c r="M83" s="1562" t="e">
        <v>#N/A</v>
      </c>
      <c r="N83" s="1602" t="e">
        <v>#DIV/0!</v>
      </c>
      <c r="O83" s="1602" t="e">
        <v>#DIV/0!</v>
      </c>
      <c r="P83" s="1554" t="e">
        <v>#N/A</v>
      </c>
      <c r="Q83" s="1602" t="e">
        <v>#N/A</v>
      </c>
      <c r="R83" s="1602" t="e">
        <v>#N/A</v>
      </c>
      <c r="S83" s="1551">
        <v>0</v>
      </c>
      <c r="T83" s="1551">
        <v>0</v>
      </c>
      <c r="U83" s="1551">
        <v>0</v>
      </c>
    </row>
    <row r="84" spans="2:24">
      <c r="B84" s="1530"/>
      <c r="C84" s="1530" t="s">
        <v>206</v>
      </c>
      <c r="D84" s="1587">
        <v>0</v>
      </c>
      <c r="E84" s="1530" t="s">
        <v>181</v>
      </c>
      <c r="F84" s="1530" t="s">
        <v>186</v>
      </c>
      <c r="G84" s="1538"/>
      <c r="H84" s="1538"/>
      <c r="I84" s="1549">
        <v>0</v>
      </c>
      <c r="J84" s="1533"/>
      <c r="K84" s="1533"/>
      <c r="L84" s="1562" t="e">
        <v>#N/A</v>
      </c>
      <c r="M84" s="1562" t="e">
        <v>#N/A</v>
      </c>
      <c r="N84" s="1602" t="e">
        <v>#DIV/0!</v>
      </c>
      <c r="O84" s="1602" t="e">
        <v>#DIV/0!</v>
      </c>
      <c r="P84" s="1554" t="e">
        <v>#N/A</v>
      </c>
      <c r="Q84" s="1602" t="e">
        <v>#N/A</v>
      </c>
      <c r="R84" s="1602" t="e">
        <v>#N/A</v>
      </c>
      <c r="S84" s="1551">
        <v>0</v>
      </c>
      <c r="T84" s="1551">
        <v>0</v>
      </c>
      <c r="U84" s="1551">
        <v>0</v>
      </c>
    </row>
    <row r="85" spans="2:24">
      <c r="B85" s="1530"/>
      <c r="C85" s="1530" t="s">
        <v>207</v>
      </c>
      <c r="D85" s="1587">
        <v>0</v>
      </c>
      <c r="E85" s="1530" t="s">
        <v>181</v>
      </c>
      <c r="F85" s="1530" t="s">
        <v>186</v>
      </c>
      <c r="G85" s="1538"/>
      <c r="H85" s="1538"/>
      <c r="I85" s="1549">
        <v>0</v>
      </c>
      <c r="J85" s="1533"/>
      <c r="K85" s="1533"/>
      <c r="L85" s="1562" t="e">
        <v>#N/A</v>
      </c>
      <c r="M85" s="1562" t="e">
        <v>#N/A</v>
      </c>
      <c r="N85" s="1602" t="e">
        <v>#DIV/0!</v>
      </c>
      <c r="O85" s="1602" t="e">
        <v>#DIV/0!</v>
      </c>
      <c r="P85" s="1554" t="e">
        <v>#N/A</v>
      </c>
      <c r="Q85" s="1602" t="e">
        <v>#N/A</v>
      </c>
      <c r="R85" s="1602" t="e">
        <v>#N/A</v>
      </c>
      <c r="S85" s="1551">
        <v>0</v>
      </c>
      <c r="T85" s="1551">
        <v>0</v>
      </c>
      <c r="U85" s="1551">
        <v>0</v>
      </c>
    </row>
    <row r="86" spans="2:24">
      <c r="B86" s="1530"/>
      <c r="C86" s="1530" t="s">
        <v>208</v>
      </c>
      <c r="D86" s="1587">
        <v>0</v>
      </c>
      <c r="E86" s="1530" t="s">
        <v>181</v>
      </c>
      <c r="F86" s="1530" t="s">
        <v>186</v>
      </c>
      <c r="G86" s="1538"/>
      <c r="H86" s="1538"/>
      <c r="I86" s="1549">
        <v>0</v>
      </c>
      <c r="J86" s="1533"/>
      <c r="K86" s="1533"/>
      <c r="L86" s="1562" t="e">
        <v>#N/A</v>
      </c>
      <c r="M86" s="1562" t="e">
        <v>#N/A</v>
      </c>
      <c r="N86" s="1602" t="e">
        <v>#DIV/0!</v>
      </c>
      <c r="O86" s="1602" t="e">
        <v>#DIV/0!</v>
      </c>
      <c r="P86" s="1554" t="e">
        <v>#N/A</v>
      </c>
      <c r="Q86" s="1602" t="e">
        <v>#N/A</v>
      </c>
      <c r="R86" s="1602" t="e">
        <v>#N/A</v>
      </c>
      <c r="S86" s="1551">
        <v>0</v>
      </c>
      <c r="T86" s="1551">
        <v>0</v>
      </c>
      <c r="U86" s="1551">
        <v>0</v>
      </c>
    </row>
    <row r="87" spans="2:24">
      <c r="B87" s="1530"/>
      <c r="C87" s="1530" t="s">
        <v>209</v>
      </c>
      <c r="D87" s="1587">
        <v>0</v>
      </c>
      <c r="E87" s="1530" t="s">
        <v>181</v>
      </c>
      <c r="F87" s="1530" t="s">
        <v>186</v>
      </c>
      <c r="G87" s="1538"/>
      <c r="H87" s="1538"/>
      <c r="I87" s="1549">
        <v>0</v>
      </c>
      <c r="J87" s="1533"/>
      <c r="K87" s="1533"/>
      <c r="L87" s="1562" t="e">
        <v>#N/A</v>
      </c>
      <c r="M87" s="1562" t="e">
        <v>#N/A</v>
      </c>
      <c r="N87" s="1602" t="e">
        <v>#DIV/0!</v>
      </c>
      <c r="O87" s="1602" t="e">
        <v>#DIV/0!</v>
      </c>
      <c r="P87" s="1554" t="e">
        <v>#N/A</v>
      </c>
      <c r="Q87" s="1602" t="e">
        <v>#N/A</v>
      </c>
      <c r="R87" s="1602" t="e">
        <v>#N/A</v>
      </c>
      <c r="S87" s="1551">
        <v>0</v>
      </c>
      <c r="T87" s="1551">
        <v>0</v>
      </c>
      <c r="U87" s="1551">
        <v>0</v>
      </c>
    </row>
    <row r="88" spans="2:24">
      <c r="B88" s="1530"/>
      <c r="C88" s="1530" t="s">
        <v>210</v>
      </c>
      <c r="D88" s="1587">
        <v>0</v>
      </c>
      <c r="E88" s="1530" t="s">
        <v>181</v>
      </c>
      <c r="F88" s="1530" t="s">
        <v>186</v>
      </c>
      <c r="G88" s="1538"/>
      <c r="H88" s="1538"/>
      <c r="I88" s="1549">
        <v>0</v>
      </c>
      <c r="J88" s="1533"/>
      <c r="K88" s="1533"/>
      <c r="L88" s="1562" t="e">
        <v>#N/A</v>
      </c>
      <c r="M88" s="1562" t="e">
        <v>#N/A</v>
      </c>
      <c r="N88" s="1602" t="e">
        <v>#DIV/0!</v>
      </c>
      <c r="O88" s="1602" t="e">
        <v>#DIV/0!</v>
      </c>
      <c r="P88" s="1554" t="e">
        <v>#N/A</v>
      </c>
      <c r="Q88" s="1602" t="e">
        <v>#N/A</v>
      </c>
      <c r="R88" s="1602" t="e">
        <v>#N/A</v>
      </c>
      <c r="S88" s="1551">
        <v>0</v>
      </c>
      <c r="T88" s="1551">
        <v>0</v>
      </c>
      <c r="U88" s="1551">
        <v>0</v>
      </c>
    </row>
    <row r="89" spans="2:24">
      <c r="B89" s="1530"/>
      <c r="C89" s="1530" t="s">
        <v>211</v>
      </c>
      <c r="D89" s="1587">
        <v>0</v>
      </c>
      <c r="E89" s="1530" t="s">
        <v>181</v>
      </c>
      <c r="F89" s="1530" t="s">
        <v>186</v>
      </c>
      <c r="G89" s="1538"/>
      <c r="H89" s="1538"/>
      <c r="I89" s="1549">
        <v>0</v>
      </c>
      <c r="J89" s="1533"/>
      <c r="K89" s="1533"/>
      <c r="L89" s="1562" t="e">
        <v>#N/A</v>
      </c>
      <c r="M89" s="1562" t="e">
        <v>#N/A</v>
      </c>
      <c r="N89" s="1602" t="e">
        <v>#DIV/0!</v>
      </c>
      <c r="O89" s="1602" t="e">
        <v>#DIV/0!</v>
      </c>
      <c r="P89" s="1554" t="e">
        <v>#N/A</v>
      </c>
      <c r="Q89" s="1602" t="e">
        <v>#N/A</v>
      </c>
      <c r="R89" s="1602" t="e">
        <v>#N/A</v>
      </c>
      <c r="S89" s="1551">
        <v>0</v>
      </c>
      <c r="T89" s="1551">
        <v>0</v>
      </c>
      <c r="U89" s="1551">
        <v>0</v>
      </c>
    </row>
    <row r="90" spans="2:24">
      <c r="B90" s="1530"/>
      <c r="C90" s="1530" t="s">
        <v>212</v>
      </c>
      <c r="D90" s="1587">
        <v>0</v>
      </c>
      <c r="E90" s="1530" t="s">
        <v>181</v>
      </c>
      <c r="F90" s="1530" t="s">
        <v>186</v>
      </c>
      <c r="G90" s="1538"/>
      <c r="H90" s="1538"/>
      <c r="I90" s="1549">
        <v>0</v>
      </c>
      <c r="J90" s="1533"/>
      <c r="K90" s="1533"/>
      <c r="L90" s="1562" t="e">
        <v>#N/A</v>
      </c>
      <c r="M90" s="1562" t="e">
        <v>#N/A</v>
      </c>
      <c r="N90" s="1602" t="e">
        <v>#DIV/0!</v>
      </c>
      <c r="O90" s="1602" t="e">
        <v>#DIV/0!</v>
      </c>
      <c r="P90" s="1554" t="e">
        <v>#N/A</v>
      </c>
      <c r="Q90" s="1602" t="e">
        <v>#N/A</v>
      </c>
      <c r="R90" s="1602" t="e">
        <v>#N/A</v>
      </c>
      <c r="S90" s="1551">
        <v>0</v>
      </c>
      <c r="T90" s="1551">
        <v>0</v>
      </c>
      <c r="U90" s="1551">
        <v>0</v>
      </c>
    </row>
    <row r="91" spans="2:24">
      <c r="B91" s="1530"/>
      <c r="C91" s="1530" t="s">
        <v>213</v>
      </c>
      <c r="D91" s="1587">
        <v>0</v>
      </c>
      <c r="E91" s="1530" t="s">
        <v>181</v>
      </c>
      <c r="F91" s="1530" t="s">
        <v>186</v>
      </c>
      <c r="G91" s="1538"/>
      <c r="H91" s="1538"/>
      <c r="I91" s="1549">
        <v>0</v>
      </c>
      <c r="J91" s="1533"/>
      <c r="K91" s="1533"/>
      <c r="L91" s="1562" t="e">
        <v>#N/A</v>
      </c>
      <c r="M91" s="1562" t="e">
        <v>#N/A</v>
      </c>
      <c r="N91" s="1602" t="e">
        <v>#DIV/0!</v>
      </c>
      <c r="O91" s="1602" t="e">
        <v>#DIV/0!</v>
      </c>
      <c r="P91" s="1554" t="e">
        <v>#N/A</v>
      </c>
      <c r="Q91" s="1602" t="e">
        <v>#N/A</v>
      </c>
      <c r="R91" s="1602" t="e">
        <v>#N/A</v>
      </c>
      <c r="S91" s="1551">
        <v>0</v>
      </c>
      <c r="T91" s="1551">
        <v>0</v>
      </c>
      <c r="U91" s="1551">
        <v>0</v>
      </c>
    </row>
    <row r="92" spans="2:24">
      <c r="B92" s="1530"/>
      <c r="C92" s="1530" t="s">
        <v>214</v>
      </c>
      <c r="D92" s="1587">
        <v>0</v>
      </c>
      <c r="E92" s="1530" t="s">
        <v>181</v>
      </c>
      <c r="F92" s="1530" t="s">
        <v>186</v>
      </c>
      <c r="G92" s="1538"/>
      <c r="H92" s="1538"/>
      <c r="I92" s="1549">
        <v>0</v>
      </c>
      <c r="J92" s="1533"/>
      <c r="K92" s="1533"/>
      <c r="L92" s="1562" t="e">
        <v>#N/A</v>
      </c>
      <c r="M92" s="1562" t="e">
        <v>#N/A</v>
      </c>
      <c r="N92" s="1602" t="e">
        <v>#DIV/0!</v>
      </c>
      <c r="O92" s="1602" t="e">
        <v>#DIV/0!</v>
      </c>
      <c r="P92" s="1554" t="e">
        <v>#N/A</v>
      </c>
      <c r="Q92" s="1602" t="e">
        <v>#N/A</v>
      </c>
      <c r="R92" s="1602" t="e">
        <v>#N/A</v>
      </c>
      <c r="S92" s="1551">
        <v>0</v>
      </c>
      <c r="T92" s="1551">
        <v>0</v>
      </c>
      <c r="U92" s="1551">
        <v>0</v>
      </c>
    </row>
    <row r="93" spans="2:24">
      <c r="B93" s="1530"/>
      <c r="C93" s="1530" t="s">
        <v>215</v>
      </c>
      <c r="D93" s="1587">
        <v>0</v>
      </c>
      <c r="E93" s="1530" t="s">
        <v>181</v>
      </c>
      <c r="F93" s="1530" t="s">
        <v>186</v>
      </c>
      <c r="G93" s="1538"/>
      <c r="H93" s="1538"/>
      <c r="I93" s="1549">
        <v>0</v>
      </c>
      <c r="J93" s="1533"/>
      <c r="K93" s="1533"/>
      <c r="L93" s="1562" t="e">
        <v>#N/A</v>
      </c>
      <c r="M93" s="1562" t="e">
        <v>#N/A</v>
      </c>
      <c r="N93" s="1602" t="e">
        <v>#DIV/0!</v>
      </c>
      <c r="O93" s="1602" t="e">
        <v>#DIV/0!</v>
      </c>
      <c r="P93" s="1554" t="e">
        <v>#N/A</v>
      </c>
      <c r="Q93" s="1602" t="e">
        <v>#N/A</v>
      </c>
      <c r="R93" s="1602" t="e">
        <v>#N/A</v>
      </c>
      <c r="S93" s="1551">
        <v>0</v>
      </c>
      <c r="T93" s="1551">
        <v>0</v>
      </c>
      <c r="U93" s="1551">
        <v>0</v>
      </c>
    </row>
    <row r="94" spans="2:24">
      <c r="B94" s="1530"/>
      <c r="C94" s="1530" t="s">
        <v>216</v>
      </c>
      <c r="D94" s="1587">
        <v>0</v>
      </c>
      <c r="E94" s="1530" t="s">
        <v>181</v>
      </c>
      <c r="F94" s="1530" t="s">
        <v>186</v>
      </c>
      <c r="G94" s="1538"/>
      <c r="H94" s="1538"/>
      <c r="I94" s="1549">
        <v>0</v>
      </c>
      <c r="J94" s="1533"/>
      <c r="K94" s="1533"/>
      <c r="L94" s="1562" t="e">
        <v>#N/A</v>
      </c>
      <c r="M94" s="1562" t="e">
        <v>#N/A</v>
      </c>
      <c r="N94" s="1602" t="e">
        <v>#DIV/0!</v>
      </c>
      <c r="O94" s="1602" t="e">
        <v>#DIV/0!</v>
      </c>
      <c r="P94" s="1554" t="e">
        <v>#N/A</v>
      </c>
      <c r="Q94" s="1602" t="e">
        <v>#N/A</v>
      </c>
      <c r="R94" s="1602" t="e">
        <v>#N/A</v>
      </c>
      <c r="S94" s="1551">
        <v>0</v>
      </c>
      <c r="T94" s="1551">
        <v>0</v>
      </c>
      <c r="U94" s="1551">
        <v>0</v>
      </c>
    </row>
    <row r="95" spans="2:24">
      <c r="B95" s="1530"/>
      <c r="C95" s="1530" t="s">
        <v>217</v>
      </c>
      <c r="D95" s="1587">
        <v>0</v>
      </c>
      <c r="E95" s="1530" t="s">
        <v>181</v>
      </c>
      <c r="F95" s="1530" t="s">
        <v>186</v>
      </c>
      <c r="G95" s="1538"/>
      <c r="H95" s="1538"/>
      <c r="I95" s="1549">
        <v>0</v>
      </c>
      <c r="J95" s="1533"/>
      <c r="K95" s="1533"/>
      <c r="L95" s="1562" t="e">
        <v>#N/A</v>
      </c>
      <c r="M95" s="1562" t="e">
        <v>#N/A</v>
      </c>
      <c r="N95" s="1602" t="e">
        <v>#DIV/0!</v>
      </c>
      <c r="O95" s="1602" t="e">
        <v>#DIV/0!</v>
      </c>
      <c r="P95" s="1554" t="e">
        <v>#N/A</v>
      </c>
      <c r="Q95" s="1602" t="e">
        <v>#N/A</v>
      </c>
      <c r="R95" s="1602" t="e">
        <v>#N/A</v>
      </c>
      <c r="S95" s="1551">
        <v>0</v>
      </c>
      <c r="T95" s="1551">
        <v>0</v>
      </c>
      <c r="U95" s="1551">
        <v>0</v>
      </c>
    </row>
    <row r="96" spans="2:24">
      <c r="B96" s="1530"/>
      <c r="C96" s="1530" t="s">
        <v>218</v>
      </c>
      <c r="D96" s="1587">
        <v>0</v>
      </c>
      <c r="E96" s="1530" t="s">
        <v>181</v>
      </c>
      <c r="F96" s="1530" t="s">
        <v>186</v>
      </c>
      <c r="G96" s="1538"/>
      <c r="H96" s="1538"/>
      <c r="I96" s="1549">
        <v>0</v>
      </c>
      <c r="J96" s="1533"/>
      <c r="K96" s="1533"/>
      <c r="L96" s="1562" t="e">
        <v>#N/A</v>
      </c>
      <c r="M96" s="1562" t="e">
        <v>#N/A</v>
      </c>
      <c r="N96" s="1602" t="e">
        <v>#DIV/0!</v>
      </c>
      <c r="O96" s="1602" t="e">
        <v>#DIV/0!</v>
      </c>
      <c r="P96" s="1554" t="e">
        <v>#N/A</v>
      </c>
      <c r="Q96" s="1602" t="e">
        <v>#N/A</v>
      </c>
      <c r="R96" s="1602" t="e">
        <v>#N/A</v>
      </c>
      <c r="S96" s="1551">
        <v>0</v>
      </c>
      <c r="T96" s="1551">
        <v>0</v>
      </c>
      <c r="U96" s="1551">
        <v>0</v>
      </c>
    </row>
    <row r="97" spans="2:21">
      <c r="B97" s="1530"/>
      <c r="C97" s="1530" t="s">
        <v>219</v>
      </c>
      <c r="D97" s="1587">
        <v>0</v>
      </c>
      <c r="E97" s="1530" t="s">
        <v>181</v>
      </c>
      <c r="F97" s="1530" t="s">
        <v>186</v>
      </c>
      <c r="G97" s="1538"/>
      <c r="H97" s="1538"/>
      <c r="I97" s="1549">
        <v>0</v>
      </c>
      <c r="J97" s="1533"/>
      <c r="K97" s="1533"/>
      <c r="L97" s="1562" t="e">
        <v>#N/A</v>
      </c>
      <c r="M97" s="1562" t="e">
        <v>#N/A</v>
      </c>
      <c r="N97" s="1602" t="e">
        <v>#DIV/0!</v>
      </c>
      <c r="O97" s="1602" t="e">
        <v>#DIV/0!</v>
      </c>
      <c r="P97" s="1554" t="e">
        <v>#N/A</v>
      </c>
      <c r="Q97" s="1602" t="e">
        <v>#N/A</v>
      </c>
      <c r="R97" s="1602" t="e">
        <v>#N/A</v>
      </c>
      <c r="S97" s="1551">
        <v>0</v>
      </c>
      <c r="T97" s="1551">
        <v>0</v>
      </c>
      <c r="U97" s="1551">
        <v>0</v>
      </c>
    </row>
    <row r="98" spans="2:21">
      <c r="B98" s="1530"/>
      <c r="C98" s="1530" t="s">
        <v>220</v>
      </c>
      <c r="D98" s="1587">
        <v>0</v>
      </c>
      <c r="E98" s="1530" t="s">
        <v>181</v>
      </c>
      <c r="F98" s="1530" t="s">
        <v>186</v>
      </c>
      <c r="G98" s="1538"/>
      <c r="H98" s="1538"/>
      <c r="I98" s="1549">
        <v>0</v>
      </c>
      <c r="J98" s="1533"/>
      <c r="K98" s="1533"/>
      <c r="L98" s="1562" t="e">
        <v>#N/A</v>
      </c>
      <c r="M98" s="1562" t="e">
        <v>#N/A</v>
      </c>
      <c r="N98" s="1602" t="e">
        <v>#DIV/0!</v>
      </c>
      <c r="O98" s="1602" t="e">
        <v>#DIV/0!</v>
      </c>
      <c r="P98" s="1554" t="e">
        <v>#N/A</v>
      </c>
      <c r="Q98" s="1602" t="e">
        <v>#N/A</v>
      </c>
      <c r="R98" s="1602" t="e">
        <v>#N/A</v>
      </c>
      <c r="S98" s="1551">
        <v>0</v>
      </c>
      <c r="T98" s="1551">
        <v>0</v>
      </c>
      <c r="U98" s="1551">
        <v>0</v>
      </c>
    </row>
    <row r="99" spans="2:21">
      <c r="B99" s="1530"/>
      <c r="C99" s="1530" t="s">
        <v>221</v>
      </c>
      <c r="D99" s="1587">
        <v>0</v>
      </c>
      <c r="E99" s="1530" t="s">
        <v>181</v>
      </c>
      <c r="F99" s="1530" t="s">
        <v>186</v>
      </c>
      <c r="G99" s="1538"/>
      <c r="H99" s="1538"/>
      <c r="I99" s="1549">
        <v>0</v>
      </c>
      <c r="J99" s="1533"/>
      <c r="K99" s="1533"/>
      <c r="L99" s="1562" t="e">
        <v>#N/A</v>
      </c>
      <c r="M99" s="1562" t="e">
        <v>#N/A</v>
      </c>
      <c r="N99" s="1602" t="e">
        <v>#DIV/0!</v>
      </c>
      <c r="O99" s="1602" t="e">
        <v>#DIV/0!</v>
      </c>
      <c r="P99" s="1554" t="e">
        <v>#N/A</v>
      </c>
      <c r="Q99" s="1602" t="e">
        <v>#N/A</v>
      </c>
      <c r="R99" s="1602" t="e">
        <v>#N/A</v>
      </c>
      <c r="S99" s="1551">
        <v>0</v>
      </c>
      <c r="T99" s="1551">
        <v>0</v>
      </c>
      <c r="U99" s="1551">
        <v>0</v>
      </c>
    </row>
    <row r="100" spans="2:21">
      <c r="B100" s="1530"/>
      <c r="C100" s="1530" t="s">
        <v>222</v>
      </c>
      <c r="D100" s="1587">
        <v>0</v>
      </c>
      <c r="E100" s="1530" t="s">
        <v>181</v>
      </c>
      <c r="F100" s="1530" t="s">
        <v>186</v>
      </c>
      <c r="G100" s="1538"/>
      <c r="H100" s="1538"/>
      <c r="I100" s="1549">
        <v>0</v>
      </c>
      <c r="J100" s="1533"/>
      <c r="K100" s="1533"/>
      <c r="L100" s="1562" t="e">
        <v>#N/A</v>
      </c>
      <c r="M100" s="1562" t="e">
        <v>#N/A</v>
      </c>
      <c r="N100" s="1602" t="e">
        <v>#DIV/0!</v>
      </c>
      <c r="O100" s="1602" t="e">
        <v>#DIV/0!</v>
      </c>
      <c r="P100" s="1554" t="e">
        <v>#N/A</v>
      </c>
      <c r="Q100" s="1602" t="e">
        <v>#N/A</v>
      </c>
      <c r="R100" s="1602" t="e">
        <v>#N/A</v>
      </c>
      <c r="S100" s="1551">
        <v>0</v>
      </c>
      <c r="T100" s="1551">
        <v>0</v>
      </c>
      <c r="U100" s="1551">
        <v>0</v>
      </c>
    </row>
    <row r="101" spans="2:21">
      <c r="B101" s="1530"/>
      <c r="C101" s="1530" t="s">
        <v>223</v>
      </c>
      <c r="D101" s="1587">
        <v>0</v>
      </c>
      <c r="E101" s="1530" t="s">
        <v>181</v>
      </c>
      <c r="F101" s="1530" t="s">
        <v>186</v>
      </c>
      <c r="G101" s="1538"/>
      <c r="H101" s="1538"/>
      <c r="I101" s="1549">
        <v>0</v>
      </c>
      <c r="J101" s="1533"/>
      <c r="K101" s="1533"/>
      <c r="L101" s="1562" t="e">
        <v>#N/A</v>
      </c>
      <c r="M101" s="1562" t="e">
        <v>#N/A</v>
      </c>
      <c r="N101" s="1602" t="e">
        <v>#DIV/0!</v>
      </c>
      <c r="O101" s="1602" t="e">
        <v>#DIV/0!</v>
      </c>
      <c r="P101" s="1554" t="e">
        <v>#N/A</v>
      </c>
      <c r="Q101" s="1602" t="e">
        <v>#N/A</v>
      </c>
      <c r="R101" s="1602" t="e">
        <v>#N/A</v>
      </c>
      <c r="S101" s="1551">
        <v>0</v>
      </c>
      <c r="T101" s="1551">
        <v>0</v>
      </c>
      <c r="U101" s="1551">
        <v>0</v>
      </c>
    </row>
    <row r="102" spans="2:21">
      <c r="B102" s="1530"/>
      <c r="C102" s="1530" t="s">
        <v>224</v>
      </c>
      <c r="D102" s="1587">
        <v>0</v>
      </c>
      <c r="E102" s="1530" t="s">
        <v>181</v>
      </c>
      <c r="F102" s="1530" t="s">
        <v>186</v>
      </c>
      <c r="G102" s="1538"/>
      <c r="H102" s="1538"/>
      <c r="I102" s="1549">
        <v>0</v>
      </c>
      <c r="J102" s="1533"/>
      <c r="K102" s="1533"/>
      <c r="L102" s="1562" t="e">
        <v>#N/A</v>
      </c>
      <c r="M102" s="1562" t="e">
        <v>#N/A</v>
      </c>
      <c r="N102" s="1602" t="e">
        <v>#DIV/0!</v>
      </c>
      <c r="O102" s="1602" t="e">
        <v>#DIV/0!</v>
      </c>
      <c r="P102" s="1554" t="e">
        <v>#N/A</v>
      </c>
      <c r="Q102" s="1602" t="e">
        <v>#N/A</v>
      </c>
      <c r="R102" s="1602" t="e">
        <v>#N/A</v>
      </c>
      <c r="S102" s="1551">
        <v>0</v>
      </c>
      <c r="T102" s="1551">
        <v>0</v>
      </c>
      <c r="U102" s="1551">
        <v>0</v>
      </c>
    </row>
    <row r="103" spans="2:21">
      <c r="B103" s="1530"/>
      <c r="C103" s="1530" t="s">
        <v>225</v>
      </c>
      <c r="D103" s="1587">
        <v>0</v>
      </c>
      <c r="E103" s="1530" t="s">
        <v>181</v>
      </c>
      <c r="F103" s="1530" t="s">
        <v>186</v>
      </c>
      <c r="G103" s="1538"/>
      <c r="H103" s="1538"/>
      <c r="I103" s="1549">
        <v>0</v>
      </c>
      <c r="J103" s="1533"/>
      <c r="K103" s="1533"/>
      <c r="L103" s="1562" t="e">
        <v>#N/A</v>
      </c>
      <c r="M103" s="1562" t="e">
        <v>#N/A</v>
      </c>
      <c r="N103" s="1602" t="e">
        <v>#DIV/0!</v>
      </c>
      <c r="O103" s="1602" t="e">
        <v>#DIV/0!</v>
      </c>
      <c r="P103" s="1554" t="e">
        <v>#N/A</v>
      </c>
      <c r="Q103" s="1602" t="e">
        <v>#N/A</v>
      </c>
      <c r="R103" s="1602" t="e">
        <v>#N/A</v>
      </c>
      <c r="S103" s="1551">
        <v>0</v>
      </c>
      <c r="T103" s="1551">
        <v>0</v>
      </c>
      <c r="U103" s="1551">
        <v>0</v>
      </c>
    </row>
    <row r="104" spans="2:21" ht="13.5" thickBot="1">
      <c r="B104" s="1530"/>
      <c r="C104" s="1530" t="s">
        <v>226</v>
      </c>
      <c r="D104" s="1587">
        <v>0</v>
      </c>
      <c r="E104" s="1530" t="s">
        <v>181</v>
      </c>
      <c r="F104" s="1530" t="s">
        <v>186</v>
      </c>
      <c r="G104" s="1538"/>
      <c r="H104" s="1538"/>
      <c r="I104" s="1549">
        <v>0</v>
      </c>
      <c r="J104" s="1533"/>
      <c r="K104" s="1533"/>
      <c r="L104" s="1565" t="e">
        <v>#N/A</v>
      </c>
      <c r="M104" s="1565" t="e">
        <v>#N/A</v>
      </c>
      <c r="N104" s="1603" t="e">
        <v>#DIV/0!</v>
      </c>
      <c r="O104" s="1603" t="e">
        <v>#DIV/0!</v>
      </c>
      <c r="P104" s="1554" t="e">
        <v>#N/A</v>
      </c>
      <c r="Q104" s="1602" t="e">
        <v>#N/A</v>
      </c>
      <c r="R104" s="1603" t="e">
        <v>#N/A</v>
      </c>
      <c r="S104" s="1551">
        <v>0</v>
      </c>
      <c r="T104" s="1551">
        <v>0</v>
      </c>
      <c r="U104" s="1551">
        <v>0</v>
      </c>
    </row>
    <row r="105" spans="2:21" ht="13.5" thickBot="1">
      <c r="B105" s="1526"/>
      <c r="C105" s="1526"/>
      <c r="D105" s="1526"/>
      <c r="E105" s="1526"/>
      <c r="F105" s="1526"/>
      <c r="G105" s="1564">
        <v>0</v>
      </c>
      <c r="H105" s="1550">
        <v>0</v>
      </c>
      <c r="I105" s="1563">
        <v>0</v>
      </c>
      <c r="J105" s="1529" t="e">
        <v>#DIV/0!</v>
      </c>
      <c r="K105" s="1527" t="s">
        <v>371</v>
      </c>
      <c r="L105" s="1566" t="e">
        <v>#DIV/0!</v>
      </c>
      <c r="M105" s="1567" t="e">
        <v>#DIV/0!</v>
      </c>
      <c r="N105" s="1604" t="e">
        <v>#DIV/0!</v>
      </c>
      <c r="O105" s="1604" t="e">
        <v>#DIV/0!</v>
      </c>
      <c r="P105" s="1604" t="e">
        <v>#DIV/0!</v>
      </c>
      <c r="Q105" s="1605" t="e">
        <v>#DIV/0!</v>
      </c>
      <c r="R105" s="1605" t="e">
        <v>#DIV/0!</v>
      </c>
      <c r="S105" s="1552">
        <v>0</v>
      </c>
      <c r="T105" s="1552">
        <v>0</v>
      </c>
      <c r="U105" s="1552">
        <v>0</v>
      </c>
    </row>
  </sheetData>
  <sheetProtection password="9E1F" sheet="1" objects="1" scenarios="1"/>
  <customSheetViews>
    <customSheetView guid="{074EB09C-6289-46D7-9513-012B68BCA7BF}" fitToPage="1">
      <pane xSplit="1" ySplit="1" topLeftCell="B2" activePane="bottomRight" state="frozen"/>
      <selection pane="bottomRight" activeCell="B1" sqref="B1"/>
      <pageMargins left="0.2" right="0.18" top="0.38" bottom="0.36"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S61:U61"/>
    <mergeCell ref="V61:X61"/>
    <mergeCell ref="C11:F11"/>
    <mergeCell ref="I11:L11"/>
    <mergeCell ref="M11:O11"/>
    <mergeCell ref="P11:R11"/>
    <mergeCell ref="I12:K12"/>
    <mergeCell ref="D60:H60"/>
    <mergeCell ref="B61:K61"/>
    <mergeCell ref="L61:R61"/>
    <mergeCell ref="V2:V3"/>
    <mergeCell ref="D10:E10"/>
    <mergeCell ref="I10:L10"/>
    <mergeCell ref="M10:N10"/>
    <mergeCell ref="Q2:R2"/>
    <mergeCell ref="S2:U2"/>
  </mergeCells>
  <pageMargins left="0.2" right="0.18" top="0.38" bottom="0.36" header="0.3" footer="0.3"/>
  <pageSetup paperSize="17" scale="52" orientation="landscape" r:id="rId2"/>
  <drawing r:id="rId3"/>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sheetPr enableFormatConditionsCalculation="0">
    <tabColor rgb="FFFF0000"/>
  </sheetPr>
  <dimension ref="A1"/>
  <sheetViews>
    <sheetView workbookViewId="0">
      <selection activeCell="K69" sqref="K69"/>
    </sheetView>
  </sheetViews>
  <sheetFormatPr defaultColWidth="8.85546875" defaultRowHeight="12.75"/>
  <sheetData>
    <row r="1" spans="1:1">
      <c r="A1" t="s">
        <v>2</v>
      </c>
    </row>
  </sheetData>
  <customSheetViews>
    <customSheetView guid="{074EB09C-6289-46D7-9513-012B68BCA7BF}">
      <selection activeCell="K69" sqref="K69"/>
      <pageMargins left="0.7" right="0.7" top="0.75" bottom="0.75" header="0.3" footer="0.3"/>
      <pageSetup orientation="portrait" r:id="rId1"/>
    </customSheetView>
    <customSheetView guid="{AF9F1D33-B8C2-423F-86A1-47612B8F532C}">
      <pageMargins left="0.7" right="0.7" top="0.75" bottom="0.75" header="0.3" footer="0.3"/>
      <pageSetup orientation="portrait"/>
    </customSheetView>
  </customSheetView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G20" sqref="G20"/>
    </sheetView>
  </sheetViews>
  <sheetFormatPr defaultColWidth="8.85546875" defaultRowHeight="12.75"/>
  <cols>
    <col min="1" max="1" width="16" customWidth="1"/>
    <col min="2" max="2" width="21" customWidth="1"/>
    <col min="3" max="3" width="21" style="2" customWidth="1"/>
    <col min="4" max="4" width="23" style="3" customWidth="1"/>
    <col min="5" max="9" width="18.85546875" customWidth="1"/>
    <col min="10" max="10" width="17.42578125" customWidth="1"/>
    <col min="11" max="12" width="24.42578125" customWidth="1"/>
    <col min="13" max="13" width="19.42578125" customWidth="1"/>
    <col min="14" max="14" width="14.7109375" customWidth="1"/>
    <col min="15" max="15" width="17.140625" customWidth="1"/>
  </cols>
  <sheetData>
    <row r="1" spans="1:15" ht="44.25" customHeight="1"/>
    <row r="2" spans="1:15" ht="19.5" customHeight="1" thickBot="1">
      <c r="B2" s="1" t="s">
        <v>1179</v>
      </c>
      <c r="C2" s="166"/>
      <c r="D2" s="2"/>
      <c r="E2" s="3"/>
    </row>
    <row r="3" spans="1:15" ht="15.75" thickBot="1">
      <c r="B3" s="4275" t="s">
        <v>1173</v>
      </c>
      <c r="C3" s="167"/>
      <c r="D3" s="6" t="s">
        <v>75</v>
      </c>
      <c r="E3" s="101">
        <v>18230408</v>
      </c>
    </row>
    <row r="4" spans="1:15" ht="16.5" customHeight="1">
      <c r="B4" s="3532" t="s">
        <v>5</v>
      </c>
    </row>
    <row r="5" spans="1:15" ht="13.5" thickBot="1">
      <c r="A5" s="69"/>
      <c r="C5"/>
      <c r="D5" s="2"/>
      <c r="E5" s="104" t="s">
        <v>1139</v>
      </c>
    </row>
    <row r="6" spans="1:15" ht="38.25">
      <c r="B6" s="3462"/>
      <c r="C6"/>
      <c r="D6"/>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15">
        <v>600000</v>
      </c>
      <c r="O7" s="26" t="s">
        <v>21</v>
      </c>
    </row>
    <row r="8" spans="1:15" s="53" customFormat="1">
      <c r="A8" s="109"/>
      <c r="D8" s="111" t="s">
        <v>22</v>
      </c>
      <c r="E8" s="28">
        <v>168000</v>
      </c>
      <c r="F8" s="28">
        <v>0</v>
      </c>
      <c r="G8" s="28">
        <v>0</v>
      </c>
      <c r="H8" s="28">
        <v>0</v>
      </c>
      <c r="I8" s="28">
        <v>0</v>
      </c>
      <c r="J8" s="28">
        <v>343000</v>
      </c>
      <c r="K8" s="28">
        <v>0</v>
      </c>
      <c r="L8" s="28">
        <v>0</v>
      </c>
      <c r="M8" s="28">
        <v>0</v>
      </c>
      <c r="N8" s="87">
        <v>511000</v>
      </c>
      <c r="O8" s="30">
        <f>(N8-N7)/N7</f>
        <v>-0.14833333333333334</v>
      </c>
    </row>
    <row r="9" spans="1:15" s="53" customFormat="1">
      <c r="A9" s="109"/>
      <c r="D9" s="53">
        <v>2012</v>
      </c>
      <c r="E9" s="118">
        <f>SUM(B24:B26)</f>
        <v>0</v>
      </c>
      <c r="F9" s="118">
        <f>SUM(B30:B32)</f>
        <v>0</v>
      </c>
      <c r="G9" s="118">
        <f>(SUM(B24:B26)+SUM(B30:B32))*0.63</f>
        <v>0</v>
      </c>
      <c r="H9" s="118">
        <f>SUM(B45:B49)+SUM(B53:B58)</f>
        <v>0</v>
      </c>
      <c r="I9" s="119">
        <f>SUM(B61:B65)</f>
        <v>0</v>
      </c>
      <c r="J9" s="118">
        <f>SUM(B69:B74)</f>
        <v>635950</v>
      </c>
      <c r="K9" s="118">
        <f>SUM(B77:B83)</f>
        <v>0</v>
      </c>
      <c r="L9" s="118">
        <f>SUM(B86:B91)</f>
        <v>0</v>
      </c>
      <c r="M9" s="120"/>
      <c r="N9" s="121">
        <f>SUM(E9:M9)</f>
        <v>635950</v>
      </c>
      <c r="O9" s="30">
        <f>(N9-N8)/N8</f>
        <v>0.24452054794520547</v>
      </c>
    </row>
    <row r="10" spans="1:15" s="3534" customFormat="1">
      <c r="A10" s="109"/>
      <c r="D10" s="4263" t="s">
        <v>1168</v>
      </c>
      <c r="E10" s="118">
        <v>0</v>
      </c>
      <c r="F10" s="118">
        <v>0</v>
      </c>
      <c r="G10" s="118">
        <v>0</v>
      </c>
      <c r="H10" s="118">
        <v>0</v>
      </c>
      <c r="I10" s="119">
        <v>0</v>
      </c>
      <c r="J10" s="118">
        <v>632470</v>
      </c>
      <c r="K10" s="118">
        <v>0</v>
      </c>
      <c r="L10" s="118">
        <v>0</v>
      </c>
      <c r="M10" s="120"/>
      <c r="N10" s="121">
        <v>632470</v>
      </c>
      <c r="O10" s="1346">
        <v>-5.4721283119742118E-3</v>
      </c>
    </row>
    <row r="11" spans="1:15" s="53" customFormat="1">
      <c r="A11" s="109"/>
      <c r="D11" s="4264" t="s">
        <v>1169</v>
      </c>
      <c r="E11" s="4218">
        <f>SUM(C24:C26)</f>
        <v>0</v>
      </c>
      <c r="F11" s="4218">
        <f>SUM(C30:C32)</f>
        <v>0</v>
      </c>
      <c r="G11" s="4218">
        <f>(SUM(C24:C26)+SUM(C30:C32))*0.63</f>
        <v>0</v>
      </c>
      <c r="H11" s="4218">
        <f>SUM(C45:C49)+SUM(C53:C58)</f>
        <v>0</v>
      </c>
      <c r="I11" s="4219">
        <f>SUM(C61:C65)</f>
        <v>0</v>
      </c>
      <c r="J11" s="4218">
        <f>SUM(C69:C74)</f>
        <v>632470</v>
      </c>
      <c r="K11" s="4218">
        <f>SUM(C77:C83)</f>
        <v>0</v>
      </c>
      <c r="L11" s="4218">
        <f>SUM(C86:C91)</f>
        <v>0</v>
      </c>
      <c r="M11" s="4220"/>
      <c r="N11" s="4221">
        <f>SUM(E11:M11)</f>
        <v>632470</v>
      </c>
      <c r="O11" s="30">
        <f>(N11-N9)/N9</f>
        <v>-5.4721283119742118E-3</v>
      </c>
    </row>
    <row r="12" spans="1:15" s="19" customFormat="1">
      <c r="A12" s="69"/>
      <c r="D12" s="123" t="s">
        <v>1172</v>
      </c>
      <c r="E12" s="124">
        <f>SUM(E9+E11)</f>
        <v>0</v>
      </c>
      <c r="F12" s="124">
        <f t="shared" ref="F12:N12" si="0">SUM(F9+F11)</f>
        <v>0</v>
      </c>
      <c r="G12" s="124">
        <f t="shared" si="0"/>
        <v>0</v>
      </c>
      <c r="H12" s="124">
        <f t="shared" si="0"/>
        <v>0</v>
      </c>
      <c r="I12" s="124">
        <f t="shared" si="0"/>
        <v>0</v>
      </c>
      <c r="J12" s="124">
        <f t="shared" si="0"/>
        <v>1268420</v>
      </c>
      <c r="K12" s="124">
        <f t="shared" si="0"/>
        <v>0</v>
      </c>
      <c r="L12" s="124">
        <f t="shared" si="0"/>
        <v>0</v>
      </c>
      <c r="M12" s="124">
        <f t="shared" si="0"/>
        <v>0</v>
      </c>
      <c r="N12" s="124">
        <f t="shared" si="0"/>
        <v>1268420</v>
      </c>
    </row>
    <row r="13" spans="1:15" ht="18" customHeight="1">
      <c r="A13" s="69"/>
      <c r="C13"/>
      <c r="D13" s="2"/>
      <c r="E13" s="3"/>
      <c r="M13" s="69" t="s">
        <v>23</v>
      </c>
    </row>
    <row r="14" spans="1:15">
      <c r="A14" s="69"/>
      <c r="C14"/>
      <c r="D14" s="2"/>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14" s="53" customFormat="1" ht="15.75">
      <c r="A17" s="109"/>
      <c r="B17" s="129"/>
      <c r="C17" s="129"/>
      <c r="D17" s="129"/>
      <c r="E17" s="129"/>
      <c r="F17" s="129"/>
      <c r="G17" s="129"/>
    </row>
    <row r="18" spans="1:14" ht="15.75">
      <c r="A18" s="69"/>
      <c r="B18" s="5141" t="s">
        <v>26</v>
      </c>
      <c r="C18" s="5141"/>
      <c r="D18" s="43" t="s">
        <v>27</v>
      </c>
      <c r="E18" s="44" t="s">
        <v>28</v>
      </c>
    </row>
    <row r="19" spans="1:14" ht="15.75">
      <c r="A19" s="69"/>
      <c r="B19" s="5142" t="s">
        <v>29</v>
      </c>
      <c r="C19" s="5142"/>
      <c r="D19" s="43"/>
      <c r="E19" s="44"/>
    </row>
    <row r="20" spans="1:14" ht="45.75">
      <c r="A20" s="69"/>
      <c r="B20" s="170">
        <v>2012</v>
      </c>
      <c r="C20" s="170">
        <v>2013</v>
      </c>
      <c r="D20" s="69" t="s">
        <v>82</v>
      </c>
      <c r="E20" s="131" t="s">
        <v>31</v>
      </c>
    </row>
    <row r="21" spans="1:14">
      <c r="A21" s="69"/>
      <c r="B21" s="174" t="s">
        <v>9</v>
      </c>
      <c r="C21" s="174" t="s">
        <v>9</v>
      </c>
      <c r="D21" s="138"/>
      <c r="E21" s="139">
        <f>SUM(B24:B26)+SUM(C24:C26)</f>
        <v>0</v>
      </c>
    </row>
    <row r="22" spans="1:14" ht="7.5" customHeight="1">
      <c r="A22" s="69"/>
      <c r="B22" s="175"/>
      <c r="C22" s="175"/>
      <c r="D22" s="2"/>
      <c r="E22" s="52"/>
    </row>
    <row r="23" spans="1:14">
      <c r="A23" s="69"/>
      <c r="B23" s="176" t="s">
        <v>32</v>
      </c>
      <c r="C23" s="176" t="s">
        <v>32</v>
      </c>
      <c r="D23" s="143" t="s">
        <v>7</v>
      </c>
      <c r="E23" s="52"/>
      <c r="F23" s="144" t="s">
        <v>7</v>
      </c>
      <c r="M23" s="83"/>
      <c r="N23" s="84"/>
    </row>
    <row r="24" spans="1:14">
      <c r="A24" s="69"/>
      <c r="B24" s="177"/>
      <c r="C24" s="178"/>
      <c r="D24" s="145"/>
      <c r="E24" s="52"/>
      <c r="F24" s="146"/>
      <c r="M24" s="83"/>
      <c r="N24" s="84"/>
    </row>
    <row r="25" spans="1:14">
      <c r="A25" s="69"/>
      <c r="B25" s="179"/>
      <c r="C25" s="179"/>
      <c r="D25" s="2"/>
      <c r="E25" s="52"/>
    </row>
    <row r="26" spans="1:14">
      <c r="A26" s="69"/>
      <c r="B26" s="179"/>
      <c r="C26" s="179"/>
      <c r="D26" s="2"/>
      <c r="E26" s="52"/>
    </row>
    <row r="27" spans="1:14" s="53" customFormat="1" ht="21" customHeight="1">
      <c r="A27" s="109"/>
      <c r="B27" s="174" t="s">
        <v>10</v>
      </c>
      <c r="C27" s="174" t="s">
        <v>10</v>
      </c>
      <c r="D27" s="138"/>
      <c r="E27" s="139">
        <f>SUM(B30:B33)+SUM(C30:C33)</f>
        <v>0</v>
      </c>
    </row>
    <row r="28" spans="1:14" ht="8.25" customHeight="1">
      <c r="A28" s="69"/>
      <c r="B28" s="180"/>
      <c r="C28" s="180"/>
      <c r="D28" s="152"/>
      <c r="E28" s="52"/>
    </row>
    <row r="29" spans="1:14" s="53" customFormat="1" ht="13.5" customHeight="1">
      <c r="A29" s="109"/>
      <c r="B29" s="176" t="s">
        <v>32</v>
      </c>
      <c r="C29" s="176" t="s">
        <v>32</v>
      </c>
      <c r="D29" s="152"/>
      <c r="E29" s="52"/>
    </row>
    <row r="30" spans="1:14">
      <c r="A30" s="69"/>
      <c r="B30" s="86"/>
      <c r="C30" s="181"/>
      <c r="D30" s="150"/>
      <c r="E30" s="52"/>
    </row>
    <row r="31" spans="1:14">
      <c r="A31" s="69"/>
      <c r="B31" s="181"/>
      <c r="C31" s="181"/>
      <c r="D31" s="150"/>
      <c r="E31" s="52"/>
    </row>
    <row r="32" spans="1:14">
      <c r="A32" s="69"/>
      <c r="B32" s="19"/>
      <c r="C32" s="19"/>
      <c r="D32" s="150"/>
      <c r="E32" s="52"/>
    </row>
    <row r="33" spans="1:6">
      <c r="A33" s="69"/>
      <c r="B33" s="19"/>
      <c r="C33" s="19"/>
      <c r="D33" s="150"/>
      <c r="E33" s="52"/>
    </row>
    <row r="34" spans="1:6">
      <c r="A34" s="69"/>
      <c r="B34" s="174" t="s">
        <v>11</v>
      </c>
      <c r="C34" s="174" t="s">
        <v>11</v>
      </c>
      <c r="D34" s="138"/>
      <c r="E34" s="139">
        <f>E21*0.63</f>
        <v>0</v>
      </c>
    </row>
    <row r="35" spans="1:6" ht="7.5" customHeight="1">
      <c r="A35" s="69"/>
      <c r="B35" s="175"/>
      <c r="C35" s="175"/>
      <c r="D35" s="2"/>
      <c r="E35" s="68"/>
    </row>
    <row r="36" spans="1:6">
      <c r="A36" s="187"/>
      <c r="B36" s="182" t="s">
        <v>37</v>
      </c>
      <c r="C36" s="182" t="s">
        <v>1204</v>
      </c>
      <c r="D36" s="143" t="s">
        <v>7</v>
      </c>
      <c r="E36" s="52"/>
      <c r="F36" s="157"/>
    </row>
    <row r="37" spans="1:6">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26.2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27.75" customHeight="1">
      <c r="A50" s="69"/>
      <c r="B50" s="19"/>
      <c r="C50" s="19"/>
      <c r="D50" s="150"/>
      <c r="E50" s="52"/>
    </row>
    <row r="51" spans="1:5" ht="25.5">
      <c r="A51" s="69"/>
      <c r="B51" s="174" t="s">
        <v>39</v>
      </c>
      <c r="C51" s="174" t="s">
        <v>39</v>
      </c>
      <c r="D51" s="138"/>
      <c r="E51" s="139">
        <f>SUM(B53:B58)+SUM(C53:C58)</f>
        <v>0</v>
      </c>
    </row>
    <row r="52" spans="1:5" ht="6.75" customHeight="1">
      <c r="A52" s="69"/>
      <c r="B52" s="180"/>
      <c r="C52" s="180"/>
      <c r="D52"/>
      <c r="E52" s="73"/>
    </row>
    <row r="53" spans="1:5">
      <c r="A53" s="69"/>
      <c r="B53" s="184"/>
      <c r="C53" s="184"/>
      <c r="D53"/>
      <c r="E53" s="73"/>
    </row>
    <row r="54" spans="1:5" ht="12.75" customHeight="1">
      <c r="A54" s="69"/>
      <c r="B54" s="184"/>
      <c r="C54" s="184"/>
      <c r="D54"/>
      <c r="E54" s="73"/>
    </row>
    <row r="55" spans="1:5">
      <c r="A55" s="69"/>
      <c r="B55" s="184"/>
      <c r="C55" s="184"/>
      <c r="D55"/>
      <c r="E55" s="73"/>
    </row>
    <row r="56" spans="1:5">
      <c r="A56" s="69"/>
      <c r="B56" s="184"/>
      <c r="C56" s="184"/>
      <c r="D56"/>
      <c r="E56" s="73"/>
    </row>
    <row r="57" spans="1:5">
      <c r="A57" s="69"/>
      <c r="C57"/>
      <c r="D57"/>
      <c r="E57" s="73"/>
    </row>
    <row r="58" spans="1:5">
      <c r="A58" s="69"/>
      <c r="C58"/>
      <c r="D58" s="2"/>
      <c r="E58" s="52"/>
    </row>
    <row r="59" spans="1:5">
      <c r="A59" s="69"/>
      <c r="B59" s="174" t="s">
        <v>13</v>
      </c>
      <c r="C59" s="174" t="s">
        <v>13</v>
      </c>
      <c r="D59" s="138"/>
      <c r="E59" s="139">
        <f>SUM(B61:B66)+SUM(C61:C66)</f>
        <v>0</v>
      </c>
    </row>
    <row r="60" spans="1:5" ht="6.75" customHeight="1">
      <c r="A60" s="69"/>
      <c r="B60" s="175"/>
      <c r="C60" s="175"/>
      <c r="D60" s="2"/>
      <c r="E60" s="52"/>
    </row>
    <row r="61" spans="1:5">
      <c r="A61" s="69"/>
      <c r="C61"/>
      <c r="D61" s="160" t="s">
        <v>70</v>
      </c>
      <c r="E61" s="52"/>
    </row>
    <row r="62" spans="1:5">
      <c r="A62" s="69"/>
      <c r="B62" t="s">
        <v>7</v>
      </c>
      <c r="C62"/>
      <c r="D62" s="160" t="s">
        <v>41</v>
      </c>
      <c r="E62" s="52"/>
    </row>
    <row r="63" spans="1:5">
      <c r="A63" s="69"/>
      <c r="C63"/>
      <c r="D63" s="160" t="s">
        <v>42</v>
      </c>
      <c r="E63" s="52"/>
    </row>
    <row r="64" spans="1:5">
      <c r="A64" s="69"/>
      <c r="C64"/>
      <c r="D64" s="160" t="s">
        <v>61</v>
      </c>
      <c r="E64" s="52"/>
    </row>
    <row r="65" spans="1:6">
      <c r="A65" s="69"/>
      <c r="B65" s="188"/>
      <c r="C65" s="188"/>
      <c r="D65" s="160" t="s">
        <v>44</v>
      </c>
      <c r="E65" s="52"/>
    </row>
    <row r="66" spans="1:6">
      <c r="A66" s="69"/>
      <c r="B66" s="188"/>
      <c r="C66" s="188"/>
      <c r="D66" s="160"/>
      <c r="E66" s="52"/>
    </row>
    <row r="67" spans="1:6">
      <c r="A67" s="69"/>
      <c r="B67" s="174" t="s">
        <v>14</v>
      </c>
      <c r="C67" s="174" t="s">
        <v>14</v>
      </c>
      <c r="D67" s="138"/>
      <c r="E67" s="139">
        <f>SUM(B69:B74)+SUM(C69:C74)</f>
        <v>1268420</v>
      </c>
    </row>
    <row r="68" spans="1:6" ht="6" customHeight="1">
      <c r="A68" s="162"/>
      <c r="B68" s="175"/>
      <c r="C68" s="175"/>
      <c r="D68" s="2"/>
      <c r="E68" s="52"/>
    </row>
    <row r="69" spans="1:6" ht="18" customHeight="1">
      <c r="A69" s="69"/>
      <c r="B69" s="84">
        <v>168880</v>
      </c>
      <c r="C69" s="84">
        <v>87100</v>
      </c>
      <c r="D69" s="160" t="s">
        <v>93</v>
      </c>
      <c r="E69" s="52"/>
    </row>
    <row r="70" spans="1:6" ht="25.5">
      <c r="A70" s="69"/>
      <c r="B70" s="84"/>
      <c r="C70" s="84"/>
      <c r="D70" s="2202" t="s">
        <v>94</v>
      </c>
      <c r="E70" s="2201"/>
    </row>
    <row r="71" spans="1:6" ht="25.5">
      <c r="A71" s="69"/>
      <c r="B71" s="84">
        <v>217500</v>
      </c>
      <c r="C71" s="84">
        <v>295800</v>
      </c>
      <c r="D71" s="2210" t="s">
        <v>95</v>
      </c>
      <c r="E71" s="2201"/>
    </row>
    <row r="72" spans="1:6">
      <c r="A72" s="69"/>
      <c r="B72" s="84">
        <v>234900</v>
      </c>
      <c r="C72" s="84">
        <v>234900</v>
      </c>
      <c r="D72" s="160" t="s">
        <v>96</v>
      </c>
      <c r="E72" s="52"/>
      <c r="F72" s="3533">
        <v>18230608</v>
      </c>
    </row>
    <row r="73" spans="1:6">
      <c r="A73" s="69"/>
      <c r="B73" s="84">
        <v>9450</v>
      </c>
      <c r="C73" s="84">
        <v>9450</v>
      </c>
      <c r="D73" s="3065" t="s">
        <v>1049</v>
      </c>
      <c r="E73" s="52"/>
      <c r="F73" s="3533">
        <v>18230483</v>
      </c>
    </row>
    <row r="74" spans="1:6">
      <c r="A74" s="69"/>
      <c r="B74" s="84">
        <v>5220</v>
      </c>
      <c r="C74" s="84">
        <v>5220</v>
      </c>
      <c r="D74" s="3065" t="s">
        <v>97</v>
      </c>
      <c r="E74" s="52"/>
    </row>
    <row r="75" spans="1:6">
      <c r="A75" s="69"/>
      <c r="B75" s="174" t="s">
        <v>15</v>
      </c>
      <c r="C75" s="174" t="s">
        <v>15</v>
      </c>
      <c r="D75" s="138"/>
      <c r="E75" s="139">
        <f>SUM(B77:B83)+SUM(C77:C83)</f>
        <v>0</v>
      </c>
    </row>
    <row r="76" spans="1:6" ht="6.75" customHeight="1">
      <c r="A76" s="69"/>
      <c r="B76" s="180"/>
      <c r="C76" s="180"/>
      <c r="D76" s="2"/>
      <c r="E76" s="52"/>
    </row>
    <row r="77" spans="1:6" s="53" customFormat="1" ht="12.75" customHeight="1">
      <c r="A77" s="109"/>
      <c r="B77" s="184"/>
      <c r="C77" s="184"/>
      <c r="D77" s="163"/>
      <c r="E77" s="52"/>
    </row>
    <row r="78" spans="1:6" s="53" customFormat="1" ht="12.75" customHeight="1">
      <c r="A78" s="109"/>
      <c r="B78" s="184"/>
      <c r="C78" s="184"/>
      <c r="D78" s="163"/>
      <c r="E78" s="52"/>
    </row>
    <row r="79" spans="1:6" s="53" customFormat="1" ht="12.75" customHeight="1">
      <c r="A79" s="109"/>
      <c r="B79" s="184"/>
      <c r="C79" s="184"/>
      <c r="D79" s="163"/>
      <c r="E79" s="52"/>
    </row>
    <row r="80" spans="1:6" s="53" customFormat="1" ht="12.75" customHeight="1">
      <c r="A80" s="109"/>
      <c r="B80" s="184"/>
      <c r="C80" s="184"/>
      <c r="D80" s="163"/>
      <c r="E80" s="52"/>
    </row>
    <row r="81" spans="1:5" s="53" customFormat="1" ht="12.75" customHeight="1">
      <c r="A81" s="109"/>
      <c r="B81" s="184"/>
      <c r="C81" s="184"/>
      <c r="D81" s="163"/>
      <c r="E81" s="52"/>
    </row>
    <row r="82" spans="1:5">
      <c r="A82" s="69"/>
      <c r="C82"/>
      <c r="D82" s="150"/>
      <c r="E82" s="52"/>
    </row>
    <row r="83" spans="1:5">
      <c r="A83" s="69"/>
      <c r="C83"/>
      <c r="D83" s="150"/>
      <c r="E83" s="52"/>
    </row>
    <row r="84" spans="1:5">
      <c r="A84" s="69"/>
      <c r="B84" s="174" t="s">
        <v>16</v>
      </c>
      <c r="C84" s="174" t="s">
        <v>16</v>
      </c>
      <c r="D84" s="138"/>
      <c r="E84" s="139">
        <f>SUM(B86:B91)+SUM(C86:C91)</f>
        <v>0</v>
      </c>
    </row>
    <row r="85" spans="1:5" s="53" customFormat="1" ht="6.75" customHeight="1">
      <c r="A85" s="109"/>
      <c r="B85" s="180"/>
      <c r="C85" s="180"/>
      <c r="D85" s="163"/>
      <c r="E85" s="52"/>
    </row>
    <row r="86" spans="1:5" s="53" customFormat="1" ht="12.75" customHeight="1">
      <c r="A86" s="109"/>
      <c r="B86" s="191"/>
      <c r="C86" s="191"/>
      <c r="D86" s="165"/>
      <c r="E86" s="52"/>
    </row>
    <row r="87" spans="1:5" s="53" customFormat="1" ht="12.75" customHeight="1">
      <c r="A87" s="109"/>
      <c r="B87" s="192"/>
      <c r="C87" s="192"/>
      <c r="E87" s="52"/>
    </row>
    <row r="88" spans="1:5" s="53" customFormat="1" ht="12.75" customHeight="1">
      <c r="A88" s="109"/>
      <c r="B88" s="191"/>
      <c r="C88" s="191"/>
      <c r="D88" s="165"/>
      <c r="E88" s="52"/>
    </row>
    <row r="89" spans="1:5" s="53" customFormat="1">
      <c r="A89" s="109"/>
      <c r="B89" s="191"/>
      <c r="C89" s="191"/>
      <c r="D89" s="163"/>
      <c r="E89" s="52"/>
    </row>
    <row r="90" spans="1:5" s="53" customFormat="1">
      <c r="A90" s="109"/>
      <c r="B90" s="191"/>
      <c r="C90" s="191"/>
      <c r="D90" s="163"/>
      <c r="E90" s="52"/>
    </row>
    <row r="91" spans="1:5">
      <c r="A91" s="69"/>
      <c r="B91" s="179"/>
      <c r="C91" s="179"/>
      <c r="D91" s="2"/>
      <c r="E91" s="52"/>
    </row>
    <row r="92" spans="1:5" ht="25.5">
      <c r="A92" s="69"/>
      <c r="B92" s="174" t="s">
        <v>17</v>
      </c>
      <c r="C92" s="174" t="s">
        <v>17</v>
      </c>
      <c r="D92" s="2"/>
      <c r="E92" s="52"/>
    </row>
    <row r="93" spans="1:5" s="53" customFormat="1" ht="6.75" customHeight="1">
      <c r="A93" s="109"/>
      <c r="B93" s="180"/>
      <c r="C93" s="180"/>
      <c r="D93" s="163"/>
      <c r="E93" s="52"/>
    </row>
    <row r="94" spans="1:5" s="53" customFormat="1">
      <c r="A94" s="109"/>
      <c r="B94" s="184"/>
      <c r="C94" s="184"/>
      <c r="D94" s="163"/>
      <c r="E94" s="82"/>
    </row>
    <row r="95" spans="1:5">
      <c r="A95" s="69"/>
      <c r="B95" s="86" t="s">
        <v>54</v>
      </c>
      <c r="C95"/>
      <c r="D95" s="2"/>
      <c r="E95" s="3"/>
    </row>
    <row r="96" spans="1:5">
      <c r="A96" s="69"/>
      <c r="B96" s="86" t="s">
        <v>55</v>
      </c>
      <c r="C96"/>
      <c r="D96" s="2"/>
      <c r="E96" s="3"/>
    </row>
    <row r="97" spans="1:5">
      <c r="A97" s="69"/>
      <c r="B97" s="86" t="s">
        <v>56</v>
      </c>
      <c r="C97"/>
      <c r="D97" s="2"/>
      <c r="E97" s="3"/>
    </row>
  </sheetData>
  <sheetProtection password="9E1F" sheet="1" objects="1" scenarios="1"/>
  <customSheetViews>
    <customSheetView guid="{074EB09C-6289-46D7-9513-012B68BCA7BF}" fitToPage="1">
      <pane xSplit="1" ySplit="1" topLeftCell="B2" activePane="bottomRight" state="frozen"/>
      <selection pane="bottomRight"/>
      <pageMargins left="0.25" right="0.36" top="0.35" bottom="0.39" header="0.3" footer="0.28999999999999998"/>
      <pageSetup paperSize="17" scale="53" orientation="landscape" r:id="rId1"/>
    </customSheetView>
    <customSheetView guid="{AF9F1D33-B8C2-423F-86A1-47612B8F532C}" fitToPage="1">
      <pane xSplit="1" ySplit="1" topLeftCell="B20" activePane="bottomRight" state="frozenSplit"/>
      <selection pane="bottomRight" activeCell="C37" sqref="C37"/>
      <pageMargins left="0.7" right="0.7" top="0.75" bottom="0.75" header="0.3" footer="0.3"/>
      <pageSetup paperSize="17" scale="53" orientation="landscape"/>
    </customSheetView>
  </customSheetViews>
  <mergeCells count="3">
    <mergeCell ref="B18:C18"/>
    <mergeCell ref="B19:C19"/>
    <mergeCell ref="B15:E15"/>
  </mergeCells>
  <pageMargins left="0.25" right="0.36" top="0.35" bottom="0.39" header="0.3" footer="0.28999999999999998"/>
  <pageSetup paperSize="17" scale="54" orientation="landscape" r:id="rId2"/>
  <drawing r:id="rId3"/>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sheetPr enableFormatConditionsCalculation="0">
    <tabColor theme="5" tint="0.59999389629810485"/>
  </sheetPr>
  <dimension ref="A1:O97"/>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8.85546875" defaultRowHeight="12.75"/>
  <cols>
    <col min="1" max="1" width="16" customWidth="1"/>
    <col min="2" max="2" width="22.28515625" customWidth="1"/>
    <col min="3" max="3" width="21.140625" style="2" customWidth="1"/>
    <col min="4" max="4" width="20.28515625" style="3" customWidth="1"/>
    <col min="5" max="9" width="18.85546875" customWidth="1"/>
    <col min="10" max="10" width="17.42578125" customWidth="1"/>
    <col min="11" max="12" width="24.42578125" customWidth="1"/>
    <col min="13" max="13" width="19.42578125" customWidth="1"/>
    <col min="14" max="14" width="14.140625" customWidth="1"/>
    <col min="15" max="15" width="17.42578125" customWidth="1"/>
  </cols>
  <sheetData>
    <row r="1" spans="1:15" ht="43.5" customHeight="1"/>
    <row r="2" spans="1:15" ht="17.25" customHeight="1" thickBot="1">
      <c r="B2" s="1" t="s">
        <v>84</v>
      </c>
      <c r="C2" s="166"/>
      <c r="D2" s="2"/>
      <c r="E2" s="3"/>
    </row>
    <row r="3" spans="1:15" ht="15.75" thickBot="1">
      <c r="B3" s="5" t="s">
        <v>5</v>
      </c>
      <c r="C3" s="167"/>
      <c r="D3" s="6" t="s">
        <v>75</v>
      </c>
      <c r="E3" s="101">
        <v>18230466</v>
      </c>
    </row>
    <row r="5" spans="1:15" ht="13.5" thickBot="1">
      <c r="A5" s="69"/>
      <c r="C5"/>
      <c r="D5" s="2"/>
      <c r="E5" s="104" t="s">
        <v>1139</v>
      </c>
    </row>
    <row r="6" spans="1:15" ht="38.25">
      <c r="B6" s="3462"/>
      <c r="C6"/>
      <c r="D6"/>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15">
        <v>228000</v>
      </c>
      <c r="O7" s="26" t="s">
        <v>21</v>
      </c>
    </row>
    <row r="8" spans="1:15" s="53" customFormat="1">
      <c r="A8" s="109"/>
      <c r="D8" s="111" t="s">
        <v>22</v>
      </c>
      <c r="E8" s="28">
        <v>0</v>
      </c>
      <c r="F8" s="28">
        <v>170625</v>
      </c>
      <c r="G8" s="28">
        <v>81000</v>
      </c>
      <c r="H8" s="28">
        <v>0</v>
      </c>
      <c r="I8" s="28">
        <v>14000</v>
      </c>
      <c r="J8" s="28">
        <v>0</v>
      </c>
      <c r="K8" s="28">
        <v>0</v>
      </c>
      <c r="L8" s="28">
        <v>0</v>
      </c>
      <c r="M8" s="28">
        <v>0</v>
      </c>
      <c r="N8" s="29">
        <v>265625</v>
      </c>
      <c r="O8" s="30">
        <f>(N8-N7)/N7</f>
        <v>0.1650219298245614</v>
      </c>
    </row>
    <row r="9" spans="1:15" s="53" customFormat="1">
      <c r="A9" s="109"/>
      <c r="D9" s="53">
        <v>2012</v>
      </c>
      <c r="E9" s="118">
        <f>SUM(B24:B26)</f>
        <v>156600</v>
      </c>
      <c r="F9" s="118">
        <f>SUM(B30:B32)</f>
        <v>0</v>
      </c>
      <c r="G9" s="118">
        <f>(SUM(B24:B26)+SUM(B30:B32))*0.63</f>
        <v>98658</v>
      </c>
      <c r="H9" s="118">
        <f>SUM(B45:B49)+SUM(B53:B58)</f>
        <v>0</v>
      </c>
      <c r="I9" s="119">
        <f>SUM(B61:B65)</f>
        <v>17400</v>
      </c>
      <c r="J9" s="118">
        <f>SUM(B69:B74)</f>
        <v>73950</v>
      </c>
      <c r="K9" s="118">
        <f>SUM(B77:B83)</f>
        <v>0</v>
      </c>
      <c r="L9" s="118">
        <f>SUM(B86:B91)</f>
        <v>0</v>
      </c>
      <c r="M9" s="120"/>
      <c r="N9" s="186">
        <f>SUM(E9:M9)</f>
        <v>346608</v>
      </c>
      <c r="O9" s="30">
        <f>(N9-N8)/N8</f>
        <v>0.30487717647058826</v>
      </c>
    </row>
    <row r="10" spans="1:15" s="3534" customFormat="1">
      <c r="A10" s="109"/>
      <c r="D10" s="4263" t="s">
        <v>1168</v>
      </c>
      <c r="E10" s="118">
        <v>161298</v>
      </c>
      <c r="F10" s="118">
        <v>0</v>
      </c>
      <c r="G10" s="118">
        <v>101617.74</v>
      </c>
      <c r="H10" s="118">
        <v>0</v>
      </c>
      <c r="I10" s="119">
        <v>17400</v>
      </c>
      <c r="J10" s="118">
        <v>73950</v>
      </c>
      <c r="K10" s="118">
        <v>0</v>
      </c>
      <c r="L10" s="118">
        <v>0</v>
      </c>
      <c r="M10" s="120"/>
      <c r="N10" s="186">
        <v>354265.74</v>
      </c>
      <c r="O10" s="1346">
        <v>2.2093373493975877E-2</v>
      </c>
    </row>
    <row r="11" spans="1:15" s="53" customFormat="1">
      <c r="A11" s="109"/>
      <c r="D11" s="4264" t="s">
        <v>1169</v>
      </c>
      <c r="E11" s="4218">
        <f>SUM(C24:C26)</f>
        <v>161298</v>
      </c>
      <c r="F11" s="4218">
        <f>SUM(C30:C32)</f>
        <v>0</v>
      </c>
      <c r="G11" s="4218">
        <f>(SUM(C24:C26)+SUM(C30:C32))*0.707</f>
        <v>114037.68599999999</v>
      </c>
      <c r="H11" s="4218">
        <f>SUM(C45:C49)+SUM(C53:C58)</f>
        <v>0</v>
      </c>
      <c r="I11" s="4219">
        <f>SUM(C61:C65)</f>
        <v>17400</v>
      </c>
      <c r="J11" s="4218">
        <f>SUM(C69:C74)</f>
        <v>73950</v>
      </c>
      <c r="K11" s="4218">
        <f>SUM(C77:C83)</f>
        <v>0</v>
      </c>
      <c r="L11" s="4218">
        <f>SUM(C86:C91)</f>
        <v>0</v>
      </c>
      <c r="M11" s="4220"/>
      <c r="N11" s="4221">
        <f>SUM(E11:M11)</f>
        <v>366685.68599999999</v>
      </c>
      <c r="O11" s="30">
        <f>(N11-N9)/N9</f>
        <v>5.7926204819277072E-2</v>
      </c>
    </row>
    <row r="12" spans="1:15" s="19" customFormat="1">
      <c r="A12" s="69"/>
      <c r="D12" s="123" t="s">
        <v>1172</v>
      </c>
      <c r="E12" s="124">
        <f>SUM(E9+E11)</f>
        <v>317898</v>
      </c>
      <c r="F12" s="124">
        <f t="shared" ref="F12:N12" si="0">SUM(F9+F11)</f>
        <v>0</v>
      </c>
      <c r="G12" s="124">
        <f t="shared" si="0"/>
        <v>212695.68599999999</v>
      </c>
      <c r="H12" s="124">
        <f t="shared" si="0"/>
        <v>0</v>
      </c>
      <c r="I12" s="124">
        <f t="shared" si="0"/>
        <v>34800</v>
      </c>
      <c r="J12" s="124">
        <f t="shared" si="0"/>
        <v>147900</v>
      </c>
      <c r="K12" s="124">
        <f t="shared" si="0"/>
        <v>0</v>
      </c>
      <c r="L12" s="124">
        <f t="shared" si="0"/>
        <v>0</v>
      </c>
      <c r="M12" s="124">
        <f t="shared" si="0"/>
        <v>0</v>
      </c>
      <c r="N12" s="124">
        <f t="shared" si="0"/>
        <v>713293.68599999999</v>
      </c>
    </row>
    <row r="13" spans="1:15" ht="18" customHeight="1">
      <c r="A13" s="69"/>
      <c r="C13"/>
      <c r="D13" s="2"/>
      <c r="E13" s="3"/>
      <c r="M13" s="69" t="s">
        <v>23</v>
      </c>
    </row>
    <row r="14" spans="1:15">
      <c r="A14" s="69"/>
      <c r="C14"/>
      <c r="D14" s="2"/>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170">
        <v>2012</v>
      </c>
      <c r="C20" s="170">
        <v>2013</v>
      </c>
      <c r="D20" s="69" t="s">
        <v>82</v>
      </c>
      <c r="E20" s="131" t="s">
        <v>31</v>
      </c>
    </row>
    <row r="21" spans="1:7">
      <c r="A21" s="69"/>
      <c r="B21" s="174" t="s">
        <v>9</v>
      </c>
      <c r="C21" s="174" t="s">
        <v>9</v>
      </c>
      <c r="D21" s="138"/>
      <c r="E21" s="139">
        <f>SUM(B24:B26)+SUM(C24:C26)</f>
        <v>317898</v>
      </c>
    </row>
    <row r="22" spans="1:7" ht="7.5" customHeight="1">
      <c r="A22" s="69"/>
      <c r="B22" s="175"/>
      <c r="C22" s="175"/>
      <c r="D22" s="2"/>
      <c r="E22" s="52"/>
    </row>
    <row r="23" spans="1:7">
      <c r="A23" s="69"/>
      <c r="B23" s="176" t="s">
        <v>32</v>
      </c>
      <c r="C23" s="176" t="s">
        <v>32</v>
      </c>
      <c r="D23" s="143" t="s">
        <v>7</v>
      </c>
      <c r="E23" s="52"/>
      <c r="F23" s="144" t="s">
        <v>7</v>
      </c>
    </row>
    <row r="24" spans="1:7">
      <c r="A24" s="69"/>
      <c r="B24" s="177">
        <v>156600</v>
      </c>
      <c r="C24" s="178">
        <v>161298</v>
      </c>
      <c r="E24" s="52"/>
      <c r="F24" s="146"/>
    </row>
    <row r="25" spans="1:7">
      <c r="A25" s="69"/>
      <c r="B25" s="179"/>
      <c r="C25" s="179"/>
      <c r="D25" s="150"/>
      <c r="E25" s="52"/>
    </row>
    <row r="26" spans="1:7">
      <c r="A26" s="69"/>
      <c r="B26" s="179"/>
      <c r="C26" s="179"/>
      <c r="D26" s="2"/>
      <c r="E26" s="52"/>
    </row>
    <row r="27" spans="1:7" s="53" customFormat="1" ht="21" customHeight="1">
      <c r="A27" s="109"/>
      <c r="B27" s="174" t="s">
        <v>10</v>
      </c>
      <c r="C27" s="174" t="s">
        <v>10</v>
      </c>
      <c r="D27" s="138"/>
      <c r="E27" s="139">
        <f>SUM(B30:B33)+SUM(C30:C33)</f>
        <v>0</v>
      </c>
    </row>
    <row r="28" spans="1:7" ht="8.25" customHeight="1">
      <c r="A28" s="69"/>
      <c r="B28" s="180"/>
      <c r="C28" s="180"/>
      <c r="D28" s="152"/>
      <c r="E28" s="52"/>
    </row>
    <row r="29" spans="1:7" s="53" customFormat="1" ht="13.5" customHeight="1">
      <c r="A29" s="109"/>
      <c r="B29" s="176" t="s">
        <v>32</v>
      </c>
      <c r="C29" s="176" t="s">
        <v>32</v>
      </c>
      <c r="D29" s="152"/>
      <c r="E29" s="52"/>
    </row>
    <row r="30" spans="1:7">
      <c r="A30" s="69"/>
      <c r="B30" s="86"/>
      <c r="C30" s="181"/>
      <c r="D30" s="150"/>
      <c r="E30" s="52"/>
    </row>
    <row r="31" spans="1:7">
      <c r="A31" s="69"/>
      <c r="B31" s="181"/>
      <c r="C31" s="181"/>
      <c r="D31" s="150"/>
      <c r="E31" s="52"/>
    </row>
    <row r="32" spans="1:7">
      <c r="A32" s="69"/>
      <c r="B32" s="19"/>
      <c r="C32" s="19"/>
      <c r="D32" s="150"/>
      <c r="E32" s="52"/>
    </row>
    <row r="33" spans="1:6">
      <c r="A33" s="69"/>
      <c r="B33" s="19"/>
      <c r="C33" s="19"/>
      <c r="D33" s="150"/>
      <c r="E33" s="52"/>
    </row>
    <row r="34" spans="1:6">
      <c r="A34" s="69"/>
      <c r="B34" s="174" t="s">
        <v>11</v>
      </c>
      <c r="C34" s="174" t="s">
        <v>11</v>
      </c>
      <c r="D34" s="138"/>
      <c r="E34" s="139">
        <f>(B24*0.63)+(C24*0.707)</f>
        <v>212695.68599999999</v>
      </c>
    </row>
    <row r="35" spans="1:6" ht="7.5" customHeight="1">
      <c r="A35" s="69"/>
      <c r="B35" s="175"/>
      <c r="C35" s="175"/>
      <c r="D35" s="2"/>
      <c r="E35" s="68"/>
    </row>
    <row r="36" spans="1:6">
      <c r="A36" s="187"/>
      <c r="B36" s="182" t="s">
        <v>37</v>
      </c>
      <c r="C36" s="182" t="s">
        <v>1204</v>
      </c>
      <c r="D36" s="143" t="s">
        <v>7</v>
      </c>
      <c r="E36" s="52"/>
      <c r="F36" s="157"/>
    </row>
    <row r="37" spans="1:6">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26.2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27.75" customHeight="1">
      <c r="A50" s="69"/>
      <c r="B50" s="19"/>
      <c r="C50" s="19"/>
      <c r="D50" s="150"/>
      <c r="E50" s="52"/>
    </row>
    <row r="51" spans="1:5" ht="25.5">
      <c r="A51" s="69"/>
      <c r="B51" s="174" t="s">
        <v>39</v>
      </c>
      <c r="C51" s="174" t="s">
        <v>39</v>
      </c>
      <c r="D51" s="138"/>
      <c r="E51" s="139">
        <f>SUM(B53:B58)+SUM(C53:C58)</f>
        <v>0</v>
      </c>
    </row>
    <row r="52" spans="1:5" ht="6.75" customHeight="1">
      <c r="A52" s="69"/>
      <c r="B52" s="180"/>
      <c r="C52" s="180"/>
      <c r="D52"/>
      <c r="E52" s="73"/>
    </row>
    <row r="53" spans="1:5">
      <c r="A53" s="69"/>
      <c r="B53" s="184"/>
      <c r="C53" s="184"/>
      <c r="D53"/>
      <c r="E53" s="73"/>
    </row>
    <row r="54" spans="1:5" ht="12.75" customHeight="1">
      <c r="A54" s="69"/>
      <c r="B54" s="184"/>
      <c r="C54" s="184"/>
      <c r="D54"/>
      <c r="E54" s="73"/>
    </row>
    <row r="55" spans="1:5">
      <c r="A55" s="69"/>
      <c r="B55" s="184"/>
      <c r="C55" s="184"/>
      <c r="D55"/>
      <c r="E55" s="73"/>
    </row>
    <row r="56" spans="1:5">
      <c r="A56" s="69"/>
      <c r="B56" s="184"/>
      <c r="C56" s="184"/>
      <c r="D56"/>
      <c r="E56" s="73"/>
    </row>
    <row r="57" spans="1:5">
      <c r="A57" s="69"/>
      <c r="C57"/>
      <c r="D57"/>
      <c r="E57" s="73"/>
    </row>
    <row r="58" spans="1:5">
      <c r="A58" s="69"/>
      <c r="C58"/>
      <c r="D58" s="2"/>
      <c r="E58" s="52"/>
    </row>
    <row r="59" spans="1:5">
      <c r="A59" s="69"/>
      <c r="B59" s="174" t="s">
        <v>13</v>
      </c>
      <c r="C59" s="174" t="s">
        <v>13</v>
      </c>
      <c r="D59" s="138"/>
      <c r="E59" s="139">
        <f>SUM(B61:B66)+SUM(C61:C66)</f>
        <v>34800</v>
      </c>
    </row>
    <row r="60" spans="1:5" ht="6.75" customHeight="1">
      <c r="A60" s="69"/>
      <c r="B60" s="175"/>
      <c r="C60" s="175"/>
      <c r="D60" s="2"/>
      <c r="E60" s="52"/>
    </row>
    <row r="61" spans="1:5">
      <c r="A61" s="69"/>
      <c r="B61" s="84"/>
      <c r="C61" s="84"/>
      <c r="D61" s="160" t="s">
        <v>70</v>
      </c>
      <c r="E61" s="52"/>
    </row>
    <row r="62" spans="1:5">
      <c r="A62" s="69"/>
      <c r="B62" s="84" t="s">
        <v>7</v>
      </c>
      <c r="C62" s="84"/>
      <c r="D62" s="160" t="s">
        <v>41</v>
      </c>
      <c r="E62" s="52"/>
    </row>
    <row r="63" spans="1:5">
      <c r="A63" s="69"/>
      <c r="B63" s="84">
        <v>17400</v>
      </c>
      <c r="C63" s="84">
        <v>17400</v>
      </c>
      <c r="D63" s="160" t="s">
        <v>42</v>
      </c>
      <c r="E63" s="52"/>
    </row>
    <row r="64" spans="1:5" ht="25.5">
      <c r="A64" s="69"/>
      <c r="B64" s="84"/>
      <c r="C64" s="84"/>
      <c r="D64" s="160" t="s">
        <v>61</v>
      </c>
      <c r="E64" s="52"/>
    </row>
    <row r="65" spans="1:5">
      <c r="A65" s="69"/>
      <c r="B65" s="185"/>
      <c r="C65" s="185"/>
      <c r="D65" s="160" t="s">
        <v>44</v>
      </c>
      <c r="E65" s="52"/>
    </row>
    <row r="66" spans="1:5">
      <c r="A66" s="69"/>
      <c r="B66" s="185"/>
      <c r="C66" s="185"/>
      <c r="D66" s="160"/>
      <c r="E66" s="52"/>
    </row>
    <row r="67" spans="1:5">
      <c r="A67" s="69"/>
      <c r="B67" s="174" t="s">
        <v>14</v>
      </c>
      <c r="C67" s="174" t="s">
        <v>14</v>
      </c>
      <c r="D67" s="138"/>
      <c r="E67" s="139">
        <f>SUM(B69:B74)+SUM(C69:C74)</f>
        <v>147900</v>
      </c>
    </row>
    <row r="68" spans="1:5" ht="6" customHeight="1">
      <c r="A68" s="162"/>
      <c r="B68" s="175"/>
      <c r="C68" s="175"/>
      <c r="D68" s="2"/>
      <c r="E68" s="52"/>
    </row>
    <row r="69" spans="1:5">
      <c r="A69" s="69"/>
      <c r="B69" s="84">
        <v>73950</v>
      </c>
      <c r="C69" s="84">
        <v>73950</v>
      </c>
      <c r="D69" s="160" t="s">
        <v>85</v>
      </c>
      <c r="E69" s="52"/>
    </row>
    <row r="70" spans="1:5">
      <c r="A70" s="69"/>
      <c r="B70" s="84"/>
      <c r="C70" s="84"/>
      <c r="D70" s="2"/>
      <c r="E70" s="52"/>
    </row>
    <row r="71" spans="1:5">
      <c r="A71" s="69"/>
      <c r="B71" s="84"/>
      <c r="C71" s="84"/>
      <c r="D71" s="2"/>
      <c r="E71" s="52"/>
    </row>
    <row r="72" spans="1:5">
      <c r="A72" s="69"/>
      <c r="B72" s="84"/>
      <c r="C72" s="84"/>
      <c r="D72" s="2"/>
      <c r="E72" s="52"/>
    </row>
    <row r="73" spans="1:5">
      <c r="A73" s="69"/>
      <c r="B73" s="84"/>
      <c r="C73" s="84"/>
      <c r="D73" s="2"/>
      <c r="E73" s="52"/>
    </row>
    <row r="74" spans="1:5">
      <c r="A74" s="69"/>
      <c r="B74" s="84" t="s">
        <v>7</v>
      </c>
      <c r="C74" s="84"/>
      <c r="D74" s="2"/>
      <c r="E74" s="52"/>
    </row>
    <row r="75" spans="1:5">
      <c r="A75" s="69"/>
      <c r="B75" s="174" t="s">
        <v>15</v>
      </c>
      <c r="C75" s="174" t="s">
        <v>15</v>
      </c>
      <c r="D75" s="138"/>
      <c r="E75" s="139">
        <f>SUM(B77:B83)+SUM(C77:C83)</f>
        <v>0</v>
      </c>
    </row>
    <row r="76" spans="1:5" ht="6.75" customHeight="1">
      <c r="A76" s="69"/>
      <c r="B76" s="180"/>
      <c r="C76" s="180"/>
      <c r="D76" s="2"/>
      <c r="E76" s="52"/>
    </row>
    <row r="77" spans="1:5" s="53" customFormat="1" ht="12.75" customHeight="1">
      <c r="A77" s="109"/>
      <c r="B77" s="184"/>
      <c r="C77" s="184"/>
      <c r="D77" s="163"/>
      <c r="E77" s="52"/>
    </row>
    <row r="78" spans="1:5" s="53" customFormat="1" ht="12.75" customHeight="1">
      <c r="A78" s="109"/>
      <c r="B78" s="184"/>
      <c r="C78" s="184"/>
      <c r="D78" s="163"/>
      <c r="E78" s="52"/>
    </row>
    <row r="79" spans="1:5" s="53" customFormat="1" ht="12.75" customHeight="1">
      <c r="A79" s="109"/>
      <c r="B79" s="184"/>
      <c r="C79" s="184"/>
      <c r="D79" s="163"/>
      <c r="E79" s="52"/>
    </row>
    <row r="80" spans="1:5" s="53" customFormat="1" ht="12.75" customHeight="1">
      <c r="A80" s="109"/>
      <c r="B80" s="184"/>
      <c r="C80" s="184"/>
      <c r="D80" s="163"/>
      <c r="E80" s="52"/>
    </row>
    <row r="81" spans="1:5" s="53" customFormat="1" ht="12.75" customHeight="1">
      <c r="A81" s="109"/>
      <c r="B81" s="184"/>
      <c r="C81" s="184"/>
      <c r="D81" s="163"/>
      <c r="E81" s="52"/>
    </row>
    <row r="82" spans="1:5">
      <c r="A82" s="69"/>
      <c r="C82"/>
      <c r="D82" s="150"/>
      <c r="E82" s="52"/>
    </row>
    <row r="83" spans="1:5">
      <c r="A83" s="69"/>
      <c r="C83"/>
      <c r="D83" s="150"/>
      <c r="E83" s="52"/>
    </row>
    <row r="84" spans="1:5">
      <c r="A84" s="69"/>
      <c r="B84" s="174" t="s">
        <v>16</v>
      </c>
      <c r="C84" s="174" t="s">
        <v>16</v>
      </c>
      <c r="D84" s="138"/>
      <c r="E84" s="139">
        <f>SUM(B86:B91)+SUM(C86:C91)</f>
        <v>0</v>
      </c>
    </row>
    <row r="85" spans="1:5" s="53" customFormat="1" ht="6.75" customHeight="1">
      <c r="A85" s="109"/>
      <c r="B85" s="180"/>
      <c r="C85" s="180"/>
      <c r="D85" s="163"/>
      <c r="E85" s="52"/>
    </row>
    <row r="86" spans="1:5" s="53" customFormat="1" ht="12.75" customHeight="1">
      <c r="A86" s="109"/>
      <c r="B86" s="184"/>
      <c r="C86" s="184"/>
      <c r="D86" s="163"/>
      <c r="E86" s="52"/>
    </row>
    <row r="87" spans="1:5" s="53" customFormat="1" ht="12.75" customHeight="1">
      <c r="A87" s="109"/>
      <c r="B87" s="184"/>
      <c r="C87" s="184"/>
      <c r="D87" s="163"/>
      <c r="E87" s="52"/>
    </row>
    <row r="88" spans="1:5" s="53" customFormat="1" ht="12.75" customHeight="1">
      <c r="A88" s="109"/>
      <c r="B88" s="184"/>
      <c r="C88" s="184"/>
      <c r="D88" s="163"/>
      <c r="E88" s="52"/>
    </row>
    <row r="89" spans="1:5" s="53" customFormat="1">
      <c r="A89" s="109"/>
      <c r="B89" s="184"/>
      <c r="C89" s="184"/>
      <c r="D89" s="163"/>
      <c r="E89" s="52"/>
    </row>
    <row r="90" spans="1:5" s="53" customFormat="1">
      <c r="A90" s="109"/>
      <c r="B90" s="184"/>
      <c r="C90" s="184"/>
      <c r="D90" s="163"/>
      <c r="E90" s="52"/>
    </row>
    <row r="91" spans="1:5">
      <c r="A91" s="69"/>
      <c r="C91"/>
      <c r="D91" s="2"/>
      <c r="E91" s="52"/>
    </row>
    <row r="92" spans="1:5" ht="25.5">
      <c r="A92" s="69"/>
      <c r="B92" s="174" t="s">
        <v>17</v>
      </c>
      <c r="C92" s="174" t="s">
        <v>17</v>
      </c>
      <c r="D92" s="2"/>
      <c r="E92" s="52"/>
    </row>
    <row r="93" spans="1:5" s="53" customFormat="1" ht="6.75" customHeight="1">
      <c r="A93" s="109"/>
      <c r="B93" s="180"/>
      <c r="C93" s="180"/>
      <c r="D93" s="163"/>
      <c r="E93" s="52"/>
    </row>
    <row r="94" spans="1:5" s="53" customFormat="1">
      <c r="A94" s="109"/>
      <c r="B94" s="184"/>
      <c r="C94" s="184"/>
      <c r="D94" s="163"/>
      <c r="E94" s="82"/>
    </row>
    <row r="95" spans="1:5">
      <c r="A95" s="69"/>
      <c r="B95" s="86" t="s">
        <v>54</v>
      </c>
      <c r="C95"/>
      <c r="D95" s="2"/>
      <c r="E95" s="3"/>
    </row>
    <row r="96" spans="1:5">
      <c r="A96" s="69"/>
      <c r="B96" s="86" t="s">
        <v>55</v>
      </c>
      <c r="C96"/>
      <c r="D96" s="2"/>
      <c r="E96" s="3"/>
    </row>
    <row r="97" spans="1:5">
      <c r="A97" s="69"/>
      <c r="B97" s="86" t="s">
        <v>56</v>
      </c>
      <c r="C97"/>
      <c r="D97" s="2"/>
      <c r="E97" s="3"/>
    </row>
  </sheetData>
  <sheetProtection password="9E1F" sheet="1" objects="1" scenarios="1"/>
  <customSheetViews>
    <customSheetView guid="{074EB09C-6289-46D7-9513-012B68BCA7BF}">
      <pane xSplit="1" ySplit="1" topLeftCell="B2" activePane="bottomRight" state="frozen"/>
      <selection pane="bottomRight" activeCell="K69" sqref="K69"/>
      <pageMargins left="0.7" right="0.7" top="0.35" bottom="0.34" header="0.3" footer="0.3"/>
      <pageSetup paperSize="17" scale="53" orientation="landscape" r:id="rId1"/>
    </customSheetView>
    <customSheetView guid="{AF9F1D33-B8C2-423F-86A1-47612B8F532C}">
      <pane xSplit="1" ySplit="1" topLeftCell="B8" activePane="bottomRight" state="frozenSplit"/>
      <selection pane="bottomRight" activeCell="E34" sqref="E34"/>
      <pageMargins left="0.7" right="0.7" top="0.75" bottom="0.75" header="0.3" footer="0.3"/>
      <pageSetup paperSize="17" scale="53" orientation="landscape"/>
    </customSheetView>
  </customSheetViews>
  <mergeCells count="3">
    <mergeCell ref="B18:C18"/>
    <mergeCell ref="B19:C19"/>
    <mergeCell ref="B15:E15"/>
  </mergeCells>
  <pageMargins left="0.7" right="0.7" top="0.35" bottom="0.34" header="0.3" footer="0.3"/>
  <pageSetup paperSize="17" scale="53" orientation="landscape" r:id="rId2"/>
  <drawing r:id="rId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8.85546875" defaultRowHeight="12.75"/>
  <cols>
    <col min="1" max="1" width="15.7109375" style="69" customWidth="1"/>
    <col min="2" max="2" width="23.140625" style="103" customWidth="1"/>
    <col min="3" max="3" width="23.85546875" style="103" customWidth="1"/>
    <col min="4" max="4" width="23" style="2" customWidth="1"/>
    <col min="5" max="5" width="18.85546875" style="3" customWidth="1"/>
    <col min="6" max="10" width="18.85546875" customWidth="1"/>
    <col min="11" max="11" width="17.42578125" customWidth="1"/>
    <col min="12" max="12" width="24.42578125" customWidth="1"/>
    <col min="13" max="13" width="19.42578125" customWidth="1"/>
    <col min="14" max="14" width="17.85546875" customWidth="1"/>
    <col min="15" max="15" width="21.28515625" customWidth="1"/>
  </cols>
  <sheetData>
    <row r="1" spans="1:15" ht="41.25" customHeight="1"/>
    <row r="2" spans="1:15" ht="18.75" thickBot="1">
      <c r="B2" s="97" t="s">
        <v>76</v>
      </c>
      <c r="C2" s="98"/>
    </row>
    <row r="3" spans="1:15" ht="15.75" thickBot="1">
      <c r="B3" s="99" t="s">
        <v>5</v>
      </c>
      <c r="C3" s="100"/>
      <c r="D3" s="6" t="s">
        <v>6</v>
      </c>
      <c r="E3" s="101">
        <v>18230811</v>
      </c>
    </row>
    <row r="4" spans="1:15">
      <c r="B4" s="100"/>
      <c r="C4" s="100"/>
      <c r="D4" s="102"/>
    </row>
    <row r="5" spans="1:15" ht="13.5" thickBot="1">
      <c r="E5" s="104" t="s">
        <v>1139</v>
      </c>
    </row>
    <row r="6" spans="1:15" ht="38.25">
      <c r="B6" s="3462"/>
      <c r="D6"/>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B7" s="110"/>
      <c r="C7" s="110"/>
      <c r="D7" s="111" t="s">
        <v>20</v>
      </c>
      <c r="E7" s="112"/>
      <c r="F7" s="112"/>
      <c r="G7" s="112"/>
      <c r="H7" s="113"/>
      <c r="I7" s="114"/>
      <c r="J7" s="112"/>
      <c r="K7" s="112"/>
      <c r="L7" s="112"/>
      <c r="M7" s="112"/>
      <c r="N7" s="115">
        <v>218210</v>
      </c>
      <c r="O7" s="26" t="s">
        <v>21</v>
      </c>
    </row>
    <row r="8" spans="1:15" s="53" customFormat="1">
      <c r="A8" s="109"/>
      <c r="B8" s="110"/>
      <c r="C8" s="110"/>
      <c r="D8" s="111" t="s">
        <v>22</v>
      </c>
      <c r="E8" s="116">
        <v>133825</v>
      </c>
      <c r="F8" s="116">
        <v>0</v>
      </c>
      <c r="G8" s="116">
        <v>84309.75</v>
      </c>
      <c r="H8" s="116">
        <v>0</v>
      </c>
      <c r="I8" s="116">
        <v>18760</v>
      </c>
      <c r="J8" s="116">
        <v>5250</v>
      </c>
      <c r="K8" s="116">
        <v>1400</v>
      </c>
      <c r="L8" s="116">
        <v>0</v>
      </c>
      <c r="M8" s="116">
        <v>0</v>
      </c>
      <c r="N8" s="117">
        <v>243544.75</v>
      </c>
      <c r="O8" s="30">
        <f>(N8-N7)/N7</f>
        <v>0.11610260757985427</v>
      </c>
    </row>
    <row r="9" spans="1:15" s="53" customFormat="1">
      <c r="A9" s="109"/>
      <c r="B9" s="110"/>
      <c r="C9" s="110"/>
      <c r="D9" s="53">
        <v>2012</v>
      </c>
      <c r="E9" s="118">
        <f>SUM(B25:B27)</f>
        <v>166842</v>
      </c>
      <c r="F9" s="118">
        <f>SUM(B31:B33)</f>
        <v>0</v>
      </c>
      <c r="G9" s="118">
        <f>(SUM(B25:B27)+SUM(B31:B33))*0.63</f>
        <v>105110.46</v>
      </c>
      <c r="H9" s="118">
        <f>SUM(B45:B49)+SUM(B53:B58)</f>
        <v>0</v>
      </c>
      <c r="I9" s="119">
        <f>SUM(B61:B65)</f>
        <v>5220</v>
      </c>
      <c r="J9" s="118">
        <f>SUM(B69:B74)</f>
        <v>5655</v>
      </c>
      <c r="K9" s="118">
        <f>SUM(B77:B83)</f>
        <v>0</v>
      </c>
      <c r="L9" s="118">
        <f>SUM(B86:B91)</f>
        <v>0</v>
      </c>
      <c r="M9" s="120"/>
      <c r="N9" s="121">
        <f>SUM(E9:M9)</f>
        <v>282827.46000000002</v>
      </c>
      <c r="O9" s="30">
        <f>(N9-N8)/N8</f>
        <v>0.16129565511061117</v>
      </c>
    </row>
    <row r="10" spans="1:15" s="3534" customFormat="1">
      <c r="A10" s="109"/>
      <c r="B10" s="110"/>
      <c r="C10" s="110"/>
      <c r="D10" s="4263" t="s">
        <v>1168</v>
      </c>
      <c r="E10" s="5005">
        <v>171852</v>
      </c>
      <c r="F10" s="5005">
        <v>0</v>
      </c>
      <c r="G10" s="5005">
        <v>108266.76</v>
      </c>
      <c r="H10" s="5005">
        <v>0</v>
      </c>
      <c r="I10" s="5006">
        <v>8700</v>
      </c>
      <c r="J10" s="5005">
        <v>5655</v>
      </c>
      <c r="K10" s="5005">
        <v>0</v>
      </c>
      <c r="L10" s="5005">
        <v>0</v>
      </c>
      <c r="M10" s="5003"/>
      <c r="N10" s="5004">
        <v>294473.76</v>
      </c>
      <c r="O10" s="1346"/>
    </row>
    <row r="11" spans="1:15" s="53" customFormat="1">
      <c r="A11" s="109"/>
      <c r="B11" s="110"/>
      <c r="C11" s="110"/>
      <c r="D11" s="4264" t="s">
        <v>1169</v>
      </c>
      <c r="E11" s="4218">
        <f>SUM(C25:C27)</f>
        <v>197877</v>
      </c>
      <c r="F11" s="4218">
        <f>SUM(C31:C33)</f>
        <v>0</v>
      </c>
      <c r="G11" s="4218">
        <f>(SUM(C25:C27)+SUM(C31:C33))*0.707</f>
        <v>139899.03899999999</v>
      </c>
      <c r="H11" s="4218">
        <f>SUM(C45:C49)+SUM(C53:C58)</f>
        <v>0</v>
      </c>
      <c r="I11" s="4219">
        <f>SUM(C61:C65)</f>
        <v>34800</v>
      </c>
      <c r="J11" s="4218">
        <f>SUM(C69:C74)</f>
        <v>5699</v>
      </c>
      <c r="K11" s="4218">
        <f>SUM(C77:C83)</f>
        <v>2610</v>
      </c>
      <c r="L11" s="4218">
        <f>SUM(C86:C91)</f>
        <v>0</v>
      </c>
      <c r="M11" s="4220"/>
      <c r="N11" s="4221">
        <f>SUM(E11:M11)</f>
        <v>380885.03899999999</v>
      </c>
      <c r="O11" s="30">
        <f>(N11-N9)/N9</f>
        <v>0.34670459155557232</v>
      </c>
    </row>
    <row r="12" spans="1:15" s="19" customFormat="1">
      <c r="A12" s="69"/>
      <c r="B12" s="122"/>
      <c r="C12" s="122"/>
      <c r="D12" s="123" t="s">
        <v>1172</v>
      </c>
      <c r="E12" s="124">
        <f>SUM(E9+E11)</f>
        <v>364719</v>
      </c>
      <c r="F12" s="124">
        <f t="shared" ref="F12:N12" si="0">SUM(F9+F11)</f>
        <v>0</v>
      </c>
      <c r="G12" s="124">
        <f t="shared" si="0"/>
        <v>245009.49900000001</v>
      </c>
      <c r="H12" s="124">
        <f t="shared" si="0"/>
        <v>0</v>
      </c>
      <c r="I12" s="124">
        <f t="shared" si="0"/>
        <v>40020</v>
      </c>
      <c r="J12" s="124">
        <f t="shared" si="0"/>
        <v>11354</v>
      </c>
      <c r="K12" s="124">
        <f t="shared" si="0"/>
        <v>2610</v>
      </c>
      <c r="L12" s="124">
        <f t="shared" si="0"/>
        <v>0</v>
      </c>
      <c r="M12" s="124">
        <f t="shared" si="0"/>
        <v>0</v>
      </c>
      <c r="N12" s="124">
        <f t="shared" si="0"/>
        <v>663712.49900000007</v>
      </c>
    </row>
    <row r="13" spans="1:15" ht="18" customHeight="1">
      <c r="M13" s="69" t="s">
        <v>23</v>
      </c>
    </row>
    <row r="14" spans="1:15">
      <c r="M14" s="69" t="s">
        <v>24</v>
      </c>
    </row>
    <row r="15" spans="1:15" ht="15.75">
      <c r="B15" s="5143" t="s">
        <v>25</v>
      </c>
      <c r="C15" s="5145"/>
      <c r="D15" s="5145"/>
      <c r="E15" s="5144"/>
      <c r="F15" s="3437"/>
      <c r="G15" s="3437"/>
    </row>
    <row r="16" spans="1:15" s="53" customFormat="1" ht="15.75">
      <c r="A16" s="109"/>
      <c r="B16" s="127"/>
      <c r="C16" s="128"/>
      <c r="D16" s="129"/>
      <c r="E16" s="129"/>
      <c r="F16" s="129"/>
      <c r="G16" s="129"/>
    </row>
    <row r="17" spans="1:10" s="53" customFormat="1" ht="15.75">
      <c r="A17" s="109"/>
      <c r="B17" s="128"/>
      <c r="C17" s="128"/>
      <c r="D17" s="129"/>
      <c r="E17" s="129"/>
      <c r="F17" s="129"/>
      <c r="G17" s="129"/>
    </row>
    <row r="18" spans="1:10" ht="15.75">
      <c r="B18" s="5162" t="s">
        <v>26</v>
      </c>
      <c r="C18" s="5162"/>
      <c r="D18" s="43" t="s">
        <v>27</v>
      </c>
      <c r="E18" s="44" t="s">
        <v>28</v>
      </c>
    </row>
    <row r="19" spans="1:10" ht="15.75">
      <c r="B19" s="5142" t="s">
        <v>29</v>
      </c>
      <c r="C19" s="5142"/>
      <c r="D19" s="43"/>
      <c r="E19" s="44"/>
    </row>
    <row r="20" spans="1:10" ht="45.75">
      <c r="B20" s="45">
        <v>2012</v>
      </c>
      <c r="C20" s="45">
        <v>2013</v>
      </c>
      <c r="D20" s="130" t="s">
        <v>30</v>
      </c>
      <c r="E20" s="131" t="s">
        <v>31</v>
      </c>
      <c r="H20" s="132"/>
      <c r="I20" s="132"/>
      <c r="J20" s="132"/>
    </row>
    <row r="21" spans="1:10" s="53" customFormat="1">
      <c r="A21" s="133"/>
      <c r="B21" s="134"/>
      <c r="C21" s="134"/>
      <c r="D21" s="135"/>
      <c r="E21" s="136"/>
      <c r="H21" s="132"/>
      <c r="I21" s="132"/>
      <c r="J21" s="132"/>
    </row>
    <row r="22" spans="1:10" ht="13.5" customHeight="1">
      <c r="B22" s="137" t="s">
        <v>9</v>
      </c>
      <c r="C22" s="137" t="s">
        <v>9</v>
      </c>
      <c r="D22" s="138"/>
      <c r="E22" s="139">
        <f>SUM(B25:B27)+SUM(C25:C27)</f>
        <v>364719</v>
      </c>
      <c r="H22" s="140"/>
      <c r="I22" s="132"/>
      <c r="J22" s="132"/>
    </row>
    <row r="23" spans="1:10" ht="7.5" customHeight="1">
      <c r="B23" s="141"/>
      <c r="C23" s="141"/>
      <c r="E23" s="52"/>
      <c r="H23" s="140"/>
      <c r="I23" s="132"/>
      <c r="J23" s="132"/>
    </row>
    <row r="24" spans="1:10">
      <c r="B24" s="142" t="s">
        <v>32</v>
      </c>
      <c r="C24" s="142" t="s">
        <v>32</v>
      </c>
      <c r="D24" s="143" t="s">
        <v>7</v>
      </c>
      <c r="E24" s="52"/>
      <c r="F24" s="144" t="s">
        <v>7</v>
      </c>
      <c r="H24" s="140"/>
      <c r="I24" s="132"/>
      <c r="J24" s="132"/>
    </row>
    <row r="25" spans="1:10">
      <c r="B25" s="4062">
        <v>166842</v>
      </c>
      <c r="C25" s="4436">
        <v>197877</v>
      </c>
      <c r="D25" s="145" t="s">
        <v>1209</v>
      </c>
      <c r="E25" s="52"/>
      <c r="F25" s="146"/>
      <c r="H25" s="140"/>
      <c r="I25" s="132"/>
      <c r="J25" s="132"/>
    </row>
    <row r="26" spans="1:10" ht="15">
      <c r="B26" s="147"/>
      <c r="D26" s="148"/>
      <c r="E26" s="52"/>
      <c r="H26" s="149"/>
      <c r="I26" s="132"/>
      <c r="J26" s="132"/>
    </row>
    <row r="27" spans="1:10">
      <c r="B27" s="147"/>
      <c r="D27" s="150"/>
      <c r="E27" s="52"/>
      <c r="H27" s="140"/>
      <c r="I27" s="132"/>
      <c r="J27" s="132"/>
    </row>
    <row r="28" spans="1:10" s="53" customFormat="1" ht="21" customHeight="1">
      <c r="A28" s="109"/>
      <c r="B28" s="137" t="s">
        <v>10</v>
      </c>
      <c r="C28" s="137" t="s">
        <v>10</v>
      </c>
      <c r="D28" s="138"/>
      <c r="E28" s="139">
        <f>SUM(B31:B33)+SUM(C31:C33)</f>
        <v>0</v>
      </c>
    </row>
    <row r="29" spans="1:10" ht="8.25" customHeight="1">
      <c r="B29" s="151"/>
      <c r="C29" s="151"/>
      <c r="D29" s="152"/>
      <c r="E29" s="52"/>
    </row>
    <row r="30" spans="1:10" s="53" customFormat="1" ht="13.5" customHeight="1">
      <c r="A30" s="109"/>
      <c r="B30" s="142" t="s">
        <v>32</v>
      </c>
      <c r="C30" s="142" t="s">
        <v>32</v>
      </c>
      <c r="D30" s="152"/>
      <c r="E30" s="52"/>
    </row>
    <row r="31" spans="1:10">
      <c r="B31" s="153"/>
      <c r="C31" s="154"/>
      <c r="D31" s="150"/>
      <c r="E31" s="52"/>
    </row>
    <row r="32" spans="1:10">
      <c r="B32" s="154"/>
      <c r="C32" s="154"/>
      <c r="D32" s="150"/>
      <c r="E32" s="52"/>
    </row>
    <row r="33" spans="1:6">
      <c r="B33" s="122"/>
      <c r="C33" s="122"/>
      <c r="D33" s="150"/>
      <c r="E33" s="52"/>
    </row>
    <row r="34" spans="1:6">
      <c r="A34" s="155"/>
      <c r="B34" s="137" t="s">
        <v>11</v>
      </c>
      <c r="C34" s="137" t="s">
        <v>11</v>
      </c>
      <c r="D34" s="138"/>
      <c r="E34" s="139">
        <f>(B25*0.63)+(C25*0.707)</f>
        <v>245009.49900000001</v>
      </c>
      <c r="F34" s="155"/>
    </row>
    <row r="35" spans="1:6" ht="15" customHeight="1">
      <c r="B35" s="141"/>
      <c r="C35" s="141"/>
      <c r="E35" s="68"/>
    </row>
    <row r="36" spans="1:6">
      <c r="B36" s="156" t="s">
        <v>37</v>
      </c>
      <c r="C36" s="156" t="s">
        <v>1204</v>
      </c>
      <c r="D36" s="143" t="s">
        <v>7</v>
      </c>
      <c r="E36" s="52"/>
      <c r="F36" s="157"/>
    </row>
    <row r="37" spans="1:6">
      <c r="B37" s="122"/>
      <c r="C37" s="122"/>
      <c r="D37" s="150" t="s">
        <v>7</v>
      </c>
      <c r="E37" s="52"/>
    </row>
    <row r="38" spans="1:6" s="53" customFormat="1">
      <c r="A38" s="109"/>
      <c r="B38" s="137" t="s">
        <v>38</v>
      </c>
      <c r="C38" s="137" t="s">
        <v>38</v>
      </c>
      <c r="D38" s="138"/>
      <c r="E38" s="139">
        <f>SUM(B40:B42)+SUM(C40:C42)</f>
        <v>0</v>
      </c>
    </row>
    <row r="39" spans="1:6" ht="7.5" customHeight="1">
      <c r="B39" s="151"/>
      <c r="C39" s="151"/>
      <c r="D39" s="152"/>
      <c r="E39" s="52"/>
    </row>
    <row r="40" spans="1:6">
      <c r="C40" s="154"/>
      <c r="D40" s="150"/>
      <c r="E40" s="52"/>
    </row>
    <row r="41" spans="1:6" ht="26.25" customHeight="1">
      <c r="B41" s="122"/>
      <c r="C41" s="122"/>
      <c r="D41" s="150"/>
      <c r="E41" s="52"/>
    </row>
    <row r="42" spans="1:6" ht="26.25" customHeight="1">
      <c r="B42" s="122"/>
      <c r="C42" s="122"/>
      <c r="D42" s="150"/>
      <c r="E42" s="52"/>
    </row>
    <row r="43" spans="1:6">
      <c r="B43" s="137" t="s">
        <v>12</v>
      </c>
      <c r="C43" s="137" t="s">
        <v>12</v>
      </c>
      <c r="D43" s="138"/>
      <c r="E43" s="139">
        <f>SUM(B45:B50)+SUM(C45:C50)</f>
        <v>0</v>
      </c>
    </row>
    <row r="44" spans="1:6" ht="6.75" customHeight="1">
      <c r="B44" s="158"/>
      <c r="C44" s="158"/>
      <c r="D44" s="150"/>
      <c r="E44" s="52"/>
    </row>
    <row r="45" spans="1:6">
      <c r="B45" s="122">
        <v>0</v>
      </c>
      <c r="C45" s="122">
        <v>0</v>
      </c>
      <c r="D45" s="148" t="s">
        <v>105</v>
      </c>
      <c r="E45" s="52"/>
    </row>
    <row r="46" spans="1:6">
      <c r="B46" s="122"/>
      <c r="C46" s="122"/>
      <c r="D46" s="150"/>
      <c r="E46" s="52"/>
    </row>
    <row r="47" spans="1:6">
      <c r="B47" s="122"/>
      <c r="C47" s="122"/>
      <c r="D47" s="150"/>
      <c r="E47" s="52"/>
    </row>
    <row r="48" spans="1:6">
      <c r="B48" s="122"/>
      <c r="C48" s="122"/>
      <c r="D48" s="150"/>
      <c r="E48" s="52"/>
    </row>
    <row r="49" spans="2:5" ht="27.75" customHeight="1">
      <c r="B49" s="122"/>
      <c r="C49" s="122"/>
      <c r="D49" s="150"/>
      <c r="E49" s="52"/>
    </row>
    <row r="50" spans="2:5" ht="27.75" customHeight="1">
      <c r="B50" s="122"/>
      <c r="C50" s="122"/>
      <c r="D50" s="150"/>
      <c r="E50" s="52"/>
    </row>
    <row r="51" spans="2:5">
      <c r="B51" s="137" t="s">
        <v>39</v>
      </c>
      <c r="C51" s="137" t="s">
        <v>39</v>
      </c>
      <c r="D51" s="138"/>
      <c r="E51" s="139">
        <f>SUM(B53:B58)+SUM(C53:C58)</f>
        <v>0</v>
      </c>
    </row>
    <row r="52" spans="2:5" ht="6.75" customHeight="1">
      <c r="B52" s="151"/>
      <c r="C52" s="151"/>
      <c r="D52"/>
      <c r="E52" s="73"/>
    </row>
    <row r="53" spans="2:5">
      <c r="B53" s="159"/>
      <c r="C53" s="159"/>
      <c r="D53"/>
      <c r="E53" s="73"/>
    </row>
    <row r="54" spans="2:5" ht="12.75" customHeight="1">
      <c r="B54" s="159"/>
      <c r="C54" s="159"/>
      <c r="D54"/>
      <c r="E54" s="73"/>
    </row>
    <row r="55" spans="2:5">
      <c r="B55" s="159"/>
      <c r="C55" s="159"/>
      <c r="D55"/>
      <c r="E55" s="73"/>
    </row>
    <row r="56" spans="2:5">
      <c r="B56" s="159"/>
      <c r="C56" s="159"/>
      <c r="D56"/>
      <c r="E56" s="73"/>
    </row>
    <row r="57" spans="2:5">
      <c r="D57"/>
      <c r="E57" s="73"/>
    </row>
    <row r="58" spans="2:5">
      <c r="E58" s="52"/>
    </row>
    <row r="59" spans="2:5">
      <c r="B59" s="137" t="s">
        <v>13</v>
      </c>
      <c r="C59" s="137" t="s">
        <v>13</v>
      </c>
      <c r="D59" s="138"/>
      <c r="E59" s="139">
        <f>SUM(B61:B66)+SUM(C61:C66)</f>
        <v>40020</v>
      </c>
    </row>
    <row r="60" spans="2:5" ht="6.75" customHeight="1">
      <c r="B60" s="141"/>
      <c r="C60" s="141"/>
      <c r="E60" s="52"/>
    </row>
    <row r="61" spans="2:5">
      <c r="B61" s="103">
        <v>870</v>
      </c>
      <c r="C61" s="4437">
        <v>17400</v>
      </c>
      <c r="D61" s="160" t="s">
        <v>77</v>
      </c>
      <c r="E61" s="52"/>
    </row>
    <row r="62" spans="2:5">
      <c r="B62" s="103" t="s">
        <v>7</v>
      </c>
      <c r="D62" s="160"/>
      <c r="E62" s="52"/>
    </row>
    <row r="63" spans="2:5" ht="38.25">
      <c r="B63" s="103">
        <v>4350</v>
      </c>
      <c r="C63" s="4437">
        <v>17400</v>
      </c>
      <c r="D63" s="160" t="s">
        <v>1210</v>
      </c>
      <c r="E63" s="52"/>
    </row>
    <row r="64" spans="2:5">
      <c r="D64" s="160" t="s">
        <v>61</v>
      </c>
      <c r="E64" s="52"/>
    </row>
    <row r="65" spans="1:5">
      <c r="B65" s="161"/>
      <c r="C65" s="161"/>
      <c r="D65" s="160" t="s">
        <v>44</v>
      </c>
      <c r="E65" s="52"/>
    </row>
    <row r="66" spans="1:5">
      <c r="B66" s="161"/>
      <c r="C66" s="161"/>
      <c r="D66" s="160"/>
      <c r="E66" s="52"/>
    </row>
    <row r="67" spans="1:5">
      <c r="B67" s="137" t="s">
        <v>14</v>
      </c>
      <c r="C67" s="137" t="s">
        <v>14</v>
      </c>
      <c r="D67" s="138"/>
      <c r="E67" s="139">
        <f>SUM(B69:B74)+SUM(C69:C74)</f>
        <v>11354</v>
      </c>
    </row>
    <row r="68" spans="1:5" ht="6" customHeight="1">
      <c r="A68" s="162"/>
      <c r="B68" s="141"/>
      <c r="C68" s="141"/>
      <c r="E68" s="52"/>
    </row>
    <row r="69" spans="1:5" ht="38.25">
      <c r="B69" s="103">
        <v>5655</v>
      </c>
      <c r="C69" s="4437">
        <v>5699</v>
      </c>
      <c r="D69" s="160" t="s">
        <v>1208</v>
      </c>
      <c r="E69" s="52"/>
    </row>
    <row r="70" spans="1:5">
      <c r="E70" s="52"/>
    </row>
    <row r="71" spans="1:5">
      <c r="E71" s="52"/>
    </row>
    <row r="72" spans="1:5">
      <c r="E72" s="52"/>
    </row>
    <row r="73" spans="1:5">
      <c r="E73" s="52"/>
    </row>
    <row r="74" spans="1:5">
      <c r="B74" s="103" t="s">
        <v>7</v>
      </c>
      <c r="E74" s="52"/>
    </row>
    <row r="75" spans="1:5">
      <c r="B75" s="137" t="s">
        <v>15</v>
      </c>
      <c r="C75" s="137" t="s">
        <v>15</v>
      </c>
      <c r="D75" s="138"/>
      <c r="E75" s="139">
        <f>SUM(B77:B83)+SUM(C77:C83)</f>
        <v>2610</v>
      </c>
    </row>
    <row r="76" spans="1:5" ht="6.75" customHeight="1">
      <c r="B76" s="151"/>
      <c r="C76" s="151"/>
      <c r="E76" s="52"/>
    </row>
    <row r="77" spans="1:5" s="53" customFormat="1" ht="12.75" customHeight="1">
      <c r="A77" s="109"/>
      <c r="B77" s="159"/>
      <c r="C77" s="159"/>
      <c r="D77" s="163"/>
      <c r="E77" s="52"/>
    </row>
    <row r="78" spans="1:5" s="53" customFormat="1" ht="12.75" customHeight="1">
      <c r="A78" s="109"/>
      <c r="B78" s="159"/>
      <c r="C78" s="4438">
        <v>2610</v>
      </c>
      <c r="D78" s="163"/>
      <c r="E78" s="52"/>
    </row>
    <row r="79" spans="1:5" s="53" customFormat="1" ht="12.75" customHeight="1">
      <c r="A79" s="109"/>
      <c r="B79" s="159"/>
      <c r="C79" s="159"/>
      <c r="D79" s="163"/>
      <c r="E79" s="52"/>
    </row>
    <row r="80" spans="1:5" s="53" customFormat="1" ht="12.75" customHeight="1">
      <c r="A80" s="109"/>
      <c r="B80" s="159"/>
      <c r="C80" s="159"/>
      <c r="D80" s="163"/>
      <c r="E80" s="52"/>
    </row>
    <row r="81" spans="1:5" s="53" customFormat="1" ht="12.75" customHeight="1">
      <c r="A81" s="109"/>
      <c r="B81" s="159"/>
      <c r="C81" s="159"/>
      <c r="D81" s="163"/>
      <c r="E81" s="52"/>
    </row>
    <row r="82" spans="1:5">
      <c r="D82" s="150"/>
      <c r="E82" s="52"/>
    </row>
    <row r="83" spans="1:5">
      <c r="D83" s="150"/>
      <c r="E83" s="52"/>
    </row>
    <row r="84" spans="1:5">
      <c r="B84" s="137" t="s">
        <v>16</v>
      </c>
      <c r="C84" s="137" t="s">
        <v>16</v>
      </c>
      <c r="D84" s="138"/>
      <c r="E84" s="139">
        <f>SUM(B86:B91)+SUM(C86:C91)</f>
        <v>0</v>
      </c>
    </row>
    <row r="85" spans="1:5" s="53" customFormat="1" ht="6.75" customHeight="1">
      <c r="A85" s="109"/>
      <c r="B85" s="151"/>
      <c r="C85" s="151"/>
      <c r="D85" s="163"/>
      <c r="E85" s="52"/>
    </row>
    <row r="86" spans="1:5" s="53" customFormat="1" ht="12.75" customHeight="1">
      <c r="A86" s="109"/>
      <c r="B86" s="164"/>
      <c r="C86" s="164"/>
      <c r="D86" s="165"/>
      <c r="E86" s="52"/>
    </row>
    <row r="87" spans="1:5" s="53" customFormat="1" ht="12.75" customHeight="1">
      <c r="A87" s="109"/>
      <c r="B87" s="164"/>
      <c r="C87" s="164"/>
      <c r="D87" s="163"/>
      <c r="E87" s="52"/>
    </row>
    <row r="88" spans="1:5" s="53" customFormat="1" ht="12.75" customHeight="1">
      <c r="A88" s="109"/>
      <c r="B88" s="164"/>
      <c r="C88" s="164"/>
      <c r="D88" s="163"/>
      <c r="E88" s="52"/>
    </row>
    <row r="89" spans="1:5" s="53" customFormat="1">
      <c r="A89" s="109"/>
      <c r="B89" s="164"/>
      <c r="C89" s="164"/>
      <c r="D89" s="163"/>
      <c r="E89" s="52"/>
    </row>
    <row r="90" spans="1:5" s="53" customFormat="1">
      <c r="A90" s="109"/>
      <c r="B90" s="164"/>
      <c r="C90" s="164"/>
      <c r="D90" s="163"/>
      <c r="E90" s="52"/>
    </row>
    <row r="91" spans="1:5">
      <c r="B91" s="147"/>
      <c r="C91" s="147"/>
      <c r="E91" s="52"/>
    </row>
    <row r="92" spans="1:5" ht="25.5">
      <c r="B92" s="137" t="s">
        <v>17</v>
      </c>
      <c r="C92" s="137" t="s">
        <v>17</v>
      </c>
      <c r="E92" s="52"/>
    </row>
    <row r="93" spans="1:5" s="53" customFormat="1" ht="6.75" customHeight="1">
      <c r="A93" s="109"/>
      <c r="B93" s="151"/>
      <c r="C93" s="151"/>
      <c r="D93" s="163"/>
      <c r="E93" s="52"/>
    </row>
    <row r="94" spans="1:5" s="53" customFormat="1">
      <c r="A94" s="109"/>
      <c r="B94" s="159"/>
      <c r="C94" s="159"/>
      <c r="D94" s="163"/>
      <c r="E94" s="82"/>
    </row>
    <row r="95" spans="1:5">
      <c r="B95" s="153" t="s">
        <v>54</v>
      </c>
    </row>
    <row r="96" spans="1:5">
      <c r="B96" s="153" t="s">
        <v>55</v>
      </c>
    </row>
    <row r="97" spans="2:2">
      <c r="B97" s="153" t="s">
        <v>56</v>
      </c>
    </row>
  </sheetData>
  <sheetProtection password="9E1F" sheet="1" objects="1" scenarios="1"/>
  <customSheetViews>
    <customSheetView guid="{074EB09C-6289-46D7-9513-012B68BCA7BF}" fitToPage="1">
      <pane xSplit="1" ySplit="1" topLeftCell="B2" activePane="bottomRight" state="frozen"/>
      <selection pane="bottomRight" activeCell="K69" sqref="K69"/>
      <pageMargins left="0.7" right="0.7" top="0.4" bottom="0.47" header="0.3" footer="0.3"/>
      <pageSetup paperSize="17" scale="52" orientation="landscape" r:id="rId1"/>
    </customSheetView>
    <customSheetView guid="{AF9F1D33-B8C2-423F-86A1-47612B8F532C}" fitToPage="1">
      <pane xSplit="1" ySplit="1" topLeftCell="B2" activePane="bottomRight" state="frozenSplit"/>
      <selection pane="bottomRight" activeCell="F75" sqref="F75"/>
      <pageMargins left="0.7" right="0.7" top="0.75" bottom="0.75" header="0.3" footer="0.3"/>
      <pageSetup paperSize="17" scale="52" orientation="landscape"/>
    </customSheetView>
  </customSheetViews>
  <mergeCells count="3">
    <mergeCell ref="B18:C18"/>
    <mergeCell ref="B19:C19"/>
    <mergeCell ref="B15:E15"/>
  </mergeCells>
  <pageMargins left="0.7" right="0.7" top="0.4" bottom="0.47" header="0.3" footer="0.3"/>
  <pageSetup paperSize="17" scale="52" orientation="landscape" r:id="rId2"/>
  <drawing r:id="rId3"/>
</worksheet>
</file>

<file path=xl/worksheets/sheet65.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B7" sqref="B7"/>
    </sheetView>
  </sheetViews>
  <sheetFormatPr defaultColWidth="34.85546875" defaultRowHeight="12.75"/>
  <cols>
    <col min="1" max="1" width="16" customWidth="1"/>
    <col min="2" max="3" width="21.42578125" customWidth="1"/>
    <col min="4" max="4" width="19.28515625" customWidth="1"/>
    <col min="5" max="5" width="24.42578125" customWidth="1"/>
    <col min="6" max="8" width="20.7109375" customWidth="1"/>
    <col min="9" max="10" width="18.85546875" customWidth="1"/>
    <col min="11" max="12" width="16.42578125" customWidth="1"/>
    <col min="13" max="13" width="17.140625" customWidth="1"/>
    <col min="14" max="14" width="20.140625" customWidth="1"/>
    <col min="15" max="15" width="24.7109375" customWidth="1"/>
  </cols>
  <sheetData>
    <row r="1" spans="1:15" ht="45" customHeight="1"/>
    <row r="2" spans="1:15" ht="18.75" thickBot="1">
      <c r="A2" s="1216"/>
      <c r="B2" s="1257" t="s">
        <v>779</v>
      </c>
      <c r="C2" s="1217"/>
      <c r="D2" s="1218"/>
      <c r="E2" s="4064"/>
      <c r="F2" s="3456"/>
      <c r="G2" s="1216"/>
      <c r="H2" s="1216"/>
      <c r="I2" s="1216"/>
      <c r="J2" s="1216"/>
      <c r="K2" s="1216"/>
      <c r="L2" s="1216"/>
      <c r="M2" s="1216"/>
      <c r="N2" s="1216"/>
      <c r="O2" s="1216"/>
    </row>
    <row r="3" spans="1:15" ht="15.75" thickBot="1">
      <c r="A3" s="1216"/>
      <c r="B3" s="1258" t="s">
        <v>5</v>
      </c>
      <c r="C3" s="1238"/>
      <c r="D3" s="1259" t="s">
        <v>75</v>
      </c>
      <c r="E3" s="1260">
        <v>18230730</v>
      </c>
      <c r="F3" s="1216"/>
      <c r="G3" s="1216"/>
      <c r="H3" s="1216"/>
      <c r="I3" s="1216"/>
      <c r="J3" s="1216"/>
      <c r="K3" s="1216"/>
      <c r="L3" s="1216"/>
      <c r="M3" s="1216"/>
      <c r="N3" s="1216"/>
      <c r="O3" s="1216"/>
    </row>
    <row r="4" spans="1:15">
      <c r="B4" s="3532" t="s">
        <v>1141</v>
      </c>
    </row>
    <row r="5" spans="1:15" ht="13.5" thickBot="1">
      <c r="A5" s="1244"/>
      <c r="B5" s="1216"/>
      <c r="C5" s="1216"/>
      <c r="D5" s="1218"/>
      <c r="E5" s="1325" t="s">
        <v>1139</v>
      </c>
      <c r="F5" s="1216"/>
      <c r="G5" s="1216"/>
      <c r="H5" s="1216"/>
      <c r="I5" s="1216"/>
      <c r="J5" s="1216"/>
      <c r="K5" s="1216"/>
      <c r="L5" s="1216"/>
      <c r="M5" s="1216"/>
      <c r="N5" s="1216"/>
      <c r="O5" s="1216"/>
    </row>
    <row r="6" spans="1:15" ht="25.5">
      <c r="B6" s="3462"/>
      <c r="C6" s="1216"/>
      <c r="D6" s="1216"/>
      <c r="E6" s="1220" t="s">
        <v>9</v>
      </c>
      <c r="F6" s="1220" t="s">
        <v>10</v>
      </c>
      <c r="G6" s="1220" t="s">
        <v>11</v>
      </c>
      <c r="H6" s="1221" t="s">
        <v>12</v>
      </c>
      <c r="I6" s="1222" t="s">
        <v>13</v>
      </c>
      <c r="J6" s="1220" t="s">
        <v>14</v>
      </c>
      <c r="K6" s="1220" t="s">
        <v>15</v>
      </c>
      <c r="L6" s="1220" t="s">
        <v>16</v>
      </c>
      <c r="M6" s="1220" t="s">
        <v>17</v>
      </c>
      <c r="N6" s="1223" t="s">
        <v>18</v>
      </c>
      <c r="O6" s="1267" t="s">
        <v>19</v>
      </c>
    </row>
    <row r="7" spans="1:15">
      <c r="A7" s="1245"/>
      <c r="B7" s="1237"/>
      <c r="C7" s="1237"/>
      <c r="D7" s="1261" t="s">
        <v>20</v>
      </c>
      <c r="E7" s="1262"/>
      <c r="F7" s="1262"/>
      <c r="G7" s="1262"/>
      <c r="H7" s="1263"/>
      <c r="I7" s="1264"/>
      <c r="J7" s="1262"/>
      <c r="K7" s="1262"/>
      <c r="L7" s="1262"/>
      <c r="M7" s="1262"/>
      <c r="N7" s="1279">
        <v>61330</v>
      </c>
      <c r="O7" s="1277" t="s">
        <v>21</v>
      </c>
    </row>
    <row r="8" spans="1:15">
      <c r="A8" s="1245"/>
      <c r="B8" s="1237"/>
      <c r="C8" s="1237"/>
      <c r="D8" s="1261" t="s">
        <v>22</v>
      </c>
      <c r="E8" s="1265">
        <v>2300</v>
      </c>
      <c r="F8" s="1265">
        <v>0</v>
      </c>
      <c r="G8" s="1265">
        <v>1449</v>
      </c>
      <c r="H8" s="1265">
        <v>0</v>
      </c>
      <c r="I8" s="1265">
        <v>0</v>
      </c>
      <c r="J8" s="1265">
        <v>0</v>
      </c>
      <c r="K8" s="1265">
        <v>0</v>
      </c>
      <c r="L8" s="1265">
        <v>67300</v>
      </c>
      <c r="M8" s="1266">
        <v>0</v>
      </c>
      <c r="N8" s="1282">
        <v>71049</v>
      </c>
      <c r="O8" s="1278">
        <v>0.1584705690526659</v>
      </c>
    </row>
    <row r="9" spans="1:15">
      <c r="A9" s="1245"/>
      <c r="B9" s="1237"/>
      <c r="C9" s="1237"/>
      <c r="D9" s="1237">
        <v>2012</v>
      </c>
      <c r="E9" s="1269">
        <v>0</v>
      </c>
      <c r="F9" s="1269">
        <v>0</v>
      </c>
      <c r="G9" s="1269">
        <v>0</v>
      </c>
      <c r="H9" s="1269">
        <v>0</v>
      </c>
      <c r="I9" s="1272">
        <v>0</v>
      </c>
      <c r="J9" s="1269">
        <v>0</v>
      </c>
      <c r="K9" s="1269">
        <v>0</v>
      </c>
      <c r="L9" s="1269">
        <f>SUM(B86:B91)</f>
        <v>46300</v>
      </c>
      <c r="M9" s="1275"/>
      <c r="N9" s="1280">
        <f>SUM(E9:M9)</f>
        <v>46300</v>
      </c>
      <c r="O9" s="1278">
        <v>-1</v>
      </c>
    </row>
    <row r="10" spans="1:15" s="3532" customFormat="1">
      <c r="A10" s="1313"/>
      <c r="B10" s="1304"/>
      <c r="C10" s="1304"/>
      <c r="D10" s="4276" t="s">
        <v>1168</v>
      </c>
      <c r="E10" s="1338">
        <v>0</v>
      </c>
      <c r="F10" s="1338">
        <v>0</v>
      </c>
      <c r="G10" s="1338">
        <v>0</v>
      </c>
      <c r="H10" s="1338">
        <v>0</v>
      </c>
      <c r="I10" s="1341">
        <v>0</v>
      </c>
      <c r="J10" s="1338">
        <v>0</v>
      </c>
      <c r="K10" s="1338">
        <v>0</v>
      </c>
      <c r="L10" s="5002">
        <v>46300</v>
      </c>
      <c r="M10" s="1344"/>
      <c r="N10" s="1347">
        <v>46300</v>
      </c>
      <c r="O10" s="1346"/>
    </row>
    <row r="11" spans="1:15">
      <c r="A11" s="1245"/>
      <c r="B11" s="1237"/>
      <c r="C11" s="1237"/>
      <c r="D11" s="4277" t="s">
        <v>1169</v>
      </c>
      <c r="E11" s="4231">
        <v>0</v>
      </c>
      <c r="F11" s="4231">
        <v>0</v>
      </c>
      <c r="G11" s="4231">
        <v>0</v>
      </c>
      <c r="H11" s="4231">
        <v>0</v>
      </c>
      <c r="I11" s="4232">
        <v>0</v>
      </c>
      <c r="J11" s="4231">
        <v>0</v>
      </c>
      <c r="K11" s="4231">
        <v>0</v>
      </c>
      <c r="L11" s="4231">
        <f>SUM(C86:C91)</f>
        <v>62300</v>
      </c>
      <c r="M11" s="4233"/>
      <c r="N11" s="4234">
        <f>SUM(E11:M11)</f>
        <v>62300</v>
      </c>
      <c r="O11" s="1278" t="e">
        <v>#DIV/0!</v>
      </c>
    </row>
    <row r="12" spans="1:15" ht="13.5" thickBot="1">
      <c r="A12" s="1244"/>
      <c r="B12" s="1224"/>
      <c r="C12" s="1224"/>
      <c r="D12" s="1311" t="s">
        <v>1172</v>
      </c>
      <c r="E12" s="1340">
        <f t="shared" ref="E12:K12" si="0">SUM(E9+E11)</f>
        <v>0</v>
      </c>
      <c r="F12" s="1340">
        <f t="shared" si="0"/>
        <v>0</v>
      </c>
      <c r="G12" s="1340">
        <f t="shared" si="0"/>
        <v>0</v>
      </c>
      <c r="H12" s="1340">
        <f t="shared" si="0"/>
        <v>0</v>
      </c>
      <c r="I12" s="1340">
        <f t="shared" si="0"/>
        <v>0</v>
      </c>
      <c r="J12" s="1340">
        <f t="shared" si="0"/>
        <v>0</v>
      </c>
      <c r="K12" s="1340">
        <f t="shared" si="0"/>
        <v>0</v>
      </c>
      <c r="L12" s="1271">
        <f>SUM(L9+L11)</f>
        <v>108600</v>
      </c>
      <c r="M12" s="1276">
        <v>0</v>
      </c>
      <c r="N12" s="1281">
        <f>SUM(N9+N11)</f>
        <v>108600</v>
      </c>
      <c r="O12" s="1224"/>
    </row>
    <row r="13" spans="1:15" ht="25.5">
      <c r="A13" s="1244"/>
      <c r="B13" s="1216"/>
      <c r="C13" s="1216"/>
      <c r="D13" s="1218"/>
      <c r="E13" s="1219"/>
      <c r="F13" s="1216"/>
      <c r="G13" s="1216"/>
      <c r="H13" s="1216"/>
      <c r="I13" s="1216"/>
      <c r="J13" s="1216"/>
      <c r="K13" s="1216"/>
      <c r="L13" s="1216"/>
      <c r="M13" s="1244" t="s">
        <v>23</v>
      </c>
      <c r="N13" s="1216"/>
      <c r="O13" s="1216"/>
    </row>
    <row r="14" spans="1:15">
      <c r="A14" s="1244"/>
      <c r="B14" s="1216"/>
      <c r="C14" s="1216"/>
      <c r="D14" s="1218"/>
      <c r="E14" s="1219"/>
      <c r="F14" s="1216"/>
      <c r="G14" s="1216"/>
      <c r="H14" s="1216"/>
      <c r="I14" s="1216"/>
      <c r="J14" s="1216"/>
      <c r="K14" s="1216"/>
      <c r="L14" s="1216"/>
      <c r="M14" s="1244" t="s">
        <v>24</v>
      </c>
      <c r="N14" s="1216"/>
      <c r="O14" s="1216"/>
    </row>
    <row r="15" spans="1:15" ht="15.75">
      <c r="A15" s="1244"/>
      <c r="B15" s="5165" t="s">
        <v>25</v>
      </c>
      <c r="C15" s="5166"/>
      <c r="D15" s="5166"/>
      <c r="E15" s="5167"/>
      <c r="F15" s="4067"/>
      <c r="G15" s="4067"/>
      <c r="H15" s="1216"/>
      <c r="I15" s="1216"/>
      <c r="J15" s="1216"/>
      <c r="K15" s="1216"/>
      <c r="L15" s="1216"/>
      <c r="M15" s="1216"/>
      <c r="N15" s="1216"/>
      <c r="O15" s="1216"/>
    </row>
    <row r="16" spans="1:15" ht="15.75">
      <c r="A16" s="1245"/>
      <c r="B16" s="1252"/>
      <c r="C16" s="1251"/>
      <c r="D16" s="1251"/>
      <c r="E16" s="1251"/>
      <c r="F16" s="1251"/>
      <c r="G16" s="1251"/>
      <c r="H16" s="1237"/>
      <c r="I16" s="1237"/>
      <c r="J16" s="1237"/>
      <c r="K16" s="1237"/>
      <c r="L16" s="1237"/>
      <c r="M16" s="1237"/>
      <c r="N16" s="1237"/>
      <c r="O16" s="1237"/>
    </row>
    <row r="17" spans="1:15" ht="15.75">
      <c r="A17" s="1245"/>
      <c r="B17" s="1251"/>
      <c r="C17" s="1251"/>
      <c r="D17" s="1251"/>
      <c r="E17" s="1251"/>
      <c r="F17" s="1251"/>
      <c r="G17" s="1251"/>
      <c r="H17" s="1237"/>
      <c r="I17" s="1237"/>
      <c r="J17" s="1237"/>
      <c r="K17" s="1237"/>
      <c r="L17" s="1237"/>
      <c r="M17" s="1237"/>
      <c r="N17" s="1237"/>
      <c r="O17" s="1237"/>
    </row>
    <row r="18" spans="1:15" ht="15.75">
      <c r="A18" s="1244"/>
      <c r="B18" s="5163" t="s">
        <v>26</v>
      </c>
      <c r="C18" s="5163"/>
      <c r="D18" s="1233" t="s">
        <v>27</v>
      </c>
      <c r="E18" s="1234" t="s">
        <v>28</v>
      </c>
      <c r="F18" s="1216"/>
      <c r="G18" s="1216"/>
    </row>
    <row r="19" spans="1:15" ht="15.75">
      <c r="A19" s="1244"/>
      <c r="B19" s="5164" t="s">
        <v>29</v>
      </c>
      <c r="C19" s="5164"/>
      <c r="D19" s="1233"/>
      <c r="E19" s="1234"/>
      <c r="F19" s="1216"/>
      <c r="G19" s="1216"/>
    </row>
    <row r="20" spans="1:15" ht="45.75">
      <c r="A20" s="1244"/>
      <c r="B20" s="1232">
        <v>2012</v>
      </c>
      <c r="C20" s="1232">
        <v>2013</v>
      </c>
      <c r="D20" s="1244" t="s">
        <v>82</v>
      </c>
      <c r="E20" s="1268" t="s">
        <v>31</v>
      </c>
      <c r="F20" s="1216"/>
      <c r="G20" s="1216"/>
    </row>
    <row r="21" spans="1:15">
      <c r="A21" s="1244"/>
      <c r="B21" s="1225" t="s">
        <v>9</v>
      </c>
      <c r="C21" s="1225" t="s">
        <v>9</v>
      </c>
      <c r="D21" s="1270"/>
      <c r="E21" s="1273">
        <v>0</v>
      </c>
      <c r="F21" s="1216"/>
      <c r="G21" s="1216"/>
    </row>
    <row r="22" spans="1:15">
      <c r="A22" s="1244"/>
      <c r="B22" s="1247"/>
      <c r="C22" s="1247"/>
      <c r="D22" s="1218"/>
      <c r="E22" s="1253"/>
      <c r="F22" s="1216"/>
      <c r="G22" s="1216"/>
    </row>
    <row r="23" spans="1:15">
      <c r="A23" s="1244"/>
      <c r="B23" s="1226" t="s">
        <v>32</v>
      </c>
      <c r="C23" s="1226" t="s">
        <v>32</v>
      </c>
      <c r="D23" s="1227" t="s">
        <v>7</v>
      </c>
      <c r="E23" s="1253"/>
      <c r="F23" s="1239" t="s">
        <v>7</v>
      </c>
      <c r="G23" s="1216"/>
    </row>
    <row r="24" spans="1:15">
      <c r="A24" s="1244"/>
      <c r="B24" s="1244"/>
      <c r="C24" s="1224"/>
      <c r="D24" s="1219"/>
      <c r="E24" s="1253"/>
      <c r="F24" s="1243"/>
      <c r="G24" s="1216"/>
    </row>
    <row r="25" spans="1:15">
      <c r="A25" s="1244"/>
      <c r="B25" s="1216"/>
      <c r="C25" s="1216"/>
      <c r="D25" s="1218"/>
      <c r="E25" s="1253"/>
      <c r="F25" s="1216"/>
      <c r="G25" s="1216"/>
    </row>
    <row r="26" spans="1:15">
      <c r="A26" s="1244"/>
      <c r="B26" s="1216"/>
      <c r="C26" s="1216"/>
      <c r="D26" s="1218"/>
      <c r="E26" s="1253"/>
      <c r="F26" s="1216"/>
      <c r="G26" s="1216"/>
    </row>
    <row r="27" spans="1:15">
      <c r="A27" s="1245"/>
      <c r="B27" s="1225" t="s">
        <v>10</v>
      </c>
      <c r="C27" s="1225" t="s">
        <v>10</v>
      </c>
      <c r="D27" s="1270"/>
      <c r="E27" s="1273">
        <v>0</v>
      </c>
      <c r="F27" s="1237"/>
      <c r="G27" s="1237"/>
    </row>
    <row r="28" spans="1:15">
      <c r="A28" s="1244"/>
      <c r="B28" s="1248"/>
      <c r="C28" s="1248"/>
      <c r="D28" s="1230"/>
      <c r="E28" s="1253"/>
      <c r="F28" s="1216"/>
      <c r="G28" s="1216"/>
    </row>
    <row r="29" spans="1:15">
      <c r="A29" s="1245"/>
      <c r="B29" s="1226" t="s">
        <v>32</v>
      </c>
      <c r="C29" s="1226" t="s">
        <v>32</v>
      </c>
      <c r="D29" s="1230"/>
      <c r="E29" s="1253"/>
      <c r="F29" s="1237"/>
      <c r="G29" s="1237"/>
    </row>
    <row r="30" spans="1:15">
      <c r="A30" s="1244"/>
      <c r="B30" s="1242"/>
      <c r="C30" s="1231"/>
      <c r="D30" s="1228"/>
      <c r="E30" s="1253"/>
      <c r="F30" s="1216"/>
      <c r="G30" s="1216"/>
    </row>
    <row r="31" spans="1:15">
      <c r="A31" s="1244"/>
      <c r="B31" s="1231"/>
      <c r="C31" s="1231"/>
      <c r="D31" s="1228"/>
      <c r="E31" s="1253"/>
      <c r="F31" s="1216"/>
      <c r="G31" s="1216"/>
    </row>
    <row r="32" spans="1:15">
      <c r="A32" s="1244"/>
      <c r="B32" s="1224"/>
      <c r="C32" s="1224"/>
      <c r="D32" s="1228"/>
      <c r="E32" s="1253"/>
      <c r="F32" s="1216"/>
      <c r="G32" s="1216"/>
    </row>
    <row r="33" spans="1:7">
      <c r="A33" s="1244"/>
      <c r="B33" s="1224"/>
      <c r="C33" s="1224"/>
      <c r="D33" s="1228"/>
      <c r="E33" s="1253"/>
      <c r="F33" s="1216"/>
      <c r="G33" s="1216"/>
    </row>
    <row r="34" spans="1:7">
      <c r="A34" s="1244"/>
      <c r="B34" s="1225" t="s">
        <v>11</v>
      </c>
      <c r="C34" s="1225" t="s">
        <v>11</v>
      </c>
      <c r="D34" s="1270"/>
      <c r="E34" s="1273">
        <v>0</v>
      </c>
      <c r="F34" s="1216"/>
    </row>
    <row r="35" spans="1:7">
      <c r="A35" s="1244"/>
      <c r="B35" s="1247"/>
      <c r="C35" s="1247"/>
      <c r="D35" s="1218"/>
      <c r="E35" s="1254"/>
      <c r="F35" s="1216"/>
    </row>
    <row r="36" spans="1:7">
      <c r="A36" s="1274"/>
      <c r="B36" s="1240" t="s">
        <v>37</v>
      </c>
      <c r="C36" s="1307" t="s">
        <v>1204</v>
      </c>
      <c r="D36" s="1227" t="s">
        <v>7</v>
      </c>
      <c r="E36" s="1253"/>
      <c r="F36" s="1236"/>
    </row>
    <row r="37" spans="1:7">
      <c r="A37" s="1244"/>
      <c r="B37" s="1224"/>
      <c r="C37" s="1224"/>
      <c r="D37" s="1228" t="s">
        <v>7</v>
      </c>
      <c r="E37" s="1253"/>
      <c r="F37" s="1216"/>
    </row>
    <row r="38" spans="1:7">
      <c r="A38" s="1245"/>
      <c r="B38" s="1225" t="s">
        <v>38</v>
      </c>
      <c r="C38" s="1225" t="s">
        <v>38</v>
      </c>
      <c r="D38" s="1270"/>
      <c r="E38" s="1273">
        <v>0</v>
      </c>
      <c r="F38" s="1237"/>
    </row>
    <row r="39" spans="1:7">
      <c r="A39" s="1244"/>
      <c r="B39" s="1248"/>
      <c r="C39" s="1248"/>
      <c r="D39" s="1230"/>
      <c r="E39" s="1253"/>
      <c r="F39" s="1216"/>
    </row>
    <row r="40" spans="1:7">
      <c r="A40" s="1244"/>
      <c r="B40" s="1216"/>
      <c r="C40" s="1231"/>
      <c r="D40" s="1228"/>
      <c r="E40" s="1253"/>
      <c r="F40" s="1216"/>
    </row>
    <row r="41" spans="1:7">
      <c r="A41" s="1244"/>
      <c r="B41" s="1224"/>
      <c r="C41" s="1224"/>
      <c r="D41" s="1228"/>
      <c r="E41" s="1253"/>
      <c r="F41" s="1216"/>
    </row>
    <row r="42" spans="1:7">
      <c r="A42" s="1244"/>
      <c r="B42" s="1224"/>
      <c r="C42" s="1224"/>
      <c r="D42" s="1228"/>
      <c r="E42" s="1253"/>
      <c r="F42" s="1216"/>
    </row>
    <row r="43" spans="1:7">
      <c r="A43" s="1244"/>
      <c r="B43" s="1225" t="s">
        <v>12</v>
      </c>
      <c r="C43" s="1225" t="s">
        <v>12</v>
      </c>
      <c r="D43" s="1270"/>
      <c r="E43" s="1273">
        <v>0</v>
      </c>
      <c r="F43" s="1216"/>
    </row>
    <row r="44" spans="1:7">
      <c r="A44" s="1244"/>
      <c r="B44" s="1249"/>
      <c r="C44" s="1249"/>
      <c r="D44" s="1228"/>
      <c r="E44" s="1253"/>
      <c r="F44" s="1216"/>
    </row>
    <row r="45" spans="1:7">
      <c r="A45" s="1244"/>
      <c r="B45" s="1224"/>
      <c r="C45" s="1224"/>
      <c r="D45" s="1228"/>
      <c r="E45" s="1253"/>
      <c r="F45" s="1216"/>
    </row>
    <row r="46" spans="1:7">
      <c r="A46" s="1244"/>
      <c r="B46" s="1224"/>
      <c r="C46" s="1224"/>
      <c r="D46" s="1228"/>
      <c r="E46" s="1253"/>
      <c r="F46" s="1216"/>
    </row>
    <row r="47" spans="1:7">
      <c r="A47" s="1244"/>
      <c r="B47" s="1224"/>
      <c r="C47" s="1224"/>
      <c r="D47" s="1228"/>
      <c r="E47" s="1253"/>
      <c r="F47" s="1216"/>
    </row>
    <row r="48" spans="1:7">
      <c r="A48" s="1244"/>
      <c r="B48" s="1224"/>
      <c r="C48" s="1224"/>
      <c r="D48" s="1228"/>
      <c r="E48" s="1253"/>
      <c r="F48" s="1216"/>
    </row>
    <row r="49" spans="1:6">
      <c r="A49" s="1244"/>
      <c r="B49" s="1224"/>
      <c r="C49" s="1224"/>
      <c r="D49" s="1228"/>
      <c r="E49" s="1253"/>
      <c r="F49" s="1216"/>
    </row>
    <row r="50" spans="1:6">
      <c r="A50" s="1244"/>
      <c r="B50" s="1224"/>
      <c r="C50" s="1224"/>
      <c r="D50" s="1228"/>
      <c r="E50" s="1253"/>
    </row>
    <row r="51" spans="1:6" ht="25.5">
      <c r="A51" s="1244"/>
      <c r="B51" s="1225" t="s">
        <v>39</v>
      </c>
      <c r="C51" s="1225" t="s">
        <v>39</v>
      </c>
      <c r="D51" s="1270"/>
      <c r="E51" s="1273">
        <v>0</v>
      </c>
    </row>
    <row r="52" spans="1:6">
      <c r="A52" s="1244"/>
      <c r="B52" s="1248"/>
      <c r="C52" s="1248"/>
      <c r="D52" s="1216"/>
      <c r="E52" s="1255"/>
    </row>
    <row r="53" spans="1:6">
      <c r="A53" s="1244"/>
      <c r="B53" s="1229"/>
      <c r="C53" s="1229"/>
      <c r="D53" s="1216"/>
      <c r="E53" s="1255"/>
    </row>
    <row r="54" spans="1:6">
      <c r="A54" s="1244"/>
      <c r="B54" s="1229"/>
      <c r="C54" s="1229"/>
      <c r="D54" s="1216"/>
      <c r="E54" s="1255"/>
    </row>
    <row r="55" spans="1:6">
      <c r="A55" s="1244"/>
      <c r="B55" s="1229"/>
      <c r="C55" s="1229"/>
      <c r="D55" s="1216"/>
      <c r="E55" s="1255"/>
    </row>
    <row r="56" spans="1:6">
      <c r="A56" s="1244"/>
      <c r="B56" s="1229"/>
      <c r="C56" s="1229"/>
      <c r="D56" s="1216"/>
      <c r="E56" s="1255"/>
    </row>
    <row r="57" spans="1:6">
      <c r="A57" s="1244"/>
      <c r="B57" s="1216"/>
      <c r="C57" s="1216"/>
      <c r="D57" s="1216"/>
      <c r="E57" s="1255"/>
    </row>
    <row r="58" spans="1:6">
      <c r="A58" s="1244"/>
      <c r="B58" s="1216"/>
      <c r="C58" s="1216"/>
      <c r="D58" s="1218"/>
      <c r="E58" s="1253"/>
    </row>
    <row r="59" spans="1:6">
      <c r="A59" s="1244"/>
      <c r="B59" s="1225" t="s">
        <v>13</v>
      </c>
      <c r="C59" s="1225" t="s">
        <v>13</v>
      </c>
      <c r="D59" s="1270"/>
      <c r="E59" s="1273">
        <v>0</v>
      </c>
    </row>
    <row r="60" spans="1:6">
      <c r="A60" s="1244"/>
      <c r="B60" s="1247"/>
      <c r="C60" s="1247"/>
      <c r="D60" s="1218"/>
      <c r="E60" s="1253"/>
    </row>
    <row r="61" spans="1:6">
      <c r="A61" s="1244"/>
      <c r="B61" s="1216"/>
      <c r="C61" s="1216"/>
      <c r="D61" s="1250" t="s">
        <v>70</v>
      </c>
      <c r="E61" s="1253"/>
    </row>
    <row r="62" spans="1:6">
      <c r="A62" s="1244"/>
      <c r="B62" s="1216" t="s">
        <v>7</v>
      </c>
      <c r="C62" s="1216"/>
      <c r="D62" s="1250" t="s">
        <v>41</v>
      </c>
      <c r="E62" s="1253"/>
    </row>
    <row r="63" spans="1:6">
      <c r="A63" s="1244"/>
      <c r="B63" s="1216"/>
      <c r="C63" s="1216"/>
      <c r="D63" s="1250" t="s">
        <v>42</v>
      </c>
      <c r="E63" s="1253"/>
    </row>
    <row r="64" spans="1:6" ht="25.5">
      <c r="A64" s="1244"/>
      <c r="B64" s="1216"/>
      <c r="C64" s="1216"/>
      <c r="D64" s="1250" t="s">
        <v>61</v>
      </c>
      <c r="E64" s="1253"/>
    </row>
    <row r="65" spans="1:5">
      <c r="A65" s="1244"/>
      <c r="B65" s="1241"/>
      <c r="C65" s="1241"/>
      <c r="D65" s="1250" t="s">
        <v>44</v>
      </c>
      <c r="E65" s="1253"/>
    </row>
    <row r="66" spans="1:5">
      <c r="A66" s="1244"/>
      <c r="B66" s="1241"/>
      <c r="C66" s="1241"/>
      <c r="D66" s="1250"/>
      <c r="E66" s="1253"/>
    </row>
    <row r="67" spans="1:5">
      <c r="A67" s="1244"/>
      <c r="B67" s="1225" t="s">
        <v>14</v>
      </c>
      <c r="C67" s="1225" t="s">
        <v>14</v>
      </c>
      <c r="D67" s="1270"/>
      <c r="E67" s="1273">
        <v>0</v>
      </c>
    </row>
    <row r="68" spans="1:5">
      <c r="A68" s="1246"/>
      <c r="B68" s="1247"/>
      <c r="C68" s="1247"/>
      <c r="D68" s="1218"/>
      <c r="E68" s="1253"/>
    </row>
    <row r="69" spans="1:5">
      <c r="A69" s="1244"/>
      <c r="B69" s="1216" t="s">
        <v>7</v>
      </c>
      <c r="C69" s="1216"/>
      <c r="D69" s="1218"/>
      <c r="E69" s="1253"/>
    </row>
    <row r="70" spans="1:5">
      <c r="A70" s="1244"/>
      <c r="B70" s="1216"/>
      <c r="C70" s="1216"/>
      <c r="D70" s="1218"/>
      <c r="E70" s="1253"/>
    </row>
    <row r="71" spans="1:5">
      <c r="A71" s="1244"/>
      <c r="B71" s="1216"/>
      <c r="C71" s="1216"/>
      <c r="D71" s="1218"/>
      <c r="E71" s="1253"/>
    </row>
    <row r="72" spans="1:5">
      <c r="A72" s="1244"/>
      <c r="B72" s="1216"/>
      <c r="C72" s="1216"/>
      <c r="D72" s="1218"/>
      <c r="E72" s="1253"/>
    </row>
    <row r="73" spans="1:5">
      <c r="A73" s="1244"/>
      <c r="B73" s="1216"/>
      <c r="C73" s="1216"/>
      <c r="D73" s="1218"/>
      <c r="E73" s="1253"/>
    </row>
    <row r="74" spans="1:5">
      <c r="A74" s="1244"/>
      <c r="B74" s="1216" t="s">
        <v>7</v>
      </c>
      <c r="C74" s="1216"/>
      <c r="D74" s="1218"/>
      <c r="E74" s="1253"/>
    </row>
    <row r="75" spans="1:5">
      <c r="A75" s="1244"/>
      <c r="B75" s="1225" t="s">
        <v>15</v>
      </c>
      <c r="C75" s="1225" t="s">
        <v>15</v>
      </c>
      <c r="D75" s="1270"/>
      <c r="E75" s="1273">
        <v>0</v>
      </c>
    </row>
    <row r="76" spans="1:5">
      <c r="A76" s="1244"/>
      <c r="B76" s="1248"/>
      <c r="C76" s="1248"/>
      <c r="D76" s="1218"/>
      <c r="E76" s="1253"/>
    </row>
    <row r="77" spans="1:5" ht="25.5">
      <c r="A77" s="1245" t="s">
        <v>46</v>
      </c>
      <c r="B77" s="1229"/>
      <c r="C77" s="1229"/>
      <c r="D77" s="1235"/>
      <c r="E77" s="1253"/>
    </row>
    <row r="78" spans="1:5" ht="38.25">
      <c r="A78" s="1245" t="s">
        <v>47</v>
      </c>
      <c r="B78" s="1229"/>
      <c r="C78" s="1229"/>
      <c r="D78" s="1235"/>
      <c r="E78" s="1253"/>
    </row>
    <row r="79" spans="1:5">
      <c r="A79" s="1245" t="s">
        <v>48</v>
      </c>
      <c r="B79" s="1229"/>
      <c r="C79" s="1229"/>
      <c r="D79" s="1235"/>
      <c r="E79" s="1253"/>
    </row>
    <row r="80" spans="1:5" ht="25.5">
      <c r="A80" s="1245" t="s">
        <v>49</v>
      </c>
      <c r="B80" s="1229"/>
      <c r="C80" s="1229"/>
      <c r="D80" s="1235"/>
      <c r="E80" s="1253"/>
    </row>
    <row r="81" spans="1:5" ht="25.5">
      <c r="A81" s="1245" t="s">
        <v>50</v>
      </c>
      <c r="B81" s="1229"/>
      <c r="C81" s="1229"/>
      <c r="D81" s="1235"/>
      <c r="E81" s="1253"/>
    </row>
    <row r="82" spans="1:5" ht="25.5">
      <c r="A82" s="1244" t="s">
        <v>51</v>
      </c>
      <c r="B82" s="1216"/>
      <c r="C82" s="1216"/>
      <c r="D82" s="1228"/>
      <c r="E82" s="1253"/>
    </row>
    <row r="83" spans="1:5">
      <c r="A83" s="1244"/>
      <c r="B83" s="1216"/>
      <c r="C83" s="1216"/>
      <c r="D83" s="1228"/>
      <c r="E83" s="1253"/>
    </row>
    <row r="84" spans="1:5">
      <c r="A84" s="1244"/>
      <c r="B84" s="1225" t="s">
        <v>16</v>
      </c>
      <c r="C84" s="1225" t="s">
        <v>16</v>
      </c>
      <c r="D84" s="1270"/>
      <c r="E84" s="1273">
        <f>SUM(B86:B91)+SUM(C86:C91)</f>
        <v>108600</v>
      </c>
    </row>
    <row r="85" spans="1:5">
      <c r="A85" s="1245"/>
      <c r="B85" s="1248"/>
      <c r="C85" s="1248"/>
      <c r="D85" s="1235"/>
      <c r="E85" s="1253"/>
    </row>
    <row r="86" spans="1:5">
      <c r="A86" s="1245"/>
      <c r="B86" s="3050">
        <v>29300</v>
      </c>
      <c r="C86" s="3050">
        <v>29300</v>
      </c>
      <c r="D86" s="3068" t="s">
        <v>966</v>
      </c>
      <c r="E86" s="1253"/>
    </row>
    <row r="87" spans="1:5">
      <c r="A87" s="1245"/>
      <c r="B87" s="3050">
        <v>14000</v>
      </c>
      <c r="C87" s="4709">
        <v>0</v>
      </c>
      <c r="D87" s="3068" t="s">
        <v>967</v>
      </c>
      <c r="E87" s="1253"/>
    </row>
    <row r="88" spans="1:5">
      <c r="A88" s="1245"/>
      <c r="B88" s="3050">
        <v>2000</v>
      </c>
      <c r="C88" s="3050">
        <v>2000</v>
      </c>
      <c r="D88" s="3068" t="s">
        <v>968</v>
      </c>
      <c r="E88" s="1253"/>
    </row>
    <row r="89" spans="1:5">
      <c r="A89" s="1245"/>
      <c r="B89" s="3050">
        <v>1000</v>
      </c>
      <c r="C89" s="3050">
        <v>1000</v>
      </c>
      <c r="D89" s="3068" t="s">
        <v>969</v>
      </c>
      <c r="E89" s="1253"/>
    </row>
    <row r="90" spans="1:5">
      <c r="A90" s="1245"/>
      <c r="B90" s="3049"/>
      <c r="C90" s="4709">
        <v>30000</v>
      </c>
      <c r="D90" s="4430" t="s">
        <v>1337</v>
      </c>
      <c r="E90" s="1253"/>
    </row>
    <row r="91" spans="1:5">
      <c r="A91" s="1244"/>
      <c r="B91" s="60"/>
      <c r="C91" s="60"/>
      <c r="D91" s="1218"/>
      <c r="E91" s="1253"/>
    </row>
    <row r="92" spans="1:5" ht="25.5">
      <c r="A92" s="1244"/>
      <c r="B92" s="1225" t="s">
        <v>17</v>
      </c>
      <c r="C92" s="1225" t="s">
        <v>17</v>
      </c>
      <c r="D92" s="1218"/>
      <c r="E92" s="1253"/>
    </row>
    <row r="93" spans="1:5">
      <c r="A93" s="1245"/>
      <c r="B93" s="1248"/>
      <c r="C93" s="1248"/>
      <c r="D93" s="1235"/>
      <c r="E93" s="1253"/>
    </row>
    <row r="94" spans="1:5">
      <c r="A94" s="1245"/>
      <c r="B94" s="1229"/>
      <c r="C94" s="1229"/>
      <c r="D94" s="1235"/>
      <c r="E94" s="1256"/>
    </row>
    <row r="95" spans="1:5">
      <c r="A95" s="1244"/>
      <c r="B95" s="1242" t="s">
        <v>54</v>
      </c>
      <c r="C95" s="1216"/>
      <c r="D95" s="1218"/>
      <c r="E95" s="1219"/>
    </row>
    <row r="96" spans="1:5">
      <c r="A96" s="1244"/>
      <c r="B96" s="1242" t="s">
        <v>55</v>
      </c>
      <c r="C96" s="1216"/>
      <c r="D96" s="1218"/>
      <c r="E96" s="1219"/>
    </row>
    <row r="97" spans="1:5">
      <c r="A97" s="1244"/>
      <c r="B97" s="1242" t="s">
        <v>56</v>
      </c>
      <c r="C97" s="1216"/>
      <c r="D97" s="1218"/>
      <c r="E97" s="1219"/>
    </row>
  </sheetData>
  <sheetProtection password="9A9F" sheet="1" objects="1" scenarios="1"/>
  <customSheetViews>
    <customSheetView guid="{074EB09C-6289-46D7-9513-012B68BCA7BF}" fitToPage="1">
      <pane xSplit="1" ySplit="1" topLeftCell="B2" activePane="bottomRight" state="frozen"/>
      <selection pane="bottomRight" activeCell="B7" sqref="B7"/>
      <pageMargins left="0.21" right="0.32" top="0.38" bottom="0.39" header="0.3" footer="0.3"/>
      <pageSetup paperSize="17" scale="51" orientation="landscape" r:id="rId1"/>
    </customSheetView>
    <customSheetView guid="{AF9F1D33-B8C2-423F-86A1-47612B8F532C}" fitToPage="1">
      <pane xSplit="1" ySplit="1" topLeftCell="B2" activePane="bottomRight" state="frozenSplit"/>
      <selection pane="bottomRight" activeCell="C36" sqref="C36"/>
      <pageMargins left="0.7" right="0.7" top="0.75" bottom="0.75" header="0.3" footer="0.3"/>
      <pageSetup paperSize="17" scale="51" orientation="landscape"/>
    </customSheetView>
  </customSheetViews>
  <mergeCells count="3">
    <mergeCell ref="B18:C18"/>
    <mergeCell ref="B19:C19"/>
    <mergeCell ref="B15:E15"/>
  </mergeCells>
  <pageMargins left="0.21" right="0.32" top="0.38" bottom="0.39" header="0.3" footer="0.3"/>
  <pageSetup paperSize="17" scale="50" orientation="landscape" r:id="rId2"/>
  <drawing r:id="rId3"/>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sheetPr enableFormatConditionsCalculation="0">
    <pageSetUpPr fitToPage="1"/>
  </sheetPr>
  <dimension ref="A1:O100"/>
  <sheetViews>
    <sheetView zoomScaleNormal="100" workbookViewId="0">
      <pane xSplit="1" ySplit="1" topLeftCell="B2" activePane="bottomRight" state="frozen"/>
      <selection pane="topRight" activeCell="B1" sqref="B1"/>
      <selection pane="bottomLeft" activeCell="A2" sqref="A2"/>
      <selection pane="bottomRight" activeCell="B6" sqref="B6"/>
    </sheetView>
  </sheetViews>
  <sheetFormatPr defaultColWidth="8.85546875" defaultRowHeight="12.75"/>
  <cols>
    <col min="1" max="1" width="16" customWidth="1"/>
    <col min="2" max="2" width="20.7109375" customWidth="1"/>
    <col min="3" max="3" width="21" style="2" customWidth="1"/>
    <col min="4" max="4" width="23.42578125" style="3" customWidth="1"/>
    <col min="5" max="9" width="18.85546875" customWidth="1"/>
    <col min="10" max="10" width="17.42578125" customWidth="1"/>
    <col min="11" max="12" width="24.42578125" customWidth="1"/>
    <col min="13" max="13" width="19.42578125" customWidth="1"/>
    <col min="14" max="14" width="13.28515625" customWidth="1"/>
    <col min="15" max="15" width="17.140625" customWidth="1"/>
  </cols>
  <sheetData>
    <row r="1" spans="1:15" ht="41.25" customHeight="1"/>
    <row r="2" spans="1:15" ht="18.75" thickBot="1">
      <c r="B2" s="1" t="s">
        <v>1140</v>
      </c>
      <c r="C2" s="166"/>
      <c r="D2" s="2"/>
      <c r="E2" s="3"/>
    </row>
    <row r="3" spans="1:15" ht="15.75" thickBot="1">
      <c r="B3" s="5" t="s">
        <v>5</v>
      </c>
      <c r="C3" s="167"/>
      <c r="D3" s="6" t="s">
        <v>75</v>
      </c>
      <c r="E3" s="101">
        <v>18230437</v>
      </c>
      <c r="F3" s="3457"/>
    </row>
    <row r="5" spans="1:15" ht="13.5" thickBot="1">
      <c r="A5" s="69"/>
      <c r="C5"/>
      <c r="D5" s="2"/>
      <c r="E5" s="104" t="s">
        <v>1139</v>
      </c>
    </row>
    <row r="6" spans="1:15" ht="38.25">
      <c r="B6" s="3462"/>
      <c r="C6"/>
      <c r="D6"/>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15">
        <v>869866</v>
      </c>
      <c r="O7" s="26" t="s">
        <v>21</v>
      </c>
    </row>
    <row r="8" spans="1:15" s="53" customFormat="1">
      <c r="A8" s="109"/>
      <c r="D8" s="111" t="s">
        <v>22</v>
      </c>
      <c r="E8" s="28">
        <v>263200</v>
      </c>
      <c r="F8" s="28">
        <v>0</v>
      </c>
      <c r="G8" s="28">
        <v>165816</v>
      </c>
      <c r="H8" s="28">
        <v>0</v>
      </c>
      <c r="I8" s="28">
        <v>3200</v>
      </c>
      <c r="J8" s="28">
        <v>508000</v>
      </c>
      <c r="K8" s="28">
        <v>3200</v>
      </c>
      <c r="L8" s="28">
        <v>1600</v>
      </c>
      <c r="M8" s="28">
        <v>0</v>
      </c>
      <c r="N8" s="87">
        <v>945016</v>
      </c>
      <c r="O8" s="30">
        <f>(N8-N7)/N7</f>
        <v>8.6392616793851004E-2</v>
      </c>
    </row>
    <row r="9" spans="1:15" s="53" customFormat="1">
      <c r="A9" s="109"/>
      <c r="D9" s="53">
        <v>2012</v>
      </c>
      <c r="E9" s="118">
        <f>SUM(B24:B26)</f>
        <v>189749</v>
      </c>
      <c r="F9" s="118">
        <f>SUM(B30:B32)</f>
        <v>0</v>
      </c>
      <c r="G9" s="118">
        <f>(SUM(B24:B26)+SUM(B30:B32))*0.63</f>
        <v>119541.87</v>
      </c>
      <c r="H9" s="118">
        <f>SUM(B45:B49)+SUM(B53:B58)</f>
        <v>0</v>
      </c>
      <c r="I9" s="119">
        <f>SUM(B61:B65)</f>
        <v>3250</v>
      </c>
      <c r="J9" s="118">
        <f>SUM(B69:B76)</f>
        <v>252300</v>
      </c>
      <c r="K9" s="118">
        <f>SUM(B80:B86)</f>
        <v>1350</v>
      </c>
      <c r="L9" s="118">
        <f>SUM(B89:B94)</f>
        <v>1000</v>
      </c>
      <c r="M9" s="120"/>
      <c r="N9" s="121">
        <f>SUM(E9:M9)</f>
        <v>567190.87</v>
      </c>
      <c r="O9" s="30">
        <f>(N9-N8)/N8</f>
        <v>-0.39980818314187272</v>
      </c>
    </row>
    <row r="10" spans="1:15" s="3534" customFormat="1">
      <c r="A10" s="109"/>
      <c r="D10" s="4263" t="s">
        <v>1168</v>
      </c>
      <c r="E10" s="118">
        <v>195442</v>
      </c>
      <c r="F10" s="118">
        <v>0</v>
      </c>
      <c r="G10" s="118">
        <v>123128.46</v>
      </c>
      <c r="H10" s="118">
        <v>0</v>
      </c>
      <c r="I10" s="119">
        <v>3275</v>
      </c>
      <c r="J10" s="118">
        <v>334950</v>
      </c>
      <c r="K10" s="118">
        <v>1350</v>
      </c>
      <c r="L10" s="118">
        <v>1000</v>
      </c>
      <c r="M10" s="120"/>
      <c r="N10" s="121">
        <v>659145.46</v>
      </c>
      <c r="O10" s="1346">
        <v>0.16212283177266229</v>
      </c>
    </row>
    <row r="11" spans="1:15" s="53" customFormat="1">
      <c r="A11" s="109"/>
      <c r="D11" s="4264" t="s">
        <v>1169</v>
      </c>
      <c r="E11" s="4916">
        <f>SUM(C24:C26)</f>
        <v>182287</v>
      </c>
      <c r="F11" s="4218">
        <f>SUM(C30:C32)</f>
        <v>0</v>
      </c>
      <c r="G11" s="4218">
        <f>(SUM(C24:C26)+SUM(C30:C32))*0.707</f>
        <v>128876.909</v>
      </c>
      <c r="H11" s="4218">
        <f>SUM(C45:C49)+SUM(C53:C58)</f>
        <v>0</v>
      </c>
      <c r="I11" s="4219">
        <f>SUM(C61:C65)</f>
        <v>3275</v>
      </c>
      <c r="J11" s="4218">
        <f>SUM(C69:C76)</f>
        <v>291450</v>
      </c>
      <c r="K11" s="4218">
        <f>SUM(C80:C86)</f>
        <v>1350</v>
      </c>
      <c r="L11" s="4218">
        <f>SUM(C89:C94)</f>
        <v>1000</v>
      </c>
      <c r="M11" s="4220"/>
      <c r="N11" s="4221">
        <f>SUM(E11:M11)</f>
        <v>608238.90899999999</v>
      </c>
      <c r="O11" s="30">
        <f>(N11-N9)/N9</f>
        <v>7.2370768238917513E-2</v>
      </c>
    </row>
    <row r="12" spans="1:15" s="19" customFormat="1">
      <c r="A12" s="69"/>
      <c r="D12" s="123" t="s">
        <v>1172</v>
      </c>
      <c r="E12" s="124">
        <f>SUM(E9+E11)</f>
        <v>372036</v>
      </c>
      <c r="F12" s="124">
        <f t="shared" ref="F12:N12" si="0">SUM(F9+F11)</f>
        <v>0</v>
      </c>
      <c r="G12" s="124">
        <f t="shared" si="0"/>
        <v>248418.77899999998</v>
      </c>
      <c r="H12" s="124">
        <f t="shared" si="0"/>
        <v>0</v>
      </c>
      <c r="I12" s="124">
        <f t="shared" si="0"/>
        <v>6525</v>
      </c>
      <c r="J12" s="124">
        <f t="shared" si="0"/>
        <v>543750</v>
      </c>
      <c r="K12" s="124">
        <f t="shared" si="0"/>
        <v>2700</v>
      </c>
      <c r="L12" s="124">
        <f t="shared" si="0"/>
        <v>2000</v>
      </c>
      <c r="M12" s="124">
        <f t="shared" si="0"/>
        <v>0</v>
      </c>
      <c r="N12" s="124">
        <f t="shared" si="0"/>
        <v>1175429.7790000001</v>
      </c>
    </row>
    <row r="13" spans="1:15" ht="18" customHeight="1">
      <c r="A13" s="69"/>
      <c r="C13"/>
      <c r="D13" s="2"/>
      <c r="E13" s="3"/>
      <c r="M13" s="69" t="s">
        <v>23</v>
      </c>
    </row>
    <row r="14" spans="1:15">
      <c r="A14" s="69"/>
      <c r="C14"/>
      <c r="D14" s="2"/>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170">
        <v>2012</v>
      </c>
      <c r="C20" s="170">
        <v>2013</v>
      </c>
      <c r="D20" s="69" t="s">
        <v>82</v>
      </c>
      <c r="E20" s="131" t="s">
        <v>31</v>
      </c>
    </row>
    <row r="21" spans="1:7">
      <c r="A21" s="69"/>
      <c r="B21" s="174" t="s">
        <v>9</v>
      </c>
      <c r="C21" s="174" t="s">
        <v>9</v>
      </c>
      <c r="D21" s="138"/>
      <c r="E21" s="139">
        <f>SUM(B24:B26)+SUM(C24:C26)</f>
        <v>372036</v>
      </c>
    </row>
    <row r="22" spans="1:7" ht="7.5" customHeight="1">
      <c r="A22" s="69"/>
      <c r="B22" s="175"/>
      <c r="C22" s="175"/>
      <c r="D22" s="2"/>
      <c r="E22" s="52"/>
    </row>
    <row r="23" spans="1:7">
      <c r="A23" s="69"/>
      <c r="B23" s="176" t="s">
        <v>32</v>
      </c>
      <c r="C23" s="176" t="s">
        <v>32</v>
      </c>
      <c r="D23" s="143" t="s">
        <v>7</v>
      </c>
      <c r="E23" s="52"/>
      <c r="F23" s="144" t="s">
        <v>7</v>
      </c>
    </row>
    <row r="24" spans="1:7">
      <c r="A24" s="69"/>
      <c r="B24" s="177">
        <v>189749</v>
      </c>
      <c r="C24" s="4434">
        <v>182287</v>
      </c>
      <c r="D24" s="4853" t="s">
        <v>1377</v>
      </c>
      <c r="E24" s="52"/>
      <c r="F24" s="146"/>
    </row>
    <row r="25" spans="1:7">
      <c r="A25" s="69"/>
      <c r="B25" s="179"/>
      <c r="C25" s="179"/>
      <c r="D25" s="2"/>
      <c r="E25" s="52"/>
    </row>
    <row r="26" spans="1:7">
      <c r="A26" s="69"/>
      <c r="B26" s="179"/>
      <c r="C26" s="179"/>
      <c r="D26" s="2"/>
      <c r="E26" s="52"/>
    </row>
    <row r="27" spans="1:7" s="53" customFormat="1" ht="21" customHeight="1">
      <c r="A27" s="109"/>
      <c r="B27" s="174" t="s">
        <v>10</v>
      </c>
      <c r="C27" s="174" t="s">
        <v>10</v>
      </c>
      <c r="D27" s="138"/>
      <c r="E27" s="139">
        <f>SUM(B30:B33)+SUM(C30:C33)</f>
        <v>0</v>
      </c>
    </row>
    <row r="28" spans="1:7" ht="8.25" customHeight="1">
      <c r="A28" s="69"/>
      <c r="B28" s="180"/>
      <c r="C28" s="180"/>
      <c r="D28" s="152"/>
      <c r="E28" s="52"/>
    </row>
    <row r="29" spans="1:7" s="53" customFormat="1" ht="13.5" customHeight="1">
      <c r="A29" s="109"/>
      <c r="B29" s="176" t="s">
        <v>32</v>
      </c>
      <c r="C29" s="176" t="s">
        <v>32</v>
      </c>
      <c r="D29" s="152"/>
      <c r="E29" s="52"/>
    </row>
    <row r="30" spans="1:7">
      <c r="A30" s="69"/>
      <c r="B30" s="86"/>
      <c r="C30" s="181"/>
      <c r="D30" s="150"/>
      <c r="E30" s="52"/>
    </row>
    <row r="31" spans="1:7">
      <c r="A31" s="69"/>
      <c r="B31" s="181"/>
      <c r="C31" s="181"/>
      <c r="D31" s="150"/>
      <c r="E31" s="52"/>
    </row>
    <row r="32" spans="1:7">
      <c r="A32" s="69"/>
      <c r="B32" s="19"/>
      <c r="C32" s="19"/>
      <c r="D32" s="150"/>
      <c r="E32" s="52"/>
    </row>
    <row r="33" spans="1:6">
      <c r="A33" s="69"/>
      <c r="B33" s="19"/>
      <c r="C33" s="19"/>
      <c r="D33" s="150"/>
      <c r="E33" s="52"/>
    </row>
    <row r="34" spans="1:6">
      <c r="A34" s="69"/>
      <c r="B34" s="174" t="s">
        <v>11</v>
      </c>
      <c r="C34" s="174" t="s">
        <v>11</v>
      </c>
      <c r="D34" s="138"/>
      <c r="E34" s="139">
        <f>(B24*0.63)+(C24*0.707)</f>
        <v>248418.77899999998</v>
      </c>
    </row>
    <row r="35" spans="1:6" ht="7.5" customHeight="1">
      <c r="A35" s="69"/>
      <c r="B35" s="175"/>
      <c r="C35" s="175"/>
      <c r="D35" s="2"/>
      <c r="E35" s="68"/>
    </row>
    <row r="36" spans="1:6">
      <c r="A36" s="187"/>
      <c r="B36" s="182" t="s">
        <v>37</v>
      </c>
      <c r="C36" s="182" t="s">
        <v>1204</v>
      </c>
      <c r="D36" s="143" t="s">
        <v>7</v>
      </c>
      <c r="E36" s="52"/>
      <c r="F36" s="157"/>
    </row>
    <row r="37" spans="1:6">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26.2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27.75" customHeight="1">
      <c r="A50" s="69"/>
      <c r="B50" s="19"/>
      <c r="C50" s="19"/>
      <c r="D50" s="150"/>
      <c r="E50" s="52"/>
    </row>
    <row r="51" spans="1:5" ht="25.5">
      <c r="A51" s="69"/>
      <c r="B51" s="174" t="s">
        <v>39</v>
      </c>
      <c r="C51" s="174" t="s">
        <v>39</v>
      </c>
      <c r="D51" s="138"/>
      <c r="E51" s="139">
        <f>SUM(B53:B58)+SUM(C53:C58)</f>
        <v>0</v>
      </c>
    </row>
    <row r="52" spans="1:5" ht="6.75" customHeight="1">
      <c r="A52" s="69"/>
      <c r="B52" s="180"/>
      <c r="C52" s="180"/>
      <c r="D52"/>
      <c r="E52" s="73"/>
    </row>
    <row r="53" spans="1:5">
      <c r="A53" s="69"/>
      <c r="B53" s="184"/>
      <c r="C53" s="184"/>
      <c r="D53"/>
      <c r="E53" s="73"/>
    </row>
    <row r="54" spans="1:5" ht="12.75" customHeight="1">
      <c r="A54" s="69"/>
      <c r="B54" s="184"/>
      <c r="C54" s="184"/>
      <c r="D54"/>
      <c r="E54" s="73"/>
    </row>
    <row r="55" spans="1:5">
      <c r="A55" s="69"/>
      <c r="B55" s="184"/>
      <c r="C55" s="184"/>
      <c r="D55"/>
      <c r="E55" s="73"/>
    </row>
    <row r="56" spans="1:5">
      <c r="A56" s="69"/>
      <c r="B56" s="184"/>
      <c r="C56" s="184"/>
      <c r="D56"/>
      <c r="E56" s="73"/>
    </row>
    <row r="57" spans="1:5">
      <c r="A57" s="69"/>
      <c r="C57"/>
      <c r="D57"/>
      <c r="E57" s="73"/>
    </row>
    <row r="58" spans="1:5">
      <c r="A58" s="69"/>
      <c r="C58"/>
      <c r="D58" s="2"/>
      <c r="E58" s="52"/>
    </row>
    <row r="59" spans="1:5">
      <c r="A59" s="69"/>
      <c r="B59" s="174" t="s">
        <v>13</v>
      </c>
      <c r="C59" s="174" t="s">
        <v>13</v>
      </c>
      <c r="D59" s="138"/>
      <c r="E59" s="139">
        <f>SUM(B61:B66)+SUM(C61:C66)</f>
        <v>6525</v>
      </c>
    </row>
    <row r="60" spans="1:5" ht="6.75" customHeight="1">
      <c r="A60" s="69"/>
      <c r="B60" s="175"/>
      <c r="C60" s="175"/>
      <c r="D60" s="2"/>
      <c r="E60" s="52"/>
    </row>
    <row r="61" spans="1:5">
      <c r="A61" s="69"/>
      <c r="B61" s="84">
        <v>1250</v>
      </c>
      <c r="C61" s="84">
        <v>1250</v>
      </c>
      <c r="D61" s="160" t="s">
        <v>70</v>
      </c>
      <c r="E61" s="52"/>
    </row>
    <row r="62" spans="1:5">
      <c r="A62" s="69"/>
      <c r="B62" s="84">
        <v>1250</v>
      </c>
      <c r="C62" s="84">
        <v>1250</v>
      </c>
      <c r="D62" s="160" t="s">
        <v>41</v>
      </c>
      <c r="E62" s="52"/>
    </row>
    <row r="63" spans="1:5">
      <c r="A63" s="69"/>
      <c r="B63" s="84">
        <v>250</v>
      </c>
      <c r="C63" s="84">
        <v>250</v>
      </c>
      <c r="D63" s="160" t="s">
        <v>42</v>
      </c>
      <c r="E63" s="52"/>
    </row>
    <row r="64" spans="1:5">
      <c r="A64" s="69"/>
      <c r="B64" s="84">
        <v>500</v>
      </c>
      <c r="C64" s="84">
        <v>525</v>
      </c>
      <c r="D64" s="160" t="s">
        <v>61</v>
      </c>
      <c r="E64" s="52"/>
    </row>
    <row r="65" spans="1:5">
      <c r="A65" s="69"/>
      <c r="B65" s="185"/>
      <c r="C65" s="185"/>
      <c r="D65" s="160" t="s">
        <v>44</v>
      </c>
      <c r="E65" s="52"/>
    </row>
    <row r="66" spans="1:5">
      <c r="A66" s="69"/>
      <c r="B66" s="185"/>
      <c r="C66" s="185"/>
      <c r="D66" s="160"/>
      <c r="E66" s="52"/>
    </row>
    <row r="67" spans="1:5">
      <c r="A67" s="69"/>
      <c r="B67" s="174" t="s">
        <v>14</v>
      </c>
      <c r="C67" s="174" t="s">
        <v>14</v>
      </c>
      <c r="D67" s="138"/>
      <c r="E67" s="139">
        <f>SUM(B69:B76)+SUM(C69:C76)</f>
        <v>543750</v>
      </c>
    </row>
    <row r="68" spans="1:5" ht="6" customHeight="1">
      <c r="A68" s="162"/>
      <c r="B68" s="175"/>
      <c r="C68" s="175"/>
      <c r="D68" s="2"/>
      <c r="E68" s="52"/>
    </row>
    <row r="69" spans="1:5">
      <c r="A69" s="69"/>
      <c r="B69" s="3490">
        <v>34800</v>
      </c>
      <c r="C69" s="3490"/>
      <c r="D69" s="2"/>
      <c r="E69" s="52"/>
    </row>
    <row r="70" spans="1:5">
      <c r="A70" s="69"/>
      <c r="B70" s="3490">
        <v>52200</v>
      </c>
      <c r="C70" s="3490"/>
      <c r="D70" s="2"/>
      <c r="E70" s="52"/>
    </row>
    <row r="71" spans="1:5">
      <c r="A71" s="69"/>
      <c r="B71" s="3490">
        <v>43500</v>
      </c>
      <c r="C71" s="3490"/>
      <c r="D71" s="2"/>
      <c r="E71" s="52"/>
    </row>
    <row r="72" spans="1:5">
      <c r="A72" s="69"/>
      <c r="B72" s="3490">
        <v>34800</v>
      </c>
      <c r="C72" s="4435">
        <v>65250</v>
      </c>
      <c r="D72" s="4706" t="s">
        <v>1378</v>
      </c>
      <c r="E72" s="52"/>
    </row>
    <row r="73" spans="1:5">
      <c r="A73" s="69"/>
      <c r="B73" s="3490">
        <v>13050</v>
      </c>
      <c r="C73" s="4435">
        <v>34800</v>
      </c>
      <c r="D73" s="4706" t="s">
        <v>1379</v>
      </c>
      <c r="E73" s="52"/>
    </row>
    <row r="74" spans="1:5">
      <c r="A74" s="69"/>
      <c r="B74" s="3490">
        <v>43500</v>
      </c>
      <c r="C74" s="4435">
        <v>174000</v>
      </c>
      <c r="D74" s="4706" t="s">
        <v>1380</v>
      </c>
      <c r="E74" s="52"/>
    </row>
    <row r="75" spans="1:5" ht="25.5">
      <c r="A75" s="69"/>
      <c r="B75" s="3490">
        <v>8700</v>
      </c>
      <c r="C75" s="3490">
        <v>8700</v>
      </c>
      <c r="D75" s="4711" t="s">
        <v>86</v>
      </c>
      <c r="E75" s="52"/>
    </row>
    <row r="76" spans="1:5" ht="25.5">
      <c r="A76" s="69"/>
      <c r="B76" s="3490">
        <v>21750</v>
      </c>
      <c r="C76" s="4435">
        <v>8700</v>
      </c>
      <c r="D76" s="4706" t="s">
        <v>87</v>
      </c>
      <c r="E76" s="52"/>
    </row>
    <row r="77" spans="1:5">
      <c r="A77" s="69"/>
      <c r="E77" s="52"/>
    </row>
    <row r="78" spans="1:5">
      <c r="A78" s="69"/>
      <c r="B78" s="174" t="s">
        <v>15</v>
      </c>
      <c r="C78" s="174" t="s">
        <v>15</v>
      </c>
      <c r="D78" s="138"/>
      <c r="E78" s="139">
        <f>SUM(B80:B86)+SUM(C80:C86)</f>
        <v>2700</v>
      </c>
    </row>
    <row r="79" spans="1:5" ht="6.75" customHeight="1">
      <c r="A79" s="69"/>
      <c r="B79" s="180"/>
      <c r="C79" s="180"/>
      <c r="D79" s="2"/>
      <c r="E79" s="52"/>
    </row>
    <row r="80" spans="1:5" s="53" customFormat="1" ht="25.5">
      <c r="A80" s="109"/>
      <c r="B80" s="189">
        <v>1350</v>
      </c>
      <c r="C80" s="189">
        <v>1350</v>
      </c>
      <c r="D80" s="165" t="s">
        <v>88</v>
      </c>
      <c r="E80" s="52"/>
    </row>
    <row r="81" spans="1:5" s="53" customFormat="1" ht="12.75" customHeight="1">
      <c r="A81" s="109"/>
      <c r="B81" s="190"/>
      <c r="C81" s="190"/>
      <c r="D81" s="163"/>
      <c r="E81" s="52"/>
    </row>
    <row r="82" spans="1:5" s="53" customFormat="1" ht="12.75" customHeight="1">
      <c r="A82" s="109"/>
      <c r="B82" s="190"/>
      <c r="C82" s="190"/>
      <c r="D82" s="163"/>
      <c r="E82" s="52"/>
    </row>
    <row r="83" spans="1:5" s="53" customFormat="1" ht="12.75" customHeight="1">
      <c r="A83" s="109"/>
      <c r="B83" s="190"/>
      <c r="C83" s="190"/>
      <c r="D83" s="163"/>
      <c r="E83" s="52"/>
    </row>
    <row r="84" spans="1:5" s="53" customFormat="1" ht="12.75" customHeight="1">
      <c r="A84" s="109"/>
      <c r="B84" s="190"/>
      <c r="C84" s="190"/>
      <c r="D84" s="163"/>
      <c r="E84" s="52"/>
    </row>
    <row r="85" spans="1:5">
      <c r="A85" s="69"/>
      <c r="B85" s="84"/>
      <c r="C85" s="84"/>
      <c r="D85" s="150"/>
      <c r="E85" s="52"/>
    </row>
    <row r="86" spans="1:5">
      <c r="A86" s="69"/>
      <c r="B86" s="84"/>
      <c r="C86" s="84"/>
      <c r="D86" s="150"/>
      <c r="E86" s="52"/>
    </row>
    <row r="87" spans="1:5">
      <c r="A87" s="69"/>
      <c r="B87" s="174" t="s">
        <v>16</v>
      </c>
      <c r="C87" s="174" t="s">
        <v>16</v>
      </c>
      <c r="D87" s="138"/>
      <c r="E87" s="139">
        <f>SUM(B89:B94)+SUM(C89:C94)</f>
        <v>2000</v>
      </c>
    </row>
    <row r="88" spans="1:5" s="53" customFormat="1" ht="6.75" customHeight="1">
      <c r="A88" s="109"/>
      <c r="B88" s="180"/>
      <c r="C88" s="180"/>
      <c r="D88" s="163"/>
      <c r="E88" s="52"/>
    </row>
    <row r="89" spans="1:5" s="53" customFormat="1" ht="25.5">
      <c r="A89" s="109"/>
      <c r="B89" s="189">
        <v>1000</v>
      </c>
      <c r="C89" s="189">
        <v>1000</v>
      </c>
      <c r="D89" s="165" t="s">
        <v>89</v>
      </c>
      <c r="E89" s="52"/>
    </row>
    <row r="90" spans="1:5" s="53" customFormat="1" ht="12.75" customHeight="1">
      <c r="A90" s="109"/>
      <c r="B90" s="190"/>
      <c r="C90" s="190"/>
      <c r="D90" s="163"/>
      <c r="E90" s="52"/>
    </row>
    <row r="91" spans="1:5" s="53" customFormat="1" ht="12.75" customHeight="1">
      <c r="A91" s="109"/>
      <c r="B91" s="190"/>
      <c r="C91" s="190"/>
      <c r="D91" s="163"/>
      <c r="E91" s="52"/>
    </row>
    <row r="92" spans="1:5" s="53" customFormat="1">
      <c r="A92" s="109"/>
      <c r="B92" s="190"/>
      <c r="C92" s="190"/>
      <c r="D92" s="163"/>
      <c r="E92" s="52"/>
    </row>
    <row r="93" spans="1:5" s="53" customFormat="1">
      <c r="A93" s="109"/>
      <c r="B93" s="190"/>
      <c r="C93" s="190"/>
      <c r="D93" s="163"/>
      <c r="E93" s="52"/>
    </row>
    <row r="94" spans="1:5">
      <c r="A94" s="69"/>
      <c r="B94" s="84"/>
      <c r="C94" s="84"/>
      <c r="D94" s="2"/>
      <c r="E94" s="52"/>
    </row>
    <row r="95" spans="1:5" ht="25.5">
      <c r="A95" s="69"/>
      <c r="B95" s="174" t="s">
        <v>17</v>
      </c>
      <c r="C95" s="174" t="s">
        <v>17</v>
      </c>
      <c r="D95" s="2"/>
      <c r="E95" s="52"/>
    </row>
    <row r="96" spans="1:5" s="53" customFormat="1" ht="6.75" customHeight="1">
      <c r="A96" s="109"/>
      <c r="B96" s="180"/>
      <c r="C96" s="180"/>
      <c r="D96" s="163"/>
      <c r="E96" s="52"/>
    </row>
    <row r="97" spans="1:5" s="53" customFormat="1">
      <c r="A97" s="109"/>
      <c r="B97" s="184"/>
      <c r="C97" s="184"/>
      <c r="D97" s="163"/>
      <c r="E97" s="82"/>
    </row>
    <row r="98" spans="1:5">
      <c r="A98" s="69"/>
      <c r="B98" s="86" t="s">
        <v>54</v>
      </c>
      <c r="C98"/>
      <c r="D98" s="2"/>
      <c r="E98" s="3"/>
    </row>
    <row r="99" spans="1:5">
      <c r="A99" s="69"/>
      <c r="B99" s="86" t="s">
        <v>55</v>
      </c>
      <c r="C99"/>
      <c r="D99" s="2"/>
      <c r="E99" s="3"/>
    </row>
    <row r="100" spans="1:5">
      <c r="A100" s="69"/>
      <c r="B100" s="86" t="s">
        <v>56</v>
      </c>
      <c r="C100"/>
      <c r="D100" s="2"/>
      <c r="E100" s="3"/>
    </row>
  </sheetData>
  <sheetProtection password="9E1F" sheet="1" objects="1" scenarios="1"/>
  <customSheetViews>
    <customSheetView guid="{074EB09C-6289-46D7-9513-012B68BCA7BF}" fitToPage="1">
      <pane xSplit="1" ySplit="1" topLeftCell="B2" activePane="bottomRight" state="frozen"/>
      <selection pane="bottomRight" activeCell="B6" sqref="B6"/>
      <pageMargins left="0.17" right="0.24" top="0.35" bottom="0.4" header="0.3" footer="0.3"/>
      <pageSetup paperSize="17" scale="51" orientation="landscape" r:id="rId1"/>
    </customSheetView>
    <customSheetView guid="{AF9F1D33-B8C2-423F-86A1-47612B8F532C}" fitToPage="1">
      <pane xSplit="1" ySplit="1" topLeftCell="B2" activePane="bottomRight" state="frozenSplit"/>
      <selection pane="bottomRight" activeCell="G12" sqref="G12"/>
      <pageMargins left="0.7" right="0.7" top="0.75" bottom="0.75" header="0.3" footer="0.3"/>
      <pageSetup paperSize="17" scale="50" orientation="landscape"/>
    </customSheetView>
  </customSheetViews>
  <mergeCells count="3">
    <mergeCell ref="B18:C18"/>
    <mergeCell ref="B19:C19"/>
    <mergeCell ref="B15:E15"/>
  </mergeCells>
  <pageMargins left="0.17" right="0.24" top="0.35" bottom="0.4" header="0.3" footer="0.3"/>
  <pageSetup paperSize="17" scale="50" orientation="landscape" r:id="rId2"/>
  <drawing r:id="rId3"/>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sheetPr enableFormatConditionsCalculation="0">
    <tabColor rgb="FFFF0000"/>
  </sheetPr>
  <dimension ref="A1"/>
  <sheetViews>
    <sheetView workbookViewId="0">
      <selection activeCell="K69" sqref="K69"/>
    </sheetView>
  </sheetViews>
  <sheetFormatPr defaultColWidth="8.85546875" defaultRowHeight="12.75"/>
  <sheetData>
    <row r="1" spans="1:1">
      <c r="A1" t="s">
        <v>1</v>
      </c>
    </row>
  </sheetData>
  <customSheetViews>
    <customSheetView guid="{074EB09C-6289-46D7-9513-012B68BCA7BF}">
      <selection activeCell="K69" sqref="K69"/>
      <pageMargins left="0.7" right="0.7" top="0.75" bottom="0.75" header="0.3" footer="0.3"/>
      <pageSetup orientation="portrait" r:id="rId1"/>
    </customSheetView>
    <customSheetView guid="{AF9F1D33-B8C2-423F-86A1-47612B8F532C}">
      <selection activeCell="N43" sqref="N43"/>
      <pageMargins left="0.7" right="0.7" top="0.75" bottom="0.75" header="0.3" footer="0.3"/>
      <pageSetup orientation="portrait"/>
    </customSheetView>
  </customSheetView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X107"/>
  <sheetViews>
    <sheetView zoomScaleNormal="100" workbookViewId="0">
      <pane xSplit="1" ySplit="1" topLeftCell="B2" activePane="bottomRight" state="frozen"/>
      <selection pane="topRight" activeCell="B1" sqref="B1"/>
      <selection pane="bottomLeft" activeCell="A2" sqref="A2"/>
      <selection pane="bottomRight" activeCell="C1" sqref="C1"/>
    </sheetView>
  </sheetViews>
  <sheetFormatPr defaultColWidth="8.85546875" defaultRowHeight="12.75"/>
  <cols>
    <col min="1" max="1" width="15.42578125" style="3064" customWidth="1"/>
    <col min="2" max="2" width="16.42578125" customWidth="1"/>
    <col min="3" max="3" width="35.140625" customWidth="1"/>
    <col min="4" max="6" width="14.140625" customWidth="1"/>
    <col min="7" max="7" width="15.42578125" customWidth="1"/>
    <col min="8" max="12" width="18.28515625" customWidth="1"/>
    <col min="13" max="18" width="15.85546875" customWidth="1"/>
  </cols>
  <sheetData>
    <row r="1" spans="1:22" ht="43.5" customHeight="1" thickBot="1">
      <c r="B1" s="3461"/>
      <c r="C1" s="1620"/>
      <c r="D1" s="1620"/>
      <c r="E1" s="1620"/>
      <c r="F1" s="1631"/>
      <c r="G1" s="1631">
        <v>18230704</v>
      </c>
      <c r="H1" s="1631" t="s">
        <v>812</v>
      </c>
      <c r="I1" s="1631"/>
      <c r="J1" s="1620"/>
      <c r="K1" s="1620"/>
      <c r="L1" s="1620"/>
      <c r="M1" s="1620"/>
      <c r="N1" s="1620"/>
      <c r="O1" s="1620"/>
      <c r="P1" s="1620"/>
      <c r="Q1" s="1620"/>
      <c r="R1" s="1620"/>
      <c r="S1" s="1620"/>
      <c r="T1" s="1620"/>
      <c r="U1" s="1620"/>
      <c r="V1" s="1620"/>
    </row>
    <row r="2" spans="1:22" ht="16.5" thickBot="1">
      <c r="B2" s="1631" t="s">
        <v>109</v>
      </c>
      <c r="C2" s="4976" t="s">
        <v>1200</v>
      </c>
      <c r="D2" s="4159"/>
      <c r="E2" s="1620"/>
      <c r="F2" s="1620"/>
      <c r="G2" s="1638" t="s">
        <v>8</v>
      </c>
      <c r="H2" s="1620"/>
      <c r="I2" s="1620"/>
      <c r="J2" s="1620"/>
      <c r="K2" s="1620"/>
      <c r="L2" s="1620"/>
      <c r="M2" s="1620"/>
      <c r="N2" s="1620"/>
      <c r="O2" s="1620"/>
      <c r="P2" s="1620"/>
      <c r="Q2" s="5152" t="s">
        <v>556</v>
      </c>
      <c r="R2" s="5152"/>
      <c r="S2" s="5153" t="s">
        <v>110</v>
      </c>
      <c r="T2" s="5154"/>
      <c r="U2" s="5155"/>
      <c r="V2" s="5147" t="s">
        <v>111</v>
      </c>
    </row>
    <row r="3" spans="1:22" ht="16.5" thickBot="1">
      <c r="B3" s="1663" t="s">
        <v>6</v>
      </c>
      <c r="C3" s="1663">
        <v>18230704</v>
      </c>
      <c r="D3" s="4159"/>
      <c r="E3" s="1620"/>
      <c r="F3" s="1620"/>
      <c r="G3" s="1649" t="s">
        <v>9</v>
      </c>
      <c r="H3" s="1648" t="s">
        <v>10</v>
      </c>
      <c r="I3" s="1648" t="s">
        <v>11</v>
      </c>
      <c r="J3" s="1648" t="s">
        <v>12</v>
      </c>
      <c r="K3" s="1648" t="s">
        <v>13</v>
      </c>
      <c r="L3" s="1648" t="s">
        <v>14</v>
      </c>
      <c r="M3" s="1648" t="s">
        <v>15</v>
      </c>
      <c r="N3" s="1648" t="s">
        <v>16</v>
      </c>
      <c r="O3" s="1648" t="s">
        <v>112</v>
      </c>
      <c r="P3" s="1648" t="s">
        <v>113</v>
      </c>
      <c r="Q3" s="1650" t="s">
        <v>18</v>
      </c>
      <c r="R3" s="1650" t="s">
        <v>114</v>
      </c>
      <c r="S3" s="1640" t="s">
        <v>115</v>
      </c>
      <c r="T3" s="1640" t="s">
        <v>12</v>
      </c>
      <c r="U3" s="1641" t="s">
        <v>116</v>
      </c>
      <c r="V3" s="5148"/>
    </row>
    <row r="4" spans="1:22" ht="16.5" thickBot="1">
      <c r="B4" s="1663" t="s">
        <v>117</v>
      </c>
      <c r="C4" s="1663" t="s">
        <v>812</v>
      </c>
      <c r="D4" s="1620"/>
      <c r="E4" s="1620"/>
      <c r="F4" s="1631">
        <v>2011</v>
      </c>
      <c r="G4" s="1679">
        <v>196509</v>
      </c>
      <c r="H4" s="1680">
        <v>0</v>
      </c>
      <c r="I4" s="1680">
        <v>123801</v>
      </c>
      <c r="J4" s="1680">
        <v>0</v>
      </c>
      <c r="K4" s="1680">
        <v>3000</v>
      </c>
      <c r="L4" s="1680">
        <v>1000</v>
      </c>
      <c r="M4" s="1680">
        <v>200</v>
      </c>
      <c r="N4" s="1680">
        <v>8000</v>
      </c>
      <c r="O4" s="1680">
        <v>0</v>
      </c>
      <c r="P4" s="1680">
        <v>0</v>
      </c>
      <c r="Q4" s="1684">
        <v>332510</v>
      </c>
      <c r="R4" s="1691">
        <v>0</v>
      </c>
      <c r="S4" s="1712">
        <v>0</v>
      </c>
      <c r="T4" s="1712">
        <v>0</v>
      </c>
      <c r="U4" s="1712">
        <v>3.0074283480196083E-3</v>
      </c>
      <c r="V4" s="1714" t="e">
        <v>#DIV/0!</v>
      </c>
    </row>
    <row r="5" spans="1:22" ht="16.5" thickBot="1">
      <c r="B5" s="1631" t="s">
        <v>33</v>
      </c>
      <c r="C5" s="1620"/>
      <c r="D5" s="1620"/>
      <c r="E5" s="1620"/>
      <c r="F5" s="1631">
        <v>2012</v>
      </c>
      <c r="G5" s="1681">
        <f>D14</f>
        <v>89871.599999999991</v>
      </c>
      <c r="H5" s="1682">
        <f>D20</f>
        <v>0</v>
      </c>
      <c r="I5" s="1682">
        <f>D25</f>
        <v>56619.107999999993</v>
      </c>
      <c r="J5" s="1682">
        <f>D30</f>
        <v>0</v>
      </c>
      <c r="K5" s="1682">
        <f>D35</f>
        <v>4355</v>
      </c>
      <c r="L5" s="1682">
        <f>D40</f>
        <v>3146</v>
      </c>
      <c r="M5" s="1682">
        <f>D45</f>
        <v>780</v>
      </c>
      <c r="N5" s="1682">
        <f>D50</f>
        <v>0</v>
      </c>
      <c r="O5" s="1682">
        <f>D55</f>
        <v>0</v>
      </c>
      <c r="P5" s="1682">
        <f>D56</f>
        <v>0</v>
      </c>
      <c r="Q5" s="1683">
        <f>SUM(G5:P5)</f>
        <v>154771.70799999998</v>
      </c>
      <c r="R5" s="1700">
        <v>0</v>
      </c>
      <c r="S5" s="1713">
        <v>0</v>
      </c>
      <c r="T5" s="1713">
        <v>0</v>
      </c>
      <c r="U5" s="1713">
        <v>3.8647524097093597E-3</v>
      </c>
      <c r="V5" s="1715" t="e">
        <v>#DIV/0!</v>
      </c>
    </row>
    <row r="6" spans="1:22" s="3532" customFormat="1" ht="16.5" thickBot="1">
      <c r="B6" s="3331"/>
      <c r="C6" s="4117"/>
      <c r="D6" s="4117"/>
      <c r="E6" s="4117"/>
      <c r="F6" s="3331" t="s">
        <v>1168</v>
      </c>
      <c r="G6" s="2062">
        <v>89871.599999999991</v>
      </c>
      <c r="H6" s="4155">
        <v>0</v>
      </c>
      <c r="I6" s="4155">
        <v>56619.107999999993</v>
      </c>
      <c r="J6" s="4155">
        <v>0</v>
      </c>
      <c r="K6" s="4155">
        <v>4355</v>
      </c>
      <c r="L6" s="4155">
        <v>3146</v>
      </c>
      <c r="M6" s="4155">
        <v>780</v>
      </c>
      <c r="N6" s="4155">
        <v>0</v>
      </c>
      <c r="O6" s="4155">
        <v>0</v>
      </c>
      <c r="P6" s="4155">
        <v>0</v>
      </c>
      <c r="Q6" s="2064">
        <v>154771.70799999998</v>
      </c>
      <c r="R6" s="2082">
        <v>0</v>
      </c>
      <c r="S6" s="3637">
        <v>0</v>
      </c>
      <c r="T6" s="3637">
        <v>0</v>
      </c>
      <c r="U6" s="3637">
        <v>3.8647524097093597E-3</v>
      </c>
      <c r="V6" s="2096" t="e">
        <v>#DIV/0!</v>
      </c>
    </row>
    <row r="7" spans="1:22" ht="16.5" thickBot="1">
      <c r="B7" s="1620"/>
      <c r="C7" s="1631" t="s">
        <v>793</v>
      </c>
      <c r="D7" s="1620"/>
      <c r="E7" s="1620"/>
      <c r="F7" s="4223" t="s">
        <v>1169</v>
      </c>
      <c r="G7" s="4224">
        <f>E14</f>
        <v>89871.599999999991</v>
      </c>
      <c r="H7" s="4225">
        <f>E20</f>
        <v>0</v>
      </c>
      <c r="I7" s="4225">
        <f>E25</f>
        <v>63539.221199999993</v>
      </c>
      <c r="J7" s="4225">
        <f>E30</f>
        <v>0</v>
      </c>
      <c r="K7" s="4225">
        <f>E35</f>
        <v>4355</v>
      </c>
      <c r="L7" s="4225">
        <f>E40</f>
        <v>3146</v>
      </c>
      <c r="M7" s="4225">
        <f>E45</f>
        <v>780</v>
      </c>
      <c r="N7" s="4225">
        <f>E50</f>
        <v>0</v>
      </c>
      <c r="O7" s="4225">
        <f>E55</f>
        <v>0</v>
      </c>
      <c r="P7" s="4225">
        <f>E56</f>
        <v>0</v>
      </c>
      <c r="Q7" s="4226">
        <f>SUM(G7:P7)</f>
        <v>161691.82119999998</v>
      </c>
      <c r="R7" s="4235">
        <v>0</v>
      </c>
      <c r="S7" s="1713">
        <v>0</v>
      </c>
      <c r="T7" s="1713">
        <v>0</v>
      </c>
      <c r="U7" s="1713">
        <v>3.8647524097093597E-3</v>
      </c>
      <c r="V7" s="1715" t="e">
        <v>#DIV/0!</v>
      </c>
    </row>
    <row r="8" spans="1:22" ht="16.5" thickBot="1">
      <c r="B8" s="1620"/>
      <c r="C8" s="1703" t="s">
        <v>794</v>
      </c>
      <c r="D8" s="1620"/>
      <c r="E8" s="1620"/>
      <c r="F8" s="2073" t="s">
        <v>1175</v>
      </c>
      <c r="G8" s="1692">
        <f>SUM(G5+G7)</f>
        <v>179743.19999999998</v>
      </c>
      <c r="H8" s="3335">
        <f t="shared" ref="H8:Q8" si="0">SUM(H5+H7)</f>
        <v>0</v>
      </c>
      <c r="I8" s="3335">
        <f t="shared" si="0"/>
        <v>120158.32919999998</v>
      </c>
      <c r="J8" s="3335">
        <f t="shared" si="0"/>
        <v>0</v>
      </c>
      <c r="K8" s="3335">
        <f t="shared" si="0"/>
        <v>8710</v>
      </c>
      <c r="L8" s="3335">
        <f t="shared" si="0"/>
        <v>6292</v>
      </c>
      <c r="M8" s="3335">
        <f t="shared" si="0"/>
        <v>1560</v>
      </c>
      <c r="N8" s="3335">
        <f t="shared" si="0"/>
        <v>0</v>
      </c>
      <c r="O8" s="3335">
        <f t="shared" si="0"/>
        <v>0</v>
      </c>
      <c r="P8" s="3335">
        <f t="shared" si="0"/>
        <v>0</v>
      </c>
      <c r="Q8" s="3335">
        <f t="shared" si="0"/>
        <v>316463.52919999999</v>
      </c>
      <c r="R8" s="2082">
        <f>SUM(R5+R7)</f>
        <v>0</v>
      </c>
      <c r="S8" s="1713">
        <v>0</v>
      </c>
      <c r="T8" s="1713">
        <v>0</v>
      </c>
      <c r="U8" s="1713">
        <v>3.8647524097093597E-3</v>
      </c>
      <c r="V8" s="1715" t="e">
        <v>#DIV/0!</v>
      </c>
    </row>
    <row r="9" spans="1:22">
      <c r="P9" s="2216"/>
      <c r="Q9" s="84"/>
    </row>
    <row r="10" spans="1:22" s="2203" customFormat="1">
      <c r="A10" s="3064"/>
      <c r="P10" s="2216"/>
      <c r="Q10" s="84"/>
    </row>
    <row r="11" spans="1:22" ht="13.5" thickBot="1">
      <c r="B11" s="1620"/>
      <c r="C11" s="1675" t="s">
        <v>118</v>
      </c>
      <c r="D11" s="5149" t="s">
        <v>119</v>
      </c>
      <c r="E11" s="5149"/>
      <c r="F11" s="1620"/>
      <c r="G11" s="1620"/>
      <c r="H11" s="1620"/>
      <c r="I11" s="5150" t="s">
        <v>120</v>
      </c>
      <c r="J11" s="5150"/>
      <c r="K11" s="5150"/>
      <c r="L11" s="5150"/>
      <c r="M11" s="5151" t="s">
        <v>119</v>
      </c>
      <c r="N11" s="5151"/>
      <c r="O11" s="1620"/>
      <c r="P11" s="1620"/>
      <c r="Q11" s="1620"/>
      <c r="R11" s="1620"/>
      <c r="S11" s="1620"/>
      <c r="T11" s="1620"/>
      <c r="U11" s="1620"/>
      <c r="V11" s="1620"/>
    </row>
    <row r="12" spans="1:22" ht="16.5" thickBot="1">
      <c r="B12" s="1678" t="s">
        <v>121</v>
      </c>
      <c r="C12" s="5156" t="s">
        <v>122</v>
      </c>
      <c r="D12" s="5156"/>
      <c r="E12" s="5156"/>
      <c r="F12" s="5157"/>
      <c r="G12" s="1620"/>
      <c r="H12" s="1620"/>
      <c r="I12" s="5153" t="s">
        <v>123</v>
      </c>
      <c r="J12" s="5154"/>
      <c r="K12" s="5154"/>
      <c r="L12" s="5155"/>
      <c r="M12" s="5153" t="s">
        <v>124</v>
      </c>
      <c r="N12" s="5154"/>
      <c r="O12" s="5155"/>
      <c r="P12" s="5153" t="s">
        <v>125</v>
      </c>
      <c r="Q12" s="5154"/>
      <c r="R12" s="5155"/>
      <c r="S12" s="1620"/>
      <c r="T12" s="4897"/>
      <c r="U12" s="4056"/>
      <c r="V12" s="1620"/>
    </row>
    <row r="13" spans="1:22" ht="16.5" thickBot="1">
      <c r="B13" s="1688">
        <v>2011</v>
      </c>
      <c r="C13" s="1677" t="s">
        <v>127</v>
      </c>
      <c r="D13" s="1673">
        <v>2012</v>
      </c>
      <c r="E13" s="1673">
        <v>2013</v>
      </c>
      <c r="F13" s="1673" t="s">
        <v>128</v>
      </c>
      <c r="G13" s="1620"/>
      <c r="H13" s="1639"/>
      <c r="I13" s="5158" t="s">
        <v>129</v>
      </c>
      <c r="J13" s="5159"/>
      <c r="K13" s="5160"/>
      <c r="L13" s="1669" t="s">
        <v>130</v>
      </c>
      <c r="M13" s="1670" t="s">
        <v>131</v>
      </c>
      <c r="N13" s="1671" t="s">
        <v>132</v>
      </c>
      <c r="O13" s="1672" t="s">
        <v>133</v>
      </c>
      <c r="P13" s="1670" t="s">
        <v>134</v>
      </c>
      <c r="Q13" s="1670" t="s">
        <v>135</v>
      </c>
      <c r="R13" s="1672" t="s">
        <v>136</v>
      </c>
      <c r="S13" s="1620"/>
      <c r="T13" s="4898"/>
      <c r="U13" s="4056"/>
      <c r="V13" s="1620"/>
    </row>
    <row r="14" spans="1:22" ht="13.5" thickBot="1">
      <c r="B14" s="1708">
        <v>196509</v>
      </c>
      <c r="C14" s="1651" t="s">
        <v>138</v>
      </c>
      <c r="D14" s="3234">
        <f>SUM(D15:D19)</f>
        <v>89871.599999999991</v>
      </c>
      <c r="E14" s="3234">
        <f>SUM(E15:E19)</f>
        <v>89871.599999999991</v>
      </c>
      <c r="F14" s="1653">
        <f>SUM(F15:F19)</f>
        <v>179743.19999999998</v>
      </c>
      <c r="G14" s="1620"/>
      <c r="H14" s="1642"/>
      <c r="I14" s="1666" t="s">
        <v>368</v>
      </c>
      <c r="J14" s="1667"/>
      <c r="K14" s="1668"/>
      <c r="L14" s="1693">
        <v>0</v>
      </c>
      <c r="M14" s="1627">
        <v>0</v>
      </c>
      <c r="N14" s="1627">
        <v>0</v>
      </c>
      <c r="O14" s="1643">
        <v>0</v>
      </c>
      <c r="P14" s="1694">
        <v>0</v>
      </c>
      <c r="Q14" s="1694">
        <v>0</v>
      </c>
      <c r="R14" s="1695">
        <v>0</v>
      </c>
      <c r="S14" s="1620"/>
      <c r="T14" s="4056"/>
      <c r="U14" s="4056"/>
      <c r="V14" s="1620"/>
    </row>
    <row r="15" spans="1:22">
      <c r="B15" s="1686"/>
      <c r="C15" s="3523" t="s">
        <v>1450</v>
      </c>
      <c r="D15" s="3521">
        <v>16591.68</v>
      </c>
      <c r="E15" s="3521">
        <v>16591.68</v>
      </c>
      <c r="F15" s="1634">
        <f>SUM(D15:E15)</f>
        <v>33183.360000000001</v>
      </c>
      <c r="G15" s="1620"/>
      <c r="H15" s="1642"/>
      <c r="I15" s="1666" t="s">
        <v>369</v>
      </c>
      <c r="J15" s="1667"/>
      <c r="K15" s="1668"/>
      <c r="L15" s="1693">
        <v>0</v>
      </c>
      <c r="M15" s="1627">
        <v>0</v>
      </c>
      <c r="N15" s="1627">
        <v>0</v>
      </c>
      <c r="O15" s="1643">
        <v>0</v>
      </c>
      <c r="P15" s="1694">
        <v>0</v>
      </c>
      <c r="Q15" s="1694">
        <v>0</v>
      </c>
      <c r="R15" s="1695">
        <v>0</v>
      </c>
      <c r="S15" s="1620"/>
      <c r="T15" s="4056"/>
      <c r="U15" s="4056"/>
      <c r="V15" s="1620"/>
    </row>
    <row r="16" spans="1:22">
      <c r="B16" s="1687"/>
      <c r="C16" s="3523" t="s">
        <v>1452</v>
      </c>
      <c r="D16" s="3522">
        <v>69132</v>
      </c>
      <c r="E16" s="3522">
        <v>69132</v>
      </c>
      <c r="F16" s="3232">
        <f t="shared" ref="F16:F54" si="1">SUM(D16:E16)</f>
        <v>138264</v>
      </c>
      <c r="G16" s="1620"/>
      <c r="H16" s="1642"/>
      <c r="I16" s="1666" t="s">
        <v>370</v>
      </c>
      <c r="J16" s="1667"/>
      <c r="K16" s="1668"/>
      <c r="L16" s="1693">
        <v>0</v>
      </c>
      <c r="M16" s="1627">
        <v>0</v>
      </c>
      <c r="N16" s="1627">
        <v>0</v>
      </c>
      <c r="O16" s="1643">
        <v>0</v>
      </c>
      <c r="P16" s="1694">
        <v>0</v>
      </c>
      <c r="Q16" s="1694">
        <v>0</v>
      </c>
      <c r="R16" s="1695">
        <v>0</v>
      </c>
      <c r="S16" s="1620"/>
      <c r="T16" s="4056"/>
      <c r="U16" s="4056"/>
      <c r="V16" s="1620"/>
    </row>
    <row r="17" spans="2:22">
      <c r="B17" s="1687"/>
      <c r="C17" s="3525" t="s">
        <v>995</v>
      </c>
      <c r="D17" s="3616">
        <f>0.06*69132</f>
        <v>4147.92</v>
      </c>
      <c r="E17" s="3567">
        <f>0.06*69132</f>
        <v>4147.92</v>
      </c>
      <c r="F17" s="3232">
        <f t="shared" si="1"/>
        <v>8295.84</v>
      </c>
      <c r="G17" s="1620"/>
      <c r="H17" s="1642"/>
      <c r="I17" s="1666" t="s">
        <v>188</v>
      </c>
      <c r="J17" s="1667"/>
      <c r="K17" s="1668"/>
      <c r="L17" s="1693">
        <v>0</v>
      </c>
      <c r="M17" s="1627">
        <v>0</v>
      </c>
      <c r="N17" s="1627">
        <v>0</v>
      </c>
      <c r="O17" s="1643">
        <v>0</v>
      </c>
      <c r="P17" s="1694">
        <v>0</v>
      </c>
      <c r="Q17" s="1694">
        <v>0</v>
      </c>
      <c r="R17" s="1695">
        <v>0</v>
      </c>
      <c r="S17" s="1620"/>
      <c r="T17" s="4056"/>
      <c r="U17" s="4056"/>
      <c r="V17" s="1620"/>
    </row>
    <row r="18" spans="2:22">
      <c r="B18" s="1687"/>
      <c r="C18" s="1626"/>
      <c r="D18" s="3524"/>
      <c r="E18" s="3524"/>
      <c r="F18" s="3232">
        <f t="shared" si="1"/>
        <v>0</v>
      </c>
      <c r="G18" s="1620"/>
      <c r="H18" s="1642"/>
      <c r="I18" s="1666" t="s">
        <v>189</v>
      </c>
      <c r="J18" s="1667"/>
      <c r="K18" s="1668"/>
      <c r="L18" s="1693">
        <v>0</v>
      </c>
      <c r="M18" s="1627">
        <v>0</v>
      </c>
      <c r="N18" s="1627">
        <v>0</v>
      </c>
      <c r="O18" s="1643">
        <v>0</v>
      </c>
      <c r="P18" s="1694">
        <v>0</v>
      </c>
      <c r="Q18" s="1694">
        <v>0</v>
      </c>
      <c r="R18" s="1695">
        <v>0</v>
      </c>
      <c r="S18" s="1620"/>
      <c r="T18" s="4056"/>
      <c r="U18" s="4056"/>
      <c r="V18" s="1620"/>
    </row>
    <row r="19" spans="2:22" ht="13.5" thickBot="1">
      <c r="B19" s="3257"/>
      <c r="C19" s="3258"/>
      <c r="D19" s="3259"/>
      <c r="E19" s="3259"/>
      <c r="F19" s="3259">
        <f t="shared" si="1"/>
        <v>0</v>
      </c>
      <c r="G19" s="2001"/>
      <c r="H19" s="1642"/>
      <c r="I19" s="1666" t="s">
        <v>190</v>
      </c>
      <c r="J19" s="1667"/>
      <c r="K19" s="1668"/>
      <c r="L19" s="1693">
        <v>0</v>
      </c>
      <c r="M19" s="1627">
        <v>0</v>
      </c>
      <c r="N19" s="1627">
        <v>0</v>
      </c>
      <c r="O19" s="1643">
        <v>0</v>
      </c>
      <c r="P19" s="1694">
        <v>0</v>
      </c>
      <c r="Q19" s="1694">
        <v>0</v>
      </c>
      <c r="R19" s="1695">
        <v>0</v>
      </c>
      <c r="S19" s="1620"/>
      <c r="T19" s="4056"/>
      <c r="U19" s="3535"/>
    </row>
    <row r="20" spans="2:22" ht="13.5" thickBot="1">
      <c r="B20" s="1685">
        <v>0</v>
      </c>
      <c r="C20" s="1651" t="s">
        <v>143</v>
      </c>
      <c r="D20" s="3234">
        <f>SUM(D21:D24)</f>
        <v>0</v>
      </c>
      <c r="E20" s="3234">
        <f>SUM(E21:E24)</f>
        <v>0</v>
      </c>
      <c r="F20" s="1653">
        <f>SUM(F21:F24)</f>
        <v>0</v>
      </c>
      <c r="G20" s="1620"/>
      <c r="H20" s="1642"/>
      <c r="I20" s="1666" t="s">
        <v>191</v>
      </c>
      <c r="J20" s="1667"/>
      <c r="K20" s="1668"/>
      <c r="L20" s="1693">
        <v>0</v>
      </c>
      <c r="M20" s="1627">
        <v>0</v>
      </c>
      <c r="N20" s="1627">
        <v>0</v>
      </c>
      <c r="O20" s="1643">
        <v>0</v>
      </c>
      <c r="P20" s="1694">
        <v>0</v>
      </c>
      <c r="Q20" s="1694">
        <v>0</v>
      </c>
      <c r="R20" s="1695">
        <v>0</v>
      </c>
      <c r="S20" s="1620"/>
      <c r="T20" s="4056"/>
      <c r="U20" s="3535"/>
    </row>
    <row r="21" spans="2:22">
      <c r="B21" s="1686"/>
      <c r="C21" s="1704"/>
      <c r="D21" s="1707">
        <v>0</v>
      </c>
      <c r="E21" s="1707">
        <v>0</v>
      </c>
      <c r="F21" s="3232">
        <f t="shared" si="1"/>
        <v>0</v>
      </c>
      <c r="G21" s="1620"/>
      <c r="H21" s="1642"/>
      <c r="I21" s="1666" t="s">
        <v>192</v>
      </c>
      <c r="J21" s="1667"/>
      <c r="K21" s="1668"/>
      <c r="L21" s="1693">
        <v>0</v>
      </c>
      <c r="M21" s="1627">
        <v>0</v>
      </c>
      <c r="N21" s="1627">
        <v>0</v>
      </c>
      <c r="O21" s="1643">
        <v>0</v>
      </c>
      <c r="P21" s="1694">
        <v>0</v>
      </c>
      <c r="Q21" s="1694">
        <v>0</v>
      </c>
      <c r="R21" s="1695">
        <v>0</v>
      </c>
      <c r="S21" s="1620"/>
      <c r="T21" s="4056"/>
      <c r="U21" s="3535"/>
    </row>
    <row r="22" spans="2:22">
      <c r="B22" s="1687"/>
      <c r="C22" s="1705"/>
      <c r="D22" s="1707">
        <v>0</v>
      </c>
      <c r="E22" s="1707">
        <v>0</v>
      </c>
      <c r="F22" s="3232">
        <f t="shared" si="1"/>
        <v>0</v>
      </c>
      <c r="G22" s="1620"/>
      <c r="H22" s="1642"/>
      <c r="I22" s="1666" t="s">
        <v>193</v>
      </c>
      <c r="J22" s="1667"/>
      <c r="K22" s="1668"/>
      <c r="L22" s="1693">
        <v>0</v>
      </c>
      <c r="M22" s="1627">
        <v>0</v>
      </c>
      <c r="N22" s="1627">
        <v>0</v>
      </c>
      <c r="O22" s="1643">
        <v>0</v>
      </c>
      <c r="P22" s="1694">
        <v>0</v>
      </c>
      <c r="Q22" s="1694">
        <v>0</v>
      </c>
      <c r="R22" s="1695">
        <v>0</v>
      </c>
      <c r="S22" s="1620"/>
      <c r="T22" s="4056"/>
      <c r="U22" s="3535"/>
    </row>
    <row r="23" spans="2:22">
      <c r="B23" s="1687"/>
      <c r="C23" s="1626" t="s">
        <v>141</v>
      </c>
      <c r="D23" s="1636">
        <v>0</v>
      </c>
      <c r="E23" s="1636"/>
      <c r="F23" s="3232">
        <f t="shared" si="1"/>
        <v>0</v>
      </c>
      <c r="G23" s="1620"/>
      <c r="H23" s="1642"/>
      <c r="I23" s="1666" t="s">
        <v>194</v>
      </c>
      <c r="J23" s="1667"/>
      <c r="K23" s="1668"/>
      <c r="L23" s="1693">
        <v>0</v>
      </c>
      <c r="M23" s="1627">
        <v>0</v>
      </c>
      <c r="N23" s="1627">
        <v>0</v>
      </c>
      <c r="O23" s="1643">
        <v>0</v>
      </c>
      <c r="P23" s="1694">
        <v>0</v>
      </c>
      <c r="Q23" s="1694">
        <v>0</v>
      </c>
      <c r="R23" s="1695">
        <v>0</v>
      </c>
      <c r="S23" s="1620"/>
      <c r="T23" s="4056"/>
      <c r="U23" s="3535"/>
    </row>
    <row r="24" spans="2:22" ht="13.5" thickBot="1">
      <c r="B24" s="1687"/>
      <c r="C24" s="1626" t="s">
        <v>142</v>
      </c>
      <c r="D24" s="1636">
        <v>0</v>
      </c>
      <c r="E24" s="1636"/>
      <c r="F24" s="3232">
        <f t="shared" si="1"/>
        <v>0</v>
      </c>
      <c r="G24" s="1620"/>
      <c r="H24" s="1642"/>
      <c r="I24" s="1666" t="s">
        <v>195</v>
      </c>
      <c r="J24" s="1667"/>
      <c r="K24" s="1668"/>
      <c r="L24" s="1693">
        <v>0</v>
      </c>
      <c r="M24" s="1627">
        <v>0</v>
      </c>
      <c r="N24" s="1627">
        <v>0</v>
      </c>
      <c r="O24" s="1643">
        <v>0</v>
      </c>
      <c r="P24" s="1694">
        <v>0</v>
      </c>
      <c r="Q24" s="1694">
        <v>0</v>
      </c>
      <c r="R24" s="1695">
        <v>0</v>
      </c>
      <c r="S24" s="1620"/>
      <c r="T24" s="4056"/>
      <c r="U24" s="3535"/>
    </row>
    <row r="25" spans="2:22" ht="13.5" thickBot="1">
      <c r="B25" s="1685">
        <v>123801</v>
      </c>
      <c r="C25" s="1651" t="s">
        <v>144</v>
      </c>
      <c r="D25" s="3234">
        <f>SUM(D26:D29)</f>
        <v>56619.107999999993</v>
      </c>
      <c r="E25" s="3234">
        <f>SUM(E26:E29)</f>
        <v>63539.221199999993</v>
      </c>
      <c r="F25" s="1653">
        <f>SUM(F26:F29)</f>
        <v>120158.32919999998</v>
      </c>
      <c r="G25" s="1625"/>
      <c r="H25" s="1642"/>
      <c r="I25" s="1666" t="s">
        <v>196</v>
      </c>
      <c r="J25" s="1667"/>
      <c r="K25" s="1668"/>
      <c r="L25" s="1693">
        <v>0</v>
      </c>
      <c r="M25" s="1627">
        <v>0</v>
      </c>
      <c r="N25" s="1627">
        <v>0</v>
      </c>
      <c r="O25" s="1643">
        <v>0</v>
      </c>
      <c r="P25" s="1694">
        <v>0</v>
      </c>
      <c r="Q25" s="1694">
        <v>0</v>
      </c>
      <c r="R25" s="1695">
        <v>0</v>
      </c>
      <c r="S25" s="1620"/>
      <c r="T25" s="4056"/>
      <c r="U25" s="3535"/>
    </row>
    <row r="26" spans="2:22">
      <c r="B26" s="1686"/>
      <c r="C26" s="3220" t="s">
        <v>1202</v>
      </c>
      <c r="D26" s="1634">
        <f>D14*0.63</f>
        <v>56619.107999999993</v>
      </c>
      <c r="E26" s="1634">
        <f>E14*0.707</f>
        <v>63539.221199999993</v>
      </c>
      <c r="F26" s="3232">
        <f t="shared" si="1"/>
        <v>120158.32919999998</v>
      </c>
      <c r="G26" s="1620"/>
      <c r="H26" s="1642"/>
      <c r="I26" s="1666" t="s">
        <v>197</v>
      </c>
      <c r="J26" s="1667"/>
      <c r="K26" s="1668"/>
      <c r="L26" s="1693">
        <v>0</v>
      </c>
      <c r="M26" s="1627">
        <v>0</v>
      </c>
      <c r="N26" s="1627">
        <v>0</v>
      </c>
      <c r="O26" s="1643">
        <v>0</v>
      </c>
      <c r="P26" s="1694">
        <v>0</v>
      </c>
      <c r="Q26" s="1694">
        <v>0</v>
      </c>
      <c r="R26" s="1695">
        <v>0</v>
      </c>
      <c r="S26" s="1620"/>
      <c r="T26" s="4056"/>
      <c r="U26" s="3535"/>
    </row>
    <row r="27" spans="2:22">
      <c r="B27" s="1686"/>
      <c r="C27" s="3220" t="s">
        <v>1203</v>
      </c>
      <c r="D27" s="1635">
        <f>D19*0.63</f>
        <v>0</v>
      </c>
      <c r="E27" s="1635">
        <f>E19*0.63</f>
        <v>0</v>
      </c>
      <c r="F27" s="3232">
        <f t="shared" si="1"/>
        <v>0</v>
      </c>
      <c r="G27" s="1620"/>
      <c r="H27" s="1642"/>
      <c r="I27" s="1666" t="s">
        <v>198</v>
      </c>
      <c r="J27" s="1667"/>
      <c r="K27" s="1668"/>
      <c r="L27" s="1693">
        <v>0</v>
      </c>
      <c r="M27" s="1627">
        <v>0</v>
      </c>
      <c r="N27" s="1627">
        <v>0</v>
      </c>
      <c r="O27" s="1643">
        <v>0</v>
      </c>
      <c r="P27" s="1694">
        <v>0</v>
      </c>
      <c r="Q27" s="1694">
        <v>0</v>
      </c>
      <c r="R27" s="1695">
        <v>0</v>
      </c>
      <c r="S27" s="1620"/>
      <c r="T27" s="4056"/>
      <c r="U27" s="3535"/>
    </row>
    <row r="28" spans="2:22">
      <c r="B28" s="1687"/>
      <c r="C28" s="1626"/>
      <c r="D28" s="1636"/>
      <c r="E28" s="1636"/>
      <c r="F28" s="3232">
        <f t="shared" si="1"/>
        <v>0</v>
      </c>
      <c r="G28" s="1620"/>
      <c r="H28" s="1642"/>
      <c r="I28" s="1666" t="s">
        <v>199</v>
      </c>
      <c r="J28" s="1667"/>
      <c r="K28" s="1668"/>
      <c r="L28" s="1693">
        <v>0</v>
      </c>
      <c r="M28" s="1627">
        <v>0</v>
      </c>
      <c r="N28" s="1627">
        <v>0</v>
      </c>
      <c r="O28" s="1643">
        <v>0</v>
      </c>
      <c r="P28" s="1694">
        <v>0</v>
      </c>
      <c r="Q28" s="1694">
        <v>0</v>
      </c>
      <c r="R28" s="1695">
        <v>0</v>
      </c>
      <c r="S28" s="1620"/>
      <c r="T28" s="4056"/>
      <c r="U28" s="3535"/>
    </row>
    <row r="29" spans="2:22" ht="13.5" thickBot="1">
      <c r="B29" s="1687"/>
      <c r="C29" s="1626"/>
      <c r="D29" s="1636"/>
      <c r="E29" s="1636"/>
      <c r="F29" s="3232">
        <f t="shared" si="1"/>
        <v>0</v>
      </c>
      <c r="G29" s="1620"/>
      <c r="H29" s="1642"/>
      <c r="I29" s="1666" t="s">
        <v>200</v>
      </c>
      <c r="J29" s="1667"/>
      <c r="K29" s="1668"/>
      <c r="L29" s="1693">
        <v>0</v>
      </c>
      <c r="M29" s="1627">
        <v>0</v>
      </c>
      <c r="N29" s="1627">
        <v>0</v>
      </c>
      <c r="O29" s="1643">
        <v>0</v>
      </c>
      <c r="P29" s="1694">
        <v>0</v>
      </c>
      <c r="Q29" s="1694">
        <v>0</v>
      </c>
      <c r="R29" s="1695">
        <v>0</v>
      </c>
      <c r="S29" s="1620"/>
      <c r="T29" s="4056"/>
      <c r="U29" s="3535"/>
    </row>
    <row r="30" spans="2:22" ht="13.5" thickBot="1">
      <c r="B30" s="1685">
        <v>0</v>
      </c>
      <c r="C30" s="1651" t="s">
        <v>145</v>
      </c>
      <c r="D30" s="3234">
        <f>SUM(D31:D34)</f>
        <v>0</v>
      </c>
      <c r="E30" s="3234">
        <f>SUM(E31:E34)</f>
        <v>0</v>
      </c>
      <c r="F30" s="1653">
        <f>SUM(F31:F34)</f>
        <v>0</v>
      </c>
      <c r="G30" s="1620"/>
      <c r="H30" s="1642"/>
      <c r="I30" s="1666" t="s">
        <v>201</v>
      </c>
      <c r="J30" s="1667"/>
      <c r="K30" s="1668"/>
      <c r="L30" s="1693">
        <v>0</v>
      </c>
      <c r="M30" s="1627">
        <v>0</v>
      </c>
      <c r="N30" s="1627">
        <v>0</v>
      </c>
      <c r="O30" s="1643">
        <v>0</v>
      </c>
      <c r="P30" s="1694">
        <v>0</v>
      </c>
      <c r="Q30" s="1694">
        <v>0</v>
      </c>
      <c r="R30" s="1695">
        <v>0</v>
      </c>
      <c r="S30" s="1620"/>
      <c r="T30" s="4056"/>
      <c r="U30" s="3535"/>
    </row>
    <row r="31" spans="2:22">
      <c r="B31" s="1686"/>
      <c r="C31" s="1632"/>
      <c r="D31" s="1634">
        <v>0</v>
      </c>
      <c r="E31" s="1634">
        <v>0</v>
      </c>
      <c r="F31" s="3232">
        <f t="shared" si="1"/>
        <v>0</v>
      </c>
      <c r="G31" s="1620"/>
      <c r="H31" s="1642"/>
      <c r="I31" s="1666" t="s">
        <v>202</v>
      </c>
      <c r="J31" s="1667"/>
      <c r="K31" s="1668"/>
      <c r="L31" s="1693">
        <v>0</v>
      </c>
      <c r="M31" s="1627">
        <v>0</v>
      </c>
      <c r="N31" s="1627">
        <v>0</v>
      </c>
      <c r="O31" s="1643">
        <v>0</v>
      </c>
      <c r="P31" s="1694">
        <v>0</v>
      </c>
      <c r="Q31" s="1694">
        <v>0</v>
      </c>
      <c r="R31" s="1695">
        <v>0</v>
      </c>
      <c r="S31" s="1620"/>
      <c r="T31" s="4056"/>
      <c r="U31" s="3535"/>
    </row>
    <row r="32" spans="2:22">
      <c r="B32" s="1687"/>
      <c r="C32" s="1626" t="s">
        <v>140</v>
      </c>
      <c r="D32" s="1635">
        <v>0</v>
      </c>
      <c r="E32" s="1635"/>
      <c r="F32" s="3232">
        <f t="shared" si="1"/>
        <v>0</v>
      </c>
      <c r="G32" s="1620"/>
      <c r="H32" s="1642"/>
      <c r="I32" s="1666" t="s">
        <v>203</v>
      </c>
      <c r="J32" s="1667"/>
      <c r="K32" s="1668"/>
      <c r="L32" s="1693">
        <v>0</v>
      </c>
      <c r="M32" s="1627">
        <v>0</v>
      </c>
      <c r="N32" s="1627">
        <v>0</v>
      </c>
      <c r="O32" s="1643">
        <v>0</v>
      </c>
      <c r="P32" s="1694">
        <v>0</v>
      </c>
      <c r="Q32" s="1694">
        <v>0</v>
      </c>
      <c r="R32" s="1695">
        <v>0</v>
      </c>
      <c r="S32" s="1620"/>
      <c r="T32" s="4056"/>
      <c r="U32" s="3535"/>
    </row>
    <row r="33" spans="2:21">
      <c r="B33" s="1687"/>
      <c r="C33" s="1626" t="s">
        <v>141</v>
      </c>
      <c r="D33" s="1635">
        <v>0</v>
      </c>
      <c r="E33" s="1635"/>
      <c r="F33" s="3232">
        <f t="shared" si="1"/>
        <v>0</v>
      </c>
      <c r="G33" s="1620"/>
      <c r="H33" s="1642"/>
      <c r="I33" s="1666" t="s">
        <v>204</v>
      </c>
      <c r="J33" s="1667"/>
      <c r="K33" s="1668"/>
      <c r="L33" s="1693">
        <v>0</v>
      </c>
      <c r="M33" s="1627">
        <v>0</v>
      </c>
      <c r="N33" s="1627">
        <v>0</v>
      </c>
      <c r="O33" s="1643">
        <v>0</v>
      </c>
      <c r="P33" s="1694">
        <v>0</v>
      </c>
      <c r="Q33" s="1694">
        <v>0</v>
      </c>
      <c r="R33" s="1695">
        <v>0</v>
      </c>
      <c r="S33" s="1620"/>
      <c r="T33" s="4056"/>
      <c r="U33" s="3535"/>
    </row>
    <row r="34" spans="2:21" ht="13.5" thickBot="1">
      <c r="B34" s="1687"/>
      <c r="C34" s="1626" t="s">
        <v>142</v>
      </c>
      <c r="D34" s="1635">
        <v>0</v>
      </c>
      <c r="E34" s="1635"/>
      <c r="F34" s="3232">
        <f t="shared" si="1"/>
        <v>0</v>
      </c>
      <c r="G34" s="1620"/>
      <c r="H34" s="1642"/>
      <c r="I34" s="1666" t="s">
        <v>205</v>
      </c>
      <c r="J34" s="1667"/>
      <c r="K34" s="1668"/>
      <c r="L34" s="1693">
        <v>0</v>
      </c>
      <c r="M34" s="1627">
        <v>0</v>
      </c>
      <c r="N34" s="1627">
        <v>0</v>
      </c>
      <c r="O34" s="1643">
        <v>0</v>
      </c>
      <c r="P34" s="1694">
        <v>0</v>
      </c>
      <c r="Q34" s="1694">
        <v>0</v>
      </c>
      <c r="R34" s="1695">
        <v>0</v>
      </c>
      <c r="S34" s="1620"/>
      <c r="T34" s="4056"/>
      <c r="U34" s="3535"/>
    </row>
    <row r="35" spans="2:21" ht="13.5" thickBot="1">
      <c r="B35" s="1685">
        <v>3000</v>
      </c>
      <c r="C35" s="1651" t="s">
        <v>146</v>
      </c>
      <c r="D35" s="3234">
        <f>SUM(D36:D39)</f>
        <v>4355</v>
      </c>
      <c r="E35" s="3234">
        <f>SUM(E36:E39)</f>
        <v>4355</v>
      </c>
      <c r="F35" s="1653">
        <f>SUM(F36:F39)</f>
        <v>8710</v>
      </c>
      <c r="G35" s="1620"/>
      <c r="H35" s="1642"/>
      <c r="I35" s="1666" t="s">
        <v>206</v>
      </c>
      <c r="J35" s="1667"/>
      <c r="K35" s="1668"/>
      <c r="L35" s="1693">
        <v>0</v>
      </c>
      <c r="M35" s="1627">
        <v>0</v>
      </c>
      <c r="N35" s="1627">
        <v>0</v>
      </c>
      <c r="O35" s="1643">
        <v>0</v>
      </c>
      <c r="P35" s="1694">
        <v>0</v>
      </c>
      <c r="Q35" s="1694">
        <v>0</v>
      </c>
      <c r="R35" s="1695">
        <v>0</v>
      </c>
      <c r="S35" s="1620"/>
      <c r="T35" s="4056"/>
      <c r="U35" s="3535"/>
    </row>
    <row r="36" spans="2:21">
      <c r="B36" s="1687"/>
      <c r="C36" s="1626" t="s">
        <v>795</v>
      </c>
      <c r="D36" s="3526">
        <v>2830.75</v>
      </c>
      <c r="E36" s="3526">
        <v>2830.75</v>
      </c>
      <c r="F36" s="3232">
        <f t="shared" si="1"/>
        <v>5661.5</v>
      </c>
      <c r="G36" s="1620"/>
      <c r="H36" s="1642"/>
      <c r="I36" s="1666" t="s">
        <v>207</v>
      </c>
      <c r="J36" s="1667"/>
      <c r="K36" s="1668"/>
      <c r="L36" s="1693">
        <v>0</v>
      </c>
      <c r="M36" s="1627">
        <v>0</v>
      </c>
      <c r="N36" s="1627">
        <v>0</v>
      </c>
      <c r="O36" s="1643">
        <v>0</v>
      </c>
      <c r="P36" s="1694">
        <v>0</v>
      </c>
      <c r="Q36" s="1694">
        <v>0</v>
      </c>
      <c r="R36" s="1695">
        <v>0</v>
      </c>
      <c r="S36" s="1620"/>
      <c r="T36" s="4056"/>
      <c r="U36" s="3535"/>
    </row>
    <row r="37" spans="2:21">
      <c r="B37" s="1687"/>
      <c r="C37" s="1626" t="s">
        <v>813</v>
      </c>
      <c r="D37" s="3526">
        <v>435.5</v>
      </c>
      <c r="E37" s="3526">
        <v>435.5</v>
      </c>
      <c r="F37" s="3232">
        <f t="shared" si="1"/>
        <v>871</v>
      </c>
      <c r="G37" s="1620"/>
      <c r="H37" s="1642"/>
      <c r="I37" s="1666" t="s">
        <v>208</v>
      </c>
      <c r="J37" s="1667"/>
      <c r="K37" s="1668"/>
      <c r="L37" s="1693">
        <v>0</v>
      </c>
      <c r="M37" s="1627">
        <v>0</v>
      </c>
      <c r="N37" s="1627">
        <v>0</v>
      </c>
      <c r="O37" s="1643">
        <v>0</v>
      </c>
      <c r="P37" s="1694">
        <v>0</v>
      </c>
      <c r="Q37" s="1694">
        <v>0</v>
      </c>
      <c r="R37" s="1695">
        <v>0</v>
      </c>
      <c r="S37" s="1620"/>
      <c r="T37" s="4056"/>
      <c r="U37" s="3535"/>
    </row>
    <row r="38" spans="2:21">
      <c r="B38" s="1687"/>
      <c r="C38" s="1626" t="s">
        <v>797</v>
      </c>
      <c r="D38" s="3526">
        <v>827.45</v>
      </c>
      <c r="E38" s="3526">
        <v>827.45</v>
      </c>
      <c r="F38" s="3232">
        <f t="shared" si="1"/>
        <v>1654.9</v>
      </c>
      <c r="G38" s="1620"/>
      <c r="H38" s="1642"/>
      <c r="I38" s="1666" t="s">
        <v>209</v>
      </c>
      <c r="J38" s="1667"/>
      <c r="K38" s="1668"/>
      <c r="L38" s="1693">
        <v>0</v>
      </c>
      <c r="M38" s="1627">
        <v>0</v>
      </c>
      <c r="N38" s="1627">
        <v>0</v>
      </c>
      <c r="O38" s="1643">
        <v>0</v>
      </c>
      <c r="P38" s="1694">
        <v>0</v>
      </c>
      <c r="Q38" s="1694">
        <v>0</v>
      </c>
      <c r="R38" s="1695">
        <v>0</v>
      </c>
      <c r="S38" s="1620"/>
      <c r="T38" s="4056"/>
      <c r="U38" s="3535"/>
    </row>
    <row r="39" spans="2:21" ht="13.5" thickBot="1">
      <c r="B39" s="1687"/>
      <c r="C39" s="1626" t="s">
        <v>798</v>
      </c>
      <c r="D39" s="3526">
        <v>261.3</v>
      </c>
      <c r="E39" s="3526">
        <v>261.3</v>
      </c>
      <c r="F39" s="3232">
        <f t="shared" si="1"/>
        <v>522.6</v>
      </c>
      <c r="G39" s="1620"/>
      <c r="H39" s="1642"/>
      <c r="I39" s="1666" t="s">
        <v>210</v>
      </c>
      <c r="J39" s="1667"/>
      <c r="K39" s="1668"/>
      <c r="L39" s="1693">
        <v>0</v>
      </c>
      <c r="M39" s="1627">
        <v>0</v>
      </c>
      <c r="N39" s="1627">
        <v>0</v>
      </c>
      <c r="O39" s="1643">
        <v>0</v>
      </c>
      <c r="P39" s="1694">
        <v>0</v>
      </c>
      <c r="Q39" s="1694">
        <v>0</v>
      </c>
      <c r="R39" s="1695">
        <v>0</v>
      </c>
      <c r="S39" s="1620"/>
      <c r="T39" s="4056"/>
      <c r="U39" s="3535"/>
    </row>
    <row r="40" spans="2:21" ht="13.5" thickBot="1">
      <c r="B40" s="1685">
        <v>1000</v>
      </c>
      <c r="C40" s="1651" t="s">
        <v>147</v>
      </c>
      <c r="D40" s="3234">
        <f>SUM(D41:D44)</f>
        <v>3146</v>
      </c>
      <c r="E40" s="3234">
        <f>SUM(E41:E44)</f>
        <v>3146</v>
      </c>
      <c r="F40" s="1653">
        <f>SUM(F41:F44)</f>
        <v>6292</v>
      </c>
      <c r="G40" s="1620"/>
      <c r="H40" s="1642"/>
      <c r="I40" s="1666" t="s">
        <v>211</v>
      </c>
      <c r="J40" s="1667"/>
      <c r="K40" s="1668"/>
      <c r="L40" s="1693">
        <v>0</v>
      </c>
      <c r="M40" s="1627">
        <v>0</v>
      </c>
      <c r="N40" s="1627">
        <v>0</v>
      </c>
      <c r="O40" s="1643">
        <v>0</v>
      </c>
      <c r="P40" s="1694">
        <v>0</v>
      </c>
      <c r="Q40" s="1694">
        <v>0</v>
      </c>
      <c r="R40" s="1695">
        <v>0</v>
      </c>
      <c r="S40" s="1620"/>
      <c r="T40" s="4056"/>
      <c r="U40" s="3535"/>
    </row>
    <row r="41" spans="2:21">
      <c r="B41" s="1687"/>
      <c r="C41" s="1626" t="s">
        <v>799</v>
      </c>
      <c r="D41" s="3527">
        <v>156</v>
      </c>
      <c r="E41" s="3527">
        <v>156</v>
      </c>
      <c r="F41" s="3232">
        <f t="shared" si="1"/>
        <v>312</v>
      </c>
      <c r="G41" s="1620"/>
      <c r="H41" s="1642"/>
      <c r="I41" s="1666" t="s">
        <v>212</v>
      </c>
      <c r="J41" s="1667"/>
      <c r="K41" s="1668"/>
      <c r="L41" s="1693">
        <v>0</v>
      </c>
      <c r="M41" s="1627">
        <v>0</v>
      </c>
      <c r="N41" s="1627">
        <v>0</v>
      </c>
      <c r="O41" s="1643">
        <v>0</v>
      </c>
      <c r="P41" s="1694">
        <v>0</v>
      </c>
      <c r="Q41" s="1694">
        <v>0</v>
      </c>
      <c r="R41" s="1695">
        <v>0</v>
      </c>
      <c r="S41" s="1620"/>
      <c r="T41" s="4056"/>
      <c r="U41" s="3535"/>
    </row>
    <row r="42" spans="2:21">
      <c r="B42" s="1687"/>
      <c r="C42" s="1626" t="s">
        <v>678</v>
      </c>
      <c r="D42" s="3527">
        <v>390</v>
      </c>
      <c r="E42" s="3527">
        <v>390</v>
      </c>
      <c r="F42" s="3232">
        <f t="shared" si="1"/>
        <v>780</v>
      </c>
      <c r="G42" s="1620"/>
      <c r="H42" s="1642"/>
      <c r="I42" s="1666" t="s">
        <v>213</v>
      </c>
      <c r="J42" s="1667"/>
      <c r="K42" s="1668"/>
      <c r="L42" s="1693">
        <v>0</v>
      </c>
      <c r="M42" s="1627">
        <v>0</v>
      </c>
      <c r="N42" s="1627">
        <v>0</v>
      </c>
      <c r="O42" s="1643">
        <v>0</v>
      </c>
      <c r="P42" s="1694">
        <v>0</v>
      </c>
      <c r="Q42" s="1694">
        <v>0</v>
      </c>
      <c r="R42" s="1695">
        <v>0</v>
      </c>
      <c r="S42" s="1620"/>
      <c r="T42" s="4056"/>
      <c r="U42" s="3535"/>
    </row>
    <row r="43" spans="2:21">
      <c r="B43" s="1687"/>
      <c r="C43" s="3231" t="s">
        <v>989</v>
      </c>
      <c r="D43" s="3527">
        <v>2600</v>
      </c>
      <c r="E43" s="3527">
        <v>2600</v>
      </c>
      <c r="F43" s="3232">
        <f t="shared" si="1"/>
        <v>5200</v>
      </c>
      <c r="G43" s="1620"/>
      <c r="H43" s="1642"/>
      <c r="I43" s="1666" t="s">
        <v>214</v>
      </c>
      <c r="J43" s="1667"/>
      <c r="K43" s="1668"/>
      <c r="L43" s="1693">
        <v>0</v>
      </c>
      <c r="M43" s="1627">
        <v>0</v>
      </c>
      <c r="N43" s="1627">
        <v>0</v>
      </c>
      <c r="O43" s="1643">
        <v>0</v>
      </c>
      <c r="P43" s="1694">
        <v>0</v>
      </c>
      <c r="Q43" s="1694">
        <v>0</v>
      </c>
      <c r="R43" s="1695">
        <v>0</v>
      </c>
      <c r="S43" s="1620"/>
      <c r="T43" s="4056"/>
      <c r="U43" s="3535"/>
    </row>
    <row r="44" spans="2:21" ht="13.5" thickBot="1">
      <c r="B44" s="1687"/>
      <c r="C44" s="1626" t="s">
        <v>142</v>
      </c>
      <c r="D44" s="1635">
        <v>0</v>
      </c>
      <c r="E44" s="1635"/>
      <c r="F44" s="3232">
        <f t="shared" si="1"/>
        <v>0</v>
      </c>
      <c r="G44" s="1620"/>
      <c r="H44" s="1642"/>
      <c r="I44" s="1666" t="s">
        <v>215</v>
      </c>
      <c r="J44" s="1667"/>
      <c r="K44" s="1668"/>
      <c r="L44" s="1693">
        <v>0</v>
      </c>
      <c r="M44" s="1627">
        <v>0</v>
      </c>
      <c r="N44" s="1627">
        <v>0</v>
      </c>
      <c r="O44" s="1643">
        <v>0</v>
      </c>
      <c r="P44" s="1694">
        <v>0</v>
      </c>
      <c r="Q44" s="1694">
        <v>0</v>
      </c>
      <c r="R44" s="1695">
        <v>0</v>
      </c>
      <c r="S44" s="1620"/>
      <c r="T44" s="4056"/>
      <c r="U44" s="3535"/>
    </row>
    <row r="45" spans="2:21" ht="13.5" thickBot="1">
      <c r="B45" s="1685">
        <v>200</v>
      </c>
      <c r="C45" s="1651" t="s">
        <v>148</v>
      </c>
      <c r="D45" s="3234">
        <f>SUM(D46:D49)</f>
        <v>780</v>
      </c>
      <c r="E45" s="3234">
        <f>SUM(E46:E49)</f>
        <v>780</v>
      </c>
      <c r="F45" s="1653">
        <f>SUM(F46:F49)</f>
        <v>1560</v>
      </c>
      <c r="G45" s="1620"/>
      <c r="H45" s="1642"/>
      <c r="I45" s="1666" t="s">
        <v>216</v>
      </c>
      <c r="J45" s="1667"/>
      <c r="K45" s="1668"/>
      <c r="L45" s="1693">
        <v>0</v>
      </c>
      <c r="M45" s="1627">
        <v>0</v>
      </c>
      <c r="N45" s="1627">
        <v>0</v>
      </c>
      <c r="O45" s="1643">
        <v>0</v>
      </c>
      <c r="P45" s="1694">
        <v>0</v>
      </c>
      <c r="Q45" s="1694">
        <v>0</v>
      </c>
      <c r="R45" s="1695">
        <v>0</v>
      </c>
      <c r="S45" s="1620"/>
      <c r="T45" s="4056"/>
      <c r="U45" s="3535"/>
    </row>
    <row r="46" spans="2:21">
      <c r="B46" s="1687"/>
      <c r="C46" s="1626" t="s">
        <v>814</v>
      </c>
      <c r="D46" s="3616">
        <v>455</v>
      </c>
      <c r="E46" s="3616">
        <v>455</v>
      </c>
      <c r="F46" s="3232">
        <f t="shared" si="1"/>
        <v>910</v>
      </c>
      <c r="G46" s="1620"/>
      <c r="H46" s="1642"/>
      <c r="I46" s="1666" t="s">
        <v>217</v>
      </c>
      <c r="J46" s="1667"/>
      <c r="K46" s="1668"/>
      <c r="L46" s="1693">
        <v>0</v>
      </c>
      <c r="M46" s="1627">
        <v>0</v>
      </c>
      <c r="N46" s="1627">
        <v>0</v>
      </c>
      <c r="O46" s="1643">
        <v>0</v>
      </c>
      <c r="P46" s="1694">
        <v>0</v>
      </c>
      <c r="Q46" s="1694">
        <v>0</v>
      </c>
      <c r="R46" s="1695">
        <v>0</v>
      </c>
      <c r="S46" s="1620"/>
      <c r="T46" s="4056"/>
      <c r="U46" s="3535"/>
    </row>
    <row r="47" spans="2:21">
      <c r="B47" s="1687"/>
      <c r="C47" s="1626" t="s">
        <v>801</v>
      </c>
      <c r="D47" s="3616">
        <v>325</v>
      </c>
      <c r="E47" s="3616">
        <v>325</v>
      </c>
      <c r="F47" s="3232">
        <f t="shared" si="1"/>
        <v>650</v>
      </c>
      <c r="G47" s="1620"/>
      <c r="H47" s="1642"/>
      <c r="I47" s="1666" t="s">
        <v>218</v>
      </c>
      <c r="J47" s="1667"/>
      <c r="K47" s="1668"/>
      <c r="L47" s="1693">
        <v>0</v>
      </c>
      <c r="M47" s="1627">
        <v>0</v>
      </c>
      <c r="N47" s="1627">
        <v>0</v>
      </c>
      <c r="O47" s="1643">
        <v>0</v>
      </c>
      <c r="P47" s="1694">
        <v>0</v>
      </c>
      <c r="Q47" s="1694">
        <v>0</v>
      </c>
      <c r="R47" s="1695">
        <v>0</v>
      </c>
      <c r="S47" s="1620"/>
      <c r="T47" s="4056"/>
      <c r="U47" s="3535"/>
    </row>
    <row r="48" spans="2:21">
      <c r="B48" s="1687"/>
      <c r="C48" s="1626" t="s">
        <v>141</v>
      </c>
      <c r="D48" s="1635">
        <v>0</v>
      </c>
      <c r="E48" s="1635"/>
      <c r="F48" s="3232">
        <f t="shared" si="1"/>
        <v>0</v>
      </c>
      <c r="G48" s="1620"/>
      <c r="H48" s="1642"/>
      <c r="I48" s="1666" t="s">
        <v>219</v>
      </c>
      <c r="J48" s="1667"/>
      <c r="K48" s="1668"/>
      <c r="L48" s="1693">
        <v>0</v>
      </c>
      <c r="M48" s="1627">
        <v>0</v>
      </c>
      <c r="N48" s="1627">
        <v>0</v>
      </c>
      <c r="O48" s="1643">
        <v>0</v>
      </c>
      <c r="P48" s="1694">
        <v>0</v>
      </c>
      <c r="Q48" s="1694">
        <v>0</v>
      </c>
      <c r="R48" s="1695">
        <v>0</v>
      </c>
      <c r="S48" s="1620"/>
      <c r="T48" s="4056"/>
      <c r="U48" s="3535"/>
    </row>
    <row r="49" spans="2:24" ht="13.5" thickBot="1">
      <c r="B49" s="1687"/>
      <c r="C49" s="1626" t="s">
        <v>142</v>
      </c>
      <c r="D49" s="1635">
        <v>0</v>
      </c>
      <c r="E49" s="1635"/>
      <c r="F49" s="3232">
        <f t="shared" si="1"/>
        <v>0</v>
      </c>
      <c r="G49" s="1620"/>
      <c r="H49" s="1642"/>
      <c r="I49" s="1666" t="s">
        <v>220</v>
      </c>
      <c r="J49" s="1667"/>
      <c r="K49" s="1668"/>
      <c r="L49" s="1693">
        <v>0</v>
      </c>
      <c r="M49" s="1627">
        <v>0</v>
      </c>
      <c r="N49" s="1627">
        <v>0</v>
      </c>
      <c r="O49" s="1643">
        <v>0</v>
      </c>
      <c r="P49" s="1694">
        <v>0</v>
      </c>
      <c r="Q49" s="1694">
        <v>0</v>
      </c>
      <c r="R49" s="1695">
        <v>0</v>
      </c>
      <c r="S49" s="1620"/>
      <c r="T49" s="4056"/>
      <c r="U49" s="3535"/>
    </row>
    <row r="50" spans="2:24" ht="13.5" thickBot="1">
      <c r="B50" s="1685">
        <v>8000</v>
      </c>
      <c r="C50" s="1651" t="s">
        <v>149</v>
      </c>
      <c r="D50" s="3234">
        <f>SUM(D51:D54)</f>
        <v>0</v>
      </c>
      <c r="E50" s="3234">
        <f>SUM(E51:E54)</f>
        <v>0</v>
      </c>
      <c r="F50" s="1653">
        <f>SUM(F51:F54)</f>
        <v>0</v>
      </c>
      <c r="G50" s="1620"/>
      <c r="H50" s="1642"/>
      <c r="I50" s="1666" t="s">
        <v>221</v>
      </c>
      <c r="J50" s="1667"/>
      <c r="K50" s="1668"/>
      <c r="L50" s="1693">
        <v>0</v>
      </c>
      <c r="M50" s="1627">
        <v>0</v>
      </c>
      <c r="N50" s="1627">
        <v>0</v>
      </c>
      <c r="O50" s="1643">
        <v>0</v>
      </c>
      <c r="P50" s="1694">
        <v>0</v>
      </c>
      <c r="Q50" s="1694">
        <v>0</v>
      </c>
      <c r="R50" s="1695">
        <v>0</v>
      </c>
      <c r="S50" s="1620"/>
      <c r="T50" s="4056"/>
      <c r="U50" s="3535"/>
    </row>
    <row r="51" spans="2:24">
      <c r="B51" s="1687"/>
      <c r="C51" s="1626" t="s">
        <v>139</v>
      </c>
      <c r="D51" s="1635">
        <v>0</v>
      </c>
      <c r="E51" s="1635">
        <v>0</v>
      </c>
      <c r="F51" s="3232">
        <f t="shared" si="1"/>
        <v>0</v>
      </c>
      <c r="G51" s="1620"/>
      <c r="H51" s="1620"/>
      <c r="I51" s="1666" t="s">
        <v>222</v>
      </c>
      <c r="J51" s="1667"/>
      <c r="K51" s="1668"/>
      <c r="L51" s="1693">
        <v>0</v>
      </c>
      <c r="M51" s="1627">
        <v>0</v>
      </c>
      <c r="N51" s="1627">
        <v>0</v>
      </c>
      <c r="O51" s="1643">
        <v>0</v>
      </c>
      <c r="P51" s="1694">
        <v>0</v>
      </c>
      <c r="Q51" s="1694">
        <v>0</v>
      </c>
      <c r="R51" s="1695">
        <v>0</v>
      </c>
      <c r="S51" s="1620"/>
      <c r="T51" s="4056"/>
      <c r="U51" s="4056"/>
      <c r="V51" s="1620"/>
      <c r="W51" s="1620"/>
      <c r="X51" s="1620"/>
    </row>
    <row r="52" spans="2:24">
      <c r="B52" s="1687"/>
      <c r="C52" s="1626" t="s">
        <v>140</v>
      </c>
      <c r="D52" s="1635">
        <v>0</v>
      </c>
      <c r="E52" s="1635"/>
      <c r="F52" s="3232">
        <f t="shared" si="1"/>
        <v>0</v>
      </c>
      <c r="G52" s="1620"/>
      <c r="H52" s="1620"/>
      <c r="I52" s="1666" t="s">
        <v>223</v>
      </c>
      <c r="J52" s="1667"/>
      <c r="K52" s="1668"/>
      <c r="L52" s="1693">
        <v>0</v>
      </c>
      <c r="M52" s="1627">
        <v>0</v>
      </c>
      <c r="N52" s="1627">
        <v>0</v>
      </c>
      <c r="O52" s="1643">
        <v>0</v>
      </c>
      <c r="P52" s="1694">
        <v>0</v>
      </c>
      <c r="Q52" s="1694">
        <v>0</v>
      </c>
      <c r="R52" s="1695">
        <v>0</v>
      </c>
      <c r="S52" s="1620"/>
      <c r="T52" s="4056"/>
      <c r="U52" s="4056"/>
      <c r="V52" s="1620"/>
      <c r="W52" s="1620"/>
      <c r="X52" s="1620"/>
    </row>
    <row r="53" spans="2:24">
      <c r="B53" s="1687"/>
      <c r="C53" s="1626" t="s">
        <v>141</v>
      </c>
      <c r="D53" s="1635">
        <v>0</v>
      </c>
      <c r="E53" s="1635"/>
      <c r="F53" s="3232">
        <f t="shared" si="1"/>
        <v>0</v>
      </c>
      <c r="G53" s="1620"/>
      <c r="H53" s="1620"/>
      <c r="I53" s="1666" t="s">
        <v>224</v>
      </c>
      <c r="J53" s="1667"/>
      <c r="K53" s="1668"/>
      <c r="L53" s="1693">
        <v>0</v>
      </c>
      <c r="M53" s="1627">
        <v>0</v>
      </c>
      <c r="N53" s="1627">
        <v>0</v>
      </c>
      <c r="O53" s="1643">
        <v>0</v>
      </c>
      <c r="P53" s="1694">
        <v>0</v>
      </c>
      <c r="Q53" s="1694">
        <v>0</v>
      </c>
      <c r="R53" s="1695">
        <v>0</v>
      </c>
      <c r="S53" s="1620"/>
      <c r="T53" s="4056"/>
      <c r="U53" s="4056"/>
      <c r="V53" s="1620"/>
      <c r="W53" s="1620"/>
      <c r="X53" s="1620"/>
    </row>
    <row r="54" spans="2:24" ht="13.5" thickBot="1">
      <c r="B54" s="1687"/>
      <c r="C54" s="1626" t="s">
        <v>142</v>
      </c>
      <c r="D54" s="1635">
        <v>0</v>
      </c>
      <c r="E54" s="1635"/>
      <c r="F54" s="3232">
        <f t="shared" si="1"/>
        <v>0</v>
      </c>
      <c r="G54" s="1620"/>
      <c r="H54" s="1620"/>
      <c r="I54" s="1666" t="s">
        <v>225</v>
      </c>
      <c r="J54" s="1667"/>
      <c r="K54" s="1668"/>
      <c r="L54" s="1693">
        <v>0</v>
      </c>
      <c r="M54" s="1627">
        <v>0</v>
      </c>
      <c r="N54" s="1627">
        <v>0</v>
      </c>
      <c r="O54" s="1643">
        <v>0</v>
      </c>
      <c r="P54" s="1694">
        <v>0</v>
      </c>
      <c r="Q54" s="1694">
        <v>0</v>
      </c>
      <c r="R54" s="1695">
        <v>0</v>
      </c>
      <c r="S54" s="1620"/>
      <c r="T54" s="4056"/>
      <c r="U54" s="4056"/>
      <c r="V54" s="1620"/>
      <c r="W54" s="1620"/>
      <c r="X54" s="1620"/>
    </row>
    <row r="55" spans="2:24" ht="13.5" thickBot="1">
      <c r="B55" s="1685">
        <v>0</v>
      </c>
      <c r="C55" s="1651" t="s">
        <v>150</v>
      </c>
      <c r="D55" s="1652">
        <v>0</v>
      </c>
      <c r="E55" s="1652">
        <v>0</v>
      </c>
      <c r="F55" s="1653">
        <v>0</v>
      </c>
      <c r="G55" s="1654" t="s">
        <v>151</v>
      </c>
      <c r="H55" s="1620"/>
      <c r="I55" s="1666" t="s">
        <v>226</v>
      </c>
      <c r="J55" s="1667"/>
      <c r="K55" s="1668"/>
      <c r="L55" s="1693">
        <v>0</v>
      </c>
      <c r="M55" s="1627">
        <v>0</v>
      </c>
      <c r="N55" s="1627">
        <v>0</v>
      </c>
      <c r="O55" s="1643">
        <v>0</v>
      </c>
      <c r="P55" s="1694">
        <v>0</v>
      </c>
      <c r="Q55" s="1694">
        <v>0</v>
      </c>
      <c r="R55" s="1695">
        <v>0</v>
      </c>
      <c r="S55" s="1620"/>
      <c r="T55" s="4056"/>
      <c r="U55" s="4056"/>
      <c r="V55" s="1620"/>
      <c r="W55" s="1620"/>
      <c r="X55" s="1620"/>
    </row>
    <row r="56" spans="2:24" ht="13.5" thickBot="1">
      <c r="B56" s="1685">
        <v>0</v>
      </c>
      <c r="C56" s="1651" t="s">
        <v>152</v>
      </c>
      <c r="D56" s="1652">
        <v>0</v>
      </c>
      <c r="E56" s="1652">
        <v>0</v>
      </c>
      <c r="F56" s="1653">
        <v>0</v>
      </c>
      <c r="G56" s="1620"/>
      <c r="H56" s="1620"/>
      <c r="I56" s="1620"/>
      <c r="J56" s="1620"/>
      <c r="K56" s="1620"/>
      <c r="L56" s="1620"/>
      <c r="M56" s="1620"/>
      <c r="N56" s="1620"/>
      <c r="O56" s="1620"/>
      <c r="P56" s="1696">
        <v>0</v>
      </c>
      <c r="Q56" s="1696">
        <v>0</v>
      </c>
      <c r="R56" s="1696">
        <v>0</v>
      </c>
      <c r="S56" s="1620"/>
      <c r="T56" s="4899"/>
      <c r="U56" s="4056"/>
      <c r="V56" s="1620"/>
      <c r="W56" s="1620"/>
      <c r="X56" s="1620"/>
    </row>
    <row r="57" spans="2:24">
      <c r="B57" s="1637">
        <v>332510</v>
      </c>
      <c r="C57" s="1621" t="s">
        <v>153</v>
      </c>
      <c r="D57" s="1637">
        <f>D14+D20+D25+D30+D35+D40+D45+D50+D55+D56</f>
        <v>154771.70799999998</v>
      </c>
      <c r="E57" s="3233">
        <f>E14+E20+E25+E30+E35+E40+E45+E50+E55+E56</f>
        <v>161691.82119999998</v>
      </c>
      <c r="F57" s="3233">
        <f>F14+F20+F25+F30+F35+F40+F45+F50+F55+F56</f>
        <v>316463.52919999999</v>
      </c>
      <c r="G57" s="1620"/>
      <c r="H57" s="1620"/>
      <c r="I57" s="1620"/>
      <c r="J57" s="1620"/>
      <c r="K57" s="1620"/>
      <c r="L57" s="1620"/>
      <c r="M57" s="1620"/>
      <c r="N57" s="1620"/>
      <c r="O57" s="1620"/>
      <c r="P57" s="1620"/>
      <c r="Q57" s="1620"/>
      <c r="R57" s="1620"/>
      <c r="S57" s="1620"/>
      <c r="T57" s="1620"/>
      <c r="U57" s="1620"/>
      <c r="V57" s="1620"/>
      <c r="W57" s="1620"/>
      <c r="X57" s="1620"/>
    </row>
    <row r="58" spans="2:24">
      <c r="B58" s="1620"/>
      <c r="C58" s="1621"/>
      <c r="D58" s="1637"/>
      <c r="E58" s="1637"/>
      <c r="F58" s="1637"/>
      <c r="G58" s="1620"/>
      <c r="H58" s="1620"/>
      <c r="I58" s="1620"/>
      <c r="J58" s="1620"/>
      <c r="K58" s="1620"/>
      <c r="L58" s="1620"/>
      <c r="M58" s="1620"/>
      <c r="N58" s="1620"/>
      <c r="O58" s="1620"/>
      <c r="P58" s="1620"/>
      <c r="Q58" s="1620"/>
      <c r="R58" s="1620"/>
      <c r="S58" s="1620"/>
      <c r="T58" s="1620"/>
      <c r="U58" s="1620"/>
      <c r="V58" s="1620"/>
      <c r="W58" s="1620"/>
      <c r="X58" s="1620"/>
    </row>
    <row r="59" spans="2:24">
      <c r="B59" s="1620"/>
      <c r="C59" s="1621" t="s">
        <v>154</v>
      </c>
      <c r="D59" s="1637">
        <f>D57</f>
        <v>154771.70799999998</v>
      </c>
      <c r="E59" s="3233">
        <f>E57</f>
        <v>161691.82119999998</v>
      </c>
      <c r="F59" s="3233">
        <f>F57</f>
        <v>316463.52919999999</v>
      </c>
      <c r="G59" s="1620"/>
      <c r="H59" s="3520"/>
      <c r="I59" s="3520"/>
      <c r="J59" s="3520"/>
      <c r="K59" s="3520"/>
      <c r="L59" s="3520"/>
      <c r="M59" s="3520"/>
      <c r="N59" s="3520"/>
      <c r="O59" s="3520"/>
      <c r="P59" s="3520"/>
      <c r="Q59" s="3520"/>
      <c r="R59" s="3520"/>
      <c r="S59" s="3520"/>
      <c r="T59" s="3520"/>
      <c r="U59" s="3520"/>
      <c r="V59" s="3520"/>
      <c r="W59" s="3520"/>
      <c r="X59" s="3520"/>
    </row>
    <row r="60" spans="2:24">
      <c r="B60" s="1620"/>
      <c r="C60" s="1621" t="s">
        <v>155</v>
      </c>
      <c r="D60" s="1622">
        <v>0</v>
      </c>
      <c r="E60" s="1622">
        <v>0</v>
      </c>
      <c r="F60" s="1622">
        <v>0</v>
      </c>
      <c r="G60" s="1709">
        <v>0</v>
      </c>
      <c r="H60" s="1710" t="s">
        <v>156</v>
      </c>
      <c r="I60" s="1620"/>
      <c r="J60" s="1620"/>
      <c r="K60" s="1620"/>
      <c r="L60" s="1620"/>
      <c r="M60" s="1620"/>
      <c r="N60" s="1620"/>
      <c r="O60" s="1620"/>
      <c r="P60" s="1620"/>
      <c r="Q60" s="1620"/>
      <c r="R60" s="1620"/>
      <c r="S60" s="1620"/>
      <c r="T60" s="1620"/>
      <c r="U60" s="1620"/>
      <c r="V60" s="1620"/>
      <c r="W60" s="1620"/>
      <c r="X60" s="1620"/>
    </row>
    <row r="61" spans="2:24" ht="13.5" thickBot="1">
      <c r="B61" s="1620"/>
      <c r="C61" s="1620"/>
      <c r="D61" s="1620"/>
      <c r="E61" s="1620"/>
      <c r="F61" s="1620"/>
      <c r="G61" s="1620"/>
      <c r="H61" s="1620"/>
      <c r="I61" s="1620"/>
      <c r="J61" s="1620"/>
      <c r="K61" s="1620"/>
      <c r="L61" s="1620"/>
      <c r="M61" s="1620"/>
      <c r="N61" s="1620"/>
      <c r="O61" s="1620"/>
      <c r="P61" s="1620"/>
      <c r="Q61" s="1620"/>
      <c r="R61" s="1620"/>
      <c r="S61" s="1620"/>
      <c r="T61" s="1620"/>
      <c r="U61" s="1620"/>
      <c r="V61" s="1620"/>
      <c r="W61" s="1620"/>
      <c r="X61" s="1620"/>
    </row>
    <row r="62" spans="2:24" ht="16.5" thickBot="1">
      <c r="B62" s="1664" t="s">
        <v>157</v>
      </c>
      <c r="C62" s="1665"/>
      <c r="D62" s="3217" t="s">
        <v>158</v>
      </c>
      <c r="E62" s="3213"/>
      <c r="F62" s="3213"/>
      <c r="G62" s="3213"/>
      <c r="H62" s="3213"/>
      <c r="I62" s="1620"/>
      <c r="J62" s="1620"/>
      <c r="K62" s="1676"/>
      <c r="L62" s="1620"/>
      <c r="M62" s="1620"/>
      <c r="N62" s="1620"/>
      <c r="O62" s="1620"/>
      <c r="P62" s="1620"/>
      <c r="Q62" s="1620"/>
      <c r="R62" s="1620"/>
      <c r="S62" s="1620"/>
      <c r="T62" s="1620"/>
      <c r="U62" s="1620"/>
      <c r="V62" s="1620"/>
      <c r="W62" s="1620"/>
      <c r="X62" s="1620"/>
    </row>
    <row r="63" spans="2:24" ht="16.5" thickBot="1">
      <c r="B63" s="3214" t="s">
        <v>159</v>
      </c>
      <c r="C63" s="3215"/>
      <c r="D63" s="3215"/>
      <c r="E63" s="3215"/>
      <c r="F63" s="3215"/>
      <c r="G63" s="3215"/>
      <c r="H63" s="3215"/>
      <c r="I63" s="3215"/>
      <c r="J63" s="3215"/>
      <c r="K63" s="3216"/>
      <c r="L63" s="5153" t="s">
        <v>160</v>
      </c>
      <c r="M63" s="5154"/>
      <c r="N63" s="5154"/>
      <c r="O63" s="5154"/>
      <c r="P63" s="5154"/>
      <c r="Q63" s="5154"/>
      <c r="R63" s="5155"/>
      <c r="S63" s="5153" t="s">
        <v>161</v>
      </c>
      <c r="T63" s="5154"/>
      <c r="U63" s="5155"/>
      <c r="V63" s="5153" t="s">
        <v>110</v>
      </c>
      <c r="W63" s="5154"/>
      <c r="X63" s="5155"/>
    </row>
    <row r="64" spans="2:24" ht="13.5" thickBot="1">
      <c r="B64" s="1628" t="s">
        <v>162</v>
      </c>
      <c r="C64" s="1629" t="s">
        <v>129</v>
      </c>
      <c r="D64" s="1629" t="s">
        <v>130</v>
      </c>
      <c r="E64" s="1629" t="s">
        <v>163</v>
      </c>
      <c r="F64" s="1629" t="s">
        <v>164</v>
      </c>
      <c r="G64" s="1629" t="s">
        <v>165</v>
      </c>
      <c r="H64" s="1629" t="s">
        <v>166</v>
      </c>
      <c r="I64" s="1629" t="s">
        <v>167</v>
      </c>
      <c r="J64" s="1629" t="s">
        <v>168</v>
      </c>
      <c r="K64" s="1630" t="s">
        <v>169</v>
      </c>
      <c r="L64" s="1697" t="s">
        <v>170</v>
      </c>
      <c r="M64" s="1698" t="s">
        <v>171</v>
      </c>
      <c r="N64" s="1655" t="s">
        <v>802</v>
      </c>
      <c r="O64" s="1655" t="s">
        <v>803</v>
      </c>
      <c r="P64" s="1699" t="s">
        <v>804</v>
      </c>
      <c r="Q64" s="1699" t="s">
        <v>805</v>
      </c>
      <c r="R64" s="1662" t="s">
        <v>806</v>
      </c>
      <c r="S64" s="1640" t="s">
        <v>177</v>
      </c>
      <c r="T64" s="1640" t="s">
        <v>178</v>
      </c>
      <c r="U64" s="1641" t="s">
        <v>179</v>
      </c>
      <c r="V64" s="1640" t="s">
        <v>115</v>
      </c>
      <c r="W64" s="1640" t="s">
        <v>12</v>
      </c>
      <c r="X64" s="1641" t="s">
        <v>116</v>
      </c>
    </row>
    <row r="65" spans="2:24">
      <c r="B65" s="1627"/>
      <c r="C65" s="1624" t="s">
        <v>368</v>
      </c>
      <c r="D65" s="1627">
        <v>0</v>
      </c>
      <c r="E65" s="1627" t="s">
        <v>559</v>
      </c>
      <c r="F65" s="1624" t="s">
        <v>186</v>
      </c>
      <c r="G65" s="1633">
        <v>0</v>
      </c>
      <c r="H65" s="1633">
        <v>0</v>
      </c>
      <c r="I65" s="1706">
        <v>0</v>
      </c>
      <c r="J65" s="1627">
        <v>0</v>
      </c>
      <c r="K65" s="1627"/>
      <c r="L65" s="1656" t="e">
        <v>#N/A</v>
      </c>
      <c r="M65" s="1656" t="e">
        <v>#N/A</v>
      </c>
      <c r="N65" s="1701" t="e">
        <v>#DIV/0!</v>
      </c>
      <c r="O65" s="1701" t="e">
        <v>#DIV/0!</v>
      </c>
      <c r="P65" s="1701" t="e">
        <v>#N/A</v>
      </c>
      <c r="Q65" s="1701" t="e">
        <v>#N/A</v>
      </c>
      <c r="R65" s="1701" t="e">
        <v>#N/A</v>
      </c>
      <c r="S65" s="1646">
        <v>0</v>
      </c>
      <c r="T65" s="1646">
        <v>0</v>
      </c>
      <c r="U65" s="1646">
        <v>0</v>
      </c>
      <c r="V65" s="1711" t="e">
        <v>#DIV/0!</v>
      </c>
      <c r="W65" s="1711" t="e">
        <v>#DIV/0!</v>
      </c>
      <c r="X65" s="1711" t="e">
        <v>#DIV/0!</v>
      </c>
    </row>
    <row r="66" spans="2:24">
      <c r="B66" s="1624"/>
      <c r="C66" s="1624" t="s">
        <v>369</v>
      </c>
      <c r="D66" s="1624">
        <v>0</v>
      </c>
      <c r="E66" s="1624" t="s">
        <v>559</v>
      </c>
      <c r="F66" s="1624" t="s">
        <v>186</v>
      </c>
      <c r="G66" s="1633">
        <v>0</v>
      </c>
      <c r="H66" s="1633">
        <v>0</v>
      </c>
      <c r="I66" s="1706">
        <v>0</v>
      </c>
      <c r="J66" s="1627">
        <v>0</v>
      </c>
      <c r="K66" s="1627"/>
      <c r="L66" s="1656" t="e">
        <v>#N/A</v>
      </c>
      <c r="M66" s="1656" t="e">
        <v>#N/A</v>
      </c>
      <c r="N66" s="1701" t="e">
        <v>#DIV/0!</v>
      </c>
      <c r="O66" s="1701" t="e">
        <v>#DIV/0!</v>
      </c>
      <c r="P66" s="1701" t="e">
        <v>#N/A</v>
      </c>
      <c r="Q66" s="1701" t="e">
        <v>#N/A</v>
      </c>
      <c r="R66" s="1701" t="e">
        <v>#N/A</v>
      </c>
      <c r="S66" s="1646">
        <v>0</v>
      </c>
      <c r="T66" s="1646">
        <v>0</v>
      </c>
      <c r="U66" s="1646">
        <v>0</v>
      </c>
      <c r="V66" s="1711" t="e">
        <v>#DIV/0!</v>
      </c>
      <c r="W66" s="1711" t="e">
        <v>#DIV/0!</v>
      </c>
      <c r="X66" s="1711" t="e">
        <v>#DIV/0!</v>
      </c>
    </row>
    <row r="67" spans="2:24">
      <c r="B67" s="1624"/>
      <c r="C67" s="1624" t="s">
        <v>370</v>
      </c>
      <c r="D67" s="1624">
        <v>0</v>
      </c>
      <c r="E67" s="1624" t="s">
        <v>559</v>
      </c>
      <c r="F67" s="1624" t="s">
        <v>186</v>
      </c>
      <c r="G67" s="1633">
        <v>0</v>
      </c>
      <c r="H67" s="1633">
        <v>0</v>
      </c>
      <c r="I67" s="1706">
        <v>0</v>
      </c>
      <c r="J67" s="1627">
        <v>0</v>
      </c>
      <c r="K67" s="1627"/>
      <c r="L67" s="1656" t="e">
        <v>#N/A</v>
      </c>
      <c r="M67" s="1656" t="e">
        <v>#N/A</v>
      </c>
      <c r="N67" s="1701" t="e">
        <v>#DIV/0!</v>
      </c>
      <c r="O67" s="1701" t="e">
        <v>#DIV/0!</v>
      </c>
      <c r="P67" s="1701" t="e">
        <v>#N/A</v>
      </c>
      <c r="Q67" s="1701" t="e">
        <v>#N/A</v>
      </c>
      <c r="R67" s="1701" t="e">
        <v>#N/A</v>
      </c>
      <c r="S67" s="1646">
        <v>0</v>
      </c>
      <c r="T67" s="1646">
        <v>0</v>
      </c>
      <c r="U67" s="1646">
        <v>0</v>
      </c>
      <c r="V67" s="1711" t="e">
        <v>#DIV/0!</v>
      </c>
      <c r="W67" s="1711" t="e">
        <v>#DIV/0!</v>
      </c>
      <c r="X67" s="1711" t="e">
        <v>#DIV/0!</v>
      </c>
    </row>
    <row r="68" spans="2:24">
      <c r="B68" s="1624"/>
      <c r="C68" s="1624" t="s">
        <v>188</v>
      </c>
      <c r="D68" s="1624">
        <v>0</v>
      </c>
      <c r="E68" s="1624" t="s">
        <v>559</v>
      </c>
      <c r="F68" s="1624" t="s">
        <v>186</v>
      </c>
      <c r="G68" s="1633">
        <v>0</v>
      </c>
      <c r="H68" s="1633">
        <v>0</v>
      </c>
      <c r="I68" s="1706">
        <v>0</v>
      </c>
      <c r="J68" s="1627">
        <v>0</v>
      </c>
      <c r="K68" s="1627"/>
      <c r="L68" s="1656" t="e">
        <v>#N/A</v>
      </c>
      <c r="M68" s="1656" t="e">
        <v>#N/A</v>
      </c>
      <c r="N68" s="1701" t="e">
        <v>#DIV/0!</v>
      </c>
      <c r="O68" s="1701" t="e">
        <v>#DIV/0!</v>
      </c>
      <c r="P68" s="1701" t="e">
        <v>#N/A</v>
      </c>
      <c r="Q68" s="1701" t="e">
        <v>#N/A</v>
      </c>
      <c r="R68" s="1701" t="e">
        <v>#N/A</v>
      </c>
      <c r="S68" s="1646">
        <v>0</v>
      </c>
      <c r="T68" s="1646">
        <v>0</v>
      </c>
      <c r="U68" s="1646">
        <v>0</v>
      </c>
      <c r="V68" s="1711" t="e">
        <v>#DIV/0!</v>
      </c>
      <c r="W68" s="1711" t="e">
        <v>#DIV/0!</v>
      </c>
      <c r="X68" s="1711" t="e">
        <v>#DIV/0!</v>
      </c>
    </row>
    <row r="69" spans="2:24">
      <c r="B69" s="1624"/>
      <c r="C69" s="1624" t="s">
        <v>189</v>
      </c>
      <c r="D69" s="1624">
        <v>0</v>
      </c>
      <c r="E69" s="1624" t="s">
        <v>559</v>
      </c>
      <c r="F69" s="1624" t="s">
        <v>186</v>
      </c>
      <c r="G69" s="1633">
        <v>0</v>
      </c>
      <c r="H69" s="1633">
        <v>0</v>
      </c>
      <c r="I69" s="1706">
        <v>0</v>
      </c>
      <c r="J69" s="1627">
        <v>0</v>
      </c>
      <c r="K69" s="1627"/>
      <c r="L69" s="1656" t="e">
        <v>#N/A</v>
      </c>
      <c r="M69" s="1656" t="e">
        <v>#N/A</v>
      </c>
      <c r="N69" s="1701" t="e">
        <v>#DIV/0!</v>
      </c>
      <c r="O69" s="1701" t="e">
        <v>#DIV/0!</v>
      </c>
      <c r="P69" s="1701" t="e">
        <v>#N/A</v>
      </c>
      <c r="Q69" s="1701" t="e">
        <v>#N/A</v>
      </c>
      <c r="R69" s="1701" t="e">
        <v>#N/A</v>
      </c>
      <c r="S69" s="1646">
        <v>0</v>
      </c>
      <c r="T69" s="1646">
        <v>0</v>
      </c>
      <c r="U69" s="1646">
        <v>0</v>
      </c>
      <c r="V69" s="1711" t="e">
        <v>#DIV/0!</v>
      </c>
      <c r="W69" s="1711" t="e">
        <v>#DIV/0!</v>
      </c>
      <c r="X69" s="1711" t="e">
        <v>#DIV/0!</v>
      </c>
    </row>
    <row r="70" spans="2:24">
      <c r="B70" s="1624"/>
      <c r="C70" s="1624" t="s">
        <v>190</v>
      </c>
      <c r="D70" s="1624">
        <v>0</v>
      </c>
      <c r="E70" s="1624" t="s">
        <v>559</v>
      </c>
      <c r="F70" s="1624" t="s">
        <v>186</v>
      </c>
      <c r="G70" s="1633">
        <v>0</v>
      </c>
      <c r="H70" s="1633">
        <v>0</v>
      </c>
      <c r="I70" s="1706">
        <v>0</v>
      </c>
      <c r="J70" s="1627">
        <v>0</v>
      </c>
      <c r="K70" s="1627"/>
      <c r="L70" s="1656" t="e">
        <v>#N/A</v>
      </c>
      <c r="M70" s="1656" t="e">
        <v>#N/A</v>
      </c>
      <c r="N70" s="1701" t="e">
        <v>#DIV/0!</v>
      </c>
      <c r="O70" s="1701" t="e">
        <v>#DIV/0!</v>
      </c>
      <c r="P70" s="1701" t="e">
        <v>#N/A</v>
      </c>
      <c r="Q70" s="1701" t="e">
        <v>#N/A</v>
      </c>
      <c r="R70" s="1701" t="e">
        <v>#N/A</v>
      </c>
      <c r="S70" s="1646">
        <v>0</v>
      </c>
      <c r="T70" s="1646">
        <v>0</v>
      </c>
      <c r="U70" s="1646">
        <v>0</v>
      </c>
      <c r="V70" s="1711" t="e">
        <v>#DIV/0!</v>
      </c>
      <c r="W70" s="1711" t="e">
        <v>#DIV/0!</v>
      </c>
      <c r="X70" s="1711" t="e">
        <v>#DIV/0!</v>
      </c>
    </row>
    <row r="71" spans="2:24">
      <c r="B71" s="1624"/>
      <c r="C71" s="1624" t="s">
        <v>191</v>
      </c>
      <c r="D71" s="1627">
        <v>0</v>
      </c>
      <c r="E71" s="1624" t="s">
        <v>559</v>
      </c>
      <c r="F71" s="1624" t="s">
        <v>186</v>
      </c>
      <c r="G71" s="1633"/>
      <c r="H71" s="1633"/>
      <c r="I71" s="1644">
        <v>0</v>
      </c>
      <c r="J71" s="1627">
        <v>0</v>
      </c>
      <c r="K71" s="1627"/>
      <c r="L71" s="1656" t="e">
        <v>#N/A</v>
      </c>
      <c r="M71" s="1656" t="e">
        <v>#N/A</v>
      </c>
      <c r="N71" s="1701" t="e">
        <v>#DIV/0!</v>
      </c>
      <c r="O71" s="1701" t="e">
        <v>#DIV/0!</v>
      </c>
      <c r="P71" s="1701" t="e">
        <v>#N/A</v>
      </c>
      <c r="Q71" s="1701" t="e">
        <v>#N/A</v>
      </c>
      <c r="R71" s="1701" t="e">
        <v>#N/A</v>
      </c>
      <c r="S71" s="1646">
        <v>0</v>
      </c>
      <c r="T71" s="1646">
        <v>0</v>
      </c>
      <c r="U71" s="1646">
        <v>0</v>
      </c>
      <c r="V71" s="1711" t="e">
        <v>#DIV/0!</v>
      </c>
      <c r="W71" s="1711" t="e">
        <v>#DIV/0!</v>
      </c>
      <c r="X71" s="1711" t="e">
        <v>#DIV/0!</v>
      </c>
    </row>
    <row r="72" spans="2:24">
      <c r="B72" s="1624"/>
      <c r="C72" s="1624" t="s">
        <v>192</v>
      </c>
      <c r="D72" s="1624">
        <v>0</v>
      </c>
      <c r="E72" s="1624" t="s">
        <v>559</v>
      </c>
      <c r="F72" s="1624" t="s">
        <v>186</v>
      </c>
      <c r="G72" s="1633"/>
      <c r="H72" s="1633"/>
      <c r="I72" s="1644">
        <v>0</v>
      </c>
      <c r="J72" s="1627"/>
      <c r="K72" s="1627"/>
      <c r="L72" s="1656" t="e">
        <v>#N/A</v>
      </c>
      <c r="M72" s="1656" t="e">
        <v>#N/A</v>
      </c>
      <c r="N72" s="1701" t="e">
        <v>#DIV/0!</v>
      </c>
      <c r="O72" s="1701" t="e">
        <v>#DIV/0!</v>
      </c>
      <c r="P72" s="1701" t="e">
        <v>#N/A</v>
      </c>
      <c r="Q72" s="1701" t="e">
        <v>#N/A</v>
      </c>
      <c r="R72" s="1701" t="e">
        <v>#N/A</v>
      </c>
      <c r="S72" s="1646">
        <v>0</v>
      </c>
      <c r="T72" s="1646">
        <v>0</v>
      </c>
      <c r="U72" s="1646">
        <v>0</v>
      </c>
      <c r="V72" s="1711" t="e">
        <v>#DIV/0!</v>
      </c>
      <c r="W72" s="1711" t="e">
        <v>#DIV/0!</v>
      </c>
      <c r="X72" s="1711" t="e">
        <v>#DIV/0!</v>
      </c>
    </row>
    <row r="73" spans="2:24">
      <c r="B73" s="1624"/>
      <c r="C73" s="1624" t="s">
        <v>193</v>
      </c>
      <c r="D73" s="1627">
        <v>0</v>
      </c>
      <c r="E73" s="1624" t="s">
        <v>559</v>
      </c>
      <c r="F73" s="1624" t="s">
        <v>186</v>
      </c>
      <c r="G73" s="1633"/>
      <c r="H73" s="1633"/>
      <c r="I73" s="1644">
        <v>0</v>
      </c>
      <c r="J73" s="1627"/>
      <c r="K73" s="1627"/>
      <c r="L73" s="1656" t="e">
        <v>#N/A</v>
      </c>
      <c r="M73" s="1656" t="e">
        <v>#N/A</v>
      </c>
      <c r="N73" s="1701" t="e">
        <v>#DIV/0!</v>
      </c>
      <c r="O73" s="1701" t="e">
        <v>#DIV/0!</v>
      </c>
      <c r="P73" s="1701" t="e">
        <v>#N/A</v>
      </c>
      <c r="Q73" s="1701" t="e">
        <v>#N/A</v>
      </c>
      <c r="R73" s="1701" t="e">
        <v>#N/A</v>
      </c>
      <c r="S73" s="1646">
        <v>0</v>
      </c>
      <c r="T73" s="1646">
        <v>0</v>
      </c>
      <c r="U73" s="1646">
        <v>0</v>
      </c>
      <c r="V73" s="1711" t="e">
        <v>#DIV/0!</v>
      </c>
      <c r="W73" s="1711" t="e">
        <v>#DIV/0!</v>
      </c>
      <c r="X73" s="1711" t="e">
        <v>#DIV/0!</v>
      </c>
    </row>
    <row r="74" spans="2:24">
      <c r="B74" s="1624"/>
      <c r="C74" s="1624" t="s">
        <v>194</v>
      </c>
      <c r="D74" s="1624">
        <v>0</v>
      </c>
      <c r="E74" s="1624" t="s">
        <v>559</v>
      </c>
      <c r="F74" s="1624" t="s">
        <v>186</v>
      </c>
      <c r="G74" s="1633"/>
      <c r="H74" s="1633"/>
      <c r="I74" s="1644">
        <v>0</v>
      </c>
      <c r="J74" s="1627"/>
      <c r="K74" s="1627"/>
      <c r="L74" s="1656" t="e">
        <v>#N/A</v>
      </c>
      <c r="M74" s="1656" t="e">
        <v>#N/A</v>
      </c>
      <c r="N74" s="1701" t="e">
        <v>#DIV/0!</v>
      </c>
      <c r="O74" s="1701" t="e">
        <v>#DIV/0!</v>
      </c>
      <c r="P74" s="1701" t="e">
        <v>#N/A</v>
      </c>
      <c r="Q74" s="1701" t="e">
        <v>#N/A</v>
      </c>
      <c r="R74" s="1701" t="e">
        <v>#N/A</v>
      </c>
      <c r="S74" s="1646">
        <v>0</v>
      </c>
      <c r="T74" s="1646">
        <v>0</v>
      </c>
      <c r="U74" s="1646">
        <v>0</v>
      </c>
      <c r="V74" s="1711" t="e">
        <v>#DIV/0!</v>
      </c>
      <c r="W74" s="1711" t="e">
        <v>#DIV/0!</v>
      </c>
      <c r="X74" s="1711" t="e">
        <v>#DIV/0!</v>
      </c>
    </row>
    <row r="75" spans="2:24">
      <c r="B75" s="1624"/>
      <c r="C75" s="1624" t="s">
        <v>195</v>
      </c>
      <c r="D75" s="1627">
        <v>0</v>
      </c>
      <c r="E75" s="1624" t="s">
        <v>559</v>
      </c>
      <c r="F75" s="1624" t="s">
        <v>186</v>
      </c>
      <c r="G75" s="1633"/>
      <c r="H75" s="1633"/>
      <c r="I75" s="1644">
        <v>0</v>
      </c>
      <c r="J75" s="1627"/>
      <c r="K75" s="1627"/>
      <c r="L75" s="1656" t="e">
        <v>#N/A</v>
      </c>
      <c r="M75" s="1656" t="e">
        <v>#N/A</v>
      </c>
      <c r="N75" s="1701" t="e">
        <v>#DIV/0!</v>
      </c>
      <c r="O75" s="1701" t="e">
        <v>#DIV/0!</v>
      </c>
      <c r="P75" s="1701" t="e">
        <v>#N/A</v>
      </c>
      <c r="Q75" s="1701" t="e">
        <v>#N/A</v>
      </c>
      <c r="R75" s="1701" t="e">
        <v>#N/A</v>
      </c>
      <c r="S75" s="1646">
        <v>0</v>
      </c>
      <c r="T75" s="1646">
        <v>0</v>
      </c>
      <c r="U75" s="1646">
        <v>0</v>
      </c>
      <c r="V75" s="1711" t="e">
        <v>#DIV/0!</v>
      </c>
      <c r="W75" s="1711" t="e">
        <v>#DIV/0!</v>
      </c>
      <c r="X75" s="1711" t="e">
        <v>#DIV/0!</v>
      </c>
    </row>
    <row r="76" spans="2:24">
      <c r="B76" s="1624"/>
      <c r="C76" s="1624" t="s">
        <v>196</v>
      </c>
      <c r="D76" s="1624">
        <v>0</v>
      </c>
      <c r="E76" s="1624" t="s">
        <v>559</v>
      </c>
      <c r="F76" s="1624" t="s">
        <v>186</v>
      </c>
      <c r="G76" s="1633"/>
      <c r="H76" s="1633"/>
      <c r="I76" s="1644">
        <v>0</v>
      </c>
      <c r="J76" s="1627"/>
      <c r="K76" s="1627"/>
      <c r="L76" s="1656" t="e">
        <v>#N/A</v>
      </c>
      <c r="M76" s="1656" t="e">
        <v>#N/A</v>
      </c>
      <c r="N76" s="1701" t="e">
        <v>#DIV/0!</v>
      </c>
      <c r="O76" s="1701" t="e">
        <v>#DIV/0!</v>
      </c>
      <c r="P76" s="1701" t="e">
        <v>#N/A</v>
      </c>
      <c r="Q76" s="1701" t="e">
        <v>#N/A</v>
      </c>
      <c r="R76" s="1701" t="e">
        <v>#N/A</v>
      </c>
      <c r="S76" s="1646">
        <v>0</v>
      </c>
      <c r="T76" s="1646">
        <v>0</v>
      </c>
      <c r="U76" s="1646">
        <v>0</v>
      </c>
      <c r="V76" s="1711" t="e">
        <v>#DIV/0!</v>
      </c>
      <c r="W76" s="1711" t="e">
        <v>#DIV/0!</v>
      </c>
      <c r="X76" s="1711" t="e">
        <v>#DIV/0!</v>
      </c>
    </row>
    <row r="77" spans="2:24">
      <c r="B77" s="1624"/>
      <c r="C77" s="1624" t="s">
        <v>197</v>
      </c>
      <c r="D77" s="1627">
        <v>0</v>
      </c>
      <c r="E77" s="1624" t="s">
        <v>559</v>
      </c>
      <c r="F77" s="1624" t="s">
        <v>186</v>
      </c>
      <c r="G77" s="1633"/>
      <c r="H77" s="1633"/>
      <c r="I77" s="1644">
        <v>0</v>
      </c>
      <c r="J77" s="1627"/>
      <c r="K77" s="1627"/>
      <c r="L77" s="1656" t="e">
        <v>#N/A</v>
      </c>
      <c r="M77" s="1656" t="e">
        <v>#N/A</v>
      </c>
      <c r="N77" s="1701" t="e">
        <v>#DIV/0!</v>
      </c>
      <c r="O77" s="1701" t="e">
        <v>#DIV/0!</v>
      </c>
      <c r="P77" s="1701" t="e">
        <v>#N/A</v>
      </c>
      <c r="Q77" s="1701" t="e">
        <v>#N/A</v>
      </c>
      <c r="R77" s="1701" t="e">
        <v>#N/A</v>
      </c>
      <c r="S77" s="1646">
        <v>0</v>
      </c>
      <c r="T77" s="1646">
        <v>0</v>
      </c>
      <c r="U77" s="1646">
        <v>0</v>
      </c>
      <c r="V77" s="1711" t="e">
        <v>#DIV/0!</v>
      </c>
      <c r="W77" s="1711" t="e">
        <v>#DIV/0!</v>
      </c>
      <c r="X77" s="1711" t="e">
        <v>#DIV/0!</v>
      </c>
    </row>
    <row r="78" spans="2:24">
      <c r="B78" s="1624"/>
      <c r="C78" s="1624" t="s">
        <v>198</v>
      </c>
      <c r="D78" s="1624">
        <v>0</v>
      </c>
      <c r="E78" s="1624" t="s">
        <v>559</v>
      </c>
      <c r="F78" s="1624" t="s">
        <v>186</v>
      </c>
      <c r="G78" s="1633"/>
      <c r="H78" s="1633"/>
      <c r="I78" s="1644">
        <v>0</v>
      </c>
      <c r="J78" s="1627"/>
      <c r="K78" s="1627"/>
      <c r="L78" s="1656" t="e">
        <v>#N/A</v>
      </c>
      <c r="M78" s="1656" t="e">
        <v>#N/A</v>
      </c>
      <c r="N78" s="1701" t="e">
        <v>#DIV/0!</v>
      </c>
      <c r="O78" s="1701" t="e">
        <v>#DIV/0!</v>
      </c>
      <c r="P78" s="1701" t="e">
        <v>#N/A</v>
      </c>
      <c r="Q78" s="1701" t="e">
        <v>#N/A</v>
      </c>
      <c r="R78" s="1701" t="e">
        <v>#N/A</v>
      </c>
      <c r="S78" s="1646">
        <v>0</v>
      </c>
      <c r="T78" s="1646">
        <v>0</v>
      </c>
      <c r="U78" s="1646">
        <v>0</v>
      </c>
      <c r="V78" s="1711" t="e">
        <v>#DIV/0!</v>
      </c>
      <c r="W78" s="1711" t="e">
        <v>#DIV/0!</v>
      </c>
      <c r="X78" s="1711" t="e">
        <v>#DIV/0!</v>
      </c>
    </row>
    <row r="79" spans="2:24">
      <c r="B79" s="1624"/>
      <c r="C79" s="1624" t="s">
        <v>199</v>
      </c>
      <c r="D79" s="1627">
        <v>0</v>
      </c>
      <c r="E79" s="1624" t="s">
        <v>559</v>
      </c>
      <c r="F79" s="1624" t="s">
        <v>186</v>
      </c>
      <c r="G79" s="1633"/>
      <c r="H79" s="1633"/>
      <c r="I79" s="1644">
        <v>0</v>
      </c>
      <c r="J79" s="1627"/>
      <c r="K79" s="1627"/>
      <c r="L79" s="1656" t="e">
        <v>#N/A</v>
      </c>
      <c r="M79" s="1656" t="e">
        <v>#N/A</v>
      </c>
      <c r="N79" s="1701" t="e">
        <v>#DIV/0!</v>
      </c>
      <c r="O79" s="1701" t="e">
        <v>#DIV/0!</v>
      </c>
      <c r="P79" s="1701" t="e">
        <v>#N/A</v>
      </c>
      <c r="Q79" s="1701" t="e">
        <v>#N/A</v>
      </c>
      <c r="R79" s="1701" t="e">
        <v>#N/A</v>
      </c>
      <c r="S79" s="1646">
        <v>0</v>
      </c>
      <c r="T79" s="1646">
        <v>0</v>
      </c>
      <c r="U79" s="1646">
        <v>0</v>
      </c>
      <c r="V79" s="1711" t="e">
        <v>#DIV/0!</v>
      </c>
      <c r="W79" s="1711" t="e">
        <v>#DIV/0!</v>
      </c>
      <c r="X79" s="1711" t="e">
        <v>#DIV/0!</v>
      </c>
    </row>
    <row r="80" spans="2:24">
      <c r="B80" s="1624"/>
      <c r="C80" s="1624" t="s">
        <v>200</v>
      </c>
      <c r="D80" s="1624">
        <v>0</v>
      </c>
      <c r="E80" s="1624" t="s">
        <v>559</v>
      </c>
      <c r="F80" s="1624" t="s">
        <v>186</v>
      </c>
      <c r="G80" s="1633"/>
      <c r="H80" s="1633"/>
      <c r="I80" s="1644">
        <v>0</v>
      </c>
      <c r="J80" s="1627"/>
      <c r="K80" s="1627"/>
      <c r="L80" s="1656" t="e">
        <v>#N/A</v>
      </c>
      <c r="M80" s="1656" t="e">
        <v>#N/A</v>
      </c>
      <c r="N80" s="1701" t="e">
        <v>#DIV/0!</v>
      </c>
      <c r="O80" s="1701" t="e">
        <v>#DIV/0!</v>
      </c>
      <c r="P80" s="1701" t="e">
        <v>#N/A</v>
      </c>
      <c r="Q80" s="1701" t="e">
        <v>#N/A</v>
      </c>
      <c r="R80" s="1701" t="e">
        <v>#N/A</v>
      </c>
      <c r="S80" s="1646">
        <v>0</v>
      </c>
      <c r="T80" s="1646">
        <v>0</v>
      </c>
      <c r="U80" s="1646">
        <v>0</v>
      </c>
      <c r="V80" s="1711" t="e">
        <v>#DIV/0!</v>
      </c>
      <c r="W80" s="1711" t="e">
        <v>#DIV/0!</v>
      </c>
      <c r="X80" s="1711" t="e">
        <v>#DIV/0!</v>
      </c>
    </row>
    <row r="81" spans="2:24">
      <c r="B81" s="1624"/>
      <c r="C81" s="1624" t="s">
        <v>201</v>
      </c>
      <c r="D81" s="1627">
        <v>0</v>
      </c>
      <c r="E81" s="1624" t="s">
        <v>559</v>
      </c>
      <c r="F81" s="1624" t="s">
        <v>186</v>
      </c>
      <c r="G81" s="1633"/>
      <c r="H81" s="1633"/>
      <c r="I81" s="1644">
        <v>0</v>
      </c>
      <c r="J81" s="1627"/>
      <c r="K81" s="1627"/>
      <c r="L81" s="1656" t="e">
        <v>#REF!</v>
      </c>
      <c r="M81" s="1656" t="e">
        <v>#REF!</v>
      </c>
      <c r="N81" s="1701" t="e">
        <v>#DIV/0!</v>
      </c>
      <c r="O81" s="1701" t="e">
        <v>#DIV/0!</v>
      </c>
      <c r="P81" s="1701" t="e">
        <v>#REF!</v>
      </c>
      <c r="Q81" s="1701" t="e">
        <v>#REF!</v>
      </c>
      <c r="R81" s="1701" t="e">
        <v>#N/A</v>
      </c>
      <c r="S81" s="1646">
        <v>0</v>
      </c>
      <c r="T81" s="1646">
        <v>0</v>
      </c>
      <c r="U81" s="1646">
        <v>0</v>
      </c>
      <c r="V81" s="1711" t="e">
        <v>#DIV/0!</v>
      </c>
      <c r="W81" s="1711" t="e">
        <v>#DIV/0!</v>
      </c>
      <c r="X81" s="1711" t="e">
        <v>#DIV/0!</v>
      </c>
    </row>
    <row r="82" spans="2:24">
      <c r="B82" s="1624"/>
      <c r="C82" s="1624" t="s">
        <v>202</v>
      </c>
      <c r="D82" s="1624">
        <v>0</v>
      </c>
      <c r="E82" s="1624" t="s">
        <v>559</v>
      </c>
      <c r="F82" s="1624" t="s">
        <v>186</v>
      </c>
      <c r="G82" s="1633"/>
      <c r="H82" s="1633"/>
      <c r="I82" s="1644">
        <v>0</v>
      </c>
      <c r="J82" s="1627"/>
      <c r="K82" s="1627"/>
      <c r="L82" s="1656" t="e">
        <v>#REF!</v>
      </c>
      <c r="M82" s="1656" t="e">
        <v>#REF!</v>
      </c>
      <c r="N82" s="1701" t="e">
        <v>#DIV/0!</v>
      </c>
      <c r="O82" s="1701" t="e">
        <v>#DIV/0!</v>
      </c>
      <c r="P82" s="1701" t="e">
        <v>#REF!</v>
      </c>
      <c r="Q82" s="1701" t="e">
        <v>#REF!</v>
      </c>
      <c r="R82" s="1701" t="e">
        <v>#N/A</v>
      </c>
      <c r="S82" s="1646">
        <v>0</v>
      </c>
      <c r="T82" s="1646">
        <v>0</v>
      </c>
      <c r="U82" s="1646">
        <v>0</v>
      </c>
      <c r="V82" s="1711" t="e">
        <v>#DIV/0!</v>
      </c>
      <c r="W82" s="1711" t="e">
        <v>#DIV/0!</v>
      </c>
      <c r="X82" s="1711" t="e">
        <v>#DIV/0!</v>
      </c>
    </row>
    <row r="83" spans="2:24">
      <c r="B83" s="1624"/>
      <c r="C83" s="1624" t="s">
        <v>203</v>
      </c>
      <c r="D83" s="1624">
        <v>0</v>
      </c>
      <c r="E83" s="1624" t="s">
        <v>559</v>
      </c>
      <c r="F83" s="1624" t="s">
        <v>186</v>
      </c>
      <c r="G83" s="1633"/>
      <c r="H83" s="1633"/>
      <c r="I83" s="1644">
        <v>0</v>
      </c>
      <c r="J83" s="1627"/>
      <c r="K83" s="1627"/>
      <c r="L83" s="1656" t="e">
        <v>#REF!</v>
      </c>
      <c r="M83" s="1656" t="e">
        <v>#REF!</v>
      </c>
      <c r="N83" s="1701" t="e">
        <v>#DIV/0!</v>
      </c>
      <c r="O83" s="1701" t="e">
        <v>#DIV/0!</v>
      </c>
      <c r="P83" s="1701" t="e">
        <v>#REF!</v>
      </c>
      <c r="Q83" s="1701" t="e">
        <v>#REF!</v>
      </c>
      <c r="R83" s="1701" t="e">
        <v>#N/A</v>
      </c>
      <c r="S83" s="1646">
        <v>0</v>
      </c>
      <c r="T83" s="1646">
        <v>0</v>
      </c>
      <c r="U83" s="1646">
        <v>0</v>
      </c>
      <c r="V83" s="1711" t="e">
        <v>#DIV/0!</v>
      </c>
      <c r="W83" s="1711" t="e">
        <v>#DIV/0!</v>
      </c>
      <c r="X83" s="1711" t="e">
        <v>#DIV/0!</v>
      </c>
    </row>
    <row r="84" spans="2:24">
      <c r="B84" s="1624"/>
      <c r="C84" s="1624" t="s">
        <v>204</v>
      </c>
      <c r="D84" s="1624">
        <v>0</v>
      </c>
      <c r="E84" s="1624" t="s">
        <v>559</v>
      </c>
      <c r="F84" s="1624" t="s">
        <v>186</v>
      </c>
      <c r="G84" s="1633"/>
      <c r="H84" s="1633"/>
      <c r="I84" s="1644">
        <v>0</v>
      </c>
      <c r="J84" s="1627"/>
      <c r="K84" s="1627"/>
      <c r="L84" s="1656" t="e">
        <v>#REF!</v>
      </c>
      <c r="M84" s="1656" t="e">
        <v>#REF!</v>
      </c>
      <c r="N84" s="1701" t="e">
        <v>#DIV/0!</v>
      </c>
      <c r="O84" s="1701" t="e">
        <v>#DIV/0!</v>
      </c>
      <c r="P84" s="1701" t="e">
        <v>#REF!</v>
      </c>
      <c r="Q84" s="1701" t="e">
        <v>#REF!</v>
      </c>
      <c r="R84" s="1701" t="e">
        <v>#N/A</v>
      </c>
      <c r="S84" s="1646">
        <v>0</v>
      </c>
      <c r="T84" s="1646">
        <v>0</v>
      </c>
      <c r="U84" s="1646">
        <v>0</v>
      </c>
    </row>
    <row r="85" spans="2:24">
      <c r="B85" s="1624"/>
      <c r="C85" s="1624" t="s">
        <v>205</v>
      </c>
      <c r="D85" s="1674">
        <v>0</v>
      </c>
      <c r="E85" s="1624" t="s">
        <v>559</v>
      </c>
      <c r="F85" s="1624" t="s">
        <v>186</v>
      </c>
      <c r="G85" s="1633"/>
      <c r="H85" s="1633"/>
      <c r="I85" s="1644">
        <v>0</v>
      </c>
      <c r="J85" s="1627"/>
      <c r="K85" s="1627"/>
      <c r="L85" s="1656" t="e">
        <v>#REF!</v>
      </c>
      <c r="M85" s="1656" t="e">
        <v>#REF!</v>
      </c>
      <c r="N85" s="1701" t="e">
        <v>#DIV/0!</v>
      </c>
      <c r="O85" s="1701" t="e">
        <v>#DIV/0!</v>
      </c>
      <c r="P85" s="1701" t="e">
        <v>#REF!</v>
      </c>
      <c r="Q85" s="1701" t="e">
        <v>#REF!</v>
      </c>
      <c r="R85" s="1701" t="e">
        <v>#N/A</v>
      </c>
      <c r="S85" s="1646">
        <v>0</v>
      </c>
      <c r="T85" s="1646">
        <v>0</v>
      </c>
      <c r="U85" s="1646">
        <v>0</v>
      </c>
    </row>
    <row r="86" spans="2:24">
      <c r="B86" s="1624"/>
      <c r="C86" s="1624" t="s">
        <v>206</v>
      </c>
      <c r="D86" s="1674">
        <v>0</v>
      </c>
      <c r="E86" s="1624" t="s">
        <v>559</v>
      </c>
      <c r="F86" s="1624" t="s">
        <v>186</v>
      </c>
      <c r="G86" s="1633"/>
      <c r="H86" s="1633"/>
      <c r="I86" s="1644">
        <v>0</v>
      </c>
      <c r="J86" s="1627"/>
      <c r="K86" s="1627"/>
      <c r="L86" s="1656" t="e">
        <v>#REF!</v>
      </c>
      <c r="M86" s="1656" t="e">
        <v>#REF!</v>
      </c>
      <c r="N86" s="1701" t="e">
        <v>#DIV/0!</v>
      </c>
      <c r="O86" s="1701" t="e">
        <v>#DIV/0!</v>
      </c>
      <c r="P86" s="1701" t="e">
        <v>#REF!</v>
      </c>
      <c r="Q86" s="1701" t="e">
        <v>#REF!</v>
      </c>
      <c r="R86" s="1701" t="e">
        <v>#N/A</v>
      </c>
      <c r="S86" s="1646">
        <v>0</v>
      </c>
      <c r="T86" s="1646">
        <v>0</v>
      </c>
      <c r="U86" s="1646">
        <v>0</v>
      </c>
    </row>
    <row r="87" spans="2:24">
      <c r="B87" s="1624"/>
      <c r="C87" s="1624" t="s">
        <v>207</v>
      </c>
      <c r="D87" s="1674">
        <v>0</v>
      </c>
      <c r="E87" s="1624" t="s">
        <v>559</v>
      </c>
      <c r="F87" s="1624" t="s">
        <v>186</v>
      </c>
      <c r="G87" s="1633"/>
      <c r="H87" s="1633"/>
      <c r="I87" s="1644">
        <v>0</v>
      </c>
      <c r="J87" s="1627"/>
      <c r="K87" s="1627"/>
      <c r="L87" s="1656" t="e">
        <v>#REF!</v>
      </c>
      <c r="M87" s="1656" t="e">
        <v>#REF!</v>
      </c>
      <c r="N87" s="1701" t="e">
        <v>#DIV/0!</v>
      </c>
      <c r="O87" s="1701" t="e">
        <v>#DIV/0!</v>
      </c>
      <c r="P87" s="1701" t="e">
        <v>#REF!</v>
      </c>
      <c r="Q87" s="1701" t="e">
        <v>#REF!</v>
      </c>
      <c r="R87" s="1701" t="e">
        <v>#N/A</v>
      </c>
      <c r="S87" s="1646">
        <v>0</v>
      </c>
      <c r="T87" s="1646">
        <v>0</v>
      </c>
      <c r="U87" s="1646">
        <v>0</v>
      </c>
    </row>
    <row r="88" spans="2:24">
      <c r="B88" s="1624"/>
      <c r="C88" s="1624" t="s">
        <v>208</v>
      </c>
      <c r="D88" s="1674">
        <v>0</v>
      </c>
      <c r="E88" s="1624" t="s">
        <v>559</v>
      </c>
      <c r="F88" s="1624" t="s">
        <v>186</v>
      </c>
      <c r="G88" s="1633"/>
      <c r="H88" s="1633"/>
      <c r="I88" s="1644">
        <v>0</v>
      </c>
      <c r="J88" s="1627"/>
      <c r="K88" s="1627"/>
      <c r="L88" s="1656" t="e">
        <v>#REF!</v>
      </c>
      <c r="M88" s="1656" t="e">
        <v>#REF!</v>
      </c>
      <c r="N88" s="1701" t="e">
        <v>#DIV/0!</v>
      </c>
      <c r="O88" s="1701" t="e">
        <v>#DIV/0!</v>
      </c>
      <c r="P88" s="1701" t="e">
        <v>#REF!</v>
      </c>
      <c r="Q88" s="1701" t="e">
        <v>#REF!</v>
      </c>
      <c r="R88" s="1701" t="e">
        <v>#N/A</v>
      </c>
      <c r="S88" s="1646">
        <v>0</v>
      </c>
      <c r="T88" s="1646">
        <v>0</v>
      </c>
      <c r="U88" s="1646">
        <v>0</v>
      </c>
    </row>
    <row r="89" spans="2:24">
      <c r="B89" s="1624"/>
      <c r="C89" s="1624" t="s">
        <v>209</v>
      </c>
      <c r="D89" s="1674">
        <v>0</v>
      </c>
      <c r="E89" s="1624" t="s">
        <v>559</v>
      </c>
      <c r="F89" s="1624" t="s">
        <v>186</v>
      </c>
      <c r="G89" s="1633"/>
      <c r="H89" s="1633"/>
      <c r="I89" s="1644">
        <v>0</v>
      </c>
      <c r="J89" s="1627"/>
      <c r="K89" s="1627"/>
      <c r="L89" s="1656" t="e">
        <v>#REF!</v>
      </c>
      <c r="M89" s="1656" t="e">
        <v>#REF!</v>
      </c>
      <c r="N89" s="1701" t="e">
        <v>#DIV/0!</v>
      </c>
      <c r="O89" s="1701" t="e">
        <v>#DIV/0!</v>
      </c>
      <c r="P89" s="1701" t="e">
        <v>#REF!</v>
      </c>
      <c r="Q89" s="1701" t="e">
        <v>#REF!</v>
      </c>
      <c r="R89" s="1701" t="e">
        <v>#N/A</v>
      </c>
      <c r="S89" s="1646">
        <v>0</v>
      </c>
      <c r="T89" s="1646">
        <v>0</v>
      </c>
      <c r="U89" s="1646">
        <v>0</v>
      </c>
    </row>
    <row r="90" spans="2:24">
      <c r="B90" s="1624"/>
      <c r="C90" s="1624" t="s">
        <v>210</v>
      </c>
      <c r="D90" s="1674">
        <v>0</v>
      </c>
      <c r="E90" s="1624" t="s">
        <v>559</v>
      </c>
      <c r="F90" s="1624" t="s">
        <v>186</v>
      </c>
      <c r="G90" s="1633"/>
      <c r="H90" s="1633"/>
      <c r="I90" s="1644">
        <v>0</v>
      </c>
      <c r="J90" s="1627"/>
      <c r="K90" s="1627"/>
      <c r="L90" s="1656" t="e">
        <v>#REF!</v>
      </c>
      <c r="M90" s="1656" t="e">
        <v>#REF!</v>
      </c>
      <c r="N90" s="1701" t="e">
        <v>#DIV/0!</v>
      </c>
      <c r="O90" s="1701" t="e">
        <v>#DIV/0!</v>
      </c>
      <c r="P90" s="1701" t="e">
        <v>#REF!</v>
      </c>
      <c r="Q90" s="1701" t="e">
        <v>#REF!</v>
      </c>
      <c r="R90" s="1701" t="e">
        <v>#N/A</v>
      </c>
      <c r="S90" s="1646">
        <v>0</v>
      </c>
      <c r="T90" s="1646">
        <v>0</v>
      </c>
      <c r="U90" s="1646">
        <v>0</v>
      </c>
    </row>
    <row r="91" spans="2:24">
      <c r="B91" s="1624"/>
      <c r="C91" s="1624" t="s">
        <v>211</v>
      </c>
      <c r="D91" s="1674">
        <v>0</v>
      </c>
      <c r="E91" s="1624" t="s">
        <v>559</v>
      </c>
      <c r="F91" s="1624" t="s">
        <v>186</v>
      </c>
      <c r="G91" s="1633"/>
      <c r="H91" s="1633"/>
      <c r="I91" s="1644">
        <v>0</v>
      </c>
      <c r="J91" s="1627"/>
      <c r="K91" s="1627"/>
      <c r="L91" s="1656" t="e">
        <v>#REF!</v>
      </c>
      <c r="M91" s="1656" t="e">
        <v>#REF!</v>
      </c>
      <c r="N91" s="1701" t="e">
        <v>#DIV/0!</v>
      </c>
      <c r="O91" s="1701" t="e">
        <v>#DIV/0!</v>
      </c>
      <c r="P91" s="1701" t="e">
        <v>#REF!</v>
      </c>
      <c r="Q91" s="1701" t="e">
        <v>#REF!</v>
      </c>
      <c r="R91" s="1701" t="e">
        <v>#N/A</v>
      </c>
      <c r="S91" s="1646">
        <v>0</v>
      </c>
      <c r="T91" s="1646">
        <v>0</v>
      </c>
      <c r="U91" s="1646">
        <v>0</v>
      </c>
    </row>
    <row r="92" spans="2:24">
      <c r="B92" s="1624"/>
      <c r="C92" s="1624" t="s">
        <v>212</v>
      </c>
      <c r="D92" s="1674">
        <v>0</v>
      </c>
      <c r="E92" s="1624" t="s">
        <v>559</v>
      </c>
      <c r="F92" s="1624" t="s">
        <v>186</v>
      </c>
      <c r="G92" s="1633"/>
      <c r="H92" s="1633"/>
      <c r="I92" s="1644">
        <v>0</v>
      </c>
      <c r="J92" s="1627"/>
      <c r="K92" s="1627"/>
      <c r="L92" s="1656" t="e">
        <v>#REF!</v>
      </c>
      <c r="M92" s="1656" t="e">
        <v>#REF!</v>
      </c>
      <c r="N92" s="1701" t="e">
        <v>#DIV/0!</v>
      </c>
      <c r="O92" s="1701" t="e">
        <v>#DIV/0!</v>
      </c>
      <c r="P92" s="1701" t="e">
        <v>#REF!</v>
      </c>
      <c r="Q92" s="1701" t="e">
        <v>#REF!</v>
      </c>
      <c r="R92" s="1701" t="e">
        <v>#N/A</v>
      </c>
      <c r="S92" s="1646">
        <v>0</v>
      </c>
      <c r="T92" s="1646">
        <v>0</v>
      </c>
      <c r="U92" s="1646">
        <v>0</v>
      </c>
    </row>
    <row r="93" spans="2:24">
      <c r="B93" s="1624"/>
      <c r="C93" s="1624" t="s">
        <v>213</v>
      </c>
      <c r="D93" s="1674">
        <v>0</v>
      </c>
      <c r="E93" s="1624" t="s">
        <v>559</v>
      </c>
      <c r="F93" s="1624" t="s">
        <v>186</v>
      </c>
      <c r="G93" s="1633"/>
      <c r="H93" s="1633"/>
      <c r="I93" s="1644">
        <v>0</v>
      </c>
      <c r="J93" s="1627"/>
      <c r="K93" s="1627"/>
      <c r="L93" s="1656" t="e">
        <v>#REF!</v>
      </c>
      <c r="M93" s="1656" t="e">
        <v>#REF!</v>
      </c>
      <c r="N93" s="1701" t="e">
        <v>#DIV/0!</v>
      </c>
      <c r="O93" s="1701" t="e">
        <v>#DIV/0!</v>
      </c>
      <c r="P93" s="1701" t="e">
        <v>#REF!</v>
      </c>
      <c r="Q93" s="1701" t="e">
        <v>#REF!</v>
      </c>
      <c r="R93" s="1701" t="e">
        <v>#N/A</v>
      </c>
      <c r="S93" s="1646">
        <v>0</v>
      </c>
      <c r="T93" s="1646">
        <v>0</v>
      </c>
      <c r="U93" s="1646">
        <v>0</v>
      </c>
    </row>
    <row r="94" spans="2:24">
      <c r="B94" s="1624"/>
      <c r="C94" s="1624" t="s">
        <v>214</v>
      </c>
      <c r="D94" s="1674">
        <v>0</v>
      </c>
      <c r="E94" s="1624" t="s">
        <v>559</v>
      </c>
      <c r="F94" s="1624" t="s">
        <v>186</v>
      </c>
      <c r="G94" s="1633"/>
      <c r="H94" s="1633"/>
      <c r="I94" s="1644">
        <v>0</v>
      </c>
      <c r="J94" s="1627"/>
      <c r="K94" s="1627"/>
      <c r="L94" s="1656" t="e">
        <v>#REF!</v>
      </c>
      <c r="M94" s="1656" t="e">
        <v>#REF!</v>
      </c>
      <c r="N94" s="1701" t="e">
        <v>#DIV/0!</v>
      </c>
      <c r="O94" s="1701" t="e">
        <v>#DIV/0!</v>
      </c>
      <c r="P94" s="1701" t="e">
        <v>#REF!</v>
      </c>
      <c r="Q94" s="1701" t="e">
        <v>#REF!</v>
      </c>
      <c r="R94" s="1701" t="e">
        <v>#N/A</v>
      </c>
      <c r="S94" s="1646">
        <v>0</v>
      </c>
      <c r="T94" s="1646">
        <v>0</v>
      </c>
      <c r="U94" s="1646">
        <v>0</v>
      </c>
    </row>
    <row r="95" spans="2:24">
      <c r="B95" s="1624"/>
      <c r="C95" s="1624" t="s">
        <v>215</v>
      </c>
      <c r="D95" s="1674">
        <v>0</v>
      </c>
      <c r="E95" s="1624" t="s">
        <v>559</v>
      </c>
      <c r="F95" s="1624" t="s">
        <v>186</v>
      </c>
      <c r="G95" s="1633"/>
      <c r="H95" s="1633"/>
      <c r="I95" s="1644">
        <v>0</v>
      </c>
      <c r="J95" s="1627"/>
      <c r="K95" s="1627"/>
      <c r="L95" s="1656" t="e">
        <v>#REF!</v>
      </c>
      <c r="M95" s="1656" t="e">
        <v>#REF!</v>
      </c>
      <c r="N95" s="1701" t="e">
        <v>#DIV/0!</v>
      </c>
      <c r="O95" s="1701" t="e">
        <v>#DIV/0!</v>
      </c>
      <c r="P95" s="1701" t="e">
        <v>#REF!</v>
      </c>
      <c r="Q95" s="1701" t="e">
        <v>#REF!</v>
      </c>
      <c r="R95" s="1701" t="e">
        <v>#N/A</v>
      </c>
      <c r="S95" s="1646">
        <v>0</v>
      </c>
      <c r="T95" s="1646">
        <v>0</v>
      </c>
      <c r="U95" s="1646">
        <v>0</v>
      </c>
    </row>
    <row r="96" spans="2:24">
      <c r="B96" s="1624"/>
      <c r="C96" s="1624" t="s">
        <v>216</v>
      </c>
      <c r="D96" s="1674">
        <v>0</v>
      </c>
      <c r="E96" s="1624" t="s">
        <v>559</v>
      </c>
      <c r="F96" s="1624" t="s">
        <v>186</v>
      </c>
      <c r="G96" s="1633"/>
      <c r="H96" s="1633"/>
      <c r="I96" s="1644">
        <v>0</v>
      </c>
      <c r="J96" s="1627"/>
      <c r="K96" s="1627"/>
      <c r="L96" s="1656" t="e">
        <v>#REF!</v>
      </c>
      <c r="M96" s="1656" t="e">
        <v>#REF!</v>
      </c>
      <c r="N96" s="1701" t="e">
        <v>#DIV/0!</v>
      </c>
      <c r="O96" s="1701" t="e">
        <v>#DIV/0!</v>
      </c>
      <c r="P96" s="1701" t="e">
        <v>#REF!</v>
      </c>
      <c r="Q96" s="1701" t="e">
        <v>#REF!</v>
      </c>
      <c r="R96" s="1701" t="e">
        <v>#N/A</v>
      </c>
      <c r="S96" s="1646">
        <v>0</v>
      </c>
      <c r="T96" s="1646">
        <v>0</v>
      </c>
      <c r="U96" s="1646">
        <v>0</v>
      </c>
    </row>
    <row r="97" spans="2:21">
      <c r="B97" s="1624"/>
      <c r="C97" s="1624" t="s">
        <v>217</v>
      </c>
      <c r="D97" s="1674">
        <v>0</v>
      </c>
      <c r="E97" s="1624" t="s">
        <v>559</v>
      </c>
      <c r="F97" s="1624" t="s">
        <v>186</v>
      </c>
      <c r="G97" s="1633"/>
      <c r="H97" s="1633"/>
      <c r="I97" s="1644">
        <v>0</v>
      </c>
      <c r="J97" s="1627"/>
      <c r="K97" s="1627"/>
      <c r="L97" s="1656" t="e">
        <v>#REF!</v>
      </c>
      <c r="M97" s="1656" t="e">
        <v>#REF!</v>
      </c>
      <c r="N97" s="1701" t="e">
        <v>#DIV/0!</v>
      </c>
      <c r="O97" s="1701" t="e">
        <v>#DIV/0!</v>
      </c>
      <c r="P97" s="1701" t="e">
        <v>#REF!</v>
      </c>
      <c r="Q97" s="1701" t="e">
        <v>#REF!</v>
      </c>
      <c r="R97" s="1701" t="e">
        <v>#N/A</v>
      </c>
      <c r="S97" s="1646">
        <v>0</v>
      </c>
      <c r="T97" s="1646">
        <v>0</v>
      </c>
      <c r="U97" s="1646">
        <v>0</v>
      </c>
    </row>
    <row r="98" spans="2:21">
      <c r="B98" s="1624"/>
      <c r="C98" s="1624" t="s">
        <v>218</v>
      </c>
      <c r="D98" s="1674">
        <v>0</v>
      </c>
      <c r="E98" s="1624" t="s">
        <v>559</v>
      </c>
      <c r="F98" s="1624" t="s">
        <v>186</v>
      </c>
      <c r="G98" s="1633"/>
      <c r="H98" s="1633"/>
      <c r="I98" s="1644">
        <v>0</v>
      </c>
      <c r="J98" s="1627"/>
      <c r="K98" s="1627"/>
      <c r="L98" s="1656" t="e">
        <v>#REF!</v>
      </c>
      <c r="M98" s="1656" t="e">
        <v>#REF!</v>
      </c>
      <c r="N98" s="1701" t="e">
        <v>#DIV/0!</v>
      </c>
      <c r="O98" s="1701" t="e">
        <v>#DIV/0!</v>
      </c>
      <c r="P98" s="1701" t="e">
        <v>#REF!</v>
      </c>
      <c r="Q98" s="1701" t="e">
        <v>#REF!</v>
      </c>
      <c r="R98" s="1701" t="e">
        <v>#N/A</v>
      </c>
      <c r="S98" s="1646">
        <v>0</v>
      </c>
      <c r="T98" s="1646">
        <v>0</v>
      </c>
      <c r="U98" s="1646">
        <v>0</v>
      </c>
    </row>
    <row r="99" spans="2:21">
      <c r="B99" s="1624"/>
      <c r="C99" s="1624" t="s">
        <v>219</v>
      </c>
      <c r="D99" s="1674">
        <v>0</v>
      </c>
      <c r="E99" s="1624" t="s">
        <v>559</v>
      </c>
      <c r="F99" s="1624" t="s">
        <v>186</v>
      </c>
      <c r="G99" s="1633"/>
      <c r="H99" s="1633"/>
      <c r="I99" s="1644">
        <v>0</v>
      </c>
      <c r="J99" s="1627"/>
      <c r="K99" s="1627"/>
      <c r="L99" s="1656" t="e">
        <v>#REF!</v>
      </c>
      <c r="M99" s="1656" t="e">
        <v>#REF!</v>
      </c>
      <c r="N99" s="1701" t="e">
        <v>#DIV/0!</v>
      </c>
      <c r="O99" s="1701" t="e">
        <v>#DIV/0!</v>
      </c>
      <c r="P99" s="1701" t="e">
        <v>#REF!</v>
      </c>
      <c r="Q99" s="1701" t="e">
        <v>#REF!</v>
      </c>
      <c r="R99" s="1701" t="e">
        <v>#N/A</v>
      </c>
      <c r="S99" s="1646">
        <v>0</v>
      </c>
      <c r="T99" s="1646">
        <v>0</v>
      </c>
      <c r="U99" s="1646">
        <v>0</v>
      </c>
    </row>
    <row r="100" spans="2:21">
      <c r="B100" s="1624"/>
      <c r="C100" s="1624" t="s">
        <v>220</v>
      </c>
      <c r="D100" s="1674">
        <v>0</v>
      </c>
      <c r="E100" s="1624" t="s">
        <v>559</v>
      </c>
      <c r="F100" s="1624" t="s">
        <v>186</v>
      </c>
      <c r="G100" s="1633"/>
      <c r="H100" s="1633"/>
      <c r="I100" s="1644">
        <v>0</v>
      </c>
      <c r="J100" s="1627"/>
      <c r="K100" s="1627"/>
      <c r="L100" s="1656" t="e">
        <v>#REF!</v>
      </c>
      <c r="M100" s="1656" t="e">
        <v>#REF!</v>
      </c>
      <c r="N100" s="1701" t="e">
        <v>#DIV/0!</v>
      </c>
      <c r="O100" s="1701" t="e">
        <v>#DIV/0!</v>
      </c>
      <c r="P100" s="1701" t="e">
        <v>#REF!</v>
      </c>
      <c r="Q100" s="1701" t="e">
        <v>#REF!</v>
      </c>
      <c r="R100" s="1701" t="e">
        <v>#N/A</v>
      </c>
      <c r="S100" s="1646">
        <v>0</v>
      </c>
      <c r="T100" s="1646">
        <v>0</v>
      </c>
      <c r="U100" s="1646">
        <v>0</v>
      </c>
    </row>
    <row r="101" spans="2:21">
      <c r="B101" s="1624"/>
      <c r="C101" s="1624" t="s">
        <v>221</v>
      </c>
      <c r="D101" s="1674">
        <v>0</v>
      </c>
      <c r="E101" s="1624" t="s">
        <v>559</v>
      </c>
      <c r="F101" s="1624" t="s">
        <v>186</v>
      </c>
      <c r="G101" s="1633"/>
      <c r="H101" s="1633"/>
      <c r="I101" s="1644">
        <v>0</v>
      </c>
      <c r="J101" s="1627"/>
      <c r="K101" s="1627"/>
      <c r="L101" s="1656" t="e">
        <v>#REF!</v>
      </c>
      <c r="M101" s="1656" t="e">
        <v>#REF!</v>
      </c>
      <c r="N101" s="1701" t="e">
        <v>#DIV/0!</v>
      </c>
      <c r="O101" s="1701" t="e">
        <v>#DIV/0!</v>
      </c>
      <c r="P101" s="1701" t="e">
        <v>#REF!</v>
      </c>
      <c r="Q101" s="1701" t="e">
        <v>#REF!</v>
      </c>
      <c r="R101" s="1701" t="e">
        <v>#N/A</v>
      </c>
      <c r="S101" s="1646">
        <v>0</v>
      </c>
      <c r="T101" s="1646">
        <v>0</v>
      </c>
      <c r="U101" s="1646">
        <v>0</v>
      </c>
    </row>
    <row r="102" spans="2:21">
      <c r="B102" s="1624"/>
      <c r="C102" s="1624" t="s">
        <v>222</v>
      </c>
      <c r="D102" s="1674">
        <v>0</v>
      </c>
      <c r="E102" s="1624" t="s">
        <v>559</v>
      </c>
      <c r="F102" s="1624" t="s">
        <v>186</v>
      </c>
      <c r="G102" s="1633"/>
      <c r="H102" s="1633"/>
      <c r="I102" s="1644">
        <v>0</v>
      </c>
      <c r="J102" s="1627"/>
      <c r="K102" s="1627"/>
      <c r="L102" s="1656" t="e">
        <v>#REF!</v>
      </c>
      <c r="M102" s="1656" t="e">
        <v>#REF!</v>
      </c>
      <c r="N102" s="1701" t="e">
        <v>#DIV/0!</v>
      </c>
      <c r="O102" s="1701" t="e">
        <v>#DIV/0!</v>
      </c>
      <c r="P102" s="1701" t="e">
        <v>#REF!</v>
      </c>
      <c r="Q102" s="1701" t="e">
        <v>#REF!</v>
      </c>
      <c r="R102" s="1701" t="e">
        <v>#N/A</v>
      </c>
      <c r="S102" s="1646">
        <v>0</v>
      </c>
      <c r="T102" s="1646">
        <v>0</v>
      </c>
      <c r="U102" s="1646">
        <v>0</v>
      </c>
    </row>
    <row r="103" spans="2:21">
      <c r="B103" s="1624"/>
      <c r="C103" s="1624" t="s">
        <v>223</v>
      </c>
      <c r="D103" s="1674">
        <v>0</v>
      </c>
      <c r="E103" s="1624" t="s">
        <v>559</v>
      </c>
      <c r="F103" s="1624" t="s">
        <v>186</v>
      </c>
      <c r="G103" s="1633"/>
      <c r="H103" s="1633"/>
      <c r="I103" s="1644">
        <v>0</v>
      </c>
      <c r="J103" s="1627"/>
      <c r="K103" s="1627"/>
      <c r="L103" s="1656" t="e">
        <v>#REF!</v>
      </c>
      <c r="M103" s="1656" t="e">
        <v>#REF!</v>
      </c>
      <c r="N103" s="1701" t="e">
        <v>#DIV/0!</v>
      </c>
      <c r="O103" s="1701" t="e">
        <v>#DIV/0!</v>
      </c>
      <c r="P103" s="1701" t="e">
        <v>#REF!</v>
      </c>
      <c r="Q103" s="1701" t="e">
        <v>#REF!</v>
      </c>
      <c r="R103" s="1701" t="e">
        <v>#N/A</v>
      </c>
      <c r="S103" s="1646">
        <v>0</v>
      </c>
      <c r="T103" s="1646">
        <v>0</v>
      </c>
      <c r="U103" s="1646">
        <v>0</v>
      </c>
    </row>
    <row r="104" spans="2:21">
      <c r="B104" s="1624"/>
      <c r="C104" s="1624" t="s">
        <v>224</v>
      </c>
      <c r="D104" s="1674">
        <v>0</v>
      </c>
      <c r="E104" s="1624" t="s">
        <v>559</v>
      </c>
      <c r="F104" s="1624" t="s">
        <v>186</v>
      </c>
      <c r="G104" s="1633"/>
      <c r="H104" s="1633"/>
      <c r="I104" s="1644">
        <v>0</v>
      </c>
      <c r="J104" s="1627"/>
      <c r="K104" s="1627"/>
      <c r="L104" s="1656" t="e">
        <v>#REF!</v>
      </c>
      <c r="M104" s="1656" t="e">
        <v>#REF!</v>
      </c>
      <c r="N104" s="1701" t="e">
        <v>#DIV/0!</v>
      </c>
      <c r="O104" s="1701" t="e">
        <v>#DIV/0!</v>
      </c>
      <c r="P104" s="1701" t="e">
        <v>#REF!</v>
      </c>
      <c r="Q104" s="1701" t="e">
        <v>#REF!</v>
      </c>
      <c r="R104" s="1701" t="e">
        <v>#N/A</v>
      </c>
      <c r="S104" s="1646">
        <v>0</v>
      </c>
      <c r="T104" s="1646">
        <v>0</v>
      </c>
      <c r="U104" s="1646">
        <v>0</v>
      </c>
    </row>
    <row r="105" spans="2:21">
      <c r="B105" s="1624"/>
      <c r="C105" s="1624" t="s">
        <v>225</v>
      </c>
      <c r="D105" s="1674">
        <v>0</v>
      </c>
      <c r="E105" s="1624" t="s">
        <v>559</v>
      </c>
      <c r="F105" s="1624" t="s">
        <v>186</v>
      </c>
      <c r="G105" s="1633"/>
      <c r="H105" s="1633"/>
      <c r="I105" s="1644">
        <v>0</v>
      </c>
      <c r="J105" s="1627"/>
      <c r="K105" s="1627"/>
      <c r="L105" s="1656" t="e">
        <v>#REF!</v>
      </c>
      <c r="M105" s="1656" t="e">
        <v>#REF!</v>
      </c>
      <c r="N105" s="1701" t="e">
        <v>#DIV/0!</v>
      </c>
      <c r="O105" s="1701" t="e">
        <v>#DIV/0!</v>
      </c>
      <c r="P105" s="1701" t="e">
        <v>#REF!</v>
      </c>
      <c r="Q105" s="1701" t="e">
        <v>#REF!</v>
      </c>
      <c r="R105" s="1701" t="e">
        <v>#N/A</v>
      </c>
      <c r="S105" s="1646">
        <v>0</v>
      </c>
      <c r="T105" s="1646">
        <v>0</v>
      </c>
      <c r="U105" s="1646">
        <v>0</v>
      </c>
    </row>
    <row r="106" spans="2:21" ht="13.5" thickBot="1">
      <c r="B106" s="1624"/>
      <c r="C106" s="1624" t="s">
        <v>226</v>
      </c>
      <c r="D106" s="1674">
        <v>0</v>
      </c>
      <c r="E106" s="1624" t="s">
        <v>559</v>
      </c>
      <c r="F106" s="1624" t="s">
        <v>186</v>
      </c>
      <c r="G106" s="1633"/>
      <c r="H106" s="1633"/>
      <c r="I106" s="1644">
        <v>0</v>
      </c>
      <c r="J106" s="1627"/>
      <c r="K106" s="1627"/>
      <c r="L106" s="1659" t="e">
        <v>#REF!</v>
      </c>
      <c r="M106" s="1659" t="e">
        <v>#REF!</v>
      </c>
      <c r="N106" s="1702" t="e">
        <v>#DIV/0!</v>
      </c>
      <c r="O106" s="1702" t="e">
        <v>#DIV/0!</v>
      </c>
      <c r="P106" s="1701" t="e">
        <v>#REF!</v>
      </c>
      <c r="Q106" s="1702" t="e">
        <v>#REF!</v>
      </c>
      <c r="R106" s="1702" t="e">
        <v>#N/A</v>
      </c>
      <c r="S106" s="1646">
        <v>0</v>
      </c>
      <c r="T106" s="1646">
        <v>0</v>
      </c>
      <c r="U106" s="1646">
        <v>0</v>
      </c>
    </row>
    <row r="107" spans="2:21" ht="13.5" thickBot="1">
      <c r="B107" s="1620"/>
      <c r="C107" s="1620"/>
      <c r="D107" s="1620"/>
      <c r="E107" s="1620"/>
      <c r="F107" s="1620"/>
      <c r="G107" s="1658">
        <v>0</v>
      </c>
      <c r="H107" s="1645">
        <v>0</v>
      </c>
      <c r="I107" s="1657">
        <v>0</v>
      </c>
      <c r="J107" s="1623" t="e">
        <v>#DIV/0!</v>
      </c>
      <c r="K107" s="1621"/>
      <c r="L107" s="1660" t="e">
        <v>#N/A</v>
      </c>
      <c r="M107" s="1661" t="e">
        <v>#N/A</v>
      </c>
      <c r="N107" s="1689" t="e">
        <v>#DIV/0!</v>
      </c>
      <c r="O107" s="1689" t="e">
        <v>#DIV/0!</v>
      </c>
      <c r="P107" s="1689" t="e">
        <v>#N/A</v>
      </c>
      <c r="Q107" s="1690" t="e">
        <v>#N/A</v>
      </c>
      <c r="R107" s="1690" t="e">
        <v>#DIV/0!</v>
      </c>
      <c r="S107" s="1647">
        <v>0</v>
      </c>
      <c r="T107" s="1647">
        <v>0</v>
      </c>
      <c r="U107" s="1647">
        <v>0</v>
      </c>
    </row>
  </sheetData>
  <sheetProtection password="9E1F" sheet="1" objects="1" scenarios="1"/>
  <customSheetViews>
    <customSheetView guid="{074EB09C-6289-46D7-9513-012B68BCA7BF}" fitToPage="1">
      <pane xSplit="1" ySplit="1" topLeftCell="B2" activePane="bottomRight" state="frozen"/>
      <selection pane="bottomRight" activeCell="C1" sqref="C1"/>
      <pageMargins left="0.18" right="0.24" top="0.31" bottom="0.27" header="0.3" footer="0.3"/>
      <pageSetup paperSize="17" scale="52" orientation="landscape" r:id="rId1"/>
    </customSheetView>
    <customSheetView guid="{AF9F1D33-B8C2-423F-86A1-47612B8F532C}" fitToPage="1">
      <pane xSplit="1" ySplit="1" topLeftCell="B2" activePane="bottomRight" state="frozenSplit"/>
      <selection pane="bottomRight" activeCell="C26" sqref="C26:C27"/>
      <pageMargins left="0.7" right="0.7" top="0.75" bottom="0.75" header="0.3" footer="0.3"/>
      <pageSetup paperSize="17" scale="52" orientation="landscape"/>
    </customSheetView>
  </customSheetViews>
  <mergeCells count="14">
    <mergeCell ref="S63:U63"/>
    <mergeCell ref="V63:X63"/>
    <mergeCell ref="C12:F12"/>
    <mergeCell ref="I12:L12"/>
    <mergeCell ref="M12:O12"/>
    <mergeCell ref="P12:R12"/>
    <mergeCell ref="I13:K13"/>
    <mergeCell ref="L63:R63"/>
    <mergeCell ref="V2:V3"/>
    <mergeCell ref="D11:E11"/>
    <mergeCell ref="I11:L11"/>
    <mergeCell ref="M11:N11"/>
    <mergeCell ref="Q2:R2"/>
    <mergeCell ref="S2:U2"/>
  </mergeCells>
  <pageMargins left="0.18" right="0.24" top="0.31" bottom="0.27" header="0.3" footer="0.3"/>
  <pageSetup paperSize="17" scale="52" orientation="landscape" r:id="rId2"/>
  <drawing r:id="rId3"/>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X107"/>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8.85546875" defaultRowHeight="12.75"/>
  <cols>
    <col min="1" max="1" width="15.7109375" style="3064" customWidth="1"/>
    <col min="2" max="2" width="18.140625" customWidth="1"/>
    <col min="3" max="3" width="34.7109375" customWidth="1"/>
    <col min="4" max="6" width="12.85546875" customWidth="1"/>
    <col min="7" max="7" width="17.42578125" customWidth="1"/>
    <col min="8" max="17" width="15.85546875" customWidth="1"/>
    <col min="18" max="22" width="12.7109375" customWidth="1"/>
  </cols>
  <sheetData>
    <row r="1" spans="1:22" ht="43.5" customHeight="1" thickBot="1">
      <c r="B1" s="3461"/>
      <c r="C1" s="2001"/>
      <c r="D1" s="2001"/>
      <c r="E1" s="2001"/>
      <c r="F1" s="2012"/>
      <c r="G1" s="4359">
        <v>18230675</v>
      </c>
      <c r="H1" s="3331" t="s">
        <v>1159</v>
      </c>
      <c r="I1" s="2012"/>
      <c r="J1" s="2001"/>
      <c r="K1" s="2001"/>
      <c r="L1" s="2001"/>
      <c r="M1" s="2001"/>
      <c r="N1" s="2001"/>
      <c r="O1" s="2001"/>
      <c r="P1" s="2001"/>
      <c r="Q1" s="2001"/>
      <c r="R1" s="2001"/>
      <c r="S1" s="2001"/>
      <c r="T1" s="2001"/>
      <c r="U1" s="2001"/>
      <c r="V1" s="2001"/>
    </row>
    <row r="2" spans="1:22" ht="16.5" thickBot="1">
      <c r="B2" s="2012" t="s">
        <v>109</v>
      </c>
      <c r="C2" s="4057" t="s">
        <v>1186</v>
      </c>
      <c r="D2" s="2001"/>
      <c r="E2" s="2001"/>
      <c r="F2" s="2001"/>
      <c r="G2" s="2018" t="s">
        <v>8</v>
      </c>
      <c r="H2" s="2001"/>
      <c r="I2" s="2001"/>
      <c r="J2" s="2001"/>
      <c r="K2" s="2001"/>
      <c r="L2" s="2001"/>
      <c r="M2" s="2001"/>
      <c r="N2" s="2001"/>
      <c r="O2" s="2001"/>
      <c r="P2" s="2001"/>
      <c r="Q2" s="5152" t="s">
        <v>556</v>
      </c>
      <c r="R2" s="5152"/>
      <c r="S2" s="5153" t="s">
        <v>110</v>
      </c>
      <c r="T2" s="5154"/>
      <c r="U2" s="5155"/>
      <c r="V2" s="5147" t="s">
        <v>111</v>
      </c>
    </row>
    <row r="3" spans="1:22" ht="16.5" thickBot="1">
      <c r="B3" s="2043" t="s">
        <v>6</v>
      </c>
      <c r="C3" s="4976">
        <v>18230675</v>
      </c>
      <c r="E3" s="2001"/>
      <c r="F3" s="2001"/>
      <c r="G3" s="2029" t="s">
        <v>9</v>
      </c>
      <c r="H3" s="2028" t="s">
        <v>10</v>
      </c>
      <c r="I3" s="2028" t="s">
        <v>11</v>
      </c>
      <c r="J3" s="2028" t="s">
        <v>12</v>
      </c>
      <c r="K3" s="2028" t="s">
        <v>13</v>
      </c>
      <c r="L3" s="2028" t="s">
        <v>14</v>
      </c>
      <c r="M3" s="2028" t="s">
        <v>15</v>
      </c>
      <c r="N3" s="2028" t="s">
        <v>16</v>
      </c>
      <c r="O3" s="2028" t="s">
        <v>112</v>
      </c>
      <c r="P3" s="2028" t="s">
        <v>113</v>
      </c>
      <c r="Q3" s="2030" t="s">
        <v>18</v>
      </c>
      <c r="R3" s="2030" t="s">
        <v>114</v>
      </c>
      <c r="S3" s="2020" t="s">
        <v>115</v>
      </c>
      <c r="T3" s="2020" t="s">
        <v>12</v>
      </c>
      <c r="U3" s="2021" t="s">
        <v>116</v>
      </c>
      <c r="V3" s="5148"/>
    </row>
    <row r="4" spans="1:22" ht="17.25" thickTop="1" thickBot="1">
      <c r="B4" s="2043" t="s">
        <v>117</v>
      </c>
      <c r="C4" s="4053" t="s">
        <v>891</v>
      </c>
      <c r="D4" s="2001"/>
      <c r="E4" s="2001"/>
      <c r="F4" s="2012">
        <v>2011</v>
      </c>
      <c r="G4" s="2060">
        <v>0</v>
      </c>
      <c r="H4" s="2061">
        <v>0</v>
      </c>
      <c r="I4" s="2061">
        <v>0</v>
      </c>
      <c r="J4" s="2061">
        <v>12600</v>
      </c>
      <c r="K4" s="2061">
        <v>192</v>
      </c>
      <c r="L4" s="2061">
        <v>5196</v>
      </c>
      <c r="M4" s="2061">
        <v>0</v>
      </c>
      <c r="N4" s="2061">
        <v>0</v>
      </c>
      <c r="O4" s="2061">
        <v>0</v>
      </c>
      <c r="P4" s="2061">
        <v>0</v>
      </c>
      <c r="Q4" s="2065">
        <v>17988</v>
      </c>
      <c r="R4" s="2072">
        <v>0</v>
      </c>
      <c r="S4" s="2093">
        <v>0</v>
      </c>
      <c r="T4" s="2093">
        <v>0.70046697798532354</v>
      </c>
      <c r="U4" s="2093">
        <v>0.28885923949299536</v>
      </c>
      <c r="V4" s="2095" t="e">
        <v>#DIV/0!</v>
      </c>
    </row>
    <row r="5" spans="1:22" ht="17.25" thickTop="1" thickBot="1">
      <c r="B5" s="2012" t="s">
        <v>33</v>
      </c>
      <c r="C5" s="2001"/>
      <c r="D5" s="2001"/>
      <c r="E5" s="2001"/>
      <c r="F5" s="2012">
        <v>2012</v>
      </c>
      <c r="G5" s="2062">
        <f>D14</f>
        <v>25839.16</v>
      </c>
      <c r="H5" s="2063">
        <f>D19</f>
        <v>0</v>
      </c>
      <c r="I5" s="2063">
        <f>D24</f>
        <v>16278.670800000004</v>
      </c>
      <c r="J5" s="2063">
        <f>D29</f>
        <v>3017.8</v>
      </c>
      <c r="K5" s="2063">
        <f>D34</f>
        <v>226.14</v>
      </c>
      <c r="L5" s="2063">
        <f>D39</f>
        <v>15784</v>
      </c>
      <c r="M5" s="2063">
        <f>D45</f>
        <v>900</v>
      </c>
      <c r="N5" s="2063">
        <f>D50</f>
        <v>585</v>
      </c>
      <c r="O5" s="2063">
        <f>D55</f>
        <v>0</v>
      </c>
      <c r="P5" s="2063">
        <f>D56</f>
        <v>0</v>
      </c>
      <c r="Q5" s="2064">
        <f>SUM(G5:P5)</f>
        <v>62630.770800000006</v>
      </c>
      <c r="R5" s="2082">
        <v>0</v>
      </c>
      <c r="S5" s="2094">
        <v>0</v>
      </c>
      <c r="T5" s="2094">
        <v>4.0968291489630763E-2</v>
      </c>
      <c r="U5" s="2094">
        <v>0.16967503382844185</v>
      </c>
      <c r="V5" s="2096" t="e">
        <v>#DIV/0!</v>
      </c>
    </row>
    <row r="6" spans="1:22" s="3532" customFormat="1" ht="16.5" thickBot="1">
      <c r="B6" s="3331"/>
      <c r="C6" s="4117"/>
      <c r="D6" s="4117"/>
      <c r="E6" s="4117"/>
      <c r="F6" s="4266" t="s">
        <v>1168</v>
      </c>
      <c r="G6" s="2062">
        <v>26329.27</v>
      </c>
      <c r="H6" s="4155">
        <v>0</v>
      </c>
      <c r="I6" s="4155">
        <v>16587.4401</v>
      </c>
      <c r="J6" s="4155">
        <v>1529.8</v>
      </c>
      <c r="K6" s="4155">
        <v>226.14</v>
      </c>
      <c r="L6" s="4155">
        <v>15784</v>
      </c>
      <c r="M6" s="4155">
        <v>900</v>
      </c>
      <c r="N6" s="4155">
        <v>585</v>
      </c>
      <c r="O6" s="4155">
        <v>0</v>
      </c>
      <c r="P6" s="4155">
        <v>0</v>
      </c>
      <c r="Q6" s="2064">
        <v>61941.650099999999</v>
      </c>
      <c r="R6" s="2082">
        <v>0</v>
      </c>
      <c r="S6" s="3637">
        <v>0</v>
      </c>
      <c r="T6" s="3637">
        <v>2.1302286663039169E-2</v>
      </c>
      <c r="U6" s="3637">
        <v>0.20534946229478079</v>
      </c>
      <c r="V6" s="2096" t="e">
        <v>#DIV/0!</v>
      </c>
    </row>
    <row r="7" spans="1:22" ht="16.5" thickBot="1">
      <c r="B7" s="2001"/>
      <c r="C7" s="2012" t="s">
        <v>807</v>
      </c>
      <c r="D7" s="2001"/>
      <c r="E7" s="2001"/>
      <c r="F7" s="4223" t="s">
        <v>1169</v>
      </c>
      <c r="G7" s="4224">
        <f>E14</f>
        <v>13300</v>
      </c>
      <c r="H7" s="4225">
        <f>E19</f>
        <v>0</v>
      </c>
      <c r="I7" s="4225">
        <f>E24</f>
        <v>9403.1</v>
      </c>
      <c r="J7" s="4225">
        <f>E29</f>
        <v>8130.5</v>
      </c>
      <c r="K7" s="4225">
        <f>E34</f>
        <v>226.14</v>
      </c>
      <c r="L7" s="4225">
        <f>E39</f>
        <v>15784</v>
      </c>
      <c r="M7" s="4225">
        <f>E45</f>
        <v>900</v>
      </c>
      <c r="N7" s="4225">
        <f>E50</f>
        <v>585</v>
      </c>
      <c r="O7" s="4225">
        <f>E55</f>
        <v>0</v>
      </c>
      <c r="P7" s="4225">
        <f>E56</f>
        <v>0</v>
      </c>
      <c r="Q7" s="4226">
        <f>SUM(G7:P7)</f>
        <v>48328.74</v>
      </c>
      <c r="R7" s="4235">
        <v>0</v>
      </c>
      <c r="S7" s="2094">
        <v>0</v>
      </c>
      <c r="T7" s="2094">
        <v>2.1302286663039169E-2</v>
      </c>
      <c r="U7" s="2094">
        <v>0.20534946229478079</v>
      </c>
      <c r="V7" s="2096" t="e">
        <v>#DIV/0!</v>
      </c>
    </row>
    <row r="8" spans="1:22" ht="16.5" thickBot="1">
      <c r="B8" s="2001"/>
      <c r="C8" s="2086" t="s">
        <v>1431</v>
      </c>
      <c r="D8" s="2001"/>
      <c r="E8" s="2001"/>
      <c r="F8" s="2073" t="s">
        <v>1175</v>
      </c>
      <c r="G8" s="2074">
        <f>SUM(G5+G7)</f>
        <v>39139.160000000003</v>
      </c>
      <c r="H8" s="3335">
        <f t="shared" ref="H8:Q8" si="0">SUM(H5+H7)</f>
        <v>0</v>
      </c>
      <c r="I8" s="3335">
        <f t="shared" si="0"/>
        <v>25681.770800000006</v>
      </c>
      <c r="J8" s="3335">
        <f t="shared" si="0"/>
        <v>11148.3</v>
      </c>
      <c r="K8" s="3335">
        <f t="shared" si="0"/>
        <v>452.28</v>
      </c>
      <c r="L8" s="3335">
        <f t="shared" si="0"/>
        <v>31568</v>
      </c>
      <c r="M8" s="3335">
        <f t="shared" si="0"/>
        <v>1800</v>
      </c>
      <c r="N8" s="3335">
        <f t="shared" si="0"/>
        <v>1170</v>
      </c>
      <c r="O8" s="3335">
        <f t="shared" si="0"/>
        <v>0</v>
      </c>
      <c r="P8" s="3335">
        <f t="shared" si="0"/>
        <v>0</v>
      </c>
      <c r="Q8" s="3335">
        <f t="shared" si="0"/>
        <v>110959.5108</v>
      </c>
      <c r="R8" s="2083">
        <v>0</v>
      </c>
      <c r="S8" s="2094">
        <v>0</v>
      </c>
      <c r="T8" s="2094">
        <v>3.0971624694002386E-2</v>
      </c>
      <c r="U8" s="2094">
        <v>0.18780913771212723</v>
      </c>
      <c r="V8" s="2096" t="e">
        <v>#DIV/0!</v>
      </c>
    </row>
    <row r="9" spans="1:22">
      <c r="P9" s="2216"/>
      <c r="Q9" s="84"/>
    </row>
    <row r="10" spans="1:22" s="2203" customFormat="1">
      <c r="A10" s="3064"/>
      <c r="P10" s="2216"/>
    </row>
    <row r="11" spans="1:22" ht="13.5" thickBot="1">
      <c r="B11" s="2001"/>
      <c r="C11" s="2057" t="s">
        <v>118</v>
      </c>
      <c r="D11" s="5149" t="s">
        <v>119</v>
      </c>
      <c r="E11" s="5149"/>
      <c r="F11" s="2001"/>
      <c r="G11" s="2001"/>
      <c r="H11" s="2001"/>
      <c r="I11" s="5150" t="s">
        <v>120</v>
      </c>
      <c r="J11" s="5150"/>
      <c r="K11" s="5150"/>
      <c r="L11" s="5150"/>
      <c r="M11" s="5151" t="s">
        <v>119</v>
      </c>
      <c r="N11" s="5151"/>
      <c r="O11" s="2001"/>
      <c r="P11" s="2001"/>
      <c r="Q11" s="2001"/>
      <c r="R11" s="2001"/>
      <c r="S11" s="2001"/>
      <c r="T11" s="2001"/>
      <c r="U11" s="2001"/>
      <c r="V11" s="2001"/>
    </row>
    <row r="12" spans="1:22" ht="16.5" thickBot="1">
      <c r="B12" s="2059" t="s">
        <v>121</v>
      </c>
      <c r="C12" s="5156" t="s">
        <v>122</v>
      </c>
      <c r="D12" s="5156"/>
      <c r="E12" s="5156"/>
      <c r="F12" s="5157"/>
      <c r="G12" s="2001"/>
      <c r="H12" s="2001"/>
      <c r="I12" s="5153" t="s">
        <v>123</v>
      </c>
      <c r="J12" s="5154"/>
      <c r="K12" s="5154"/>
      <c r="L12" s="5155"/>
      <c r="M12" s="5153" t="s">
        <v>124</v>
      </c>
      <c r="N12" s="5154"/>
      <c r="O12" s="5155"/>
      <c r="P12" s="5153" t="s">
        <v>125</v>
      </c>
      <c r="Q12" s="5154"/>
      <c r="R12" s="5155"/>
      <c r="S12" s="2001"/>
      <c r="T12" s="4897"/>
      <c r="U12" s="4056"/>
      <c r="V12" s="4056"/>
    </row>
    <row r="13" spans="1:22" ht="16.5" thickBot="1">
      <c r="B13" s="2069">
        <v>2011</v>
      </c>
      <c r="C13" s="2058" t="s">
        <v>127</v>
      </c>
      <c r="D13" s="2055">
        <v>2012</v>
      </c>
      <c r="E13" s="2055">
        <v>2013</v>
      </c>
      <c r="F13" s="2055" t="s">
        <v>128</v>
      </c>
      <c r="G13" s="2001"/>
      <c r="H13" s="2019"/>
      <c r="I13" s="5158" t="s">
        <v>129</v>
      </c>
      <c r="J13" s="5159"/>
      <c r="K13" s="5160"/>
      <c r="L13" s="2051" t="s">
        <v>130</v>
      </c>
      <c r="M13" s="2052" t="s">
        <v>131</v>
      </c>
      <c r="N13" s="2053" t="s">
        <v>132</v>
      </c>
      <c r="O13" s="2054" t="s">
        <v>133</v>
      </c>
      <c r="P13" s="2052" t="s">
        <v>134</v>
      </c>
      <c r="Q13" s="2052" t="s">
        <v>135</v>
      </c>
      <c r="R13" s="2054" t="s">
        <v>136</v>
      </c>
      <c r="S13" s="2001"/>
      <c r="T13" s="4898"/>
      <c r="U13" s="4056"/>
      <c r="V13" s="4056"/>
    </row>
    <row r="14" spans="1:22" ht="13.5" thickBot="1">
      <c r="B14" s="2089">
        <v>0</v>
      </c>
      <c r="C14" s="2031" t="s">
        <v>138</v>
      </c>
      <c r="D14" s="2032">
        <f>SUM(D15:D18)</f>
        <v>25839.16</v>
      </c>
      <c r="E14" s="3318">
        <f>SUM(E15:E18)</f>
        <v>13300</v>
      </c>
      <c r="F14" s="2033">
        <f>SUM(D14:E14)</f>
        <v>39139.160000000003</v>
      </c>
      <c r="G14" s="2001"/>
      <c r="H14" s="2022"/>
      <c r="I14" s="2046" t="s">
        <v>368</v>
      </c>
      <c r="J14" s="2049"/>
      <c r="K14" s="2050"/>
      <c r="L14" s="2075">
        <v>0</v>
      </c>
      <c r="M14" s="2008">
        <v>0</v>
      </c>
      <c r="N14" s="2008">
        <v>0</v>
      </c>
      <c r="O14" s="2023">
        <v>0</v>
      </c>
      <c r="P14" s="2076">
        <v>0</v>
      </c>
      <c r="Q14" s="2076">
        <v>0</v>
      </c>
      <c r="R14" s="2077">
        <v>0</v>
      </c>
      <c r="S14" s="2001"/>
      <c r="T14" s="4056"/>
      <c r="U14" s="4056"/>
      <c r="V14" s="4056"/>
    </row>
    <row r="15" spans="1:22">
      <c r="B15" s="2067"/>
      <c r="C15" s="4058" t="s">
        <v>1440</v>
      </c>
      <c r="D15" s="2014">
        <v>16592.240000000002</v>
      </c>
      <c r="E15" s="4453">
        <v>7500</v>
      </c>
      <c r="F15" s="2014">
        <f>SUM(D15:E15)</f>
        <v>24092.240000000002</v>
      </c>
      <c r="G15" s="2001"/>
      <c r="H15" s="2022"/>
      <c r="I15" s="2046" t="s">
        <v>369</v>
      </c>
      <c r="J15" s="2049"/>
      <c r="K15" s="2050"/>
      <c r="L15" s="2075">
        <v>0</v>
      </c>
      <c r="M15" s="2008">
        <v>0</v>
      </c>
      <c r="N15" s="2008">
        <v>0</v>
      </c>
      <c r="O15" s="2023">
        <v>0</v>
      </c>
      <c r="P15" s="2076">
        <v>0</v>
      </c>
      <c r="Q15" s="2076">
        <v>0</v>
      </c>
      <c r="R15" s="2077">
        <v>0</v>
      </c>
      <c r="S15" s="2001"/>
      <c r="T15" s="4056"/>
      <c r="U15" s="4056"/>
      <c r="V15" s="4056"/>
    </row>
    <row r="16" spans="1:22">
      <c r="B16" s="2068"/>
      <c r="C16" s="4058" t="s">
        <v>1441</v>
      </c>
      <c r="D16" s="2014">
        <v>8296.1200000000008</v>
      </c>
      <c r="E16" s="4453">
        <v>4000</v>
      </c>
      <c r="F16" s="3316">
        <f t="shared" ref="F16:F18" si="1">SUM(D16:E16)</f>
        <v>12296.12</v>
      </c>
      <c r="G16" s="2001"/>
      <c r="H16" s="2022"/>
      <c r="I16" s="2046" t="s">
        <v>370</v>
      </c>
      <c r="J16" s="2049"/>
      <c r="K16" s="2050"/>
      <c r="L16" s="2075">
        <v>0</v>
      </c>
      <c r="M16" s="2008">
        <v>0</v>
      </c>
      <c r="N16" s="2008">
        <v>0</v>
      </c>
      <c r="O16" s="2023">
        <v>0</v>
      </c>
      <c r="P16" s="2076">
        <v>0</v>
      </c>
      <c r="Q16" s="2076">
        <v>0</v>
      </c>
      <c r="R16" s="2077">
        <v>0</v>
      </c>
      <c r="S16" s="2001"/>
      <c r="T16" s="4056"/>
      <c r="U16" s="4056"/>
      <c r="V16" s="4056"/>
    </row>
    <row r="17" spans="2:22">
      <c r="B17" s="2068"/>
      <c r="C17" s="4752" t="s">
        <v>1334</v>
      </c>
      <c r="D17" s="2014"/>
      <c r="E17" s="4453">
        <v>1800</v>
      </c>
      <c r="F17" s="3316">
        <f t="shared" si="1"/>
        <v>1800</v>
      </c>
      <c r="G17" s="2001"/>
      <c r="H17" s="2022"/>
      <c r="I17" s="2046" t="s">
        <v>188</v>
      </c>
      <c r="J17" s="2049"/>
      <c r="K17" s="2050"/>
      <c r="L17" s="2075">
        <v>0</v>
      </c>
      <c r="M17" s="2008">
        <v>0</v>
      </c>
      <c r="N17" s="2008">
        <v>0</v>
      </c>
      <c r="O17" s="2023">
        <v>0</v>
      </c>
      <c r="P17" s="2076">
        <v>0</v>
      </c>
      <c r="Q17" s="2076">
        <v>0</v>
      </c>
      <c r="R17" s="2077">
        <v>0</v>
      </c>
      <c r="S17" s="2001"/>
      <c r="T17" s="4056"/>
      <c r="U17" s="4056"/>
      <c r="V17" s="4056"/>
    </row>
    <row r="18" spans="2:22" ht="13.5" thickBot="1">
      <c r="B18" s="2068"/>
      <c r="C18" s="4058" t="s">
        <v>1442</v>
      </c>
      <c r="D18" s="2014">
        <v>950.8</v>
      </c>
      <c r="E18" s="4453">
        <v>0</v>
      </c>
      <c r="F18" s="3316">
        <f t="shared" si="1"/>
        <v>950.8</v>
      </c>
      <c r="G18" s="2001"/>
      <c r="H18" s="2022"/>
      <c r="I18" s="2046" t="s">
        <v>189</v>
      </c>
      <c r="J18" s="2049"/>
      <c r="K18" s="2050"/>
      <c r="L18" s="2075">
        <v>0</v>
      </c>
      <c r="M18" s="2008">
        <v>0</v>
      </c>
      <c r="N18" s="2008">
        <v>0</v>
      </c>
      <c r="O18" s="2023">
        <v>0</v>
      </c>
      <c r="P18" s="2076">
        <v>0</v>
      </c>
      <c r="Q18" s="2076">
        <v>0</v>
      </c>
      <c r="R18" s="2077">
        <v>0</v>
      </c>
      <c r="S18" s="2001"/>
      <c r="T18" s="4056"/>
      <c r="U18" s="4056"/>
      <c r="V18" s="4056"/>
    </row>
    <row r="19" spans="2:22" ht="13.5" thickBot="1">
      <c r="B19" s="2066">
        <v>0</v>
      </c>
      <c r="C19" s="2031" t="s">
        <v>143</v>
      </c>
      <c r="D19" s="2032">
        <f>SUM(D20:D23)</f>
        <v>0</v>
      </c>
      <c r="E19" s="2032">
        <f>SUM(E20:E23)</f>
        <v>0</v>
      </c>
      <c r="F19" s="2033">
        <f>SUM(D19:E19)</f>
        <v>0</v>
      </c>
      <c r="G19" s="2001"/>
      <c r="H19" s="2022"/>
      <c r="I19" s="2046" t="s">
        <v>190</v>
      </c>
      <c r="J19" s="2049"/>
      <c r="K19" s="2050"/>
      <c r="L19" s="2075">
        <v>0</v>
      </c>
      <c r="M19" s="2008">
        <v>0</v>
      </c>
      <c r="N19" s="2008">
        <v>0</v>
      </c>
      <c r="O19" s="2023">
        <v>0</v>
      </c>
      <c r="P19" s="2076">
        <v>0</v>
      </c>
      <c r="Q19" s="2076">
        <v>0</v>
      </c>
      <c r="R19" s="2077">
        <v>0</v>
      </c>
      <c r="S19" s="2001"/>
      <c r="T19" s="4056"/>
      <c r="U19" s="3535"/>
      <c r="V19" s="3535"/>
    </row>
    <row r="20" spans="2:22">
      <c r="B20" s="2067"/>
      <c r="C20" s="2007" t="s">
        <v>139</v>
      </c>
      <c r="D20" s="2088">
        <v>0</v>
      </c>
      <c r="E20" s="2088">
        <v>0</v>
      </c>
      <c r="F20" s="2014">
        <f>SUM(D20:E20)</f>
        <v>0</v>
      </c>
      <c r="G20" s="2001"/>
      <c r="H20" s="2022"/>
      <c r="I20" s="2046" t="s">
        <v>191</v>
      </c>
      <c r="J20" s="2049"/>
      <c r="K20" s="2050"/>
      <c r="L20" s="2075">
        <v>0</v>
      </c>
      <c r="M20" s="2008">
        <v>0</v>
      </c>
      <c r="N20" s="2008">
        <v>0</v>
      </c>
      <c r="O20" s="2023">
        <v>0</v>
      </c>
      <c r="P20" s="2076">
        <v>0</v>
      </c>
      <c r="Q20" s="2076">
        <v>0</v>
      </c>
      <c r="R20" s="2077">
        <v>0</v>
      </c>
      <c r="S20" s="2001"/>
      <c r="T20" s="4056"/>
      <c r="U20" s="3535"/>
      <c r="V20" s="3535"/>
    </row>
    <row r="21" spans="2:22">
      <c r="B21" s="2068"/>
      <c r="C21" s="2007" t="s">
        <v>140</v>
      </c>
      <c r="D21" s="2088">
        <v>0</v>
      </c>
      <c r="E21" s="2088">
        <v>0</v>
      </c>
      <c r="F21" s="3316">
        <f t="shared" ref="F21:F23" si="2">SUM(D21:E21)</f>
        <v>0</v>
      </c>
      <c r="G21" s="2001"/>
      <c r="H21" s="2022"/>
      <c r="I21" s="2046" t="s">
        <v>192</v>
      </c>
      <c r="J21" s="2049"/>
      <c r="K21" s="2050"/>
      <c r="L21" s="2075">
        <v>0</v>
      </c>
      <c r="M21" s="2008">
        <v>0</v>
      </c>
      <c r="N21" s="2008">
        <v>0</v>
      </c>
      <c r="O21" s="2023">
        <v>0</v>
      </c>
      <c r="P21" s="2076">
        <v>0</v>
      </c>
      <c r="Q21" s="2076">
        <v>0</v>
      </c>
      <c r="R21" s="2077">
        <v>0</v>
      </c>
      <c r="S21" s="2001"/>
      <c r="T21" s="4056"/>
      <c r="U21" s="3535"/>
      <c r="V21" s="3535"/>
    </row>
    <row r="22" spans="2:22">
      <c r="B22" s="2068"/>
      <c r="C22" s="2007" t="s">
        <v>141</v>
      </c>
      <c r="D22" s="2016">
        <v>0</v>
      </c>
      <c r="E22" s="2016"/>
      <c r="F22" s="3316">
        <f t="shared" si="2"/>
        <v>0</v>
      </c>
      <c r="G22" s="2001"/>
      <c r="H22" s="2022"/>
      <c r="I22" s="2046" t="s">
        <v>193</v>
      </c>
      <c r="J22" s="2049"/>
      <c r="K22" s="2050"/>
      <c r="L22" s="2075">
        <v>0</v>
      </c>
      <c r="M22" s="2008">
        <v>0</v>
      </c>
      <c r="N22" s="2008">
        <v>0</v>
      </c>
      <c r="O22" s="2023">
        <v>0</v>
      </c>
      <c r="P22" s="2076">
        <v>0</v>
      </c>
      <c r="Q22" s="2076">
        <v>0</v>
      </c>
      <c r="R22" s="2077">
        <v>0</v>
      </c>
      <c r="S22" s="2001"/>
      <c r="T22" s="4056"/>
      <c r="U22" s="3535"/>
      <c r="V22" s="3535"/>
    </row>
    <row r="23" spans="2:22" ht="13.5" thickBot="1">
      <c r="B23" s="2068"/>
      <c r="C23" s="2007" t="s">
        <v>142</v>
      </c>
      <c r="D23" s="2016">
        <v>0</v>
      </c>
      <c r="E23" s="2016"/>
      <c r="F23" s="3316">
        <f t="shared" si="2"/>
        <v>0</v>
      </c>
      <c r="G23" s="2001"/>
      <c r="H23" s="2022"/>
      <c r="I23" s="2046" t="s">
        <v>194</v>
      </c>
      <c r="J23" s="2049"/>
      <c r="K23" s="2050"/>
      <c r="L23" s="2075">
        <v>0</v>
      </c>
      <c r="M23" s="2008">
        <v>0</v>
      </c>
      <c r="N23" s="2008">
        <v>0</v>
      </c>
      <c r="O23" s="2023">
        <v>0</v>
      </c>
      <c r="P23" s="2076">
        <v>0</v>
      </c>
      <c r="Q23" s="2076">
        <v>0</v>
      </c>
      <c r="R23" s="2077">
        <v>0</v>
      </c>
      <c r="S23" s="2001"/>
      <c r="T23" s="4056"/>
      <c r="U23" s="3535"/>
      <c r="V23" s="3535"/>
    </row>
    <row r="24" spans="2:22" ht="13.5" thickBot="1">
      <c r="B24" s="2066">
        <v>0</v>
      </c>
      <c r="C24" s="2031" t="s">
        <v>144</v>
      </c>
      <c r="D24" s="2032">
        <f>SUM(D25:D28)</f>
        <v>16278.670800000004</v>
      </c>
      <c r="E24" s="3318">
        <f>SUM(E25:E28)</f>
        <v>9403.1</v>
      </c>
      <c r="F24" s="2033">
        <f>SUM(D24:E24)</f>
        <v>25681.770800000006</v>
      </c>
      <c r="G24" s="2006"/>
      <c r="H24" s="2022"/>
      <c r="I24" s="2046" t="s">
        <v>196</v>
      </c>
      <c r="J24" s="2049"/>
      <c r="K24" s="2050"/>
      <c r="L24" s="2075">
        <v>0</v>
      </c>
      <c r="M24" s="2008">
        <v>0</v>
      </c>
      <c r="N24" s="2008">
        <v>0</v>
      </c>
      <c r="O24" s="2023">
        <v>0</v>
      </c>
      <c r="P24" s="2076">
        <v>0</v>
      </c>
      <c r="Q24" s="2076">
        <v>0</v>
      </c>
      <c r="R24" s="2077">
        <v>0</v>
      </c>
      <c r="S24" s="2001"/>
      <c r="T24" s="4056"/>
      <c r="U24" s="3535"/>
      <c r="V24" s="3535"/>
    </row>
    <row r="25" spans="2:22">
      <c r="B25" s="2067"/>
      <c r="C25" s="3220" t="s">
        <v>1202</v>
      </c>
      <c r="D25" s="2014">
        <f>D15*0.63</f>
        <v>10453.111200000001</v>
      </c>
      <c r="E25" s="3485">
        <f>E14*0.707</f>
        <v>9403.1</v>
      </c>
      <c r="F25" s="2014">
        <f>SUM(D25:E25)</f>
        <v>19856.211200000002</v>
      </c>
      <c r="G25" s="2001"/>
      <c r="H25" s="2022"/>
      <c r="I25" s="2046" t="s">
        <v>197</v>
      </c>
      <c r="J25" s="2049"/>
      <c r="K25" s="2050"/>
      <c r="L25" s="2075">
        <v>0</v>
      </c>
      <c r="M25" s="2008">
        <v>0</v>
      </c>
      <c r="N25" s="2008">
        <v>0</v>
      </c>
      <c r="O25" s="2023">
        <v>0</v>
      </c>
      <c r="P25" s="2076">
        <v>0</v>
      </c>
      <c r="Q25" s="2076">
        <v>0</v>
      </c>
      <c r="R25" s="2077">
        <v>0</v>
      </c>
      <c r="S25" s="2001"/>
      <c r="T25" s="4056"/>
      <c r="U25" s="3535"/>
      <c r="V25" s="3535"/>
    </row>
    <row r="26" spans="2:22">
      <c r="B26" s="2067"/>
      <c r="C26" s="3220" t="s">
        <v>1203</v>
      </c>
      <c r="D26" s="2015">
        <f>D16*0.63</f>
        <v>5226.5556000000006</v>
      </c>
      <c r="E26" s="3486">
        <f>E19*0.707</f>
        <v>0</v>
      </c>
      <c r="F26" s="3316">
        <f t="shared" ref="F26:F28" si="3">SUM(D26:E26)</f>
        <v>5226.5556000000006</v>
      </c>
      <c r="G26" s="2001"/>
      <c r="H26" s="2022"/>
      <c r="I26" s="2046" t="s">
        <v>198</v>
      </c>
      <c r="J26" s="2049"/>
      <c r="K26" s="2050"/>
      <c r="L26" s="2075">
        <v>0</v>
      </c>
      <c r="M26" s="2008">
        <v>0</v>
      </c>
      <c r="N26" s="2008">
        <v>0</v>
      </c>
      <c r="O26" s="2023">
        <v>0</v>
      </c>
      <c r="P26" s="2076">
        <v>0</v>
      </c>
      <c r="Q26" s="2076">
        <v>0</v>
      </c>
      <c r="R26" s="2077">
        <v>0</v>
      </c>
      <c r="S26" s="2001"/>
      <c r="T26" s="4056"/>
      <c r="U26" s="3535"/>
      <c r="V26" s="3535"/>
    </row>
    <row r="27" spans="2:22">
      <c r="B27" s="2068"/>
      <c r="C27" s="3220"/>
      <c r="D27" s="2016">
        <f>D18*0.63</f>
        <v>599.00400000000002</v>
      </c>
      <c r="E27" s="4138"/>
      <c r="F27" s="3316">
        <f t="shared" si="3"/>
        <v>599.00400000000002</v>
      </c>
      <c r="G27" s="2001"/>
      <c r="H27" s="2022"/>
      <c r="I27" s="2046" t="s">
        <v>199</v>
      </c>
      <c r="J27" s="2049"/>
      <c r="K27" s="2050"/>
      <c r="L27" s="2075">
        <v>0</v>
      </c>
      <c r="M27" s="2008">
        <v>0</v>
      </c>
      <c r="N27" s="2008">
        <v>0</v>
      </c>
      <c r="O27" s="2023">
        <v>0</v>
      </c>
      <c r="P27" s="2076">
        <v>0</v>
      </c>
      <c r="Q27" s="2076">
        <v>0</v>
      </c>
      <c r="R27" s="2077">
        <v>0</v>
      </c>
      <c r="S27" s="2001"/>
      <c r="T27" s="4056"/>
      <c r="U27" s="3535"/>
      <c r="V27" s="3535"/>
    </row>
    <row r="28" spans="2:22" ht="13.5" thickBot="1">
      <c r="B28" s="2068"/>
      <c r="C28" s="2007"/>
      <c r="D28" s="2016"/>
      <c r="E28" s="2016"/>
      <c r="F28" s="3316">
        <f t="shared" si="3"/>
        <v>0</v>
      </c>
      <c r="G28" s="2001"/>
      <c r="H28" s="2022"/>
      <c r="I28" s="2046" t="s">
        <v>200</v>
      </c>
      <c r="J28" s="2049"/>
      <c r="K28" s="2050"/>
      <c r="L28" s="2075">
        <v>0</v>
      </c>
      <c r="M28" s="2008">
        <v>0</v>
      </c>
      <c r="N28" s="2008">
        <v>0</v>
      </c>
      <c r="O28" s="2023">
        <v>0</v>
      </c>
      <c r="P28" s="2076">
        <v>0</v>
      </c>
      <c r="Q28" s="2076">
        <v>0</v>
      </c>
      <c r="R28" s="2077">
        <v>0</v>
      </c>
      <c r="S28" s="2001"/>
      <c r="T28" s="4056"/>
      <c r="U28" s="3535"/>
      <c r="V28" s="3535"/>
    </row>
    <row r="29" spans="2:22" ht="13.5" thickBot="1">
      <c r="B29" s="2066">
        <v>12600</v>
      </c>
      <c r="C29" s="2031" t="s">
        <v>145</v>
      </c>
      <c r="D29" s="2032">
        <f>SUM(D30:D33)</f>
        <v>3017.8</v>
      </c>
      <c r="E29" s="3318">
        <f>SUM(E30:E33)</f>
        <v>8130.5</v>
      </c>
      <c r="F29" s="2033">
        <f>SUM(D29:E29)</f>
        <v>11148.3</v>
      </c>
      <c r="G29" s="2001"/>
      <c r="H29" s="2022"/>
      <c r="I29" s="2046" t="s">
        <v>201</v>
      </c>
      <c r="J29" s="2049"/>
      <c r="K29" s="2050"/>
      <c r="L29" s="2075">
        <v>0</v>
      </c>
      <c r="M29" s="2008">
        <v>0</v>
      </c>
      <c r="N29" s="2008">
        <v>0</v>
      </c>
      <c r="O29" s="2023">
        <v>0</v>
      </c>
      <c r="P29" s="2076">
        <v>0</v>
      </c>
      <c r="Q29" s="2076">
        <v>0</v>
      </c>
      <c r="R29" s="2077">
        <v>0</v>
      </c>
      <c r="S29" s="2001"/>
      <c r="T29" s="4056"/>
      <c r="U29" s="3535"/>
      <c r="V29" s="3535"/>
    </row>
    <row r="30" spans="2:22">
      <c r="B30" s="2067"/>
      <c r="C30" s="3314" t="s">
        <v>997</v>
      </c>
      <c r="D30" s="2014">
        <v>2001.8</v>
      </c>
      <c r="E30" s="4453">
        <v>5302.5</v>
      </c>
      <c r="F30" s="2014">
        <f>SUM(D30:E30)</f>
        <v>7304.3</v>
      </c>
      <c r="G30" s="2001"/>
      <c r="H30" s="2022"/>
      <c r="I30" s="2046" t="s">
        <v>202</v>
      </c>
      <c r="J30" s="2049"/>
      <c r="K30" s="2050"/>
      <c r="L30" s="2075">
        <v>0</v>
      </c>
      <c r="M30" s="2008">
        <v>0</v>
      </c>
      <c r="N30" s="2008">
        <v>0</v>
      </c>
      <c r="O30" s="2023">
        <v>0</v>
      </c>
      <c r="P30" s="2076">
        <v>0</v>
      </c>
      <c r="Q30" s="2076">
        <v>0</v>
      </c>
      <c r="R30" s="2077">
        <v>0</v>
      </c>
      <c r="S30" s="2001"/>
      <c r="T30" s="4056"/>
      <c r="U30" s="3535"/>
      <c r="V30" s="3535"/>
    </row>
    <row r="31" spans="2:22">
      <c r="B31" s="2068"/>
      <c r="C31" s="2007" t="s">
        <v>817</v>
      </c>
      <c r="D31" s="2015">
        <v>1016</v>
      </c>
      <c r="E31" s="4454">
        <v>2828</v>
      </c>
      <c r="F31" s="3316">
        <f t="shared" ref="F31:F33" si="4">SUM(D31:E31)</f>
        <v>3844</v>
      </c>
      <c r="G31" s="2001"/>
      <c r="H31" s="2022"/>
      <c r="I31" s="2046" t="s">
        <v>203</v>
      </c>
      <c r="J31" s="2049"/>
      <c r="K31" s="2050"/>
      <c r="L31" s="2075">
        <v>0</v>
      </c>
      <c r="M31" s="2008">
        <v>0</v>
      </c>
      <c r="N31" s="2008">
        <v>0</v>
      </c>
      <c r="O31" s="2023">
        <v>0</v>
      </c>
      <c r="P31" s="2076">
        <v>0</v>
      </c>
      <c r="Q31" s="2076">
        <v>0</v>
      </c>
      <c r="R31" s="2077">
        <v>0</v>
      </c>
      <c r="S31" s="2001"/>
      <c r="T31" s="4056"/>
      <c r="U31" s="3535"/>
      <c r="V31" s="3535"/>
    </row>
    <row r="32" spans="2:22">
      <c r="B32" s="2068"/>
      <c r="C32" s="2007" t="s">
        <v>141</v>
      </c>
      <c r="D32" s="2015">
        <v>0</v>
      </c>
      <c r="E32" s="2015"/>
      <c r="F32" s="3316">
        <f t="shared" si="4"/>
        <v>0</v>
      </c>
      <c r="G32" s="2001"/>
      <c r="H32" s="2022"/>
      <c r="I32" s="2046" t="s">
        <v>204</v>
      </c>
      <c r="J32" s="2049"/>
      <c r="K32" s="2050"/>
      <c r="L32" s="2075">
        <v>0</v>
      </c>
      <c r="M32" s="2008">
        <v>0</v>
      </c>
      <c r="N32" s="2008">
        <v>0</v>
      </c>
      <c r="O32" s="2023">
        <v>0</v>
      </c>
      <c r="P32" s="2076">
        <v>0</v>
      </c>
      <c r="Q32" s="2076">
        <v>0</v>
      </c>
      <c r="R32" s="2077">
        <v>0</v>
      </c>
      <c r="S32" s="2001"/>
      <c r="T32" s="4056"/>
      <c r="U32" s="3535"/>
      <c r="V32" s="3535"/>
    </row>
    <row r="33" spans="2:22" ht="13.5" thickBot="1">
      <c r="B33" s="2068"/>
      <c r="C33" s="2007" t="s">
        <v>142</v>
      </c>
      <c r="D33" s="2015">
        <v>0</v>
      </c>
      <c r="E33" s="2015"/>
      <c r="F33" s="3316">
        <f t="shared" si="4"/>
        <v>0</v>
      </c>
      <c r="G33" s="2001"/>
      <c r="H33" s="2022"/>
      <c r="I33" s="2046" t="s">
        <v>205</v>
      </c>
      <c r="J33" s="2049"/>
      <c r="K33" s="2050"/>
      <c r="L33" s="2075">
        <v>0</v>
      </c>
      <c r="M33" s="2008">
        <v>0</v>
      </c>
      <c r="N33" s="2008">
        <v>0</v>
      </c>
      <c r="O33" s="2023">
        <v>0</v>
      </c>
      <c r="P33" s="2076">
        <v>0</v>
      </c>
      <c r="Q33" s="2076">
        <v>0</v>
      </c>
      <c r="R33" s="2077">
        <v>0</v>
      </c>
      <c r="S33" s="2001"/>
      <c r="T33" s="4056"/>
      <c r="U33" s="3535"/>
      <c r="V33" s="3535"/>
    </row>
    <row r="34" spans="2:22" ht="13.5" thickBot="1">
      <c r="B34" s="2066">
        <v>192</v>
      </c>
      <c r="C34" s="2031" t="s">
        <v>146</v>
      </c>
      <c r="D34" s="2032">
        <f>SUM(D35:D38)</f>
        <v>226.14</v>
      </c>
      <c r="E34" s="3318">
        <f>SUM(E35:E38)</f>
        <v>226.14</v>
      </c>
      <c r="F34" s="2033">
        <f>SUM(D34:E34)</f>
        <v>452.28</v>
      </c>
      <c r="G34" s="2001"/>
      <c r="H34" s="2022"/>
      <c r="I34" s="2046" t="s">
        <v>206</v>
      </c>
      <c r="J34" s="2049"/>
      <c r="K34" s="2050"/>
      <c r="L34" s="2075">
        <v>0</v>
      </c>
      <c r="M34" s="2008">
        <v>0</v>
      </c>
      <c r="N34" s="2008">
        <v>0</v>
      </c>
      <c r="O34" s="2023">
        <v>0</v>
      </c>
      <c r="P34" s="2076">
        <v>0</v>
      </c>
      <c r="Q34" s="2076">
        <v>0</v>
      </c>
      <c r="R34" s="2077">
        <v>0</v>
      </c>
      <c r="S34" s="2001"/>
      <c r="T34" s="4056"/>
      <c r="U34" s="3535"/>
      <c r="V34" s="3535"/>
    </row>
    <row r="35" spans="2:22">
      <c r="B35" s="2068"/>
      <c r="C35" s="2098" t="s">
        <v>139</v>
      </c>
      <c r="D35" s="2015">
        <v>91.14</v>
      </c>
      <c r="E35" s="2015">
        <v>91.14</v>
      </c>
      <c r="F35" s="2014">
        <f>SUM(D35:E35)</f>
        <v>182.28</v>
      </c>
      <c r="G35" s="2001"/>
      <c r="H35" s="2022"/>
      <c r="I35" s="2046" t="s">
        <v>207</v>
      </c>
      <c r="J35" s="2049"/>
      <c r="K35" s="2050"/>
      <c r="L35" s="2075">
        <v>0</v>
      </c>
      <c r="M35" s="2008">
        <v>0</v>
      </c>
      <c r="N35" s="2008">
        <v>0</v>
      </c>
      <c r="O35" s="2023">
        <v>0</v>
      </c>
      <c r="P35" s="2076">
        <v>0</v>
      </c>
      <c r="Q35" s="2076">
        <v>0</v>
      </c>
      <c r="R35" s="2077">
        <v>0</v>
      </c>
      <c r="S35" s="2001"/>
      <c r="T35" s="4056"/>
      <c r="U35" s="3535"/>
      <c r="V35" s="3535"/>
    </row>
    <row r="36" spans="2:22">
      <c r="B36" s="2068"/>
      <c r="C36" s="2007" t="s">
        <v>822</v>
      </c>
      <c r="D36" s="2015">
        <v>135</v>
      </c>
      <c r="E36" s="2015">
        <v>135</v>
      </c>
      <c r="F36" s="3316">
        <f t="shared" ref="F36:F38" si="5">SUM(D36:E36)</f>
        <v>270</v>
      </c>
      <c r="G36" s="2001"/>
      <c r="H36" s="2022"/>
      <c r="I36" s="2046" t="s">
        <v>208</v>
      </c>
      <c r="J36" s="2049"/>
      <c r="K36" s="2050"/>
      <c r="L36" s="2075">
        <v>0</v>
      </c>
      <c r="M36" s="2008">
        <v>0</v>
      </c>
      <c r="N36" s="2008">
        <v>0</v>
      </c>
      <c r="O36" s="2023">
        <v>0</v>
      </c>
      <c r="P36" s="2076">
        <v>0</v>
      </c>
      <c r="Q36" s="2076">
        <v>0</v>
      </c>
      <c r="R36" s="2077">
        <v>0</v>
      </c>
      <c r="S36" s="2001"/>
      <c r="T36" s="4056"/>
      <c r="U36" s="3535"/>
      <c r="V36" s="3535"/>
    </row>
    <row r="37" spans="2:22">
      <c r="B37" s="2068"/>
      <c r="C37" s="2007" t="s">
        <v>141</v>
      </c>
      <c r="D37" s="2015">
        <v>0</v>
      </c>
      <c r="E37" s="2015"/>
      <c r="F37" s="3316">
        <f t="shared" si="5"/>
        <v>0</v>
      </c>
      <c r="G37" s="2001"/>
      <c r="H37" s="2022"/>
      <c r="I37" s="2046" t="s">
        <v>209</v>
      </c>
      <c r="J37" s="2049"/>
      <c r="K37" s="2050"/>
      <c r="L37" s="2075">
        <v>0</v>
      </c>
      <c r="M37" s="2008">
        <v>0</v>
      </c>
      <c r="N37" s="2008">
        <v>0</v>
      </c>
      <c r="O37" s="2023">
        <v>0</v>
      </c>
      <c r="P37" s="2076">
        <v>0</v>
      </c>
      <c r="Q37" s="2076">
        <v>0</v>
      </c>
      <c r="R37" s="2077">
        <v>0</v>
      </c>
      <c r="S37" s="2001"/>
      <c r="T37" s="4056"/>
      <c r="U37" s="3535"/>
      <c r="V37" s="3535"/>
    </row>
    <row r="38" spans="2:22" ht="13.5" thickBot="1">
      <c r="B38" s="2068"/>
      <c r="C38" s="2007" t="s">
        <v>142</v>
      </c>
      <c r="D38" s="2015">
        <v>0</v>
      </c>
      <c r="E38" s="2015"/>
      <c r="F38" s="3316">
        <f t="shared" si="5"/>
        <v>0</v>
      </c>
      <c r="G38" s="2001"/>
      <c r="H38" s="2022"/>
      <c r="I38" s="2046" t="s">
        <v>210</v>
      </c>
      <c r="J38" s="2049"/>
      <c r="K38" s="2050"/>
      <c r="L38" s="2075">
        <v>0</v>
      </c>
      <c r="M38" s="2008">
        <v>0</v>
      </c>
      <c r="N38" s="2008">
        <v>0</v>
      </c>
      <c r="O38" s="2023">
        <v>0</v>
      </c>
      <c r="P38" s="2076">
        <v>0</v>
      </c>
      <c r="Q38" s="2076">
        <v>0</v>
      </c>
      <c r="R38" s="2077">
        <v>0</v>
      </c>
      <c r="S38" s="2001"/>
      <c r="T38" s="4056"/>
      <c r="U38" s="3535"/>
      <c r="V38" s="3535"/>
    </row>
    <row r="39" spans="2:22" ht="13.5" thickBot="1">
      <c r="B39" s="2066">
        <v>5196</v>
      </c>
      <c r="C39" s="2031" t="s">
        <v>147</v>
      </c>
      <c r="D39" s="2032">
        <f>SUM(D40:D44)</f>
        <v>15784</v>
      </c>
      <c r="E39" s="3318">
        <f>SUM(E40:E44)</f>
        <v>15784</v>
      </c>
      <c r="F39" s="2033">
        <f>SUM(D39:E39)</f>
        <v>31568</v>
      </c>
      <c r="G39" s="2001"/>
      <c r="H39" s="2022"/>
      <c r="I39" s="2046" t="s">
        <v>211</v>
      </c>
      <c r="J39" s="2049"/>
      <c r="K39" s="2050"/>
      <c r="L39" s="2075">
        <v>0</v>
      </c>
      <c r="M39" s="2008">
        <v>0</v>
      </c>
      <c r="N39" s="2008">
        <v>0</v>
      </c>
      <c r="O39" s="2023">
        <v>0</v>
      </c>
      <c r="P39" s="2076">
        <v>0</v>
      </c>
      <c r="Q39" s="2076">
        <v>0</v>
      </c>
      <c r="R39" s="2077">
        <v>0</v>
      </c>
      <c r="S39" s="2001"/>
      <c r="T39" s="4056"/>
      <c r="U39" s="3535"/>
      <c r="V39" s="3535"/>
    </row>
    <row r="40" spans="2:22" ht="33.75" customHeight="1">
      <c r="B40" s="2068"/>
      <c r="C40" s="3315" t="s">
        <v>1007</v>
      </c>
      <c r="D40" s="3487">
        <v>8054</v>
      </c>
      <c r="E40" s="3487">
        <v>8054</v>
      </c>
      <c r="F40" s="2014">
        <f>SUM(D40:E40)</f>
        <v>16108</v>
      </c>
      <c r="G40" s="2001"/>
      <c r="H40" s="2022"/>
      <c r="I40" s="2046" t="s">
        <v>212</v>
      </c>
      <c r="J40" s="2049"/>
      <c r="K40" s="2050"/>
      <c r="L40" s="2075">
        <v>0</v>
      </c>
      <c r="M40" s="2008">
        <v>0</v>
      </c>
      <c r="N40" s="2008">
        <v>0</v>
      </c>
      <c r="O40" s="2023">
        <v>0</v>
      </c>
      <c r="P40" s="2076">
        <v>0</v>
      </c>
      <c r="Q40" s="2076">
        <v>0</v>
      </c>
      <c r="R40" s="2077">
        <v>0</v>
      </c>
      <c r="S40" s="2001"/>
      <c r="T40" s="4056"/>
      <c r="U40" s="3535"/>
      <c r="V40" s="3535"/>
    </row>
    <row r="41" spans="2:22">
      <c r="B41" s="4061"/>
      <c r="C41" s="4058" t="s">
        <v>1138</v>
      </c>
      <c r="D41" s="4060">
        <v>4400</v>
      </c>
      <c r="E41" s="4060">
        <v>4400</v>
      </c>
      <c r="F41" s="4059"/>
      <c r="G41" s="4055"/>
      <c r="H41" s="4056"/>
      <c r="I41" s="2046" t="s">
        <v>213</v>
      </c>
      <c r="J41" s="2049"/>
      <c r="K41" s="2050"/>
      <c r="L41" s="2075">
        <v>0</v>
      </c>
      <c r="M41" s="2008">
        <v>0</v>
      </c>
      <c r="N41" s="2008">
        <v>0</v>
      </c>
      <c r="O41" s="2023">
        <v>0</v>
      </c>
      <c r="P41" s="2076">
        <v>0</v>
      </c>
      <c r="Q41" s="2076">
        <v>0</v>
      </c>
      <c r="R41" s="2077">
        <v>0</v>
      </c>
      <c r="S41" s="2001"/>
      <c r="T41" s="4056"/>
      <c r="U41" s="3535"/>
      <c r="V41" s="3535"/>
    </row>
    <row r="42" spans="2:22">
      <c r="B42" s="2068"/>
      <c r="C42" s="3315" t="s">
        <v>998</v>
      </c>
      <c r="D42" s="3487">
        <v>390</v>
      </c>
      <c r="E42" s="3487">
        <v>390</v>
      </c>
      <c r="F42" s="3316">
        <f t="shared" ref="F42:F44" si="6">SUM(D42:E42)</f>
        <v>780</v>
      </c>
      <c r="G42" s="2001"/>
      <c r="H42" s="2022"/>
      <c r="I42" s="2046" t="s">
        <v>214</v>
      </c>
      <c r="J42" s="2049"/>
      <c r="K42" s="2050"/>
      <c r="L42" s="2075">
        <v>0</v>
      </c>
      <c r="M42" s="2008">
        <v>0</v>
      </c>
      <c r="N42" s="2008">
        <v>0</v>
      </c>
      <c r="O42" s="2023">
        <v>0</v>
      </c>
      <c r="P42" s="2076">
        <v>0</v>
      </c>
      <c r="Q42" s="2076">
        <v>0</v>
      </c>
      <c r="R42" s="2077">
        <v>0</v>
      </c>
      <c r="S42" s="2001"/>
      <c r="T42" s="4056"/>
      <c r="U42" s="3535"/>
      <c r="V42" s="3535"/>
    </row>
    <row r="43" spans="2:22">
      <c r="B43" s="2068"/>
      <c r="C43" s="3315" t="s">
        <v>999</v>
      </c>
      <c r="D43" s="3487">
        <v>1640</v>
      </c>
      <c r="E43" s="3487">
        <v>1640</v>
      </c>
      <c r="F43" s="3316">
        <f t="shared" si="6"/>
        <v>3280</v>
      </c>
      <c r="G43" s="2001"/>
      <c r="H43" s="2022"/>
      <c r="I43" s="2046" t="s">
        <v>215</v>
      </c>
      <c r="J43" s="2049"/>
      <c r="K43" s="2050"/>
      <c r="L43" s="2075">
        <v>0</v>
      </c>
      <c r="M43" s="2008">
        <v>0</v>
      </c>
      <c r="N43" s="2008">
        <v>0</v>
      </c>
      <c r="O43" s="2023">
        <v>0</v>
      </c>
      <c r="P43" s="2076">
        <v>0</v>
      </c>
      <c r="Q43" s="2076">
        <v>0</v>
      </c>
      <c r="R43" s="2077">
        <v>0</v>
      </c>
      <c r="S43" s="2001"/>
      <c r="T43" s="4056"/>
      <c r="U43" s="3535"/>
      <c r="V43" s="3535"/>
    </row>
    <row r="44" spans="2:22" ht="13.5" thickBot="1">
      <c r="B44" s="2068"/>
      <c r="C44" s="3315" t="s">
        <v>1000</v>
      </c>
      <c r="D44" s="3487">
        <v>1300</v>
      </c>
      <c r="E44" s="3487">
        <v>1300</v>
      </c>
      <c r="F44" s="3316">
        <f t="shared" si="6"/>
        <v>2600</v>
      </c>
      <c r="G44" s="2001"/>
      <c r="H44" s="2022"/>
      <c r="I44" s="2046" t="s">
        <v>216</v>
      </c>
      <c r="J44" s="2049"/>
      <c r="K44" s="2050"/>
      <c r="L44" s="2075">
        <v>0</v>
      </c>
      <c r="M44" s="2008">
        <v>0</v>
      </c>
      <c r="N44" s="2008">
        <v>0</v>
      </c>
      <c r="O44" s="2023">
        <v>0</v>
      </c>
      <c r="P44" s="2076">
        <v>0</v>
      </c>
      <c r="Q44" s="2076">
        <v>0</v>
      </c>
      <c r="R44" s="2077">
        <v>0</v>
      </c>
      <c r="S44" s="2001"/>
      <c r="T44" s="4056"/>
      <c r="U44" s="3535"/>
      <c r="V44" s="3535"/>
    </row>
    <row r="45" spans="2:22" ht="13.5" thickBot="1">
      <c r="B45" s="2066">
        <v>0</v>
      </c>
      <c r="C45" s="2031" t="s">
        <v>148</v>
      </c>
      <c r="D45" s="2032">
        <f>SUM(D46:D49)</f>
        <v>900</v>
      </c>
      <c r="E45" s="3318">
        <f>SUM(E46:E49)</f>
        <v>900</v>
      </c>
      <c r="F45" s="2033">
        <f>SUM(D45:E45)</f>
        <v>1800</v>
      </c>
      <c r="G45" s="2001"/>
      <c r="H45" s="2022"/>
      <c r="I45" s="2046" t="s">
        <v>217</v>
      </c>
      <c r="J45" s="2049"/>
      <c r="K45" s="2050"/>
      <c r="L45" s="2075">
        <v>0</v>
      </c>
      <c r="M45" s="2008">
        <v>0</v>
      </c>
      <c r="N45" s="2008">
        <v>0</v>
      </c>
      <c r="O45" s="2023">
        <v>0</v>
      </c>
      <c r="P45" s="2076">
        <v>0</v>
      </c>
      <c r="Q45" s="2076">
        <v>0</v>
      </c>
      <c r="R45" s="2077">
        <v>0</v>
      </c>
      <c r="S45" s="2001"/>
      <c r="T45" s="4056"/>
      <c r="U45" s="3535"/>
      <c r="V45" s="3535"/>
    </row>
    <row r="46" spans="2:22">
      <c r="B46" s="2068"/>
      <c r="C46" s="2007" t="s">
        <v>821</v>
      </c>
      <c r="D46" s="2015">
        <v>900</v>
      </c>
      <c r="E46" s="2015">
        <v>900</v>
      </c>
      <c r="F46" s="2014">
        <f>SUM(D46:E46)</f>
        <v>1800</v>
      </c>
      <c r="G46" s="2001"/>
      <c r="H46" s="2022"/>
      <c r="I46" s="2046" t="s">
        <v>218</v>
      </c>
      <c r="J46" s="2049"/>
      <c r="K46" s="2050"/>
      <c r="L46" s="2075">
        <v>0</v>
      </c>
      <c r="M46" s="2008">
        <v>0</v>
      </c>
      <c r="N46" s="2008">
        <v>0</v>
      </c>
      <c r="O46" s="2023">
        <v>0</v>
      </c>
      <c r="P46" s="2076">
        <v>0</v>
      </c>
      <c r="Q46" s="2076">
        <v>0</v>
      </c>
      <c r="R46" s="2077">
        <v>0</v>
      </c>
      <c r="S46" s="2001"/>
      <c r="T46" s="4056"/>
      <c r="U46" s="3535"/>
      <c r="V46" s="3535"/>
    </row>
    <row r="47" spans="2:22">
      <c r="B47" s="2068"/>
      <c r="C47" s="2007" t="s">
        <v>140</v>
      </c>
      <c r="D47" s="2015">
        <v>0</v>
      </c>
      <c r="E47" s="2015"/>
      <c r="F47" s="3316">
        <f t="shared" ref="F47:F49" si="7">SUM(D47:E47)</f>
        <v>0</v>
      </c>
      <c r="G47" s="2001"/>
      <c r="H47" s="2022"/>
      <c r="I47" s="2046" t="s">
        <v>219</v>
      </c>
      <c r="J47" s="2049"/>
      <c r="K47" s="2050"/>
      <c r="L47" s="2075">
        <v>0</v>
      </c>
      <c r="M47" s="2008">
        <v>0</v>
      </c>
      <c r="N47" s="2008">
        <v>0</v>
      </c>
      <c r="O47" s="2023">
        <v>0</v>
      </c>
      <c r="P47" s="2076">
        <v>0</v>
      </c>
      <c r="Q47" s="2076">
        <v>0</v>
      </c>
      <c r="R47" s="2077">
        <v>0</v>
      </c>
      <c r="S47" s="2001"/>
      <c r="T47" s="4056"/>
      <c r="U47" s="3535"/>
      <c r="V47" s="3535"/>
    </row>
    <row r="48" spans="2:22">
      <c r="B48" s="2068"/>
      <c r="C48" s="2007" t="s">
        <v>141</v>
      </c>
      <c r="D48" s="2015">
        <v>0</v>
      </c>
      <c r="E48" s="2015"/>
      <c r="F48" s="3316">
        <f t="shared" si="7"/>
        <v>0</v>
      </c>
      <c r="G48" s="2001"/>
      <c r="H48" s="2022"/>
      <c r="I48" s="2046" t="s">
        <v>220</v>
      </c>
      <c r="J48" s="2049"/>
      <c r="K48" s="2050"/>
      <c r="L48" s="2075">
        <v>0</v>
      </c>
      <c r="M48" s="2008">
        <v>0</v>
      </c>
      <c r="N48" s="2008">
        <v>0</v>
      </c>
      <c r="O48" s="2023">
        <v>0</v>
      </c>
      <c r="P48" s="2076">
        <v>0</v>
      </c>
      <c r="Q48" s="2076">
        <v>0</v>
      </c>
      <c r="R48" s="2077">
        <v>0</v>
      </c>
      <c r="S48" s="2001"/>
      <c r="T48" s="4056"/>
      <c r="U48" s="3535"/>
      <c r="V48" s="3535"/>
    </row>
    <row r="49" spans="2:24" ht="13.5" thickBot="1">
      <c r="B49" s="2068"/>
      <c r="C49" s="2007" t="s">
        <v>142</v>
      </c>
      <c r="D49" s="2015">
        <v>0</v>
      </c>
      <c r="E49" s="2015"/>
      <c r="F49" s="3316">
        <f t="shared" si="7"/>
        <v>0</v>
      </c>
      <c r="G49" s="2001"/>
      <c r="H49" s="2022"/>
      <c r="I49" s="2046" t="s">
        <v>221</v>
      </c>
      <c r="J49" s="2049"/>
      <c r="K49" s="2050"/>
      <c r="L49" s="2075">
        <v>0</v>
      </c>
      <c r="M49" s="2008">
        <v>0</v>
      </c>
      <c r="N49" s="2008">
        <v>0</v>
      </c>
      <c r="O49" s="2023">
        <v>0</v>
      </c>
      <c r="P49" s="2076">
        <v>0</v>
      </c>
      <c r="Q49" s="2076">
        <v>0</v>
      </c>
      <c r="R49" s="2077">
        <v>0</v>
      </c>
      <c r="S49" s="2001"/>
      <c r="T49" s="4056"/>
      <c r="U49" s="3535"/>
      <c r="V49" s="3535"/>
    </row>
    <row r="50" spans="2:24" ht="13.5" thickBot="1">
      <c r="B50" s="2066">
        <v>0</v>
      </c>
      <c r="C50" s="2031" t="s">
        <v>149</v>
      </c>
      <c r="D50" s="2032">
        <f>SUM(D51:D54)</f>
        <v>585</v>
      </c>
      <c r="E50" s="3318">
        <f>SUM(E51:E54)</f>
        <v>585</v>
      </c>
      <c r="F50" s="2033">
        <f>SUM(D50:E50)</f>
        <v>1170</v>
      </c>
      <c r="G50" s="2001"/>
      <c r="H50" s="2022"/>
      <c r="I50" s="2046" t="s">
        <v>222</v>
      </c>
      <c r="J50" s="2049"/>
      <c r="K50" s="2050"/>
      <c r="L50" s="2075">
        <v>0</v>
      </c>
      <c r="M50" s="2008">
        <v>0</v>
      </c>
      <c r="N50" s="2008">
        <v>0</v>
      </c>
      <c r="O50" s="2023">
        <v>0</v>
      </c>
      <c r="P50" s="2076">
        <v>0</v>
      </c>
      <c r="Q50" s="2076">
        <v>0</v>
      </c>
      <c r="R50" s="2077">
        <v>0</v>
      </c>
      <c r="S50" s="2001"/>
      <c r="T50" s="4056"/>
      <c r="U50" s="3535"/>
      <c r="V50" s="3535"/>
    </row>
    <row r="51" spans="2:24">
      <c r="B51" s="2068"/>
      <c r="C51" s="3319" t="s">
        <v>1001</v>
      </c>
      <c r="D51" s="3488">
        <v>325</v>
      </c>
      <c r="E51" s="3488">
        <v>325</v>
      </c>
      <c r="F51" s="2014">
        <f>SUM(D51:E51)</f>
        <v>650</v>
      </c>
      <c r="G51" s="2001"/>
      <c r="H51" s="2022"/>
      <c r="I51" s="2046" t="s">
        <v>223</v>
      </c>
      <c r="J51" s="2049"/>
      <c r="K51" s="2050"/>
      <c r="L51" s="2075">
        <v>0</v>
      </c>
      <c r="M51" s="2008">
        <v>0</v>
      </c>
      <c r="N51" s="2008">
        <v>0</v>
      </c>
      <c r="O51" s="2023">
        <v>0</v>
      </c>
      <c r="P51" s="2076">
        <v>0</v>
      </c>
      <c r="Q51" s="2076">
        <v>0</v>
      </c>
      <c r="R51" s="2077">
        <v>0</v>
      </c>
      <c r="S51" s="2001"/>
      <c r="T51" s="4056"/>
      <c r="U51" s="4056"/>
      <c r="V51" s="4056"/>
      <c r="W51" s="2001"/>
      <c r="X51" s="2001"/>
    </row>
    <row r="52" spans="2:24">
      <c r="B52" s="2068"/>
      <c r="C52" s="3319" t="s">
        <v>1002</v>
      </c>
      <c r="D52" s="3488">
        <v>65</v>
      </c>
      <c r="E52" s="3488">
        <v>65</v>
      </c>
      <c r="F52" s="3316">
        <f t="shared" ref="F52:F54" si="8">SUM(D52:E52)</f>
        <v>130</v>
      </c>
      <c r="G52" s="2001"/>
      <c r="H52" s="2001"/>
      <c r="I52" s="2046" t="s">
        <v>224</v>
      </c>
      <c r="J52" s="2049"/>
      <c r="K52" s="2050"/>
      <c r="L52" s="2075">
        <v>0</v>
      </c>
      <c r="M52" s="2008">
        <v>0</v>
      </c>
      <c r="N52" s="2008">
        <v>0</v>
      </c>
      <c r="O52" s="2023">
        <v>0</v>
      </c>
      <c r="P52" s="2076">
        <v>0</v>
      </c>
      <c r="Q52" s="2076">
        <v>0</v>
      </c>
      <c r="R52" s="2077">
        <v>0</v>
      </c>
      <c r="S52" s="2001"/>
      <c r="T52" s="4056"/>
      <c r="U52" s="4056"/>
      <c r="V52" s="4056"/>
      <c r="W52" s="2001"/>
      <c r="X52" s="2001"/>
    </row>
    <row r="53" spans="2:24">
      <c r="B53" s="2068"/>
      <c r="C53" s="3319" t="s">
        <v>1003</v>
      </c>
      <c r="D53" s="3488">
        <v>65</v>
      </c>
      <c r="E53" s="3488">
        <v>65</v>
      </c>
      <c r="F53" s="3316">
        <f t="shared" si="8"/>
        <v>130</v>
      </c>
      <c r="G53" s="2001"/>
      <c r="H53" s="2001"/>
      <c r="I53" s="2046" t="s">
        <v>225</v>
      </c>
      <c r="J53" s="2049"/>
      <c r="K53" s="2050"/>
      <c r="L53" s="2075">
        <v>0</v>
      </c>
      <c r="M53" s="2008">
        <v>0</v>
      </c>
      <c r="N53" s="2008">
        <v>0</v>
      </c>
      <c r="O53" s="2023">
        <v>0</v>
      </c>
      <c r="P53" s="2076">
        <v>0</v>
      </c>
      <c r="Q53" s="2076">
        <v>0</v>
      </c>
      <c r="R53" s="2077">
        <v>0</v>
      </c>
      <c r="S53" s="2001"/>
      <c r="T53" s="4056"/>
      <c r="U53" s="4056"/>
      <c r="V53" s="4056"/>
      <c r="W53" s="2001"/>
      <c r="X53" s="2001"/>
    </row>
    <row r="54" spans="2:24" ht="13.5" thickBot="1">
      <c r="B54" s="2068"/>
      <c r="C54" s="3329" t="s">
        <v>1006</v>
      </c>
      <c r="D54" s="3488">
        <v>130</v>
      </c>
      <c r="E54" s="3488">
        <v>130</v>
      </c>
      <c r="F54" s="3316">
        <f t="shared" si="8"/>
        <v>260</v>
      </c>
      <c r="G54" s="2001"/>
      <c r="H54" s="2001"/>
      <c r="I54" s="2046" t="s">
        <v>226</v>
      </c>
      <c r="J54" s="2049"/>
      <c r="K54" s="2050"/>
      <c r="L54" s="2075">
        <v>0</v>
      </c>
      <c r="M54" s="2008">
        <v>0</v>
      </c>
      <c r="N54" s="2008">
        <v>0</v>
      </c>
      <c r="O54" s="2023">
        <v>0</v>
      </c>
      <c r="P54" s="2076">
        <v>0</v>
      </c>
      <c r="Q54" s="2076">
        <v>0</v>
      </c>
      <c r="R54" s="2077">
        <v>0</v>
      </c>
      <c r="S54" s="2001"/>
      <c r="T54" s="4056"/>
      <c r="U54" s="4056"/>
      <c r="V54" s="4056"/>
      <c r="W54" s="2001"/>
      <c r="X54" s="2001"/>
    </row>
    <row r="55" spans="2:24" ht="13.5" thickBot="1">
      <c r="B55" s="2066">
        <v>0</v>
      </c>
      <c r="C55" s="2031" t="s">
        <v>150</v>
      </c>
      <c r="D55" s="2032">
        <v>0</v>
      </c>
      <c r="E55" s="2032">
        <v>0</v>
      </c>
      <c r="F55" s="2033">
        <v>0</v>
      </c>
      <c r="G55" s="2034" t="s">
        <v>151</v>
      </c>
      <c r="H55" s="2001"/>
      <c r="I55" s="2046">
        <v>0</v>
      </c>
      <c r="J55" s="2047"/>
      <c r="K55" s="2048"/>
      <c r="L55" s="2075">
        <v>0</v>
      </c>
      <c r="M55" s="2008">
        <v>0</v>
      </c>
      <c r="N55" s="2008">
        <v>0</v>
      </c>
      <c r="O55" s="2023">
        <v>0</v>
      </c>
      <c r="P55" s="2076">
        <v>0</v>
      </c>
      <c r="Q55" s="2076">
        <v>0</v>
      </c>
      <c r="R55" s="2077">
        <v>0</v>
      </c>
      <c r="S55" s="2001"/>
      <c r="T55" s="4056"/>
      <c r="U55" s="4056"/>
      <c r="V55" s="4056"/>
      <c r="W55" s="2001"/>
      <c r="X55" s="2001"/>
    </row>
    <row r="56" spans="2:24" ht="13.5" thickBot="1">
      <c r="B56" s="2066">
        <v>0</v>
      </c>
      <c r="C56" s="2031" t="s">
        <v>152</v>
      </c>
      <c r="D56" s="2032">
        <v>0</v>
      </c>
      <c r="E56" s="2032">
        <v>0</v>
      </c>
      <c r="F56" s="2033">
        <v>0</v>
      </c>
      <c r="G56" s="2001"/>
      <c r="H56" s="2001"/>
      <c r="I56" s="2001"/>
      <c r="J56" s="2001"/>
      <c r="K56" s="2001"/>
      <c r="L56" s="2001"/>
      <c r="M56" s="2001"/>
      <c r="N56" s="2001"/>
      <c r="O56" s="2001"/>
      <c r="P56" s="2078">
        <v>0</v>
      </c>
      <c r="Q56" s="2078">
        <v>0</v>
      </c>
      <c r="R56" s="2078">
        <v>0</v>
      </c>
      <c r="S56" s="2001"/>
      <c r="T56" s="4899"/>
      <c r="U56" s="4056"/>
      <c r="V56" s="4056"/>
      <c r="W56" s="2001"/>
      <c r="X56" s="2001"/>
    </row>
    <row r="57" spans="2:24">
      <c r="B57" s="2017">
        <v>17988</v>
      </c>
      <c r="C57" s="2002" t="s">
        <v>153</v>
      </c>
      <c r="D57" s="2017">
        <f>D14+D19+D24+D29+D34+D39+D45+D50+D55+D56</f>
        <v>62630.770800000006</v>
      </c>
      <c r="E57" s="3317">
        <f>E14+E19+E24+E29+E34+E39+E45+E50+E55+E56</f>
        <v>48328.74</v>
      </c>
      <c r="F57" s="3317">
        <f>F14+F19+F24+F29+F34+F39+F45+F50+F55+F56</f>
        <v>110959.5108</v>
      </c>
      <c r="G57" s="2001"/>
      <c r="H57" s="2001"/>
      <c r="I57" s="2001"/>
      <c r="J57" s="2001"/>
      <c r="K57" s="2001"/>
      <c r="L57" s="2001"/>
      <c r="M57" s="2001"/>
      <c r="N57" s="2001"/>
      <c r="O57" s="2001"/>
      <c r="P57" s="2001"/>
      <c r="Q57" s="2001"/>
      <c r="R57" s="2001"/>
      <c r="S57" s="2001"/>
      <c r="T57" s="2001"/>
      <c r="U57" s="2001"/>
      <c r="V57" s="2001"/>
      <c r="W57" s="2001"/>
      <c r="X57" s="2001"/>
    </row>
    <row r="58" spans="2:24">
      <c r="B58" s="2001"/>
      <c r="C58" s="2002"/>
      <c r="D58" s="2017"/>
      <c r="E58" s="2017"/>
      <c r="F58" s="2017"/>
      <c r="G58" s="2001"/>
      <c r="H58" s="2001"/>
      <c r="I58" s="2001"/>
      <c r="J58" s="2001"/>
      <c r="K58" s="2001"/>
      <c r="L58" s="2001"/>
      <c r="M58" s="2001"/>
      <c r="N58" s="2001"/>
      <c r="O58" s="2001"/>
      <c r="P58" s="2001"/>
      <c r="Q58" s="2001"/>
      <c r="R58" s="2001"/>
      <c r="S58" s="2001"/>
      <c r="T58" s="2001"/>
      <c r="U58" s="2001"/>
      <c r="V58" s="2001"/>
      <c r="W58" s="2001"/>
      <c r="X58" s="2001"/>
    </row>
    <row r="59" spans="2:24">
      <c r="B59" s="2001"/>
      <c r="C59" s="2002" t="s">
        <v>154</v>
      </c>
      <c r="D59" s="2017">
        <v>84455.56</v>
      </c>
      <c r="E59" s="2017">
        <v>87314.57</v>
      </c>
      <c r="F59" s="2017">
        <v>171770.13</v>
      </c>
      <c r="G59" s="2001"/>
      <c r="H59" s="2001"/>
      <c r="I59" s="2001"/>
      <c r="J59" s="2001"/>
      <c r="K59" s="2001"/>
      <c r="L59" s="2001"/>
      <c r="M59" s="2001"/>
      <c r="N59" s="2001"/>
      <c r="O59" s="2001"/>
      <c r="P59" s="2001"/>
      <c r="Q59" s="2001"/>
      <c r="R59" s="2001"/>
      <c r="S59" s="2001"/>
      <c r="T59" s="2001"/>
      <c r="U59" s="2001"/>
      <c r="V59" s="2001"/>
      <c r="W59" s="2001"/>
      <c r="X59" s="2001"/>
    </row>
    <row r="60" spans="2:24">
      <c r="B60" s="2001"/>
      <c r="C60" s="2002" t="s">
        <v>155</v>
      </c>
      <c r="D60" s="2003">
        <v>0</v>
      </c>
      <c r="E60" s="2003">
        <v>0</v>
      </c>
      <c r="F60" s="2003">
        <v>0</v>
      </c>
      <c r="G60" s="2090">
        <v>0</v>
      </c>
      <c r="H60" s="2091" t="s">
        <v>156</v>
      </c>
      <c r="I60" s="2001"/>
      <c r="J60" s="2001"/>
      <c r="K60" s="2001"/>
      <c r="L60" s="2001"/>
      <c r="M60" s="2001"/>
      <c r="N60" s="2001"/>
      <c r="O60" s="2001"/>
      <c r="P60" s="2001"/>
      <c r="Q60" s="2001"/>
      <c r="R60" s="2001"/>
      <c r="S60" s="2001"/>
      <c r="T60" s="2001"/>
      <c r="U60" s="2001"/>
      <c r="V60" s="2001"/>
      <c r="W60" s="2001"/>
      <c r="X60" s="2001"/>
    </row>
    <row r="61" spans="2:24" ht="13.5" thickBot="1">
      <c r="B61" s="2001"/>
      <c r="C61" s="2001"/>
      <c r="D61" s="2001"/>
      <c r="E61" s="2001"/>
      <c r="F61" s="2001"/>
      <c r="G61" s="2001"/>
      <c r="H61" s="2001"/>
      <c r="I61" s="2001"/>
      <c r="J61" s="2001"/>
      <c r="K61" s="3323"/>
      <c r="L61" s="2001"/>
      <c r="M61" s="2001"/>
      <c r="N61" s="2001"/>
      <c r="O61" s="2001"/>
      <c r="P61" s="2001"/>
      <c r="Q61" s="2001"/>
      <c r="R61" s="2001"/>
      <c r="S61" s="2001"/>
      <c r="T61" s="2001"/>
      <c r="U61" s="2001"/>
      <c r="V61" s="2001"/>
      <c r="W61" s="2001"/>
      <c r="X61" s="2001"/>
    </row>
    <row r="62" spans="2:24" ht="16.5" thickBot="1">
      <c r="B62" s="2044" t="s">
        <v>157</v>
      </c>
      <c r="C62" s="2045"/>
      <c r="D62" s="3268" t="s">
        <v>158</v>
      </c>
      <c r="E62" s="3267"/>
      <c r="F62" s="3267"/>
      <c r="G62" s="3298"/>
      <c r="H62" s="3298"/>
      <c r="I62" s="4055"/>
      <c r="J62" s="4055"/>
      <c r="K62" s="3323"/>
      <c r="L62" s="4055"/>
      <c r="M62" s="4055"/>
      <c r="N62" s="4055"/>
      <c r="O62" s="4055"/>
      <c r="P62" s="4055"/>
      <c r="Q62" s="4055"/>
      <c r="R62" s="4055"/>
      <c r="S62" s="4055"/>
      <c r="T62" s="4055"/>
      <c r="U62" s="4055"/>
      <c r="V62" s="4055"/>
      <c r="W62" s="4055"/>
      <c r="X62" s="4055"/>
    </row>
    <row r="63" spans="2:24" ht="16.5" thickBot="1">
      <c r="B63" s="3264" t="s">
        <v>159</v>
      </c>
      <c r="C63" s="3265"/>
      <c r="D63" s="3265"/>
      <c r="E63" s="3265"/>
      <c r="F63" s="3265"/>
      <c r="G63" s="3265"/>
      <c r="H63" s="3265"/>
      <c r="I63" s="3265"/>
      <c r="J63" s="3265"/>
      <c r="K63" s="3266"/>
      <c r="L63" s="5153" t="s">
        <v>160</v>
      </c>
      <c r="M63" s="5154"/>
      <c r="N63" s="5154"/>
      <c r="O63" s="5154"/>
      <c r="P63" s="5154"/>
      <c r="Q63" s="5154"/>
      <c r="R63" s="5155"/>
      <c r="S63" s="5153" t="s">
        <v>161</v>
      </c>
      <c r="T63" s="5154"/>
      <c r="U63" s="5155"/>
      <c r="V63" s="5153" t="s">
        <v>110</v>
      </c>
      <c r="W63" s="5154"/>
      <c r="X63" s="5155"/>
    </row>
    <row r="64" spans="2:24" ht="13.5" thickBot="1">
      <c r="B64" s="2009" t="s">
        <v>162</v>
      </c>
      <c r="C64" s="2010" t="s">
        <v>129</v>
      </c>
      <c r="D64" s="2010" t="s">
        <v>130</v>
      </c>
      <c r="E64" s="2010" t="s">
        <v>163</v>
      </c>
      <c r="F64" s="2010" t="s">
        <v>164</v>
      </c>
      <c r="G64" s="2010" t="s">
        <v>165</v>
      </c>
      <c r="H64" s="2010" t="s">
        <v>166</v>
      </c>
      <c r="I64" s="2010" t="s">
        <v>167</v>
      </c>
      <c r="J64" s="2010" t="s">
        <v>168</v>
      </c>
      <c r="K64" s="2011" t="s">
        <v>169</v>
      </c>
      <c r="L64" s="2079" t="s">
        <v>170</v>
      </c>
      <c r="M64" s="2080" t="s">
        <v>171</v>
      </c>
      <c r="N64" s="2035" t="s">
        <v>802</v>
      </c>
      <c r="O64" s="2035" t="s">
        <v>803</v>
      </c>
      <c r="P64" s="2081" t="s">
        <v>804</v>
      </c>
      <c r="Q64" s="2081" t="s">
        <v>805</v>
      </c>
      <c r="R64" s="2042" t="s">
        <v>806</v>
      </c>
      <c r="S64" s="2020" t="s">
        <v>177</v>
      </c>
      <c r="T64" s="2020" t="s">
        <v>178</v>
      </c>
      <c r="U64" s="2021" t="s">
        <v>179</v>
      </c>
      <c r="V64" s="2020" t="s">
        <v>115</v>
      </c>
      <c r="W64" s="2020" t="s">
        <v>12</v>
      </c>
      <c r="X64" s="2021" t="s">
        <v>116</v>
      </c>
    </row>
    <row r="65" spans="2:24">
      <c r="B65" s="2008"/>
      <c r="C65" s="2005" t="s">
        <v>368</v>
      </c>
      <c r="D65" s="2008">
        <v>0</v>
      </c>
      <c r="E65" s="2008" t="s">
        <v>559</v>
      </c>
      <c r="F65" s="2005" t="s">
        <v>186</v>
      </c>
      <c r="G65" s="2013">
        <v>0</v>
      </c>
      <c r="H65" s="2013">
        <v>0</v>
      </c>
      <c r="I65" s="2087">
        <v>0</v>
      </c>
      <c r="J65" s="2008">
        <v>0</v>
      </c>
      <c r="K65" s="2008"/>
      <c r="L65" s="2036" t="e">
        <v>#N/A</v>
      </c>
      <c r="M65" s="2036" t="e">
        <v>#N/A</v>
      </c>
      <c r="N65" s="2084" t="e">
        <v>#DIV/0!</v>
      </c>
      <c r="O65" s="2084" t="e">
        <v>#DIV/0!</v>
      </c>
      <c r="P65" s="2084" t="e">
        <v>#N/A</v>
      </c>
      <c r="Q65" s="2084" t="e">
        <v>#N/A</v>
      </c>
      <c r="R65" s="2084" t="e">
        <v>#N/A</v>
      </c>
      <c r="S65" s="2026">
        <v>0</v>
      </c>
      <c r="T65" s="2026">
        <v>0</v>
      </c>
      <c r="U65" s="2026">
        <v>0</v>
      </c>
      <c r="V65" s="2092" t="e">
        <v>#DIV/0!</v>
      </c>
      <c r="W65" s="2092" t="e">
        <v>#DIV/0!</v>
      </c>
      <c r="X65" s="2092" t="e">
        <v>#DIV/0!</v>
      </c>
    </row>
    <row r="66" spans="2:24">
      <c r="B66" s="2005"/>
      <c r="C66" s="2005" t="s">
        <v>369</v>
      </c>
      <c r="D66" s="2005">
        <v>0</v>
      </c>
      <c r="E66" s="2005" t="s">
        <v>559</v>
      </c>
      <c r="F66" s="2005" t="s">
        <v>186</v>
      </c>
      <c r="G66" s="2013">
        <v>0</v>
      </c>
      <c r="H66" s="2013">
        <v>0</v>
      </c>
      <c r="I66" s="2087">
        <v>0</v>
      </c>
      <c r="J66" s="2008">
        <v>0</v>
      </c>
      <c r="K66" s="2008"/>
      <c r="L66" s="2036" t="e">
        <v>#N/A</v>
      </c>
      <c r="M66" s="2036" t="e">
        <v>#N/A</v>
      </c>
      <c r="N66" s="2084" t="e">
        <v>#DIV/0!</v>
      </c>
      <c r="O66" s="2084" t="e">
        <v>#DIV/0!</v>
      </c>
      <c r="P66" s="2084" t="e">
        <v>#N/A</v>
      </c>
      <c r="Q66" s="2084" t="e">
        <v>#N/A</v>
      </c>
      <c r="R66" s="2084" t="e">
        <v>#N/A</v>
      </c>
      <c r="S66" s="2026">
        <v>0</v>
      </c>
      <c r="T66" s="2026">
        <v>0</v>
      </c>
      <c r="U66" s="2026">
        <v>0</v>
      </c>
      <c r="V66" s="2092" t="e">
        <v>#DIV/0!</v>
      </c>
      <c r="W66" s="2092" t="e">
        <v>#DIV/0!</v>
      </c>
      <c r="X66" s="2092" t="e">
        <v>#DIV/0!</v>
      </c>
    </row>
    <row r="67" spans="2:24">
      <c r="B67" s="2005"/>
      <c r="C67" s="2005" t="s">
        <v>370</v>
      </c>
      <c r="D67" s="2005">
        <v>0</v>
      </c>
      <c r="E67" s="2005" t="s">
        <v>559</v>
      </c>
      <c r="F67" s="2005" t="s">
        <v>186</v>
      </c>
      <c r="G67" s="2013">
        <v>0</v>
      </c>
      <c r="H67" s="2013">
        <v>0</v>
      </c>
      <c r="I67" s="2087">
        <v>0</v>
      </c>
      <c r="J67" s="2008">
        <v>0</v>
      </c>
      <c r="K67" s="2008"/>
      <c r="L67" s="2036" t="e">
        <v>#N/A</v>
      </c>
      <c r="M67" s="2036" t="e">
        <v>#N/A</v>
      </c>
      <c r="N67" s="2084" t="e">
        <v>#DIV/0!</v>
      </c>
      <c r="O67" s="2084" t="e">
        <v>#DIV/0!</v>
      </c>
      <c r="P67" s="2084" t="e">
        <v>#N/A</v>
      </c>
      <c r="Q67" s="2084" t="e">
        <v>#N/A</v>
      </c>
      <c r="R67" s="2084" t="e">
        <v>#N/A</v>
      </c>
      <c r="S67" s="2026">
        <v>0</v>
      </c>
      <c r="T67" s="2026">
        <v>0</v>
      </c>
      <c r="U67" s="2026">
        <v>0</v>
      </c>
      <c r="V67" s="2092" t="e">
        <v>#DIV/0!</v>
      </c>
      <c r="W67" s="2092" t="e">
        <v>#DIV/0!</v>
      </c>
      <c r="X67" s="2092" t="e">
        <v>#DIV/0!</v>
      </c>
    </row>
    <row r="68" spans="2:24">
      <c r="B68" s="2005"/>
      <c r="C68" s="2005" t="s">
        <v>188</v>
      </c>
      <c r="D68" s="2005">
        <v>0</v>
      </c>
      <c r="E68" s="2005" t="s">
        <v>559</v>
      </c>
      <c r="F68" s="2005" t="s">
        <v>186</v>
      </c>
      <c r="G68" s="2013">
        <v>0</v>
      </c>
      <c r="H68" s="2013">
        <v>0</v>
      </c>
      <c r="I68" s="2087">
        <v>0</v>
      </c>
      <c r="J68" s="2008">
        <v>0</v>
      </c>
      <c r="K68" s="2008"/>
      <c r="L68" s="2036" t="e">
        <v>#N/A</v>
      </c>
      <c r="M68" s="2036" t="e">
        <v>#N/A</v>
      </c>
      <c r="N68" s="2084" t="e">
        <v>#DIV/0!</v>
      </c>
      <c r="O68" s="2084" t="e">
        <v>#DIV/0!</v>
      </c>
      <c r="P68" s="2084" t="e">
        <v>#N/A</v>
      </c>
      <c r="Q68" s="2084" t="e">
        <v>#N/A</v>
      </c>
      <c r="R68" s="2084" t="e">
        <v>#N/A</v>
      </c>
      <c r="S68" s="2026">
        <v>0</v>
      </c>
      <c r="T68" s="2026">
        <v>0</v>
      </c>
      <c r="U68" s="2026">
        <v>0</v>
      </c>
      <c r="V68" s="2092" t="e">
        <v>#DIV/0!</v>
      </c>
      <c r="W68" s="2092" t="e">
        <v>#DIV/0!</v>
      </c>
      <c r="X68" s="2092" t="e">
        <v>#DIV/0!</v>
      </c>
    </row>
    <row r="69" spans="2:24">
      <c r="B69" s="2005"/>
      <c r="C69" s="2005" t="s">
        <v>189</v>
      </c>
      <c r="D69" s="2005">
        <v>0</v>
      </c>
      <c r="E69" s="2005" t="s">
        <v>559</v>
      </c>
      <c r="F69" s="2005" t="s">
        <v>186</v>
      </c>
      <c r="G69" s="2013">
        <v>0</v>
      </c>
      <c r="H69" s="2013">
        <v>0</v>
      </c>
      <c r="I69" s="2087">
        <v>0</v>
      </c>
      <c r="J69" s="2008">
        <v>0</v>
      </c>
      <c r="K69" s="2008"/>
      <c r="L69" s="2036" t="e">
        <v>#N/A</v>
      </c>
      <c r="M69" s="2036" t="e">
        <v>#N/A</v>
      </c>
      <c r="N69" s="2084" t="e">
        <v>#DIV/0!</v>
      </c>
      <c r="O69" s="2084" t="e">
        <v>#DIV/0!</v>
      </c>
      <c r="P69" s="2084" t="e">
        <v>#N/A</v>
      </c>
      <c r="Q69" s="2084" t="e">
        <v>#N/A</v>
      </c>
      <c r="R69" s="2084" t="e">
        <v>#N/A</v>
      </c>
      <c r="S69" s="2026">
        <v>0</v>
      </c>
      <c r="T69" s="2026">
        <v>0</v>
      </c>
      <c r="U69" s="2026">
        <v>0</v>
      </c>
      <c r="V69" s="2092" t="e">
        <v>#DIV/0!</v>
      </c>
      <c r="W69" s="2092" t="e">
        <v>#DIV/0!</v>
      </c>
      <c r="X69" s="2092" t="e">
        <v>#DIV/0!</v>
      </c>
    </row>
    <row r="70" spans="2:24">
      <c r="B70" s="2005"/>
      <c r="C70" s="2005" t="s">
        <v>190</v>
      </c>
      <c r="D70" s="2005">
        <v>0</v>
      </c>
      <c r="E70" s="2005" t="s">
        <v>559</v>
      </c>
      <c r="F70" s="2005" t="s">
        <v>186</v>
      </c>
      <c r="G70" s="2013">
        <v>0</v>
      </c>
      <c r="H70" s="2013">
        <v>0</v>
      </c>
      <c r="I70" s="2087">
        <v>0</v>
      </c>
      <c r="J70" s="2008">
        <v>0</v>
      </c>
      <c r="K70" s="2008"/>
      <c r="L70" s="2036" t="e">
        <v>#N/A</v>
      </c>
      <c r="M70" s="2036" t="e">
        <v>#N/A</v>
      </c>
      <c r="N70" s="2084" t="e">
        <v>#DIV/0!</v>
      </c>
      <c r="O70" s="2084" t="e">
        <v>#DIV/0!</v>
      </c>
      <c r="P70" s="2084" t="e">
        <v>#N/A</v>
      </c>
      <c r="Q70" s="2084" t="e">
        <v>#N/A</v>
      </c>
      <c r="R70" s="2084" t="e">
        <v>#N/A</v>
      </c>
      <c r="S70" s="2026">
        <v>0</v>
      </c>
      <c r="T70" s="2026">
        <v>0</v>
      </c>
      <c r="U70" s="2026">
        <v>0</v>
      </c>
      <c r="V70" s="2092" t="e">
        <v>#DIV/0!</v>
      </c>
      <c r="W70" s="2092" t="e">
        <v>#DIV/0!</v>
      </c>
      <c r="X70" s="2092" t="e">
        <v>#DIV/0!</v>
      </c>
    </row>
    <row r="71" spans="2:24">
      <c r="B71" s="2005"/>
      <c r="C71" s="2005" t="s">
        <v>191</v>
      </c>
      <c r="D71" s="2008">
        <v>0</v>
      </c>
      <c r="E71" s="2005" t="s">
        <v>559</v>
      </c>
      <c r="F71" s="2005" t="s">
        <v>186</v>
      </c>
      <c r="G71" s="2013"/>
      <c r="H71" s="2013"/>
      <c r="I71" s="2024">
        <v>0</v>
      </c>
      <c r="J71" s="2008">
        <v>0</v>
      </c>
      <c r="K71" s="2008"/>
      <c r="L71" s="2036" t="e">
        <v>#N/A</v>
      </c>
      <c r="M71" s="2036" t="e">
        <v>#N/A</v>
      </c>
      <c r="N71" s="2084" t="e">
        <v>#DIV/0!</v>
      </c>
      <c r="O71" s="2084" t="e">
        <v>#DIV/0!</v>
      </c>
      <c r="P71" s="2084" t="e">
        <v>#N/A</v>
      </c>
      <c r="Q71" s="2084" t="e">
        <v>#N/A</v>
      </c>
      <c r="R71" s="2084" t="e">
        <v>#N/A</v>
      </c>
      <c r="S71" s="2026">
        <v>0</v>
      </c>
      <c r="T71" s="2026">
        <v>0</v>
      </c>
      <c r="U71" s="2026">
        <v>0</v>
      </c>
      <c r="V71" s="2092" t="e">
        <v>#DIV/0!</v>
      </c>
      <c r="W71" s="2092" t="e">
        <v>#DIV/0!</v>
      </c>
      <c r="X71" s="2092" t="e">
        <v>#DIV/0!</v>
      </c>
    </row>
    <row r="72" spans="2:24">
      <c r="B72" s="2005"/>
      <c r="C72" s="2005" t="s">
        <v>192</v>
      </c>
      <c r="D72" s="2005">
        <v>0</v>
      </c>
      <c r="E72" s="2005" t="s">
        <v>559</v>
      </c>
      <c r="F72" s="2005" t="s">
        <v>186</v>
      </c>
      <c r="G72" s="2013"/>
      <c r="H72" s="2013"/>
      <c r="I72" s="2024">
        <v>0</v>
      </c>
      <c r="J72" s="2008"/>
      <c r="K72" s="2008"/>
      <c r="L72" s="2036" t="e">
        <v>#N/A</v>
      </c>
      <c r="M72" s="2036" t="e">
        <v>#N/A</v>
      </c>
      <c r="N72" s="2084" t="e">
        <v>#DIV/0!</v>
      </c>
      <c r="O72" s="2084" t="e">
        <v>#DIV/0!</v>
      </c>
      <c r="P72" s="2084" t="e">
        <v>#N/A</v>
      </c>
      <c r="Q72" s="2084" t="e">
        <v>#N/A</v>
      </c>
      <c r="R72" s="2084" t="e">
        <v>#N/A</v>
      </c>
      <c r="S72" s="2026">
        <v>0</v>
      </c>
      <c r="T72" s="2026">
        <v>0</v>
      </c>
      <c r="U72" s="2026">
        <v>0</v>
      </c>
      <c r="V72" s="2092" t="e">
        <v>#DIV/0!</v>
      </c>
      <c r="W72" s="2092" t="e">
        <v>#DIV/0!</v>
      </c>
      <c r="X72" s="2092" t="e">
        <v>#DIV/0!</v>
      </c>
    </row>
    <row r="73" spans="2:24">
      <c r="B73" s="2005"/>
      <c r="C73" s="2005" t="s">
        <v>193</v>
      </c>
      <c r="D73" s="2008">
        <v>0</v>
      </c>
      <c r="E73" s="2005" t="s">
        <v>559</v>
      </c>
      <c r="F73" s="2005" t="s">
        <v>186</v>
      </c>
      <c r="G73" s="2013"/>
      <c r="H73" s="2013"/>
      <c r="I73" s="2024">
        <v>0</v>
      </c>
      <c r="J73" s="2008"/>
      <c r="K73" s="2008"/>
      <c r="L73" s="2036" t="e">
        <v>#N/A</v>
      </c>
      <c r="M73" s="2036" t="e">
        <v>#N/A</v>
      </c>
      <c r="N73" s="2084" t="e">
        <v>#DIV/0!</v>
      </c>
      <c r="O73" s="2084" t="e">
        <v>#DIV/0!</v>
      </c>
      <c r="P73" s="2084" t="e">
        <v>#N/A</v>
      </c>
      <c r="Q73" s="2084" t="e">
        <v>#N/A</v>
      </c>
      <c r="R73" s="2084" t="e">
        <v>#N/A</v>
      </c>
      <c r="S73" s="2026">
        <v>0</v>
      </c>
      <c r="T73" s="2026">
        <v>0</v>
      </c>
      <c r="U73" s="2026">
        <v>0</v>
      </c>
      <c r="V73" s="2092" t="e">
        <v>#DIV/0!</v>
      </c>
      <c r="W73" s="2092" t="e">
        <v>#DIV/0!</v>
      </c>
      <c r="X73" s="2092" t="e">
        <v>#DIV/0!</v>
      </c>
    </row>
    <row r="74" spans="2:24">
      <c r="B74" s="2005"/>
      <c r="C74" s="2005" t="s">
        <v>194</v>
      </c>
      <c r="D74" s="2005">
        <v>0</v>
      </c>
      <c r="E74" s="2005" t="s">
        <v>559</v>
      </c>
      <c r="F74" s="2005" t="s">
        <v>186</v>
      </c>
      <c r="G74" s="2013"/>
      <c r="H74" s="2013"/>
      <c r="I74" s="2024">
        <v>0</v>
      </c>
      <c r="J74" s="2008"/>
      <c r="K74" s="2008"/>
      <c r="L74" s="2036" t="e">
        <v>#N/A</v>
      </c>
      <c r="M74" s="2036" t="e">
        <v>#N/A</v>
      </c>
      <c r="N74" s="2084" t="e">
        <v>#DIV/0!</v>
      </c>
      <c r="O74" s="2084" t="e">
        <v>#DIV/0!</v>
      </c>
      <c r="P74" s="2084" t="e">
        <v>#N/A</v>
      </c>
      <c r="Q74" s="2084" t="e">
        <v>#N/A</v>
      </c>
      <c r="R74" s="2084" t="e">
        <v>#N/A</v>
      </c>
      <c r="S74" s="2026">
        <v>0</v>
      </c>
      <c r="T74" s="2026">
        <v>0</v>
      </c>
      <c r="U74" s="2026">
        <v>0</v>
      </c>
      <c r="V74" s="2092" t="e">
        <v>#DIV/0!</v>
      </c>
      <c r="W74" s="2092" t="e">
        <v>#DIV/0!</v>
      </c>
      <c r="X74" s="2092" t="e">
        <v>#DIV/0!</v>
      </c>
    </row>
    <row r="75" spans="2:24">
      <c r="B75" s="2005"/>
      <c r="C75" s="2005" t="s">
        <v>195</v>
      </c>
      <c r="D75" s="2008">
        <v>0</v>
      </c>
      <c r="E75" s="2005" t="s">
        <v>559</v>
      </c>
      <c r="F75" s="2005" t="s">
        <v>186</v>
      </c>
      <c r="G75" s="2013"/>
      <c r="H75" s="2013"/>
      <c r="I75" s="2024">
        <v>0</v>
      </c>
      <c r="J75" s="2008"/>
      <c r="K75" s="2008"/>
      <c r="L75" s="2036" t="e">
        <v>#N/A</v>
      </c>
      <c r="M75" s="2036" t="e">
        <v>#N/A</v>
      </c>
      <c r="N75" s="2084" t="e">
        <v>#DIV/0!</v>
      </c>
      <c r="O75" s="2084" t="e">
        <v>#DIV/0!</v>
      </c>
      <c r="P75" s="2084" t="e">
        <v>#N/A</v>
      </c>
      <c r="Q75" s="2084" t="e">
        <v>#N/A</v>
      </c>
      <c r="R75" s="2084" t="e">
        <v>#N/A</v>
      </c>
      <c r="S75" s="2026">
        <v>0</v>
      </c>
      <c r="T75" s="2026">
        <v>0</v>
      </c>
      <c r="U75" s="2026">
        <v>0</v>
      </c>
      <c r="V75" s="2092" t="e">
        <v>#DIV/0!</v>
      </c>
      <c r="W75" s="2092" t="e">
        <v>#DIV/0!</v>
      </c>
      <c r="X75" s="2092" t="e">
        <v>#DIV/0!</v>
      </c>
    </row>
    <row r="76" spans="2:24">
      <c r="B76" s="2005"/>
      <c r="C76" s="2005" t="s">
        <v>196</v>
      </c>
      <c r="D76" s="2005">
        <v>0</v>
      </c>
      <c r="E76" s="2005" t="s">
        <v>559</v>
      </c>
      <c r="F76" s="2005" t="s">
        <v>186</v>
      </c>
      <c r="G76" s="2013"/>
      <c r="H76" s="2013"/>
      <c r="I76" s="2024">
        <v>0</v>
      </c>
      <c r="J76" s="2008"/>
      <c r="K76" s="2008"/>
      <c r="L76" s="2036" t="e">
        <v>#N/A</v>
      </c>
      <c r="M76" s="2036" t="e">
        <v>#N/A</v>
      </c>
      <c r="N76" s="2084" t="e">
        <v>#DIV/0!</v>
      </c>
      <c r="O76" s="2084" t="e">
        <v>#DIV/0!</v>
      </c>
      <c r="P76" s="2084" t="e">
        <v>#N/A</v>
      </c>
      <c r="Q76" s="2084" t="e">
        <v>#N/A</v>
      </c>
      <c r="R76" s="2084" t="e">
        <v>#N/A</v>
      </c>
      <c r="S76" s="2026">
        <v>0</v>
      </c>
      <c r="T76" s="2026">
        <v>0</v>
      </c>
      <c r="U76" s="2026">
        <v>0</v>
      </c>
      <c r="V76" s="2092" t="e">
        <v>#DIV/0!</v>
      </c>
      <c r="W76" s="2092" t="e">
        <v>#DIV/0!</v>
      </c>
      <c r="X76" s="2092" t="e">
        <v>#DIV/0!</v>
      </c>
    </row>
    <row r="77" spans="2:24">
      <c r="B77" s="2005"/>
      <c r="C77" s="2005" t="s">
        <v>197</v>
      </c>
      <c r="D77" s="2008">
        <v>0</v>
      </c>
      <c r="E77" s="2005" t="s">
        <v>559</v>
      </c>
      <c r="F77" s="2005" t="s">
        <v>186</v>
      </c>
      <c r="G77" s="2013"/>
      <c r="H77" s="2013"/>
      <c r="I77" s="2024">
        <v>0</v>
      </c>
      <c r="J77" s="2008"/>
      <c r="K77" s="2008"/>
      <c r="L77" s="2036" t="e">
        <v>#N/A</v>
      </c>
      <c r="M77" s="2036" t="e">
        <v>#N/A</v>
      </c>
      <c r="N77" s="2084" t="e">
        <v>#DIV/0!</v>
      </c>
      <c r="O77" s="2084" t="e">
        <v>#DIV/0!</v>
      </c>
      <c r="P77" s="2084" t="e">
        <v>#N/A</v>
      </c>
      <c r="Q77" s="2084" t="e">
        <v>#N/A</v>
      </c>
      <c r="R77" s="2084" t="e">
        <v>#N/A</v>
      </c>
      <c r="S77" s="2026">
        <v>0</v>
      </c>
      <c r="T77" s="2026">
        <v>0</v>
      </c>
      <c r="U77" s="2026">
        <v>0</v>
      </c>
      <c r="V77" s="2092" t="e">
        <v>#DIV/0!</v>
      </c>
      <c r="W77" s="2092" t="e">
        <v>#DIV/0!</v>
      </c>
      <c r="X77" s="2092" t="e">
        <v>#DIV/0!</v>
      </c>
    </row>
    <row r="78" spans="2:24">
      <c r="B78" s="2005"/>
      <c r="C78" s="2005" t="s">
        <v>198</v>
      </c>
      <c r="D78" s="2005">
        <v>0</v>
      </c>
      <c r="E78" s="2005" t="s">
        <v>559</v>
      </c>
      <c r="F78" s="2005" t="s">
        <v>186</v>
      </c>
      <c r="G78" s="2013"/>
      <c r="H78" s="2013"/>
      <c r="I78" s="2024">
        <v>0</v>
      </c>
      <c r="J78" s="2008"/>
      <c r="K78" s="2008"/>
      <c r="L78" s="2036" t="e">
        <v>#N/A</v>
      </c>
      <c r="M78" s="2036" t="e">
        <v>#N/A</v>
      </c>
      <c r="N78" s="2084" t="e">
        <v>#DIV/0!</v>
      </c>
      <c r="O78" s="2084" t="e">
        <v>#DIV/0!</v>
      </c>
      <c r="P78" s="2084" t="e">
        <v>#N/A</v>
      </c>
      <c r="Q78" s="2084" t="e">
        <v>#N/A</v>
      </c>
      <c r="R78" s="2084" t="e">
        <v>#N/A</v>
      </c>
      <c r="S78" s="2026">
        <v>0</v>
      </c>
      <c r="T78" s="2026">
        <v>0</v>
      </c>
      <c r="U78" s="2026">
        <v>0</v>
      </c>
      <c r="V78" s="2092" t="e">
        <v>#DIV/0!</v>
      </c>
      <c r="W78" s="2092" t="e">
        <v>#DIV/0!</v>
      </c>
      <c r="X78" s="2092" t="e">
        <v>#DIV/0!</v>
      </c>
    </row>
    <row r="79" spans="2:24">
      <c r="B79" s="2005"/>
      <c r="C79" s="2005" t="s">
        <v>199</v>
      </c>
      <c r="D79" s="2008">
        <v>0</v>
      </c>
      <c r="E79" s="2005" t="s">
        <v>559</v>
      </c>
      <c r="F79" s="2005" t="s">
        <v>186</v>
      </c>
      <c r="G79" s="2013"/>
      <c r="H79" s="2013"/>
      <c r="I79" s="2024">
        <v>0</v>
      </c>
      <c r="J79" s="2008"/>
      <c r="K79" s="2008"/>
      <c r="L79" s="2036" t="e">
        <v>#N/A</v>
      </c>
      <c r="M79" s="2036" t="e">
        <v>#N/A</v>
      </c>
      <c r="N79" s="2084" t="e">
        <v>#DIV/0!</v>
      </c>
      <c r="O79" s="2084" t="e">
        <v>#DIV/0!</v>
      </c>
      <c r="P79" s="2084" t="e">
        <v>#N/A</v>
      </c>
      <c r="Q79" s="2084" t="e">
        <v>#N/A</v>
      </c>
      <c r="R79" s="2084" t="e">
        <v>#N/A</v>
      </c>
      <c r="S79" s="2026">
        <v>0</v>
      </c>
      <c r="T79" s="2026">
        <v>0</v>
      </c>
      <c r="U79" s="2026">
        <v>0</v>
      </c>
      <c r="V79" s="2092" t="e">
        <v>#DIV/0!</v>
      </c>
      <c r="W79" s="2092" t="e">
        <v>#DIV/0!</v>
      </c>
      <c r="X79" s="2092" t="e">
        <v>#DIV/0!</v>
      </c>
    </row>
    <row r="80" spans="2:24">
      <c r="B80" s="2005"/>
      <c r="C80" s="2005" t="s">
        <v>200</v>
      </c>
      <c r="D80" s="2005">
        <v>0</v>
      </c>
      <c r="E80" s="2005" t="s">
        <v>559</v>
      </c>
      <c r="F80" s="2005" t="s">
        <v>186</v>
      </c>
      <c r="G80" s="2013"/>
      <c r="H80" s="2013"/>
      <c r="I80" s="2024">
        <v>0</v>
      </c>
      <c r="J80" s="2008"/>
      <c r="K80" s="2008"/>
      <c r="L80" s="2036" t="e">
        <v>#N/A</v>
      </c>
      <c r="M80" s="2036" t="e">
        <v>#N/A</v>
      </c>
      <c r="N80" s="2084" t="e">
        <v>#DIV/0!</v>
      </c>
      <c r="O80" s="2084" t="e">
        <v>#DIV/0!</v>
      </c>
      <c r="P80" s="2084" t="e">
        <v>#N/A</v>
      </c>
      <c r="Q80" s="2084" t="e">
        <v>#N/A</v>
      </c>
      <c r="R80" s="2084" t="e">
        <v>#N/A</v>
      </c>
      <c r="S80" s="2026">
        <v>0</v>
      </c>
      <c r="T80" s="2026">
        <v>0</v>
      </c>
      <c r="U80" s="2026">
        <v>0</v>
      </c>
      <c r="V80" s="2092" t="e">
        <v>#DIV/0!</v>
      </c>
      <c r="W80" s="2092" t="e">
        <v>#DIV/0!</v>
      </c>
      <c r="X80" s="2092" t="e">
        <v>#DIV/0!</v>
      </c>
    </row>
    <row r="81" spans="2:24">
      <c r="B81" s="2005"/>
      <c r="C81" s="2005" t="s">
        <v>201</v>
      </c>
      <c r="D81" s="2008">
        <v>0</v>
      </c>
      <c r="E81" s="2005" t="s">
        <v>559</v>
      </c>
      <c r="F81" s="2005" t="s">
        <v>186</v>
      </c>
      <c r="G81" s="2013"/>
      <c r="H81" s="2013"/>
      <c r="I81" s="2024">
        <v>0</v>
      </c>
      <c r="J81" s="2008"/>
      <c r="K81" s="2008"/>
      <c r="L81" s="2036" t="e">
        <v>#REF!</v>
      </c>
      <c r="M81" s="2036" t="e">
        <v>#REF!</v>
      </c>
      <c r="N81" s="2084" t="e">
        <v>#DIV/0!</v>
      </c>
      <c r="O81" s="2084" t="e">
        <v>#DIV/0!</v>
      </c>
      <c r="P81" s="2084" t="e">
        <v>#REF!</v>
      </c>
      <c r="Q81" s="2084" t="e">
        <v>#REF!</v>
      </c>
      <c r="R81" s="2084" t="e">
        <v>#N/A</v>
      </c>
      <c r="S81" s="2026">
        <v>0</v>
      </c>
      <c r="T81" s="2026">
        <v>0</v>
      </c>
      <c r="U81" s="2026">
        <v>0</v>
      </c>
      <c r="V81" s="2092" t="e">
        <v>#DIV/0!</v>
      </c>
      <c r="W81" s="2092" t="e">
        <v>#DIV/0!</v>
      </c>
      <c r="X81" s="2092" t="e">
        <v>#DIV/0!</v>
      </c>
    </row>
    <row r="82" spans="2:24">
      <c r="B82" s="2005"/>
      <c r="C82" s="2005" t="s">
        <v>202</v>
      </c>
      <c r="D82" s="2005">
        <v>0</v>
      </c>
      <c r="E82" s="2005" t="s">
        <v>559</v>
      </c>
      <c r="F82" s="2005" t="s">
        <v>186</v>
      </c>
      <c r="G82" s="2013"/>
      <c r="H82" s="2013"/>
      <c r="I82" s="2024">
        <v>0</v>
      </c>
      <c r="J82" s="2008"/>
      <c r="K82" s="2008"/>
      <c r="L82" s="2036" t="e">
        <v>#REF!</v>
      </c>
      <c r="M82" s="2036" t="e">
        <v>#REF!</v>
      </c>
      <c r="N82" s="2084" t="e">
        <v>#DIV/0!</v>
      </c>
      <c r="O82" s="2084" t="e">
        <v>#DIV/0!</v>
      </c>
      <c r="P82" s="2084" t="e">
        <v>#REF!</v>
      </c>
      <c r="Q82" s="2084" t="e">
        <v>#REF!</v>
      </c>
      <c r="R82" s="2084" t="e">
        <v>#N/A</v>
      </c>
      <c r="S82" s="2026">
        <v>0</v>
      </c>
      <c r="T82" s="2026">
        <v>0</v>
      </c>
      <c r="U82" s="2026">
        <v>0</v>
      </c>
      <c r="V82" s="2092" t="e">
        <v>#DIV/0!</v>
      </c>
      <c r="W82" s="2092" t="e">
        <v>#DIV/0!</v>
      </c>
      <c r="X82" s="2092" t="e">
        <v>#DIV/0!</v>
      </c>
    </row>
    <row r="83" spans="2:24">
      <c r="B83" s="2005"/>
      <c r="C83" s="2005" t="s">
        <v>203</v>
      </c>
      <c r="D83" s="2005">
        <v>0</v>
      </c>
      <c r="E83" s="2005" t="s">
        <v>559</v>
      </c>
      <c r="F83" s="2005" t="s">
        <v>186</v>
      </c>
      <c r="G83" s="2013"/>
      <c r="H83" s="2013"/>
      <c r="I83" s="2024">
        <v>0</v>
      </c>
      <c r="J83" s="2008"/>
      <c r="K83" s="2008"/>
      <c r="L83" s="2036" t="e">
        <v>#REF!</v>
      </c>
      <c r="M83" s="2036" t="e">
        <v>#REF!</v>
      </c>
      <c r="N83" s="2084" t="e">
        <v>#DIV/0!</v>
      </c>
      <c r="O83" s="2084" t="e">
        <v>#DIV/0!</v>
      </c>
      <c r="P83" s="2084" t="e">
        <v>#REF!</v>
      </c>
      <c r="Q83" s="2084" t="e">
        <v>#REF!</v>
      </c>
      <c r="R83" s="2084" t="e">
        <v>#N/A</v>
      </c>
      <c r="S83" s="2026">
        <v>0</v>
      </c>
      <c r="T83" s="2026">
        <v>0</v>
      </c>
      <c r="U83" s="2026">
        <v>0</v>
      </c>
      <c r="V83" s="2092" t="e">
        <v>#DIV/0!</v>
      </c>
      <c r="W83" s="2092" t="e">
        <v>#DIV/0!</v>
      </c>
      <c r="X83" s="2092" t="e">
        <v>#DIV/0!</v>
      </c>
    </row>
    <row r="84" spans="2:24">
      <c r="B84" s="2005"/>
      <c r="C84" s="2005" t="s">
        <v>204</v>
      </c>
      <c r="D84" s="2005">
        <v>0</v>
      </c>
      <c r="E84" s="2005" t="s">
        <v>559</v>
      </c>
      <c r="F84" s="2005" t="s">
        <v>186</v>
      </c>
      <c r="G84" s="2013"/>
      <c r="H84" s="2013"/>
      <c r="I84" s="2024">
        <v>0</v>
      </c>
      <c r="J84" s="2008"/>
      <c r="K84" s="2008"/>
      <c r="L84" s="2036" t="e">
        <v>#REF!</v>
      </c>
      <c r="M84" s="2036" t="e">
        <v>#REF!</v>
      </c>
      <c r="N84" s="2084" t="e">
        <v>#DIV/0!</v>
      </c>
      <c r="O84" s="2084" t="e">
        <v>#DIV/0!</v>
      </c>
      <c r="P84" s="2084" t="e">
        <v>#REF!</v>
      </c>
      <c r="Q84" s="2084" t="e">
        <v>#REF!</v>
      </c>
      <c r="R84" s="2084" t="e">
        <v>#N/A</v>
      </c>
      <c r="S84" s="2026">
        <v>0</v>
      </c>
      <c r="T84" s="2026">
        <v>0</v>
      </c>
      <c r="U84" s="2026">
        <v>0</v>
      </c>
    </row>
    <row r="85" spans="2:24">
      <c r="B85" s="2005"/>
      <c r="C85" s="2005" t="s">
        <v>205</v>
      </c>
      <c r="D85" s="2056">
        <v>0</v>
      </c>
      <c r="E85" s="2005" t="s">
        <v>559</v>
      </c>
      <c r="F85" s="2005" t="s">
        <v>186</v>
      </c>
      <c r="G85" s="2013"/>
      <c r="H85" s="2013"/>
      <c r="I85" s="2024">
        <v>0</v>
      </c>
      <c r="J85" s="2008"/>
      <c r="K85" s="2008"/>
      <c r="L85" s="2036" t="e">
        <v>#REF!</v>
      </c>
      <c r="M85" s="2036" t="e">
        <v>#REF!</v>
      </c>
      <c r="N85" s="2084" t="e">
        <v>#DIV/0!</v>
      </c>
      <c r="O85" s="2084" t="e">
        <v>#DIV/0!</v>
      </c>
      <c r="P85" s="2084" t="e">
        <v>#REF!</v>
      </c>
      <c r="Q85" s="2084" t="e">
        <v>#REF!</v>
      </c>
      <c r="R85" s="2084" t="e">
        <v>#N/A</v>
      </c>
      <c r="S85" s="2026">
        <v>0</v>
      </c>
      <c r="T85" s="2026">
        <v>0</v>
      </c>
      <c r="U85" s="2026">
        <v>0</v>
      </c>
    </row>
    <row r="86" spans="2:24">
      <c r="B86" s="2005"/>
      <c r="C86" s="2005" t="s">
        <v>206</v>
      </c>
      <c r="D86" s="2056">
        <v>0</v>
      </c>
      <c r="E86" s="2005" t="s">
        <v>559</v>
      </c>
      <c r="F86" s="2005" t="s">
        <v>186</v>
      </c>
      <c r="G86" s="2013"/>
      <c r="H86" s="2013"/>
      <c r="I86" s="2024">
        <v>0</v>
      </c>
      <c r="J86" s="2008"/>
      <c r="K86" s="2008"/>
      <c r="L86" s="2036" t="e">
        <v>#REF!</v>
      </c>
      <c r="M86" s="2036" t="e">
        <v>#REF!</v>
      </c>
      <c r="N86" s="2084" t="e">
        <v>#DIV/0!</v>
      </c>
      <c r="O86" s="2084" t="e">
        <v>#DIV/0!</v>
      </c>
      <c r="P86" s="2084" t="e">
        <v>#REF!</v>
      </c>
      <c r="Q86" s="2084" t="e">
        <v>#REF!</v>
      </c>
      <c r="R86" s="2084" t="e">
        <v>#N/A</v>
      </c>
      <c r="S86" s="2026">
        <v>0</v>
      </c>
      <c r="T86" s="2026">
        <v>0</v>
      </c>
      <c r="U86" s="2026">
        <v>0</v>
      </c>
    </row>
    <row r="87" spans="2:24">
      <c r="B87" s="2005"/>
      <c r="C87" s="2005" t="s">
        <v>207</v>
      </c>
      <c r="D87" s="2056">
        <v>0</v>
      </c>
      <c r="E87" s="2005" t="s">
        <v>559</v>
      </c>
      <c r="F87" s="2005" t="s">
        <v>186</v>
      </c>
      <c r="G87" s="2013"/>
      <c r="H87" s="2013"/>
      <c r="I87" s="2024">
        <v>0</v>
      </c>
      <c r="J87" s="2008"/>
      <c r="K87" s="2008"/>
      <c r="L87" s="2036" t="e">
        <v>#REF!</v>
      </c>
      <c r="M87" s="2036" t="e">
        <v>#REF!</v>
      </c>
      <c r="N87" s="2084" t="e">
        <v>#DIV/0!</v>
      </c>
      <c r="O87" s="2084" t="e">
        <v>#DIV/0!</v>
      </c>
      <c r="P87" s="2084" t="e">
        <v>#REF!</v>
      </c>
      <c r="Q87" s="2084" t="e">
        <v>#REF!</v>
      </c>
      <c r="R87" s="2084" t="e">
        <v>#N/A</v>
      </c>
      <c r="S87" s="2026">
        <v>0</v>
      </c>
      <c r="T87" s="2026">
        <v>0</v>
      </c>
      <c r="U87" s="2026">
        <v>0</v>
      </c>
    </row>
    <row r="88" spans="2:24">
      <c r="B88" s="2005"/>
      <c r="C88" s="2005" t="s">
        <v>208</v>
      </c>
      <c r="D88" s="2056">
        <v>0</v>
      </c>
      <c r="E88" s="2005" t="s">
        <v>559</v>
      </c>
      <c r="F88" s="2005" t="s">
        <v>186</v>
      </c>
      <c r="G88" s="2013"/>
      <c r="H88" s="2013"/>
      <c r="I88" s="2024">
        <v>0</v>
      </c>
      <c r="J88" s="2008"/>
      <c r="K88" s="2008"/>
      <c r="L88" s="2036" t="e">
        <v>#REF!</v>
      </c>
      <c r="M88" s="2036" t="e">
        <v>#REF!</v>
      </c>
      <c r="N88" s="2084" t="e">
        <v>#DIV/0!</v>
      </c>
      <c r="O88" s="2084" t="e">
        <v>#DIV/0!</v>
      </c>
      <c r="P88" s="2084" t="e">
        <v>#REF!</v>
      </c>
      <c r="Q88" s="2084" t="e">
        <v>#REF!</v>
      </c>
      <c r="R88" s="2084" t="e">
        <v>#N/A</v>
      </c>
      <c r="S88" s="2026">
        <v>0</v>
      </c>
      <c r="T88" s="2026">
        <v>0</v>
      </c>
      <c r="U88" s="2026">
        <v>0</v>
      </c>
    </row>
    <row r="89" spans="2:24">
      <c r="B89" s="2005"/>
      <c r="C89" s="2005" t="s">
        <v>209</v>
      </c>
      <c r="D89" s="2056">
        <v>0</v>
      </c>
      <c r="E89" s="2005" t="s">
        <v>559</v>
      </c>
      <c r="F89" s="2005" t="s">
        <v>186</v>
      </c>
      <c r="G89" s="2013"/>
      <c r="H89" s="2013"/>
      <c r="I89" s="2024">
        <v>0</v>
      </c>
      <c r="J89" s="2008"/>
      <c r="K89" s="2008"/>
      <c r="L89" s="2036" t="e">
        <v>#REF!</v>
      </c>
      <c r="M89" s="2036" t="e">
        <v>#REF!</v>
      </c>
      <c r="N89" s="2084" t="e">
        <v>#DIV/0!</v>
      </c>
      <c r="O89" s="2084" t="e">
        <v>#DIV/0!</v>
      </c>
      <c r="P89" s="2084" t="e">
        <v>#REF!</v>
      </c>
      <c r="Q89" s="2084" t="e">
        <v>#REF!</v>
      </c>
      <c r="R89" s="2084" t="e">
        <v>#N/A</v>
      </c>
      <c r="S89" s="2026">
        <v>0</v>
      </c>
      <c r="T89" s="2026">
        <v>0</v>
      </c>
      <c r="U89" s="2026">
        <v>0</v>
      </c>
    </row>
    <row r="90" spans="2:24">
      <c r="B90" s="2005"/>
      <c r="C90" s="2005" t="s">
        <v>210</v>
      </c>
      <c r="D90" s="2056">
        <v>0</v>
      </c>
      <c r="E90" s="2005" t="s">
        <v>559</v>
      </c>
      <c r="F90" s="2005" t="s">
        <v>186</v>
      </c>
      <c r="G90" s="2013"/>
      <c r="H90" s="2013"/>
      <c r="I90" s="2024">
        <v>0</v>
      </c>
      <c r="J90" s="2008"/>
      <c r="K90" s="2008"/>
      <c r="L90" s="2036" t="e">
        <v>#REF!</v>
      </c>
      <c r="M90" s="2036" t="e">
        <v>#REF!</v>
      </c>
      <c r="N90" s="2084" t="e">
        <v>#DIV/0!</v>
      </c>
      <c r="O90" s="2084" t="e">
        <v>#DIV/0!</v>
      </c>
      <c r="P90" s="2084" t="e">
        <v>#REF!</v>
      </c>
      <c r="Q90" s="2084" t="e">
        <v>#REF!</v>
      </c>
      <c r="R90" s="2084" t="e">
        <v>#N/A</v>
      </c>
      <c r="S90" s="2026">
        <v>0</v>
      </c>
      <c r="T90" s="2026">
        <v>0</v>
      </c>
      <c r="U90" s="2026">
        <v>0</v>
      </c>
    </row>
    <row r="91" spans="2:24">
      <c r="B91" s="2005"/>
      <c r="C91" s="2005" t="s">
        <v>211</v>
      </c>
      <c r="D91" s="2056">
        <v>0</v>
      </c>
      <c r="E91" s="2005" t="s">
        <v>559</v>
      </c>
      <c r="F91" s="2005" t="s">
        <v>186</v>
      </c>
      <c r="G91" s="2013"/>
      <c r="H91" s="2013"/>
      <c r="I91" s="2024">
        <v>0</v>
      </c>
      <c r="J91" s="2008"/>
      <c r="K91" s="2008"/>
      <c r="L91" s="2036" t="e">
        <v>#REF!</v>
      </c>
      <c r="M91" s="2036" t="e">
        <v>#REF!</v>
      </c>
      <c r="N91" s="2084" t="e">
        <v>#DIV/0!</v>
      </c>
      <c r="O91" s="2084" t="e">
        <v>#DIV/0!</v>
      </c>
      <c r="P91" s="2084" t="e">
        <v>#REF!</v>
      </c>
      <c r="Q91" s="2084" t="e">
        <v>#REF!</v>
      </c>
      <c r="R91" s="2084" t="e">
        <v>#N/A</v>
      </c>
      <c r="S91" s="2026">
        <v>0</v>
      </c>
      <c r="T91" s="2026">
        <v>0</v>
      </c>
      <c r="U91" s="2026">
        <v>0</v>
      </c>
    </row>
    <row r="92" spans="2:24">
      <c r="B92" s="2005"/>
      <c r="C92" s="2005" t="s">
        <v>212</v>
      </c>
      <c r="D92" s="2056">
        <v>0</v>
      </c>
      <c r="E92" s="2005" t="s">
        <v>559</v>
      </c>
      <c r="F92" s="2005" t="s">
        <v>186</v>
      </c>
      <c r="G92" s="2013"/>
      <c r="H92" s="2013"/>
      <c r="I92" s="2024">
        <v>0</v>
      </c>
      <c r="J92" s="2008"/>
      <c r="K92" s="2008"/>
      <c r="L92" s="2036" t="e">
        <v>#REF!</v>
      </c>
      <c r="M92" s="2036" t="e">
        <v>#REF!</v>
      </c>
      <c r="N92" s="2084" t="e">
        <v>#DIV/0!</v>
      </c>
      <c r="O92" s="2084" t="e">
        <v>#DIV/0!</v>
      </c>
      <c r="P92" s="2084" t="e">
        <v>#REF!</v>
      </c>
      <c r="Q92" s="2084" t="e">
        <v>#REF!</v>
      </c>
      <c r="R92" s="2084" t="e">
        <v>#N/A</v>
      </c>
      <c r="S92" s="2026">
        <v>0</v>
      </c>
      <c r="T92" s="2026">
        <v>0</v>
      </c>
      <c r="U92" s="2026">
        <v>0</v>
      </c>
    </row>
    <row r="93" spans="2:24">
      <c r="B93" s="2005"/>
      <c r="C93" s="2005" t="s">
        <v>213</v>
      </c>
      <c r="D93" s="2056">
        <v>0</v>
      </c>
      <c r="E93" s="2005" t="s">
        <v>559</v>
      </c>
      <c r="F93" s="2005" t="s">
        <v>186</v>
      </c>
      <c r="G93" s="2013"/>
      <c r="H93" s="2013"/>
      <c r="I93" s="2024">
        <v>0</v>
      </c>
      <c r="J93" s="2008"/>
      <c r="K93" s="2008"/>
      <c r="L93" s="2036" t="e">
        <v>#REF!</v>
      </c>
      <c r="M93" s="2036" t="e">
        <v>#REF!</v>
      </c>
      <c r="N93" s="2084" t="e">
        <v>#DIV/0!</v>
      </c>
      <c r="O93" s="2084" t="e">
        <v>#DIV/0!</v>
      </c>
      <c r="P93" s="2084" t="e">
        <v>#REF!</v>
      </c>
      <c r="Q93" s="2084" t="e">
        <v>#REF!</v>
      </c>
      <c r="R93" s="2084" t="e">
        <v>#N/A</v>
      </c>
      <c r="S93" s="2026">
        <v>0</v>
      </c>
      <c r="T93" s="2026">
        <v>0</v>
      </c>
      <c r="U93" s="2026">
        <v>0</v>
      </c>
    </row>
    <row r="94" spans="2:24">
      <c r="B94" s="2005"/>
      <c r="C94" s="2005" t="s">
        <v>214</v>
      </c>
      <c r="D94" s="2056">
        <v>0</v>
      </c>
      <c r="E94" s="2005" t="s">
        <v>559</v>
      </c>
      <c r="F94" s="2005" t="s">
        <v>186</v>
      </c>
      <c r="G94" s="2013"/>
      <c r="H94" s="2013"/>
      <c r="I94" s="2024">
        <v>0</v>
      </c>
      <c r="J94" s="2008"/>
      <c r="K94" s="2008"/>
      <c r="L94" s="2036" t="e">
        <v>#REF!</v>
      </c>
      <c r="M94" s="2036" t="e">
        <v>#REF!</v>
      </c>
      <c r="N94" s="2084" t="e">
        <v>#DIV/0!</v>
      </c>
      <c r="O94" s="2084" t="e">
        <v>#DIV/0!</v>
      </c>
      <c r="P94" s="2084" t="e">
        <v>#REF!</v>
      </c>
      <c r="Q94" s="2084" t="e">
        <v>#REF!</v>
      </c>
      <c r="R94" s="2084" t="e">
        <v>#N/A</v>
      </c>
      <c r="S94" s="2026">
        <v>0</v>
      </c>
      <c r="T94" s="2026">
        <v>0</v>
      </c>
      <c r="U94" s="2026">
        <v>0</v>
      </c>
    </row>
    <row r="95" spans="2:24">
      <c r="B95" s="2005"/>
      <c r="C95" s="2005" t="s">
        <v>215</v>
      </c>
      <c r="D95" s="2056">
        <v>0</v>
      </c>
      <c r="E95" s="2005" t="s">
        <v>559</v>
      </c>
      <c r="F95" s="2005" t="s">
        <v>186</v>
      </c>
      <c r="G95" s="2013"/>
      <c r="H95" s="2013"/>
      <c r="I95" s="2024">
        <v>0</v>
      </c>
      <c r="J95" s="2008"/>
      <c r="K95" s="2008"/>
      <c r="L95" s="2036" t="e">
        <v>#REF!</v>
      </c>
      <c r="M95" s="2036" t="e">
        <v>#REF!</v>
      </c>
      <c r="N95" s="2084" t="e">
        <v>#DIV/0!</v>
      </c>
      <c r="O95" s="2084" t="e">
        <v>#DIV/0!</v>
      </c>
      <c r="P95" s="2084" t="e">
        <v>#REF!</v>
      </c>
      <c r="Q95" s="2084" t="e">
        <v>#REF!</v>
      </c>
      <c r="R95" s="2084" t="e">
        <v>#N/A</v>
      </c>
      <c r="S95" s="2026">
        <v>0</v>
      </c>
      <c r="T95" s="2026">
        <v>0</v>
      </c>
      <c r="U95" s="2026">
        <v>0</v>
      </c>
    </row>
    <row r="96" spans="2:24">
      <c r="B96" s="2005"/>
      <c r="C96" s="2005" t="s">
        <v>216</v>
      </c>
      <c r="D96" s="2056">
        <v>0</v>
      </c>
      <c r="E96" s="2005" t="s">
        <v>559</v>
      </c>
      <c r="F96" s="2005" t="s">
        <v>186</v>
      </c>
      <c r="G96" s="2013"/>
      <c r="H96" s="2013"/>
      <c r="I96" s="2024">
        <v>0</v>
      </c>
      <c r="J96" s="2008"/>
      <c r="K96" s="2008"/>
      <c r="L96" s="2036" t="e">
        <v>#REF!</v>
      </c>
      <c r="M96" s="2036" t="e">
        <v>#REF!</v>
      </c>
      <c r="N96" s="2084" t="e">
        <v>#DIV/0!</v>
      </c>
      <c r="O96" s="2084" t="e">
        <v>#DIV/0!</v>
      </c>
      <c r="P96" s="2084" t="e">
        <v>#REF!</v>
      </c>
      <c r="Q96" s="2084" t="e">
        <v>#REF!</v>
      </c>
      <c r="R96" s="2084" t="e">
        <v>#N/A</v>
      </c>
      <c r="S96" s="2026">
        <v>0</v>
      </c>
      <c r="T96" s="2026">
        <v>0</v>
      </c>
      <c r="U96" s="2026">
        <v>0</v>
      </c>
    </row>
    <row r="97" spans="2:21">
      <c r="B97" s="2005"/>
      <c r="C97" s="2005" t="s">
        <v>217</v>
      </c>
      <c r="D97" s="2056">
        <v>0</v>
      </c>
      <c r="E97" s="2005" t="s">
        <v>559</v>
      </c>
      <c r="F97" s="2005" t="s">
        <v>186</v>
      </c>
      <c r="G97" s="2013"/>
      <c r="H97" s="2013"/>
      <c r="I97" s="2024">
        <v>0</v>
      </c>
      <c r="J97" s="2008"/>
      <c r="K97" s="2008"/>
      <c r="L97" s="2036" t="e">
        <v>#REF!</v>
      </c>
      <c r="M97" s="2036" t="e">
        <v>#REF!</v>
      </c>
      <c r="N97" s="2084" t="e">
        <v>#DIV/0!</v>
      </c>
      <c r="O97" s="2084" t="e">
        <v>#DIV/0!</v>
      </c>
      <c r="P97" s="2084" t="e">
        <v>#REF!</v>
      </c>
      <c r="Q97" s="2084" t="e">
        <v>#REF!</v>
      </c>
      <c r="R97" s="2084" t="e">
        <v>#N/A</v>
      </c>
      <c r="S97" s="2026">
        <v>0</v>
      </c>
      <c r="T97" s="2026">
        <v>0</v>
      </c>
      <c r="U97" s="2026">
        <v>0</v>
      </c>
    </row>
    <row r="98" spans="2:21">
      <c r="B98" s="2005"/>
      <c r="C98" s="2005" t="s">
        <v>218</v>
      </c>
      <c r="D98" s="2056">
        <v>0</v>
      </c>
      <c r="E98" s="2005" t="s">
        <v>559</v>
      </c>
      <c r="F98" s="2005" t="s">
        <v>186</v>
      </c>
      <c r="G98" s="2013"/>
      <c r="H98" s="2013"/>
      <c r="I98" s="2024">
        <v>0</v>
      </c>
      <c r="J98" s="2008"/>
      <c r="K98" s="2008"/>
      <c r="L98" s="2036" t="e">
        <v>#REF!</v>
      </c>
      <c r="M98" s="2036" t="e">
        <v>#REF!</v>
      </c>
      <c r="N98" s="2084" t="e">
        <v>#DIV/0!</v>
      </c>
      <c r="O98" s="2084" t="e">
        <v>#DIV/0!</v>
      </c>
      <c r="P98" s="2084" t="e">
        <v>#REF!</v>
      </c>
      <c r="Q98" s="2084" t="e">
        <v>#REF!</v>
      </c>
      <c r="R98" s="2084" t="e">
        <v>#N/A</v>
      </c>
      <c r="S98" s="2026">
        <v>0</v>
      </c>
      <c r="T98" s="2026">
        <v>0</v>
      </c>
      <c r="U98" s="2026">
        <v>0</v>
      </c>
    </row>
    <row r="99" spans="2:21">
      <c r="B99" s="2005"/>
      <c r="C99" s="2005" t="s">
        <v>219</v>
      </c>
      <c r="D99" s="2056">
        <v>0</v>
      </c>
      <c r="E99" s="2005" t="s">
        <v>559</v>
      </c>
      <c r="F99" s="2005" t="s">
        <v>186</v>
      </c>
      <c r="G99" s="2013"/>
      <c r="H99" s="2013"/>
      <c r="I99" s="2024">
        <v>0</v>
      </c>
      <c r="J99" s="2008"/>
      <c r="K99" s="2008"/>
      <c r="L99" s="2036" t="e">
        <v>#REF!</v>
      </c>
      <c r="M99" s="2036" t="e">
        <v>#REF!</v>
      </c>
      <c r="N99" s="2084" t="e">
        <v>#DIV/0!</v>
      </c>
      <c r="O99" s="2084" t="e">
        <v>#DIV/0!</v>
      </c>
      <c r="P99" s="2084" t="e">
        <v>#REF!</v>
      </c>
      <c r="Q99" s="2084" t="e">
        <v>#REF!</v>
      </c>
      <c r="R99" s="2084" t="e">
        <v>#N/A</v>
      </c>
      <c r="S99" s="2026">
        <v>0</v>
      </c>
      <c r="T99" s="2026">
        <v>0</v>
      </c>
      <c r="U99" s="2026">
        <v>0</v>
      </c>
    </row>
    <row r="100" spans="2:21">
      <c r="B100" s="2005"/>
      <c r="C100" s="2005" t="s">
        <v>220</v>
      </c>
      <c r="D100" s="2056">
        <v>0</v>
      </c>
      <c r="E100" s="2005" t="s">
        <v>559</v>
      </c>
      <c r="F100" s="2005" t="s">
        <v>186</v>
      </c>
      <c r="G100" s="2013"/>
      <c r="H100" s="2013"/>
      <c r="I100" s="2024">
        <v>0</v>
      </c>
      <c r="J100" s="2008"/>
      <c r="K100" s="2008"/>
      <c r="L100" s="2036" t="e">
        <v>#REF!</v>
      </c>
      <c r="M100" s="2036" t="e">
        <v>#REF!</v>
      </c>
      <c r="N100" s="2084" t="e">
        <v>#DIV/0!</v>
      </c>
      <c r="O100" s="2084" t="e">
        <v>#DIV/0!</v>
      </c>
      <c r="P100" s="2084" t="e">
        <v>#REF!</v>
      </c>
      <c r="Q100" s="2084" t="e">
        <v>#REF!</v>
      </c>
      <c r="R100" s="2084" t="e">
        <v>#N/A</v>
      </c>
      <c r="S100" s="2026">
        <v>0</v>
      </c>
      <c r="T100" s="2026">
        <v>0</v>
      </c>
      <c r="U100" s="2026">
        <v>0</v>
      </c>
    </row>
    <row r="101" spans="2:21">
      <c r="B101" s="2005"/>
      <c r="C101" s="2005" t="s">
        <v>221</v>
      </c>
      <c r="D101" s="2056">
        <v>0</v>
      </c>
      <c r="E101" s="2005" t="s">
        <v>559</v>
      </c>
      <c r="F101" s="2005" t="s">
        <v>186</v>
      </c>
      <c r="G101" s="2013"/>
      <c r="H101" s="2013"/>
      <c r="I101" s="2024">
        <v>0</v>
      </c>
      <c r="J101" s="2008"/>
      <c r="K101" s="2008"/>
      <c r="L101" s="2036" t="e">
        <v>#REF!</v>
      </c>
      <c r="M101" s="2036" t="e">
        <v>#REF!</v>
      </c>
      <c r="N101" s="2084" t="e">
        <v>#DIV/0!</v>
      </c>
      <c r="O101" s="2084" t="e">
        <v>#DIV/0!</v>
      </c>
      <c r="P101" s="2084" t="e">
        <v>#REF!</v>
      </c>
      <c r="Q101" s="2084" t="e">
        <v>#REF!</v>
      </c>
      <c r="R101" s="2084" t="e">
        <v>#N/A</v>
      </c>
      <c r="S101" s="2026">
        <v>0</v>
      </c>
      <c r="T101" s="2026">
        <v>0</v>
      </c>
      <c r="U101" s="2026">
        <v>0</v>
      </c>
    </row>
    <row r="102" spans="2:21">
      <c r="B102" s="2005"/>
      <c r="C102" s="2005" t="s">
        <v>222</v>
      </c>
      <c r="D102" s="2056">
        <v>0</v>
      </c>
      <c r="E102" s="2005" t="s">
        <v>559</v>
      </c>
      <c r="F102" s="2005" t="s">
        <v>186</v>
      </c>
      <c r="G102" s="2013"/>
      <c r="H102" s="2013"/>
      <c r="I102" s="2024">
        <v>0</v>
      </c>
      <c r="J102" s="2008"/>
      <c r="K102" s="2008"/>
      <c r="L102" s="2036" t="e">
        <v>#REF!</v>
      </c>
      <c r="M102" s="2036" t="e">
        <v>#REF!</v>
      </c>
      <c r="N102" s="2084" t="e">
        <v>#DIV/0!</v>
      </c>
      <c r="O102" s="2084" t="e">
        <v>#DIV/0!</v>
      </c>
      <c r="P102" s="2084" t="e">
        <v>#REF!</v>
      </c>
      <c r="Q102" s="2084" t="e">
        <v>#REF!</v>
      </c>
      <c r="R102" s="2084" t="e">
        <v>#N/A</v>
      </c>
      <c r="S102" s="2026">
        <v>0</v>
      </c>
      <c r="T102" s="2026">
        <v>0</v>
      </c>
      <c r="U102" s="2026">
        <v>0</v>
      </c>
    </row>
    <row r="103" spans="2:21">
      <c r="B103" s="2005"/>
      <c r="C103" s="2005" t="s">
        <v>223</v>
      </c>
      <c r="D103" s="2056">
        <v>0</v>
      </c>
      <c r="E103" s="2005" t="s">
        <v>559</v>
      </c>
      <c r="F103" s="2005" t="s">
        <v>186</v>
      </c>
      <c r="G103" s="2013"/>
      <c r="H103" s="2013"/>
      <c r="I103" s="2024">
        <v>0</v>
      </c>
      <c r="J103" s="2008"/>
      <c r="K103" s="2008"/>
      <c r="L103" s="2036" t="e">
        <v>#REF!</v>
      </c>
      <c r="M103" s="2036" t="e">
        <v>#REF!</v>
      </c>
      <c r="N103" s="2084" t="e">
        <v>#DIV/0!</v>
      </c>
      <c r="O103" s="2084" t="e">
        <v>#DIV/0!</v>
      </c>
      <c r="P103" s="2084" t="e">
        <v>#REF!</v>
      </c>
      <c r="Q103" s="2084" t="e">
        <v>#REF!</v>
      </c>
      <c r="R103" s="2084" t="e">
        <v>#N/A</v>
      </c>
      <c r="S103" s="2026">
        <v>0</v>
      </c>
      <c r="T103" s="2026">
        <v>0</v>
      </c>
      <c r="U103" s="2026">
        <v>0</v>
      </c>
    </row>
    <row r="104" spans="2:21">
      <c r="B104" s="2005"/>
      <c r="C104" s="2005" t="s">
        <v>224</v>
      </c>
      <c r="D104" s="2056">
        <v>0</v>
      </c>
      <c r="E104" s="2005" t="s">
        <v>559</v>
      </c>
      <c r="F104" s="2005" t="s">
        <v>186</v>
      </c>
      <c r="G104" s="2013"/>
      <c r="H104" s="2013"/>
      <c r="I104" s="2024">
        <v>0</v>
      </c>
      <c r="J104" s="2008"/>
      <c r="K104" s="2008"/>
      <c r="L104" s="2036" t="e">
        <v>#REF!</v>
      </c>
      <c r="M104" s="2036" t="e">
        <v>#REF!</v>
      </c>
      <c r="N104" s="2084" t="e">
        <v>#DIV/0!</v>
      </c>
      <c r="O104" s="2084" t="e">
        <v>#DIV/0!</v>
      </c>
      <c r="P104" s="2084" t="e">
        <v>#REF!</v>
      </c>
      <c r="Q104" s="2084" t="e">
        <v>#REF!</v>
      </c>
      <c r="R104" s="2084" t="e">
        <v>#N/A</v>
      </c>
      <c r="S104" s="2026">
        <v>0</v>
      </c>
      <c r="T104" s="2026">
        <v>0</v>
      </c>
      <c r="U104" s="2026">
        <v>0</v>
      </c>
    </row>
    <row r="105" spans="2:21">
      <c r="B105" s="2005"/>
      <c r="C105" s="2005" t="s">
        <v>225</v>
      </c>
      <c r="D105" s="2056">
        <v>0</v>
      </c>
      <c r="E105" s="2005" t="s">
        <v>559</v>
      </c>
      <c r="F105" s="2005" t="s">
        <v>186</v>
      </c>
      <c r="G105" s="2013"/>
      <c r="H105" s="2013"/>
      <c r="I105" s="2024">
        <v>0</v>
      </c>
      <c r="J105" s="2008"/>
      <c r="K105" s="2008"/>
      <c r="L105" s="2036" t="e">
        <v>#REF!</v>
      </c>
      <c r="M105" s="2036" t="e">
        <v>#REF!</v>
      </c>
      <c r="N105" s="2084" t="e">
        <v>#DIV/0!</v>
      </c>
      <c r="O105" s="2084" t="e">
        <v>#DIV/0!</v>
      </c>
      <c r="P105" s="2084" t="e">
        <v>#REF!</v>
      </c>
      <c r="Q105" s="2084" t="e">
        <v>#REF!</v>
      </c>
      <c r="R105" s="2084" t="e">
        <v>#N/A</v>
      </c>
      <c r="S105" s="2026">
        <v>0</v>
      </c>
      <c r="T105" s="2026">
        <v>0</v>
      </c>
      <c r="U105" s="2026">
        <v>0</v>
      </c>
    </row>
    <row r="106" spans="2:21" ht="13.5" thickBot="1">
      <c r="B106" s="2005"/>
      <c r="C106" s="2005" t="s">
        <v>226</v>
      </c>
      <c r="D106" s="2056">
        <v>0</v>
      </c>
      <c r="E106" s="2005" t="s">
        <v>559</v>
      </c>
      <c r="F106" s="2005" t="s">
        <v>186</v>
      </c>
      <c r="G106" s="2013"/>
      <c r="H106" s="2013"/>
      <c r="I106" s="2024">
        <v>0</v>
      </c>
      <c r="J106" s="2008"/>
      <c r="K106" s="2008"/>
      <c r="L106" s="2039" t="e">
        <v>#REF!</v>
      </c>
      <c r="M106" s="2039" t="e">
        <v>#REF!</v>
      </c>
      <c r="N106" s="2085" t="e">
        <v>#DIV/0!</v>
      </c>
      <c r="O106" s="2085" t="e">
        <v>#DIV/0!</v>
      </c>
      <c r="P106" s="2084" t="e">
        <v>#REF!</v>
      </c>
      <c r="Q106" s="2085" t="e">
        <v>#REF!</v>
      </c>
      <c r="R106" s="2085" t="e">
        <v>#N/A</v>
      </c>
      <c r="S106" s="2026">
        <v>0</v>
      </c>
      <c r="T106" s="2026">
        <v>0</v>
      </c>
      <c r="U106" s="2026">
        <v>0</v>
      </c>
    </row>
    <row r="107" spans="2:21" ht="13.5" thickBot="1">
      <c r="B107" s="2001"/>
      <c r="C107" s="2001"/>
      <c r="D107" s="2001"/>
      <c r="E107" s="2001"/>
      <c r="F107" s="2001"/>
      <c r="G107" s="2038">
        <v>0</v>
      </c>
      <c r="H107" s="2025">
        <v>0</v>
      </c>
      <c r="I107" s="2037">
        <v>0</v>
      </c>
      <c r="J107" s="2004" t="e">
        <v>#DIV/0!</v>
      </c>
      <c r="K107" s="2002"/>
      <c r="L107" s="2040" t="e">
        <v>#N/A</v>
      </c>
      <c r="M107" s="2041" t="e">
        <v>#N/A</v>
      </c>
      <c r="N107" s="2070" t="e">
        <v>#DIV/0!</v>
      </c>
      <c r="O107" s="2070" t="e">
        <v>#DIV/0!</v>
      </c>
      <c r="P107" s="2070" t="e">
        <v>#N/A</v>
      </c>
      <c r="Q107" s="2071" t="e">
        <v>#N/A</v>
      </c>
      <c r="R107" s="2071" t="e">
        <v>#DIV/0!</v>
      </c>
      <c r="S107" s="2027">
        <v>0</v>
      </c>
      <c r="T107" s="2027">
        <v>0</v>
      </c>
      <c r="U107" s="2027">
        <v>0</v>
      </c>
    </row>
  </sheetData>
  <sheetProtection password="9E1F" sheet="1" objects="1" scenarios="1"/>
  <customSheetViews>
    <customSheetView guid="{074EB09C-6289-46D7-9513-012B68BCA7BF}" fitToPage="1">
      <pane xSplit="1" ySplit="1" topLeftCell="B2" activePane="bottomRight" state="frozen"/>
      <selection pane="bottomRight"/>
      <pageMargins left="0.23" right="0.25" top="0.35" bottom="0.46" header="0.3" footer="0.3"/>
      <pageSetup paperSize="17" scale="50" orientation="landscape" r:id="rId1"/>
    </customSheetView>
    <customSheetView guid="{AF9F1D33-B8C2-423F-86A1-47612B8F532C}" fitToPage="1">
      <pane xSplit="1" ySplit="1" topLeftCell="B2" activePane="bottomRight" state="frozenSplit"/>
      <selection pane="bottomRight" activeCell="C25" sqref="C25:C26"/>
      <pageMargins left="0.7" right="0.7" top="0.75" bottom="0.75" header="0.3" footer="0.3"/>
      <pageSetup paperSize="17" scale="50" orientation="landscape"/>
    </customSheetView>
  </customSheetViews>
  <mergeCells count="14">
    <mergeCell ref="D11:E11"/>
    <mergeCell ref="I11:L11"/>
    <mergeCell ref="M11:N11"/>
    <mergeCell ref="S63:U63"/>
    <mergeCell ref="M12:O12"/>
    <mergeCell ref="I13:K13"/>
    <mergeCell ref="C12:F12"/>
    <mergeCell ref="V63:X63"/>
    <mergeCell ref="Q2:R2"/>
    <mergeCell ref="S2:U2"/>
    <mergeCell ref="V2:V3"/>
    <mergeCell ref="P12:R12"/>
    <mergeCell ref="L63:R63"/>
    <mergeCell ref="I12:L12"/>
  </mergeCells>
  <pageMargins left="0.23" right="0.25" top="0.35" bottom="0.46" header="0.3" footer="0.3"/>
  <pageSetup paperSize="17" scale="50" orientation="landscape" r:id="rId2"/>
  <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tabColor theme="3" tint="-0.249977111117893"/>
  </sheetPr>
  <dimension ref="A1"/>
  <sheetViews>
    <sheetView workbookViewId="0">
      <selection activeCell="K69" sqref="K69"/>
    </sheetView>
  </sheetViews>
  <sheetFormatPr defaultColWidth="8.85546875" defaultRowHeight="12.75"/>
  <sheetData>
    <row r="1" spans="1:1">
      <c r="A1" t="s">
        <v>107</v>
      </c>
    </row>
  </sheetData>
  <customSheetViews>
    <customSheetView guid="{074EB09C-6289-46D7-9513-012B68BCA7BF}">
      <selection activeCell="K69" sqref="K69"/>
      <pageMargins left="0.7" right="0.7" top="0.75" bottom="0.75" header="0.3" footer="0.3"/>
      <pageSetup orientation="portrait" r:id="rId1"/>
    </customSheetView>
    <customSheetView guid="{AF9F1D33-B8C2-423F-86A1-47612B8F532C}">
      <pageMargins left="0.7" right="0.7" top="0.75" bottom="0.75" header="0.3" footer="0.3"/>
      <pageSetup orientation="portrait"/>
    </customSheetView>
  </customSheetView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X110"/>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8.85546875" defaultRowHeight="12.75"/>
  <cols>
    <col min="1" max="1" width="16" style="3064" customWidth="1"/>
    <col min="2" max="2" width="17" customWidth="1"/>
    <col min="3" max="3" width="39" customWidth="1"/>
    <col min="4" max="5" width="11.42578125" customWidth="1"/>
    <col min="6" max="6" width="14.140625" customWidth="1"/>
    <col min="7" max="7" width="12.7109375" customWidth="1"/>
    <col min="8" max="8" width="14.28515625" customWidth="1"/>
    <col min="9" max="10" width="13" customWidth="1"/>
    <col min="11" max="11" width="15.7109375" customWidth="1"/>
    <col min="12" max="12" width="17.42578125" customWidth="1"/>
    <col min="13" max="15" width="13" customWidth="1"/>
    <col min="16" max="18" width="15.7109375" customWidth="1"/>
    <col min="20" max="20" width="11.140625" customWidth="1"/>
  </cols>
  <sheetData>
    <row r="1" spans="1:22" ht="42" customHeight="1"/>
    <row r="4" spans="1:22" ht="16.5" thickBot="1">
      <c r="B4" s="3461"/>
      <c r="C4" s="1716"/>
      <c r="D4" s="1716"/>
      <c r="E4" s="1716"/>
      <c r="F4" s="1727"/>
      <c r="G4" s="1727">
        <v>18230685</v>
      </c>
      <c r="H4" s="3331" t="s">
        <v>1160</v>
      </c>
      <c r="I4" s="1727"/>
      <c r="J4" s="1716"/>
      <c r="K4" s="1716"/>
      <c r="L4" s="1716"/>
      <c r="M4" s="1716"/>
      <c r="N4" s="1716"/>
      <c r="O4" s="1716"/>
      <c r="P4" s="1716"/>
      <c r="Q4" s="1716"/>
      <c r="R4" s="1716"/>
      <c r="S4" s="1716"/>
      <c r="T4" s="1716"/>
      <c r="U4" s="1716"/>
      <c r="V4" s="1716"/>
    </row>
    <row r="5" spans="1:22" ht="16.5" thickBot="1">
      <c r="B5" s="1727" t="s">
        <v>109</v>
      </c>
      <c r="C5" s="4976" t="s">
        <v>1200</v>
      </c>
      <c r="D5" s="1716"/>
      <c r="E5" s="1716"/>
      <c r="F5" s="1716"/>
      <c r="G5" s="1734" t="s">
        <v>8</v>
      </c>
      <c r="H5" s="1716"/>
      <c r="I5" s="1716"/>
      <c r="J5" s="1716"/>
      <c r="K5" s="1716"/>
      <c r="L5" s="1716"/>
      <c r="M5" s="1716"/>
      <c r="N5" s="1716"/>
      <c r="O5" s="1716"/>
      <c r="P5" s="1716"/>
      <c r="Q5" s="5152" t="s">
        <v>556</v>
      </c>
      <c r="R5" s="5152"/>
      <c r="S5" s="5153" t="s">
        <v>110</v>
      </c>
      <c r="T5" s="5154"/>
      <c r="U5" s="5155"/>
      <c r="V5" s="5147" t="s">
        <v>111</v>
      </c>
    </row>
    <row r="6" spans="1:22" ht="16.5" thickBot="1">
      <c r="B6" s="1759" t="s">
        <v>6</v>
      </c>
      <c r="C6" s="1759">
        <v>18230685</v>
      </c>
      <c r="D6" s="1716"/>
      <c r="E6" s="1716"/>
      <c r="F6" s="1716"/>
      <c r="G6" s="1745" t="s">
        <v>9</v>
      </c>
      <c r="H6" s="1744" t="s">
        <v>10</v>
      </c>
      <c r="I6" s="1744" t="s">
        <v>11</v>
      </c>
      <c r="J6" s="1744" t="s">
        <v>12</v>
      </c>
      <c r="K6" s="1744" t="s">
        <v>13</v>
      </c>
      <c r="L6" s="1744" t="s">
        <v>14</v>
      </c>
      <c r="M6" s="1744" t="s">
        <v>15</v>
      </c>
      <c r="N6" s="1744" t="s">
        <v>16</v>
      </c>
      <c r="O6" s="1744" t="s">
        <v>112</v>
      </c>
      <c r="P6" s="1744" t="s">
        <v>113</v>
      </c>
      <c r="Q6" s="1746" t="s">
        <v>18</v>
      </c>
      <c r="R6" s="1746" t="s">
        <v>114</v>
      </c>
      <c r="S6" s="1736" t="s">
        <v>115</v>
      </c>
      <c r="T6" s="1736" t="s">
        <v>12</v>
      </c>
      <c r="U6" s="1737" t="s">
        <v>116</v>
      </c>
      <c r="V6" s="5148"/>
    </row>
    <row r="7" spans="1:22" ht="16.5" thickBot="1">
      <c r="B7" s="1759" t="s">
        <v>117</v>
      </c>
      <c r="C7" s="4057" t="s">
        <v>1160</v>
      </c>
      <c r="D7" s="1716"/>
      <c r="E7" s="1716"/>
      <c r="F7" s="1727">
        <v>2011</v>
      </c>
      <c r="G7" s="1774">
        <v>0</v>
      </c>
      <c r="H7" s="1775">
        <v>0</v>
      </c>
      <c r="I7" s="1775">
        <v>0</v>
      </c>
      <c r="J7" s="1775">
        <v>2400</v>
      </c>
      <c r="K7" s="1775">
        <v>0</v>
      </c>
      <c r="L7" s="1775">
        <v>0</v>
      </c>
      <c r="M7" s="1775">
        <v>0</v>
      </c>
      <c r="N7" s="1775">
        <v>0</v>
      </c>
      <c r="O7" s="1775">
        <v>0</v>
      </c>
      <c r="P7" s="1775">
        <v>0</v>
      </c>
      <c r="Q7" s="1779">
        <v>2400</v>
      </c>
      <c r="R7" s="1786">
        <v>0</v>
      </c>
      <c r="S7" s="1807">
        <v>0</v>
      </c>
      <c r="T7" s="1807">
        <v>1</v>
      </c>
      <c r="U7" s="1807">
        <v>0</v>
      </c>
      <c r="V7" s="1809" t="e">
        <v>#DIV/0!</v>
      </c>
    </row>
    <row r="8" spans="1:22" ht="16.5" thickBot="1">
      <c r="B8" s="1727" t="s">
        <v>33</v>
      </c>
      <c r="C8" s="1716"/>
      <c r="D8" s="1716"/>
      <c r="E8" s="1716"/>
      <c r="F8" s="1727">
        <v>2012</v>
      </c>
      <c r="G8" s="1776">
        <f>D17</f>
        <v>0</v>
      </c>
      <c r="H8" s="1777">
        <f>D22</f>
        <v>0</v>
      </c>
      <c r="I8" s="1777">
        <f>D27</f>
        <v>0</v>
      </c>
      <c r="J8" s="1777">
        <f>D32</f>
        <v>4139</v>
      </c>
      <c r="K8" s="1777">
        <f>D37</f>
        <v>0</v>
      </c>
      <c r="L8" s="1777">
        <f>D42</f>
        <v>325</v>
      </c>
      <c r="M8" s="1777">
        <f>D47</f>
        <v>3705</v>
      </c>
      <c r="N8" s="1777">
        <f>D53</f>
        <v>0</v>
      </c>
      <c r="O8" s="1777">
        <f>D58</f>
        <v>0</v>
      </c>
      <c r="P8" s="1777">
        <f>D59</f>
        <v>0</v>
      </c>
      <c r="Q8" s="1778">
        <f>SUM(G8:P8)</f>
        <v>8169</v>
      </c>
      <c r="R8" s="1795">
        <v>0</v>
      </c>
      <c r="S8" s="1808">
        <v>0</v>
      </c>
      <c r="T8" s="1808">
        <v>1</v>
      </c>
      <c r="U8" s="1808">
        <v>0</v>
      </c>
      <c r="V8" s="1810" t="e">
        <v>#DIV/0!</v>
      </c>
    </row>
    <row r="9" spans="1:22" s="3532" customFormat="1" ht="16.5" thickBot="1">
      <c r="B9" s="3331"/>
      <c r="C9" s="4117"/>
      <c r="D9" s="4117"/>
      <c r="E9" s="4117"/>
      <c r="F9" s="4271" t="s">
        <v>1168</v>
      </c>
      <c r="G9" s="2062">
        <v>0</v>
      </c>
      <c r="H9" s="4155">
        <v>0</v>
      </c>
      <c r="I9" s="4155">
        <v>0</v>
      </c>
      <c r="J9" s="4155">
        <v>4139</v>
      </c>
      <c r="K9" s="4155">
        <v>0</v>
      </c>
      <c r="L9" s="4155">
        <v>325</v>
      </c>
      <c r="M9" s="4155">
        <v>3705</v>
      </c>
      <c r="N9" s="4155">
        <v>0</v>
      </c>
      <c r="O9" s="4155">
        <v>0</v>
      </c>
      <c r="P9" s="4155">
        <v>0</v>
      </c>
      <c r="Q9" s="2064">
        <v>8169</v>
      </c>
      <c r="R9" s="2082">
        <v>0</v>
      </c>
      <c r="S9" s="3637">
        <v>0</v>
      </c>
      <c r="T9" s="3637">
        <v>1</v>
      </c>
      <c r="U9" s="3637">
        <v>0</v>
      </c>
      <c r="V9" s="2096" t="e">
        <v>#DIV/0!</v>
      </c>
    </row>
    <row r="10" spans="1:22" ht="16.5" thickBot="1">
      <c r="B10" s="1716"/>
      <c r="C10" s="1727" t="s">
        <v>807</v>
      </c>
      <c r="D10" s="1716"/>
      <c r="E10" s="1716"/>
      <c r="F10" s="4270" t="s">
        <v>1169</v>
      </c>
      <c r="G10" s="4224">
        <f>E17</f>
        <v>0</v>
      </c>
      <c r="H10" s="4225">
        <f>E22</f>
        <v>0</v>
      </c>
      <c r="I10" s="4225">
        <f>E27</f>
        <v>0</v>
      </c>
      <c r="J10" s="4225">
        <f>E32</f>
        <v>4139</v>
      </c>
      <c r="K10" s="4225">
        <f>E37</f>
        <v>0</v>
      </c>
      <c r="L10" s="4225">
        <f>E42</f>
        <v>325</v>
      </c>
      <c r="M10" s="4225">
        <f>E47</f>
        <v>3705</v>
      </c>
      <c r="N10" s="4225">
        <f>E53</f>
        <v>0</v>
      </c>
      <c r="O10" s="4225">
        <f>E58</f>
        <v>0</v>
      </c>
      <c r="P10" s="4225">
        <f>E59</f>
        <v>0</v>
      </c>
      <c r="Q10" s="4226">
        <f>SUM(G10:P10)</f>
        <v>8169</v>
      </c>
      <c r="R10" s="4235">
        <v>0</v>
      </c>
      <c r="S10" s="1808">
        <v>0</v>
      </c>
      <c r="T10" s="1808">
        <v>1</v>
      </c>
      <c r="U10" s="1808">
        <v>0</v>
      </c>
      <c r="V10" s="1810" t="e">
        <v>#DIV/0!</v>
      </c>
    </row>
    <row r="11" spans="1:22" ht="16.5" thickBot="1">
      <c r="B11" s="1716"/>
      <c r="C11" s="2086" t="s">
        <v>1431</v>
      </c>
      <c r="D11" s="1716"/>
      <c r="E11" s="1716"/>
      <c r="F11" s="2073" t="s">
        <v>1175</v>
      </c>
      <c r="G11" s="1787">
        <f>SUM(G8+G10)</f>
        <v>0</v>
      </c>
      <c r="H11" s="3335">
        <f t="shared" ref="H11:Q11" si="0">SUM(H8+H10)</f>
        <v>0</v>
      </c>
      <c r="I11" s="3335">
        <f t="shared" si="0"/>
        <v>0</v>
      </c>
      <c r="J11" s="3335">
        <f t="shared" si="0"/>
        <v>8278</v>
      </c>
      <c r="K11" s="3335">
        <f t="shared" si="0"/>
        <v>0</v>
      </c>
      <c r="L11" s="3335">
        <f t="shared" si="0"/>
        <v>650</v>
      </c>
      <c r="M11" s="3335">
        <f t="shared" si="0"/>
        <v>7410</v>
      </c>
      <c r="N11" s="3335">
        <f t="shared" si="0"/>
        <v>0</v>
      </c>
      <c r="O11" s="3335">
        <f t="shared" si="0"/>
        <v>0</v>
      </c>
      <c r="P11" s="3335">
        <f t="shared" si="0"/>
        <v>0</v>
      </c>
      <c r="Q11" s="3335">
        <f t="shared" si="0"/>
        <v>16338</v>
      </c>
      <c r="R11" s="1796">
        <v>0</v>
      </c>
      <c r="S11" s="1808">
        <v>0</v>
      </c>
      <c r="T11" s="1808">
        <v>1</v>
      </c>
      <c r="U11" s="1808">
        <v>0</v>
      </c>
      <c r="V11" s="1810" t="e">
        <v>#DIV/0!</v>
      </c>
    </row>
    <row r="12" spans="1:22">
      <c r="P12" s="2216"/>
      <c r="Q12" s="84"/>
    </row>
    <row r="13" spans="1:22" s="2203" customFormat="1">
      <c r="A13" s="3064"/>
      <c r="P13" s="2216"/>
    </row>
    <row r="14" spans="1:22" ht="13.5" thickBot="1">
      <c r="B14" s="1716"/>
      <c r="C14" s="1771" t="s">
        <v>118</v>
      </c>
      <c r="D14" s="5149" t="s">
        <v>119</v>
      </c>
      <c r="E14" s="5149"/>
      <c r="F14" s="1716"/>
      <c r="G14" s="1716"/>
      <c r="H14" s="1716"/>
      <c r="I14" s="5150" t="s">
        <v>120</v>
      </c>
      <c r="J14" s="5150"/>
      <c r="K14" s="5150"/>
      <c r="L14" s="5150"/>
      <c r="M14" s="5151" t="s">
        <v>119</v>
      </c>
      <c r="N14" s="5151"/>
      <c r="O14" s="1716"/>
      <c r="P14" s="1716"/>
      <c r="Q14" s="1716"/>
      <c r="R14" s="1716"/>
      <c r="S14" s="1716"/>
      <c r="T14" s="1716"/>
      <c r="U14" s="1716"/>
      <c r="V14" s="1716"/>
    </row>
    <row r="15" spans="1:22" ht="16.5" thickBot="1">
      <c r="B15" s="1773" t="s">
        <v>121</v>
      </c>
      <c r="C15" s="5156" t="s">
        <v>122</v>
      </c>
      <c r="D15" s="5156"/>
      <c r="E15" s="5156"/>
      <c r="F15" s="5157"/>
      <c r="G15" s="1716"/>
      <c r="H15" s="1716"/>
      <c r="I15" s="5153" t="s">
        <v>123</v>
      </c>
      <c r="J15" s="5154"/>
      <c r="K15" s="5154"/>
      <c r="L15" s="5155"/>
      <c r="M15" s="5153" t="s">
        <v>124</v>
      </c>
      <c r="N15" s="5154"/>
      <c r="O15" s="5155"/>
      <c r="P15" s="5153" t="s">
        <v>125</v>
      </c>
      <c r="Q15" s="5154"/>
      <c r="R15" s="5155"/>
      <c r="S15" s="1716"/>
      <c r="T15" s="4897"/>
      <c r="U15" s="4056"/>
      <c r="V15" s="1716"/>
    </row>
    <row r="16" spans="1:22" ht="16.5" thickBot="1">
      <c r="B16" s="1783">
        <v>2011</v>
      </c>
      <c r="C16" s="1772" t="s">
        <v>127</v>
      </c>
      <c r="D16" s="1769">
        <v>2012</v>
      </c>
      <c r="E16" s="1769">
        <v>2013</v>
      </c>
      <c r="F16" s="1769" t="s">
        <v>128</v>
      </c>
      <c r="G16" s="1716"/>
      <c r="H16" s="1735"/>
      <c r="I16" s="5158" t="s">
        <v>129</v>
      </c>
      <c r="J16" s="5159"/>
      <c r="K16" s="5160"/>
      <c r="L16" s="1765" t="s">
        <v>130</v>
      </c>
      <c r="M16" s="1766" t="s">
        <v>131</v>
      </c>
      <c r="N16" s="1767" t="s">
        <v>132</v>
      </c>
      <c r="O16" s="1768" t="s">
        <v>133</v>
      </c>
      <c r="P16" s="1766" t="s">
        <v>134</v>
      </c>
      <c r="Q16" s="1766" t="s">
        <v>135</v>
      </c>
      <c r="R16" s="1768" t="s">
        <v>136</v>
      </c>
      <c r="S16" s="1716"/>
      <c r="T16" s="4898"/>
      <c r="U16" s="4056"/>
      <c r="V16" s="1716"/>
    </row>
    <row r="17" spans="2:22" ht="13.5" thickBot="1">
      <c r="B17" s="1803">
        <v>0</v>
      </c>
      <c r="C17" s="1747" t="s">
        <v>138</v>
      </c>
      <c r="D17" s="1748">
        <f>SUM(D18:D21)</f>
        <v>0</v>
      </c>
      <c r="E17" s="3327">
        <f>SUM(E18:E21)</f>
        <v>0</v>
      </c>
      <c r="F17" s="1749">
        <f>SUM(D17:E17)</f>
        <v>0</v>
      </c>
      <c r="G17" s="1716"/>
      <c r="H17" s="1738"/>
      <c r="I17" s="1762" t="s">
        <v>368</v>
      </c>
      <c r="J17" s="1763"/>
      <c r="K17" s="1764"/>
      <c r="L17" s="1788">
        <v>0</v>
      </c>
      <c r="M17" s="1723">
        <v>0</v>
      </c>
      <c r="N17" s="1723">
        <v>0</v>
      </c>
      <c r="O17" s="1739">
        <v>0</v>
      </c>
      <c r="P17" s="1789">
        <v>0</v>
      </c>
      <c r="Q17" s="1789">
        <v>0</v>
      </c>
      <c r="R17" s="1790">
        <v>0</v>
      </c>
      <c r="S17" s="1716"/>
      <c r="T17" s="4056"/>
      <c r="U17" s="4056"/>
      <c r="V17" s="1716"/>
    </row>
    <row r="18" spans="2:22">
      <c r="B18" s="1781"/>
      <c r="C18" s="1728"/>
      <c r="D18" s="1730">
        <v>0</v>
      </c>
      <c r="E18" s="1730">
        <v>0</v>
      </c>
      <c r="F18" s="1730">
        <f>SUM(D18:E18)</f>
        <v>0</v>
      </c>
      <c r="G18" s="1716"/>
      <c r="H18" s="1738"/>
      <c r="I18" s="1762" t="s">
        <v>369</v>
      </c>
      <c r="J18" s="1763"/>
      <c r="K18" s="1764"/>
      <c r="L18" s="1788">
        <v>0</v>
      </c>
      <c r="M18" s="1723">
        <v>0</v>
      </c>
      <c r="N18" s="1723">
        <v>0</v>
      </c>
      <c r="O18" s="1739">
        <v>0</v>
      </c>
      <c r="P18" s="1789">
        <v>0</v>
      </c>
      <c r="Q18" s="1789">
        <v>0</v>
      </c>
      <c r="R18" s="1790">
        <v>0</v>
      </c>
      <c r="S18" s="1716"/>
      <c r="T18" s="4056"/>
      <c r="U18" s="4056"/>
      <c r="V18" s="1716"/>
    </row>
    <row r="19" spans="2:22">
      <c r="B19" s="1782"/>
      <c r="C19" s="1728"/>
      <c r="D19" s="1730">
        <v>0</v>
      </c>
      <c r="E19" s="1730">
        <v>0</v>
      </c>
      <c r="F19" s="3325">
        <f t="shared" ref="F19:F21" si="1">SUM(D19:E19)</f>
        <v>0</v>
      </c>
      <c r="G19" s="1716"/>
      <c r="H19" s="1738"/>
      <c r="I19" s="1762" t="s">
        <v>370</v>
      </c>
      <c r="J19" s="1763"/>
      <c r="K19" s="1764"/>
      <c r="L19" s="1788">
        <v>0</v>
      </c>
      <c r="M19" s="1723">
        <v>0</v>
      </c>
      <c r="N19" s="1723">
        <v>0</v>
      </c>
      <c r="O19" s="1739">
        <v>0</v>
      </c>
      <c r="P19" s="1789">
        <v>0</v>
      </c>
      <c r="Q19" s="1789">
        <v>0</v>
      </c>
      <c r="R19" s="1790">
        <v>0</v>
      </c>
      <c r="S19" s="1716"/>
      <c r="T19" s="4056"/>
      <c r="U19" s="4056"/>
      <c r="V19" s="1716"/>
    </row>
    <row r="20" spans="2:22">
      <c r="B20" s="1782"/>
      <c r="C20" s="1722"/>
      <c r="D20" s="1730">
        <v>0</v>
      </c>
      <c r="E20" s="1730">
        <v>0</v>
      </c>
      <c r="F20" s="3325">
        <f t="shared" si="1"/>
        <v>0</v>
      </c>
      <c r="G20" s="1716"/>
      <c r="H20" s="1738"/>
      <c r="I20" s="1762" t="s">
        <v>188</v>
      </c>
      <c r="J20" s="1763"/>
      <c r="K20" s="1764"/>
      <c r="L20" s="1788">
        <v>0</v>
      </c>
      <c r="M20" s="1723">
        <v>0</v>
      </c>
      <c r="N20" s="1723">
        <v>0</v>
      </c>
      <c r="O20" s="1739">
        <v>0</v>
      </c>
      <c r="P20" s="1789">
        <v>0</v>
      </c>
      <c r="Q20" s="1789">
        <v>0</v>
      </c>
      <c r="R20" s="1790">
        <v>0</v>
      </c>
      <c r="S20" s="1716"/>
      <c r="T20" s="4056"/>
      <c r="U20" s="4056"/>
      <c r="V20" s="1716"/>
    </row>
    <row r="21" spans="2:22" ht="13.5" thickBot="1">
      <c r="B21" s="1782"/>
      <c r="C21" s="1722"/>
      <c r="D21" s="1730">
        <v>0</v>
      </c>
      <c r="E21" s="1730">
        <v>0</v>
      </c>
      <c r="F21" s="3325">
        <f t="shared" si="1"/>
        <v>0</v>
      </c>
      <c r="G21" s="1716"/>
      <c r="H21" s="1738"/>
      <c r="I21" s="1762" t="s">
        <v>189</v>
      </c>
      <c r="J21" s="1763"/>
      <c r="K21" s="1764"/>
      <c r="L21" s="1788">
        <v>0</v>
      </c>
      <c r="M21" s="1723">
        <v>0</v>
      </c>
      <c r="N21" s="1723">
        <v>0</v>
      </c>
      <c r="O21" s="1739">
        <v>0</v>
      </c>
      <c r="P21" s="1789">
        <v>0</v>
      </c>
      <c r="Q21" s="1789">
        <v>0</v>
      </c>
      <c r="R21" s="1790">
        <v>0</v>
      </c>
      <c r="S21" s="1716"/>
      <c r="T21" s="4056"/>
      <c r="U21" s="4056"/>
      <c r="V21" s="1716"/>
    </row>
    <row r="22" spans="2:22" ht="13.5" thickBot="1">
      <c r="B22" s="1780">
        <v>0</v>
      </c>
      <c r="C22" s="1747" t="s">
        <v>143</v>
      </c>
      <c r="D22" s="1748">
        <f>SUM(D23:D26)</f>
        <v>0</v>
      </c>
      <c r="E22" s="3327">
        <f>SUM(E23:E26)</f>
        <v>0</v>
      </c>
      <c r="F22" s="1749">
        <f>SUM(D22:E22)</f>
        <v>0</v>
      </c>
      <c r="G22" s="1716"/>
      <c r="H22" s="1738"/>
      <c r="I22" s="1762" t="s">
        <v>190</v>
      </c>
      <c r="J22" s="1763"/>
      <c r="K22" s="1764"/>
      <c r="L22" s="1788">
        <v>0</v>
      </c>
      <c r="M22" s="1723">
        <v>0</v>
      </c>
      <c r="N22" s="1723">
        <v>0</v>
      </c>
      <c r="O22" s="1739">
        <v>0</v>
      </c>
      <c r="P22" s="1789">
        <v>0</v>
      </c>
      <c r="Q22" s="1789">
        <v>0</v>
      </c>
      <c r="R22" s="1790">
        <v>0</v>
      </c>
      <c r="S22" s="1716"/>
      <c r="T22" s="4056"/>
      <c r="U22" s="3535"/>
    </row>
    <row r="23" spans="2:22">
      <c r="B23" s="1781"/>
      <c r="C23" s="1799"/>
      <c r="D23" s="1802">
        <v>0</v>
      </c>
      <c r="E23" s="1802">
        <v>0</v>
      </c>
      <c r="F23" s="1730">
        <f>SUM(D23:E23)</f>
        <v>0</v>
      </c>
      <c r="G23" s="1716"/>
      <c r="H23" s="1738"/>
      <c r="I23" s="1762" t="s">
        <v>191</v>
      </c>
      <c r="J23" s="1763"/>
      <c r="K23" s="1764"/>
      <c r="L23" s="1788">
        <v>0</v>
      </c>
      <c r="M23" s="1723">
        <v>0</v>
      </c>
      <c r="N23" s="1723">
        <v>0</v>
      </c>
      <c r="O23" s="1739">
        <v>0</v>
      </c>
      <c r="P23" s="1789">
        <v>0</v>
      </c>
      <c r="Q23" s="1789">
        <v>0</v>
      </c>
      <c r="R23" s="1790">
        <v>0</v>
      </c>
      <c r="S23" s="1716"/>
      <c r="T23" s="4056"/>
      <c r="U23" s="3535"/>
    </row>
    <row r="24" spans="2:22">
      <c r="B24" s="1782"/>
      <c r="C24" s="1800"/>
      <c r="D24" s="1802">
        <v>0</v>
      </c>
      <c r="E24" s="1802">
        <v>0</v>
      </c>
      <c r="F24" s="3325">
        <f t="shared" ref="F24:F26" si="2">SUM(D24:E24)</f>
        <v>0</v>
      </c>
      <c r="G24" s="1716"/>
      <c r="H24" s="1738"/>
      <c r="I24" s="1762" t="s">
        <v>192</v>
      </c>
      <c r="J24" s="1763"/>
      <c r="K24" s="1764"/>
      <c r="L24" s="1788">
        <v>0</v>
      </c>
      <c r="M24" s="1723">
        <v>0</v>
      </c>
      <c r="N24" s="1723">
        <v>0</v>
      </c>
      <c r="O24" s="1739">
        <v>0</v>
      </c>
      <c r="P24" s="1789">
        <v>0</v>
      </c>
      <c r="Q24" s="1789">
        <v>0</v>
      </c>
      <c r="R24" s="1790">
        <v>0</v>
      </c>
      <c r="S24" s="1716"/>
      <c r="T24" s="4056"/>
      <c r="U24" s="3535"/>
    </row>
    <row r="25" spans="2:22">
      <c r="B25" s="1782"/>
      <c r="C25" s="1722" t="s">
        <v>141</v>
      </c>
      <c r="D25" s="1732">
        <v>0</v>
      </c>
      <c r="E25" s="1732"/>
      <c r="F25" s="3325">
        <f t="shared" si="2"/>
        <v>0</v>
      </c>
      <c r="G25" s="1716"/>
      <c r="H25" s="1738"/>
      <c r="I25" s="1762" t="s">
        <v>193</v>
      </c>
      <c r="J25" s="1763"/>
      <c r="K25" s="1764"/>
      <c r="L25" s="1788">
        <v>0</v>
      </c>
      <c r="M25" s="1723">
        <v>0</v>
      </c>
      <c r="N25" s="1723">
        <v>0</v>
      </c>
      <c r="O25" s="1739">
        <v>0</v>
      </c>
      <c r="P25" s="1789">
        <v>0</v>
      </c>
      <c r="Q25" s="1789">
        <v>0</v>
      </c>
      <c r="R25" s="1790">
        <v>0</v>
      </c>
      <c r="S25" s="1716"/>
      <c r="T25" s="4056"/>
      <c r="U25" s="3535"/>
    </row>
    <row r="26" spans="2:22" ht="13.5" thickBot="1">
      <c r="B26" s="1782"/>
      <c r="C26" s="1722" t="s">
        <v>142</v>
      </c>
      <c r="D26" s="1732">
        <v>0</v>
      </c>
      <c r="E26" s="1732"/>
      <c r="F26" s="3325">
        <f t="shared" si="2"/>
        <v>0</v>
      </c>
      <c r="G26" s="1716"/>
      <c r="H26" s="1738"/>
      <c r="I26" s="1762" t="s">
        <v>194</v>
      </c>
      <c r="J26" s="1763"/>
      <c r="K26" s="1764"/>
      <c r="L26" s="1788">
        <v>0</v>
      </c>
      <c r="M26" s="1723">
        <v>0</v>
      </c>
      <c r="N26" s="1723">
        <v>0</v>
      </c>
      <c r="O26" s="1739">
        <v>0</v>
      </c>
      <c r="P26" s="1789">
        <v>0</v>
      </c>
      <c r="Q26" s="1789">
        <v>0</v>
      </c>
      <c r="R26" s="1790">
        <v>0</v>
      </c>
      <c r="S26" s="1716"/>
      <c r="T26" s="4056"/>
      <c r="U26" s="3535"/>
    </row>
    <row r="27" spans="2:22" ht="13.5" thickBot="1">
      <c r="B27" s="1780">
        <v>0</v>
      </c>
      <c r="C27" s="1747" t="s">
        <v>144</v>
      </c>
      <c r="D27" s="1748">
        <f>SUM(D28:D31)</f>
        <v>0</v>
      </c>
      <c r="E27" s="3327">
        <f>SUM(E28:E31)</f>
        <v>0</v>
      </c>
      <c r="F27" s="1749">
        <f>SUM(D27:E27)</f>
        <v>0</v>
      </c>
      <c r="G27" s="1721"/>
      <c r="H27" s="1738"/>
      <c r="I27" s="1762" t="s">
        <v>195</v>
      </c>
      <c r="J27" s="1763"/>
      <c r="K27" s="1764"/>
      <c r="L27" s="1788">
        <v>0</v>
      </c>
      <c r="M27" s="1723">
        <v>0</v>
      </c>
      <c r="N27" s="1723">
        <v>0</v>
      </c>
      <c r="O27" s="1739">
        <v>0</v>
      </c>
      <c r="P27" s="1789">
        <v>0</v>
      </c>
      <c r="Q27" s="1789">
        <v>0</v>
      </c>
      <c r="R27" s="1790">
        <v>0</v>
      </c>
      <c r="S27" s="1716"/>
      <c r="T27" s="4056"/>
      <c r="U27" s="3535"/>
    </row>
    <row r="28" spans="2:22">
      <c r="B28" s="1781"/>
      <c r="C28" s="3220" t="s">
        <v>1202</v>
      </c>
      <c r="D28" s="1730">
        <v>0</v>
      </c>
      <c r="E28" s="1730">
        <v>0</v>
      </c>
      <c r="F28" s="1730">
        <f>SUM(D28:E28)</f>
        <v>0</v>
      </c>
      <c r="G28" s="1716"/>
      <c r="H28" s="1738"/>
      <c r="I28" s="1762" t="s">
        <v>196</v>
      </c>
      <c r="J28" s="1763"/>
      <c r="K28" s="1764"/>
      <c r="L28" s="1788">
        <v>0</v>
      </c>
      <c r="M28" s="1723">
        <v>0</v>
      </c>
      <c r="N28" s="1723">
        <v>0</v>
      </c>
      <c r="O28" s="1739">
        <v>0</v>
      </c>
      <c r="P28" s="1789">
        <v>0</v>
      </c>
      <c r="Q28" s="1789">
        <v>0</v>
      </c>
      <c r="R28" s="1790">
        <v>0</v>
      </c>
      <c r="S28" s="1716"/>
      <c r="T28" s="4056"/>
      <c r="U28" s="3535"/>
    </row>
    <row r="29" spans="2:22">
      <c r="B29" s="1781"/>
      <c r="C29" s="3220" t="s">
        <v>1203</v>
      </c>
      <c r="D29" s="1731">
        <v>0</v>
      </c>
      <c r="E29" s="1731">
        <v>0</v>
      </c>
      <c r="F29" s="3325">
        <f t="shared" ref="F29:F31" si="3">SUM(D29:E29)</f>
        <v>0</v>
      </c>
      <c r="G29" s="1716"/>
      <c r="H29" s="1738"/>
      <c r="I29" s="1762" t="s">
        <v>197</v>
      </c>
      <c r="J29" s="1763"/>
      <c r="K29" s="1764"/>
      <c r="L29" s="1788">
        <v>0</v>
      </c>
      <c r="M29" s="1723">
        <v>0</v>
      </c>
      <c r="N29" s="1723">
        <v>0</v>
      </c>
      <c r="O29" s="1739">
        <v>0</v>
      </c>
      <c r="P29" s="1789">
        <v>0</v>
      </c>
      <c r="Q29" s="1789">
        <v>0</v>
      </c>
      <c r="R29" s="1790">
        <v>0</v>
      </c>
      <c r="S29" s="1716"/>
      <c r="T29" s="4056"/>
      <c r="U29" s="3535"/>
    </row>
    <row r="30" spans="2:22">
      <c r="B30" s="1782"/>
      <c r="C30" s="1722"/>
      <c r="D30" s="1732"/>
      <c r="E30" s="1732"/>
      <c r="F30" s="3325">
        <f t="shared" si="3"/>
        <v>0</v>
      </c>
      <c r="G30" s="1716"/>
      <c r="H30" s="1738"/>
      <c r="I30" s="1762" t="s">
        <v>198</v>
      </c>
      <c r="J30" s="1763"/>
      <c r="K30" s="1764"/>
      <c r="L30" s="1788">
        <v>0</v>
      </c>
      <c r="M30" s="1723">
        <v>0</v>
      </c>
      <c r="N30" s="1723">
        <v>0</v>
      </c>
      <c r="O30" s="1739">
        <v>0</v>
      </c>
      <c r="P30" s="1789">
        <v>0</v>
      </c>
      <c r="Q30" s="1789">
        <v>0</v>
      </c>
      <c r="R30" s="1790">
        <v>0</v>
      </c>
      <c r="S30" s="1716"/>
      <c r="T30" s="4056"/>
      <c r="U30" s="3535"/>
    </row>
    <row r="31" spans="2:22" ht="13.5" thickBot="1">
      <c r="B31" s="1782"/>
      <c r="C31" s="1722"/>
      <c r="D31" s="1732"/>
      <c r="E31" s="1732"/>
      <c r="F31" s="3325">
        <f t="shared" si="3"/>
        <v>0</v>
      </c>
      <c r="G31" s="1716"/>
      <c r="H31" s="1738"/>
      <c r="I31" s="1762" t="s">
        <v>199</v>
      </c>
      <c r="J31" s="1763"/>
      <c r="K31" s="1764"/>
      <c r="L31" s="1788">
        <v>0</v>
      </c>
      <c r="M31" s="1723">
        <v>0</v>
      </c>
      <c r="N31" s="1723">
        <v>0</v>
      </c>
      <c r="O31" s="1739">
        <v>0</v>
      </c>
      <c r="P31" s="1789">
        <v>0</v>
      </c>
      <c r="Q31" s="1789">
        <v>0</v>
      </c>
      <c r="R31" s="1790">
        <v>0</v>
      </c>
      <c r="S31" s="1716"/>
      <c r="T31" s="4056"/>
      <c r="U31" s="3535"/>
    </row>
    <row r="32" spans="2:22" ht="13.5" thickBot="1">
      <c r="B32" s="1780">
        <v>2400</v>
      </c>
      <c r="C32" s="1747" t="s">
        <v>145</v>
      </c>
      <c r="D32" s="1748">
        <f>SUM(D33:D36)</f>
        <v>4139</v>
      </c>
      <c r="E32" s="3327">
        <f>SUM(E33:E36)</f>
        <v>4139</v>
      </c>
      <c r="F32" s="1749">
        <f>SUM(D32:E32)</f>
        <v>8278</v>
      </c>
      <c r="G32" s="1716"/>
      <c r="H32" s="1738"/>
      <c r="I32" s="1762" t="s">
        <v>200</v>
      </c>
      <c r="J32" s="1763"/>
      <c r="K32" s="1764"/>
      <c r="L32" s="1788">
        <v>0</v>
      </c>
      <c r="M32" s="1723">
        <v>0</v>
      </c>
      <c r="N32" s="1723">
        <v>0</v>
      </c>
      <c r="O32" s="1739">
        <v>0</v>
      </c>
      <c r="P32" s="1789">
        <v>0</v>
      </c>
      <c r="Q32" s="1789">
        <v>0</v>
      </c>
      <c r="R32" s="1790">
        <v>0</v>
      </c>
      <c r="S32" s="1716"/>
      <c r="T32" s="4056"/>
      <c r="U32" s="3535"/>
    </row>
    <row r="33" spans="2:21">
      <c r="B33" s="1781"/>
      <c r="C33" s="3330" t="s">
        <v>1008</v>
      </c>
      <c r="D33" s="1730">
        <v>4139</v>
      </c>
      <c r="E33" s="1730">
        <v>4139</v>
      </c>
      <c r="F33" s="1730">
        <f>SUM(D33:E33)</f>
        <v>8278</v>
      </c>
      <c r="G33" s="1716"/>
      <c r="H33" s="1738"/>
      <c r="I33" s="1762" t="s">
        <v>201</v>
      </c>
      <c r="J33" s="1763"/>
      <c r="K33" s="1764"/>
      <c r="L33" s="1788">
        <v>0</v>
      </c>
      <c r="M33" s="1723">
        <v>0</v>
      </c>
      <c r="N33" s="1723">
        <v>0</v>
      </c>
      <c r="O33" s="1739">
        <v>0</v>
      </c>
      <c r="P33" s="1789">
        <v>0</v>
      </c>
      <c r="Q33" s="1789">
        <v>0</v>
      </c>
      <c r="R33" s="1790">
        <v>0</v>
      </c>
      <c r="S33" s="1716"/>
      <c r="T33" s="4056"/>
      <c r="U33" s="3535"/>
    </row>
    <row r="34" spans="2:21">
      <c r="B34" s="1782"/>
      <c r="C34" s="1722" t="s">
        <v>140</v>
      </c>
      <c r="D34" s="1731">
        <v>0</v>
      </c>
      <c r="E34" s="1731"/>
      <c r="F34" s="3325">
        <f t="shared" ref="F34:F36" si="4">SUM(D34:E34)</f>
        <v>0</v>
      </c>
      <c r="G34" s="1716"/>
      <c r="H34" s="1738"/>
      <c r="I34" s="1762" t="s">
        <v>202</v>
      </c>
      <c r="J34" s="1763"/>
      <c r="K34" s="1764"/>
      <c r="L34" s="1788">
        <v>0</v>
      </c>
      <c r="M34" s="1723">
        <v>0</v>
      </c>
      <c r="N34" s="1723">
        <v>0</v>
      </c>
      <c r="O34" s="1739">
        <v>0</v>
      </c>
      <c r="P34" s="1789">
        <v>0</v>
      </c>
      <c r="Q34" s="1789">
        <v>0</v>
      </c>
      <c r="R34" s="1790">
        <v>0</v>
      </c>
      <c r="S34" s="1716"/>
      <c r="T34" s="4056"/>
      <c r="U34" s="3535"/>
    </row>
    <row r="35" spans="2:21">
      <c r="B35" s="1782"/>
      <c r="C35" s="1722" t="s">
        <v>141</v>
      </c>
      <c r="D35" s="1731">
        <v>0</v>
      </c>
      <c r="E35" s="1731"/>
      <c r="F35" s="3325">
        <f t="shared" si="4"/>
        <v>0</v>
      </c>
      <c r="G35" s="1716"/>
      <c r="H35" s="1738"/>
      <c r="I35" s="1762" t="s">
        <v>203</v>
      </c>
      <c r="J35" s="1763"/>
      <c r="K35" s="1764"/>
      <c r="L35" s="1788">
        <v>0</v>
      </c>
      <c r="M35" s="1723">
        <v>0</v>
      </c>
      <c r="N35" s="1723">
        <v>0</v>
      </c>
      <c r="O35" s="1739">
        <v>0</v>
      </c>
      <c r="P35" s="1789">
        <v>0</v>
      </c>
      <c r="Q35" s="1789">
        <v>0</v>
      </c>
      <c r="R35" s="1790">
        <v>0</v>
      </c>
      <c r="S35" s="1716"/>
      <c r="T35" s="4056"/>
      <c r="U35" s="3535"/>
    </row>
    <row r="36" spans="2:21" ht="13.5" thickBot="1">
      <c r="B36" s="1782"/>
      <c r="C36" s="1722" t="s">
        <v>142</v>
      </c>
      <c r="D36" s="1731">
        <v>0</v>
      </c>
      <c r="E36" s="1731"/>
      <c r="F36" s="3325">
        <f t="shared" si="4"/>
        <v>0</v>
      </c>
      <c r="G36" s="1716"/>
      <c r="H36" s="1738"/>
      <c r="I36" s="1762" t="s">
        <v>204</v>
      </c>
      <c r="J36" s="1763"/>
      <c r="K36" s="1764"/>
      <c r="L36" s="1788">
        <v>0</v>
      </c>
      <c r="M36" s="1723">
        <v>0</v>
      </c>
      <c r="N36" s="1723">
        <v>0</v>
      </c>
      <c r="O36" s="1739">
        <v>0</v>
      </c>
      <c r="P36" s="1789">
        <v>0</v>
      </c>
      <c r="Q36" s="1789">
        <v>0</v>
      </c>
      <c r="R36" s="1790">
        <v>0</v>
      </c>
      <c r="S36" s="1716"/>
      <c r="T36" s="4056"/>
      <c r="U36" s="3535"/>
    </row>
    <row r="37" spans="2:21" ht="13.5" thickBot="1">
      <c r="B37" s="1780">
        <v>0</v>
      </c>
      <c r="C37" s="1747" t="s">
        <v>146</v>
      </c>
      <c r="D37" s="1748">
        <f>SUM(D38:D41)</f>
        <v>0</v>
      </c>
      <c r="E37" s="3327">
        <f>SUM(E38:E41)</f>
        <v>0</v>
      </c>
      <c r="F37" s="1749">
        <f>SUM(D37:E37)</f>
        <v>0</v>
      </c>
      <c r="G37" s="1716"/>
      <c r="H37" s="1738"/>
      <c r="I37" s="1762" t="s">
        <v>205</v>
      </c>
      <c r="J37" s="1763"/>
      <c r="K37" s="1764"/>
      <c r="L37" s="1788">
        <v>0</v>
      </c>
      <c r="M37" s="1723">
        <v>0</v>
      </c>
      <c r="N37" s="1723">
        <v>0</v>
      </c>
      <c r="O37" s="1739">
        <v>0</v>
      </c>
      <c r="P37" s="1789">
        <v>0</v>
      </c>
      <c r="Q37" s="1789">
        <v>0</v>
      </c>
      <c r="R37" s="1790">
        <v>0</v>
      </c>
      <c r="S37" s="1716"/>
      <c r="T37" s="4056"/>
      <c r="U37" s="3535"/>
    </row>
    <row r="38" spans="2:21">
      <c r="B38" s="1782"/>
      <c r="C38" s="1722" t="s">
        <v>139</v>
      </c>
      <c r="D38" s="1731">
        <v>0</v>
      </c>
      <c r="E38" s="1731">
        <v>0</v>
      </c>
      <c r="F38" s="1730">
        <f>SUM(D38:E38)</f>
        <v>0</v>
      </c>
      <c r="G38" s="1716"/>
      <c r="H38" s="1738"/>
      <c r="I38" s="1762" t="s">
        <v>206</v>
      </c>
      <c r="J38" s="1763"/>
      <c r="K38" s="1764"/>
      <c r="L38" s="1788">
        <v>0</v>
      </c>
      <c r="M38" s="1723">
        <v>0</v>
      </c>
      <c r="N38" s="1723">
        <v>0</v>
      </c>
      <c r="O38" s="1739">
        <v>0</v>
      </c>
      <c r="P38" s="1789">
        <v>0</v>
      </c>
      <c r="Q38" s="1789">
        <v>0</v>
      </c>
      <c r="R38" s="1790">
        <v>0</v>
      </c>
      <c r="S38" s="1716"/>
      <c r="T38" s="4056"/>
      <c r="U38" s="3535"/>
    </row>
    <row r="39" spans="2:21">
      <c r="B39" s="1782"/>
      <c r="C39" s="1722" t="s">
        <v>140</v>
      </c>
      <c r="D39" s="1731">
        <v>0</v>
      </c>
      <c r="E39" s="1731"/>
      <c r="F39" s="3325">
        <f t="shared" ref="F39:F41" si="5">SUM(D39:E39)</f>
        <v>0</v>
      </c>
      <c r="G39" s="1716"/>
      <c r="H39" s="1738"/>
      <c r="I39" s="1762" t="s">
        <v>207</v>
      </c>
      <c r="J39" s="1763"/>
      <c r="K39" s="1764"/>
      <c r="L39" s="1788">
        <v>0</v>
      </c>
      <c r="M39" s="1723">
        <v>0</v>
      </c>
      <c r="N39" s="1723">
        <v>0</v>
      </c>
      <c r="O39" s="1739">
        <v>0</v>
      </c>
      <c r="P39" s="1789">
        <v>0</v>
      </c>
      <c r="Q39" s="1789">
        <v>0</v>
      </c>
      <c r="R39" s="1790">
        <v>0</v>
      </c>
      <c r="S39" s="1716"/>
      <c r="T39" s="4056"/>
      <c r="U39" s="3535"/>
    </row>
    <row r="40" spans="2:21">
      <c r="B40" s="1782"/>
      <c r="C40" s="1722" t="s">
        <v>141</v>
      </c>
      <c r="D40" s="1731">
        <v>0</v>
      </c>
      <c r="E40" s="1731"/>
      <c r="F40" s="3325">
        <f t="shared" si="5"/>
        <v>0</v>
      </c>
      <c r="G40" s="1716"/>
      <c r="H40" s="1738"/>
      <c r="I40" s="1762" t="s">
        <v>208</v>
      </c>
      <c r="J40" s="1763"/>
      <c r="K40" s="1764"/>
      <c r="L40" s="1788">
        <v>0</v>
      </c>
      <c r="M40" s="1723">
        <v>0</v>
      </c>
      <c r="N40" s="1723">
        <v>0</v>
      </c>
      <c r="O40" s="1739">
        <v>0</v>
      </c>
      <c r="P40" s="1789">
        <v>0</v>
      </c>
      <c r="Q40" s="1789">
        <v>0</v>
      </c>
      <c r="R40" s="1790">
        <v>0</v>
      </c>
      <c r="S40" s="1716"/>
      <c r="T40" s="4056"/>
      <c r="U40" s="3535"/>
    </row>
    <row r="41" spans="2:21" ht="13.5" thickBot="1">
      <c r="B41" s="1782"/>
      <c r="C41" s="1722" t="s">
        <v>142</v>
      </c>
      <c r="D41" s="1731">
        <v>0</v>
      </c>
      <c r="E41" s="1731"/>
      <c r="F41" s="3325">
        <f t="shared" si="5"/>
        <v>0</v>
      </c>
      <c r="G41" s="1716"/>
      <c r="H41" s="1738"/>
      <c r="I41" s="1762" t="s">
        <v>209</v>
      </c>
      <c r="J41" s="1763"/>
      <c r="K41" s="1764"/>
      <c r="L41" s="1788">
        <v>0</v>
      </c>
      <c r="M41" s="1723">
        <v>0</v>
      </c>
      <c r="N41" s="1723">
        <v>0</v>
      </c>
      <c r="O41" s="1739">
        <v>0</v>
      </c>
      <c r="P41" s="1789">
        <v>0</v>
      </c>
      <c r="Q41" s="1789">
        <v>0</v>
      </c>
      <c r="R41" s="1790">
        <v>0</v>
      </c>
      <c r="S41" s="1716"/>
      <c r="T41" s="4056"/>
      <c r="U41" s="3535"/>
    </row>
    <row r="42" spans="2:21" ht="13.5" thickBot="1">
      <c r="B42" s="1780">
        <v>0</v>
      </c>
      <c r="C42" s="1747" t="s">
        <v>147</v>
      </c>
      <c r="D42" s="1748">
        <f>SUM(D43:D46)</f>
        <v>325</v>
      </c>
      <c r="E42" s="3327">
        <f>SUM(E43:E46)</f>
        <v>325</v>
      </c>
      <c r="F42" s="1749">
        <f>SUM(D42:E42)</f>
        <v>650</v>
      </c>
      <c r="G42" s="1716"/>
      <c r="H42" s="1738"/>
      <c r="I42" s="1762" t="s">
        <v>210</v>
      </c>
      <c r="J42" s="1763"/>
      <c r="K42" s="1764"/>
      <c r="L42" s="1788">
        <v>0</v>
      </c>
      <c r="M42" s="1723">
        <v>0</v>
      </c>
      <c r="N42" s="1723">
        <v>0</v>
      </c>
      <c r="O42" s="1739">
        <v>0</v>
      </c>
      <c r="P42" s="1789">
        <v>0</v>
      </c>
      <c r="Q42" s="1789">
        <v>0</v>
      </c>
      <c r="R42" s="1790">
        <v>0</v>
      </c>
      <c r="S42" s="1716"/>
      <c r="T42" s="4056"/>
      <c r="U42" s="3535"/>
    </row>
    <row r="43" spans="2:21">
      <c r="B43" s="1782"/>
      <c r="C43" s="3305" t="s">
        <v>1005</v>
      </c>
      <c r="D43" s="3322">
        <v>195</v>
      </c>
      <c r="E43" s="3322">
        <v>195</v>
      </c>
      <c r="F43" s="1730">
        <f>SUM(D43:E43)</f>
        <v>390</v>
      </c>
      <c r="G43" s="1716"/>
      <c r="H43" s="1738"/>
      <c r="I43" s="1762" t="s">
        <v>211</v>
      </c>
      <c r="J43" s="1763"/>
      <c r="K43" s="1764"/>
      <c r="L43" s="1788">
        <v>0</v>
      </c>
      <c r="M43" s="1723">
        <v>0</v>
      </c>
      <c r="N43" s="1723">
        <v>0</v>
      </c>
      <c r="O43" s="1739">
        <v>0</v>
      </c>
      <c r="P43" s="1789">
        <v>0</v>
      </c>
      <c r="Q43" s="1789">
        <v>0</v>
      </c>
      <c r="R43" s="1790">
        <v>0</v>
      </c>
      <c r="S43" s="1716"/>
      <c r="T43" s="4056"/>
      <c r="U43" s="3535"/>
    </row>
    <row r="44" spans="2:21">
      <c r="B44" s="1782"/>
      <c r="C44" s="3321" t="s">
        <v>1004</v>
      </c>
      <c r="D44" s="3324">
        <v>130</v>
      </c>
      <c r="E44" s="3324">
        <v>130</v>
      </c>
      <c r="F44" s="3332">
        <f>SUM(D44:E44)</f>
        <v>260</v>
      </c>
      <c r="G44" s="1716"/>
      <c r="H44" s="1738"/>
      <c r="I44" s="1762" t="s">
        <v>212</v>
      </c>
      <c r="J44" s="1763"/>
      <c r="K44" s="1764"/>
      <c r="L44" s="1788">
        <v>0</v>
      </c>
      <c r="M44" s="1723">
        <v>0</v>
      </c>
      <c r="N44" s="1723">
        <v>0</v>
      </c>
      <c r="O44" s="1739">
        <v>0</v>
      </c>
      <c r="P44" s="1789">
        <v>0</v>
      </c>
      <c r="Q44" s="1789">
        <v>0</v>
      </c>
      <c r="R44" s="1790">
        <v>0</v>
      </c>
      <c r="S44" s="1716"/>
      <c r="T44" s="4056"/>
      <c r="U44" s="3535"/>
    </row>
    <row r="45" spans="2:21">
      <c r="B45" s="1782"/>
      <c r="C45" s="1722" t="s">
        <v>141</v>
      </c>
      <c r="D45" s="1731">
        <v>0</v>
      </c>
      <c r="E45" s="1731"/>
      <c r="F45" s="3325">
        <f t="shared" ref="F45:F46" si="6">SUM(D45:E45)</f>
        <v>0</v>
      </c>
      <c r="G45" s="1716"/>
      <c r="H45" s="1738"/>
      <c r="I45" s="1762" t="s">
        <v>213</v>
      </c>
      <c r="J45" s="1763"/>
      <c r="K45" s="1764"/>
      <c r="L45" s="1788">
        <v>0</v>
      </c>
      <c r="M45" s="1723">
        <v>0</v>
      </c>
      <c r="N45" s="1723">
        <v>0</v>
      </c>
      <c r="O45" s="1739">
        <v>0</v>
      </c>
      <c r="P45" s="1789">
        <v>0</v>
      </c>
      <c r="Q45" s="1789">
        <v>0</v>
      </c>
      <c r="R45" s="1790">
        <v>0</v>
      </c>
      <c r="S45" s="1716"/>
      <c r="T45" s="4056"/>
      <c r="U45" s="3535"/>
    </row>
    <row r="46" spans="2:21" ht="13.5" thickBot="1">
      <c r="B46" s="1782"/>
      <c r="C46" s="1722" t="s">
        <v>142</v>
      </c>
      <c r="D46" s="1731">
        <v>0</v>
      </c>
      <c r="E46" s="1731"/>
      <c r="F46" s="3325">
        <f t="shared" si="6"/>
        <v>0</v>
      </c>
      <c r="G46" s="1716"/>
      <c r="H46" s="1738"/>
      <c r="I46" s="1762" t="s">
        <v>214</v>
      </c>
      <c r="J46" s="1763"/>
      <c r="K46" s="1764"/>
      <c r="L46" s="1788">
        <v>0</v>
      </c>
      <c r="M46" s="1723">
        <v>0</v>
      </c>
      <c r="N46" s="1723">
        <v>0</v>
      </c>
      <c r="O46" s="1739">
        <v>0</v>
      </c>
      <c r="P46" s="1789">
        <v>0</v>
      </c>
      <c r="Q46" s="1789">
        <v>0</v>
      </c>
      <c r="R46" s="1790">
        <v>0</v>
      </c>
      <c r="S46" s="1716"/>
      <c r="T46" s="4056"/>
      <c r="U46" s="3535"/>
    </row>
    <row r="47" spans="2:21" ht="13.5" thickBot="1">
      <c r="B47" s="1780">
        <v>0</v>
      </c>
      <c r="C47" s="1747" t="s">
        <v>148</v>
      </c>
      <c r="D47" s="1748">
        <f>SUM(D48:D52)</f>
        <v>3705</v>
      </c>
      <c r="E47" s="3334">
        <f>SUM(E48:E52)</f>
        <v>3705</v>
      </c>
      <c r="F47" s="1749">
        <f>SUM(D47:E47)</f>
        <v>7410</v>
      </c>
      <c r="G47" s="1716"/>
      <c r="H47" s="1738"/>
      <c r="I47" s="1762" t="s">
        <v>215</v>
      </c>
      <c r="J47" s="1763"/>
      <c r="K47" s="1764"/>
      <c r="L47" s="1788">
        <v>0</v>
      </c>
      <c r="M47" s="1723">
        <v>0</v>
      </c>
      <c r="N47" s="1723">
        <v>0</v>
      </c>
      <c r="O47" s="1739">
        <v>0</v>
      </c>
      <c r="P47" s="1789">
        <v>0</v>
      </c>
      <c r="Q47" s="1789">
        <v>0</v>
      </c>
      <c r="R47" s="1790">
        <v>0</v>
      </c>
      <c r="S47" s="1716"/>
      <c r="T47" s="4056"/>
      <c r="U47" s="3535"/>
    </row>
    <row r="48" spans="2:21">
      <c r="B48" s="1782"/>
      <c r="C48" s="3330" t="s">
        <v>977</v>
      </c>
      <c r="D48" s="3324">
        <v>130</v>
      </c>
      <c r="E48" s="3324">
        <v>130</v>
      </c>
      <c r="F48" s="1730">
        <f>SUM(D48:E48)</f>
        <v>260</v>
      </c>
      <c r="G48" s="1716"/>
      <c r="H48" s="1738"/>
      <c r="I48" s="1762" t="s">
        <v>216</v>
      </c>
      <c r="J48" s="1763"/>
      <c r="K48" s="1764"/>
      <c r="L48" s="1788">
        <v>0</v>
      </c>
      <c r="M48" s="1723">
        <v>0</v>
      </c>
      <c r="N48" s="1723">
        <v>0</v>
      </c>
      <c r="O48" s="1739">
        <v>0</v>
      </c>
      <c r="P48" s="1789">
        <v>0</v>
      </c>
      <c r="Q48" s="1789">
        <v>0</v>
      </c>
      <c r="R48" s="1790">
        <v>0</v>
      </c>
      <c r="S48" s="1716"/>
      <c r="T48" s="4056"/>
      <c r="U48" s="3535"/>
    </row>
    <row r="49" spans="2:24">
      <c r="B49" s="1782"/>
      <c r="C49" s="3330" t="s">
        <v>978</v>
      </c>
      <c r="D49" s="3324">
        <v>65</v>
      </c>
      <c r="E49" s="3324">
        <v>65</v>
      </c>
      <c r="F49" s="3332">
        <f t="shared" ref="F49:F52" si="7">SUM(D49:E49)</f>
        <v>130</v>
      </c>
      <c r="G49" s="1716"/>
      <c r="H49" s="1738"/>
      <c r="I49" s="1762" t="s">
        <v>217</v>
      </c>
      <c r="J49" s="1763"/>
      <c r="K49" s="1764"/>
      <c r="L49" s="1788">
        <v>0</v>
      </c>
      <c r="M49" s="1723">
        <v>0</v>
      </c>
      <c r="N49" s="1723">
        <v>0</v>
      </c>
      <c r="O49" s="1739">
        <v>0</v>
      </c>
      <c r="P49" s="1789">
        <v>0</v>
      </c>
      <c r="Q49" s="1789">
        <v>0</v>
      </c>
      <c r="R49" s="1790">
        <v>0</v>
      </c>
      <c r="S49" s="1716"/>
      <c r="T49" s="4056"/>
      <c r="U49" s="3535"/>
    </row>
    <row r="50" spans="2:24">
      <c r="B50" s="1782"/>
      <c r="C50" s="3330" t="s">
        <v>979</v>
      </c>
      <c r="D50" s="3324">
        <v>260</v>
      </c>
      <c r="E50" s="3324">
        <v>260</v>
      </c>
      <c r="F50" s="3332">
        <f t="shared" si="7"/>
        <v>520</v>
      </c>
      <c r="G50" s="1716"/>
      <c r="H50" s="1738"/>
      <c r="I50" s="1762" t="s">
        <v>218</v>
      </c>
      <c r="J50" s="1763"/>
      <c r="K50" s="1764"/>
      <c r="L50" s="1788">
        <v>0</v>
      </c>
      <c r="M50" s="1723">
        <v>0</v>
      </c>
      <c r="N50" s="1723">
        <v>0</v>
      </c>
      <c r="O50" s="1739">
        <v>0</v>
      </c>
      <c r="P50" s="1789">
        <v>0</v>
      </c>
      <c r="Q50" s="1789">
        <v>0</v>
      </c>
      <c r="R50" s="1790">
        <v>0</v>
      </c>
      <c r="S50" s="1716"/>
      <c r="T50" s="4056"/>
      <c r="U50" s="3535"/>
    </row>
    <row r="51" spans="2:24">
      <c r="B51" s="1782"/>
      <c r="C51" s="3330" t="s">
        <v>980</v>
      </c>
      <c r="D51" s="3324">
        <v>2730</v>
      </c>
      <c r="E51" s="3324">
        <v>2730</v>
      </c>
      <c r="F51" s="3332">
        <f t="shared" si="7"/>
        <v>5460</v>
      </c>
      <c r="G51" s="1716"/>
      <c r="H51" s="1738"/>
      <c r="I51" s="1762" t="s">
        <v>219</v>
      </c>
      <c r="J51" s="1763"/>
      <c r="K51" s="1764"/>
      <c r="L51" s="1788">
        <v>0</v>
      </c>
      <c r="M51" s="1723">
        <v>0</v>
      </c>
      <c r="N51" s="1723">
        <v>0</v>
      </c>
      <c r="O51" s="1739">
        <v>0</v>
      </c>
      <c r="P51" s="1789">
        <v>0</v>
      </c>
      <c r="Q51" s="1789">
        <v>0</v>
      </c>
      <c r="R51" s="1790">
        <v>0</v>
      </c>
      <c r="S51" s="1716"/>
      <c r="T51" s="4056"/>
      <c r="U51" s="3535"/>
    </row>
    <row r="52" spans="2:24" ht="13.5" thickBot="1">
      <c r="B52" s="3257"/>
      <c r="C52" s="3330" t="s">
        <v>981</v>
      </c>
      <c r="D52" s="3324">
        <v>520</v>
      </c>
      <c r="E52" s="3324">
        <v>520</v>
      </c>
      <c r="F52" s="3332">
        <f t="shared" si="7"/>
        <v>1040</v>
      </c>
      <c r="G52" s="1716"/>
      <c r="H52" s="1738"/>
      <c r="I52" s="1762" t="s">
        <v>220</v>
      </c>
      <c r="J52" s="1763"/>
      <c r="K52" s="1764"/>
      <c r="L52" s="1788">
        <v>0</v>
      </c>
      <c r="M52" s="1723">
        <v>0</v>
      </c>
      <c r="N52" s="1723">
        <v>0</v>
      </c>
      <c r="O52" s="1739">
        <v>0</v>
      </c>
      <c r="P52" s="1789">
        <v>0</v>
      </c>
      <c r="Q52" s="1789">
        <v>0</v>
      </c>
      <c r="R52" s="1790">
        <v>0</v>
      </c>
      <c r="S52" s="1716"/>
      <c r="T52" s="4056"/>
      <c r="U52" s="3535"/>
    </row>
    <row r="53" spans="2:24" ht="13.5" thickBot="1">
      <c r="B53" s="1780">
        <v>0</v>
      </c>
      <c r="C53" s="1747" t="s">
        <v>149</v>
      </c>
      <c r="D53" s="1748">
        <f>SUM(D54:D57)</f>
        <v>0</v>
      </c>
      <c r="E53" s="3327">
        <f>SUM(E54:E57)</f>
        <v>0</v>
      </c>
      <c r="F53" s="1749">
        <f>SUM(D53:E53)</f>
        <v>0</v>
      </c>
      <c r="G53" s="1716"/>
      <c r="H53" s="1738"/>
      <c r="I53" s="1762" t="s">
        <v>221</v>
      </c>
      <c r="J53" s="1763"/>
      <c r="K53" s="1764"/>
      <c r="L53" s="1788">
        <v>0</v>
      </c>
      <c r="M53" s="1723">
        <v>0</v>
      </c>
      <c r="N53" s="1723">
        <v>0</v>
      </c>
      <c r="O53" s="1739">
        <v>0</v>
      </c>
      <c r="P53" s="1789">
        <v>0</v>
      </c>
      <c r="Q53" s="1789">
        <v>0</v>
      </c>
      <c r="R53" s="1790">
        <v>0</v>
      </c>
      <c r="S53" s="1716"/>
      <c r="T53" s="4056"/>
      <c r="U53" s="3535"/>
    </row>
    <row r="54" spans="2:24">
      <c r="B54" s="1782"/>
      <c r="C54" s="1722" t="s">
        <v>139</v>
      </c>
      <c r="D54" s="1731">
        <v>0</v>
      </c>
      <c r="E54" s="1731">
        <v>0</v>
      </c>
      <c r="F54" s="1730">
        <f>SUM(D54:E54)</f>
        <v>0</v>
      </c>
      <c r="G54" s="1716"/>
      <c r="H54" s="1716"/>
      <c r="I54" s="1762" t="s">
        <v>222</v>
      </c>
      <c r="J54" s="1763"/>
      <c r="K54" s="1764"/>
      <c r="L54" s="1788">
        <v>0</v>
      </c>
      <c r="M54" s="1723">
        <v>0</v>
      </c>
      <c r="N54" s="1723">
        <v>0</v>
      </c>
      <c r="O54" s="1739">
        <v>0</v>
      </c>
      <c r="P54" s="1789">
        <v>0</v>
      </c>
      <c r="Q54" s="1789">
        <v>0</v>
      </c>
      <c r="R54" s="1790">
        <v>0</v>
      </c>
      <c r="S54" s="1716"/>
      <c r="T54" s="4056"/>
      <c r="U54" s="4056"/>
      <c r="V54" s="1716"/>
      <c r="W54" s="1716"/>
      <c r="X54" s="1716"/>
    </row>
    <row r="55" spans="2:24">
      <c r="B55" s="1782"/>
      <c r="C55" s="1722" t="s">
        <v>140</v>
      </c>
      <c r="D55" s="1731">
        <v>0</v>
      </c>
      <c r="E55" s="1731"/>
      <c r="F55" s="3325">
        <f t="shared" ref="F55:F57" si="8">SUM(D55:E55)</f>
        <v>0</v>
      </c>
      <c r="G55" s="1716"/>
      <c r="H55" s="1716"/>
      <c r="I55" s="1762" t="s">
        <v>223</v>
      </c>
      <c r="J55" s="1763"/>
      <c r="K55" s="1764"/>
      <c r="L55" s="1788">
        <v>0</v>
      </c>
      <c r="M55" s="1723">
        <v>0</v>
      </c>
      <c r="N55" s="1723">
        <v>0</v>
      </c>
      <c r="O55" s="1739">
        <v>0</v>
      </c>
      <c r="P55" s="1789">
        <v>0</v>
      </c>
      <c r="Q55" s="1789">
        <v>0</v>
      </c>
      <c r="R55" s="1790">
        <v>0</v>
      </c>
      <c r="S55" s="1716"/>
      <c r="T55" s="4056"/>
      <c r="U55" s="4056"/>
      <c r="V55" s="1716"/>
      <c r="W55" s="1716"/>
      <c r="X55" s="1716"/>
    </row>
    <row r="56" spans="2:24">
      <c r="B56" s="1782"/>
      <c r="C56" s="1722" t="s">
        <v>141</v>
      </c>
      <c r="D56" s="1731">
        <v>0</v>
      </c>
      <c r="E56" s="1731"/>
      <c r="F56" s="3325">
        <f t="shared" si="8"/>
        <v>0</v>
      </c>
      <c r="G56" s="1716"/>
      <c r="H56" s="1716"/>
      <c r="I56" s="1762" t="s">
        <v>224</v>
      </c>
      <c r="J56" s="1763"/>
      <c r="K56" s="1764"/>
      <c r="L56" s="1788">
        <v>0</v>
      </c>
      <c r="M56" s="1723">
        <v>0</v>
      </c>
      <c r="N56" s="1723">
        <v>0</v>
      </c>
      <c r="O56" s="1739">
        <v>0</v>
      </c>
      <c r="P56" s="1789">
        <v>0</v>
      </c>
      <c r="Q56" s="1789">
        <v>0</v>
      </c>
      <c r="R56" s="1790">
        <v>0</v>
      </c>
      <c r="S56" s="1716"/>
      <c r="T56" s="4056"/>
      <c r="U56" s="4056"/>
      <c r="V56" s="1716"/>
      <c r="W56" s="1716"/>
      <c r="X56" s="1716"/>
    </row>
    <row r="57" spans="2:24" ht="13.5" thickBot="1">
      <c r="B57" s="1782"/>
      <c r="C57" s="1722" t="s">
        <v>142</v>
      </c>
      <c r="D57" s="1731">
        <v>0</v>
      </c>
      <c r="E57" s="1731"/>
      <c r="F57" s="3325">
        <f t="shared" si="8"/>
        <v>0</v>
      </c>
      <c r="G57" s="1750" t="s">
        <v>151</v>
      </c>
      <c r="H57" s="1716"/>
      <c r="I57" s="1762" t="s">
        <v>225</v>
      </c>
      <c r="J57" s="1763"/>
      <c r="K57" s="1764"/>
      <c r="L57" s="1788">
        <v>0</v>
      </c>
      <c r="M57" s="1723">
        <v>0</v>
      </c>
      <c r="N57" s="1723">
        <v>0</v>
      </c>
      <c r="O57" s="1739">
        <v>0</v>
      </c>
      <c r="P57" s="1789">
        <v>0</v>
      </c>
      <c r="Q57" s="1789">
        <v>0</v>
      </c>
      <c r="R57" s="1790">
        <v>0</v>
      </c>
      <c r="S57" s="1716"/>
      <c r="T57" s="4056"/>
      <c r="U57" s="4056"/>
      <c r="V57" s="1716"/>
      <c r="W57" s="1716"/>
      <c r="X57" s="1716"/>
    </row>
    <row r="58" spans="2:24" ht="13.5" thickBot="1">
      <c r="B58" s="1780">
        <v>0</v>
      </c>
      <c r="C58" s="1747" t="s">
        <v>150</v>
      </c>
      <c r="D58" s="1748">
        <v>0</v>
      </c>
      <c r="E58" s="1748">
        <v>0</v>
      </c>
      <c r="F58" s="1749">
        <f>SUM(D58:E58)</f>
        <v>0</v>
      </c>
      <c r="G58" s="1716"/>
      <c r="H58" s="1716"/>
      <c r="I58" s="1762" t="s">
        <v>226</v>
      </c>
      <c r="J58" s="1763"/>
      <c r="K58" s="1764"/>
      <c r="L58" s="1788">
        <v>0</v>
      </c>
      <c r="M58" s="1723">
        <v>0</v>
      </c>
      <c r="N58" s="1723">
        <v>0</v>
      </c>
      <c r="O58" s="1739">
        <v>0</v>
      </c>
      <c r="P58" s="1789">
        <v>0</v>
      </c>
      <c r="Q58" s="1789">
        <v>0</v>
      </c>
      <c r="R58" s="1790">
        <v>0</v>
      </c>
      <c r="S58" s="1716"/>
      <c r="T58" s="4056"/>
      <c r="U58" s="4056"/>
      <c r="V58" s="1716"/>
      <c r="W58" s="1716"/>
      <c r="X58" s="1716"/>
    </row>
    <row r="59" spans="2:24" ht="13.5" thickBot="1">
      <c r="B59" s="1780">
        <v>0</v>
      </c>
      <c r="C59" s="1747" t="s">
        <v>152</v>
      </c>
      <c r="D59" s="1748">
        <v>0</v>
      </c>
      <c r="E59" s="1748">
        <v>0</v>
      </c>
      <c r="F59" s="3328">
        <f>SUM(D59:E59)</f>
        <v>0</v>
      </c>
      <c r="G59" s="1716"/>
      <c r="H59" s="1716"/>
      <c r="I59" s="1716"/>
      <c r="J59" s="1716"/>
      <c r="K59" s="1716"/>
      <c r="L59" s="1716"/>
      <c r="M59" s="1716"/>
      <c r="N59" s="1716"/>
      <c r="O59" s="1716"/>
      <c r="P59" s="1791">
        <v>0</v>
      </c>
      <c r="Q59" s="1791">
        <v>0</v>
      </c>
      <c r="R59" s="1791">
        <v>0</v>
      </c>
      <c r="S59" s="1716"/>
      <c r="T59" s="4899"/>
      <c r="U59" s="4056"/>
      <c r="V59" s="1716"/>
      <c r="W59" s="1716"/>
      <c r="X59" s="1716"/>
    </row>
    <row r="60" spans="2:24">
      <c r="B60" s="1733">
        <v>2400</v>
      </c>
      <c r="C60" s="1717" t="s">
        <v>153</v>
      </c>
      <c r="D60" s="1733">
        <f>D17+D22+D27+D32+D37+D42+D47+D53+D58+D59</f>
        <v>8169</v>
      </c>
      <c r="E60" s="3326">
        <f>E17+E22+E27+E32+E37+E42+E47+E53+E58+E59</f>
        <v>8169</v>
      </c>
      <c r="F60" s="3326">
        <f>F17+F22+F27+F32+F37+F42+F47+F53+F58+F59</f>
        <v>16338</v>
      </c>
      <c r="G60" s="1716"/>
      <c r="H60" s="1716"/>
      <c r="I60" s="1716"/>
      <c r="J60" s="1716"/>
      <c r="K60" s="1716"/>
      <c r="L60" s="1716"/>
      <c r="M60" s="1716"/>
      <c r="N60" s="1716"/>
      <c r="O60" s="1716"/>
      <c r="P60" s="1716"/>
      <c r="Q60" s="1716"/>
      <c r="R60" s="1716"/>
      <c r="S60" s="1716"/>
      <c r="T60" s="1716"/>
      <c r="U60" s="1716"/>
      <c r="V60" s="1716"/>
      <c r="W60" s="1716"/>
      <c r="X60" s="1716"/>
    </row>
    <row r="61" spans="2:24">
      <c r="B61" s="1716"/>
      <c r="C61" s="1717"/>
      <c r="D61" s="1733"/>
      <c r="E61" s="1733"/>
      <c r="F61" s="1733"/>
      <c r="G61" s="1716"/>
      <c r="H61" s="1716"/>
      <c r="I61" s="1716"/>
      <c r="J61" s="1716"/>
      <c r="K61" s="1716"/>
      <c r="L61" s="1716"/>
      <c r="M61" s="1716"/>
      <c r="N61" s="1716"/>
      <c r="O61" s="1716"/>
      <c r="P61" s="1716"/>
      <c r="Q61" s="1716"/>
      <c r="R61" s="1716"/>
      <c r="S61" s="1716"/>
      <c r="T61" s="1716"/>
      <c r="U61" s="1716"/>
      <c r="V61" s="1716"/>
      <c r="W61" s="1716"/>
      <c r="X61" s="1716"/>
    </row>
    <row r="62" spans="2:24">
      <c r="B62" s="1716"/>
      <c r="C62" s="1717" t="s">
        <v>154</v>
      </c>
      <c r="D62" s="1733">
        <v>6284</v>
      </c>
      <c r="E62" s="1733">
        <v>6284</v>
      </c>
      <c r="F62" s="1733">
        <v>12568</v>
      </c>
      <c r="G62" s="1804">
        <v>0</v>
      </c>
      <c r="H62" s="1805" t="s">
        <v>156</v>
      </c>
      <c r="I62" s="1716"/>
      <c r="J62" s="1716"/>
      <c r="K62" s="1716"/>
      <c r="L62" s="1716"/>
      <c r="M62" s="1716"/>
      <c r="N62" s="1716"/>
      <c r="O62" s="1716"/>
      <c r="P62" s="1716"/>
      <c r="Q62" s="1716"/>
      <c r="R62" s="1716"/>
      <c r="S62" s="1716"/>
      <c r="T62" s="1716"/>
      <c r="U62" s="1716"/>
      <c r="V62" s="1716"/>
      <c r="W62" s="1716"/>
      <c r="X62" s="1716"/>
    </row>
    <row r="63" spans="2:24">
      <c r="B63" s="1716"/>
      <c r="C63" s="1717" t="s">
        <v>155</v>
      </c>
      <c r="D63" s="1718">
        <v>0</v>
      </c>
      <c r="E63" s="1718">
        <v>0</v>
      </c>
      <c r="F63" s="1718">
        <v>0</v>
      </c>
      <c r="G63" s="1716"/>
      <c r="H63" s="1716"/>
      <c r="I63" s="1716"/>
      <c r="J63" s="1716"/>
      <c r="K63" s="1716"/>
      <c r="L63" s="1716"/>
      <c r="M63" s="1716"/>
      <c r="N63" s="1716"/>
      <c r="O63" s="1716"/>
      <c r="P63" s="1716"/>
      <c r="Q63" s="1716"/>
      <c r="R63" s="1716"/>
      <c r="S63" s="1716"/>
      <c r="T63" s="1716"/>
      <c r="U63" s="1716"/>
      <c r="V63" s="1716"/>
      <c r="W63" s="1716"/>
      <c r="X63" s="1716"/>
    </row>
    <row r="64" spans="2:24" ht="13.5" thickBot="1">
      <c r="B64" s="1716"/>
      <c r="C64" s="1716"/>
      <c r="D64" s="1716"/>
      <c r="E64" s="1716"/>
      <c r="F64" s="1716"/>
      <c r="G64" s="3298"/>
      <c r="H64" s="3298"/>
      <c r="I64" s="3323"/>
      <c r="J64" s="3323"/>
      <c r="K64" s="3323"/>
      <c r="L64" s="1716"/>
      <c r="M64" s="1716"/>
      <c r="N64" s="1716"/>
      <c r="O64" s="1716"/>
      <c r="P64" s="1716"/>
      <c r="Q64" s="1716"/>
      <c r="R64" s="1716"/>
      <c r="S64" s="1716"/>
      <c r="T64" s="1716"/>
      <c r="U64" s="1716"/>
      <c r="V64" s="1716"/>
      <c r="W64" s="1716"/>
      <c r="X64" s="1716"/>
    </row>
    <row r="65" spans="2:24" ht="16.5" thickBot="1">
      <c r="B65" s="1760" t="s">
        <v>157</v>
      </c>
      <c r="C65" s="1761"/>
      <c r="D65" s="3342" t="s">
        <v>158</v>
      </c>
      <c r="E65" s="3338"/>
      <c r="F65" s="3338"/>
      <c r="G65" s="3338"/>
      <c r="H65" s="3338"/>
      <c r="I65" s="3320"/>
      <c r="J65" s="3320"/>
      <c r="K65" s="3299"/>
      <c r="L65" s="3320"/>
      <c r="M65" s="3320"/>
      <c r="N65" s="3320"/>
      <c r="O65" s="3320"/>
      <c r="P65" s="3320"/>
      <c r="Q65" s="3320"/>
      <c r="R65" s="3320"/>
      <c r="S65" s="3320"/>
      <c r="T65" s="3320"/>
      <c r="U65" s="3320"/>
      <c r="V65" s="3320"/>
      <c r="W65" s="3320"/>
      <c r="X65" s="3320"/>
    </row>
    <row r="66" spans="2:24" ht="16.5" thickBot="1">
      <c r="B66" s="3339" t="s">
        <v>159</v>
      </c>
      <c r="C66" s="3340"/>
      <c r="D66" s="3340"/>
      <c r="E66" s="3340"/>
      <c r="F66" s="3340"/>
      <c r="G66" s="3340"/>
      <c r="H66" s="3340"/>
      <c r="I66" s="3340"/>
      <c r="J66" s="3340"/>
      <c r="K66" s="3341"/>
      <c r="L66" s="5153" t="s">
        <v>160</v>
      </c>
      <c r="M66" s="5154"/>
      <c r="N66" s="5154"/>
      <c r="O66" s="5154"/>
      <c r="P66" s="5154"/>
      <c r="Q66" s="5154"/>
      <c r="R66" s="5155"/>
      <c r="S66" s="5153" t="s">
        <v>161</v>
      </c>
      <c r="T66" s="5154"/>
      <c r="U66" s="5155"/>
      <c r="V66" s="5153" t="s">
        <v>110</v>
      </c>
      <c r="W66" s="5154"/>
      <c r="X66" s="5155"/>
    </row>
    <row r="67" spans="2:24" ht="13.5" thickBot="1">
      <c r="B67" s="1724" t="s">
        <v>162</v>
      </c>
      <c r="C67" s="1725" t="s">
        <v>129</v>
      </c>
      <c r="D67" s="1725" t="s">
        <v>130</v>
      </c>
      <c r="E67" s="1725" t="s">
        <v>163</v>
      </c>
      <c r="F67" s="1725" t="s">
        <v>164</v>
      </c>
      <c r="G67" s="1725" t="s">
        <v>165</v>
      </c>
      <c r="H67" s="1725" t="s">
        <v>166</v>
      </c>
      <c r="I67" s="1725" t="s">
        <v>167</v>
      </c>
      <c r="J67" s="1725" t="s">
        <v>168</v>
      </c>
      <c r="K67" s="1726" t="s">
        <v>169</v>
      </c>
      <c r="L67" s="1792" t="s">
        <v>170</v>
      </c>
      <c r="M67" s="1793" t="s">
        <v>171</v>
      </c>
      <c r="N67" s="1751" t="s">
        <v>802</v>
      </c>
      <c r="O67" s="1751" t="s">
        <v>803</v>
      </c>
      <c r="P67" s="1794" t="s">
        <v>804</v>
      </c>
      <c r="Q67" s="1794" t="s">
        <v>805</v>
      </c>
      <c r="R67" s="1758" t="s">
        <v>806</v>
      </c>
      <c r="S67" s="1736" t="s">
        <v>177</v>
      </c>
      <c r="T67" s="1736" t="s">
        <v>178</v>
      </c>
      <c r="U67" s="1737" t="s">
        <v>179</v>
      </c>
      <c r="V67" s="1736" t="s">
        <v>115</v>
      </c>
      <c r="W67" s="1736" t="s">
        <v>12</v>
      </c>
      <c r="X67" s="1737" t="s">
        <v>116</v>
      </c>
    </row>
    <row r="68" spans="2:24">
      <c r="B68" s="1723"/>
      <c r="C68" s="1720" t="s">
        <v>368</v>
      </c>
      <c r="D68" s="1723">
        <v>0</v>
      </c>
      <c r="E68" s="1723" t="s">
        <v>559</v>
      </c>
      <c r="F68" s="1720" t="s">
        <v>186</v>
      </c>
      <c r="G68" s="1729">
        <v>0</v>
      </c>
      <c r="H68" s="1729">
        <v>0</v>
      </c>
      <c r="I68" s="1801">
        <v>0</v>
      </c>
      <c r="J68" s="1723">
        <v>0</v>
      </c>
      <c r="K68" s="1723"/>
      <c r="L68" s="1752" t="e">
        <v>#N/A</v>
      </c>
      <c r="M68" s="1752" t="e">
        <v>#N/A</v>
      </c>
      <c r="N68" s="1797" t="e">
        <v>#DIV/0!</v>
      </c>
      <c r="O68" s="1797" t="e">
        <v>#DIV/0!</v>
      </c>
      <c r="P68" s="1797" t="e">
        <v>#N/A</v>
      </c>
      <c r="Q68" s="1797" t="e">
        <v>#N/A</v>
      </c>
      <c r="R68" s="1797" t="e">
        <v>#N/A</v>
      </c>
      <c r="S68" s="1742">
        <v>0</v>
      </c>
      <c r="T68" s="1742">
        <v>0</v>
      </c>
      <c r="U68" s="1742">
        <v>0</v>
      </c>
      <c r="V68" s="1806" t="e">
        <v>#DIV/0!</v>
      </c>
      <c r="W68" s="1806" t="e">
        <v>#DIV/0!</v>
      </c>
      <c r="X68" s="1806" t="e">
        <v>#DIV/0!</v>
      </c>
    </row>
    <row r="69" spans="2:24">
      <c r="B69" s="1720"/>
      <c r="C69" s="1720" t="s">
        <v>369</v>
      </c>
      <c r="D69" s="1720">
        <v>0</v>
      </c>
      <c r="E69" s="1720" t="s">
        <v>559</v>
      </c>
      <c r="F69" s="1720" t="s">
        <v>186</v>
      </c>
      <c r="G69" s="1729">
        <v>0</v>
      </c>
      <c r="H69" s="1729">
        <v>0</v>
      </c>
      <c r="I69" s="1801">
        <v>0</v>
      </c>
      <c r="J69" s="1723">
        <v>0</v>
      </c>
      <c r="K69" s="1723"/>
      <c r="L69" s="1752" t="e">
        <v>#N/A</v>
      </c>
      <c r="M69" s="1752" t="e">
        <v>#N/A</v>
      </c>
      <c r="N69" s="1797" t="e">
        <v>#DIV/0!</v>
      </c>
      <c r="O69" s="1797" t="e">
        <v>#DIV/0!</v>
      </c>
      <c r="P69" s="1797" t="e">
        <v>#N/A</v>
      </c>
      <c r="Q69" s="1797" t="e">
        <v>#N/A</v>
      </c>
      <c r="R69" s="1797" t="e">
        <v>#N/A</v>
      </c>
      <c r="S69" s="1742">
        <v>0</v>
      </c>
      <c r="T69" s="1742">
        <v>0</v>
      </c>
      <c r="U69" s="1742">
        <v>0</v>
      </c>
      <c r="V69" s="1806" t="e">
        <v>#DIV/0!</v>
      </c>
      <c r="W69" s="1806" t="e">
        <v>#DIV/0!</v>
      </c>
      <c r="X69" s="1806" t="e">
        <v>#DIV/0!</v>
      </c>
    </row>
    <row r="70" spans="2:24">
      <c r="B70" s="1720"/>
      <c r="C70" s="1720" t="s">
        <v>370</v>
      </c>
      <c r="D70" s="1720">
        <v>0</v>
      </c>
      <c r="E70" s="1720" t="s">
        <v>559</v>
      </c>
      <c r="F70" s="1720" t="s">
        <v>186</v>
      </c>
      <c r="G70" s="1729">
        <v>0</v>
      </c>
      <c r="H70" s="1729">
        <v>0</v>
      </c>
      <c r="I70" s="1801">
        <v>0</v>
      </c>
      <c r="J70" s="1723">
        <v>0</v>
      </c>
      <c r="K70" s="1723"/>
      <c r="L70" s="1752" t="e">
        <v>#N/A</v>
      </c>
      <c r="M70" s="1752" t="e">
        <v>#N/A</v>
      </c>
      <c r="N70" s="1797" t="e">
        <v>#DIV/0!</v>
      </c>
      <c r="O70" s="1797" t="e">
        <v>#DIV/0!</v>
      </c>
      <c r="P70" s="1797" t="e">
        <v>#N/A</v>
      </c>
      <c r="Q70" s="1797" t="e">
        <v>#N/A</v>
      </c>
      <c r="R70" s="1797" t="e">
        <v>#N/A</v>
      </c>
      <c r="S70" s="1742">
        <v>0</v>
      </c>
      <c r="T70" s="1742">
        <v>0</v>
      </c>
      <c r="U70" s="1742">
        <v>0</v>
      </c>
      <c r="V70" s="1806" t="e">
        <v>#DIV/0!</v>
      </c>
      <c r="W70" s="1806" t="e">
        <v>#DIV/0!</v>
      </c>
      <c r="X70" s="1806" t="e">
        <v>#DIV/0!</v>
      </c>
    </row>
    <row r="71" spans="2:24">
      <c r="B71" s="1720"/>
      <c r="C71" s="1720" t="s">
        <v>188</v>
      </c>
      <c r="D71" s="1720">
        <v>0</v>
      </c>
      <c r="E71" s="1720" t="s">
        <v>559</v>
      </c>
      <c r="F71" s="1720" t="s">
        <v>186</v>
      </c>
      <c r="G71" s="1729">
        <v>0</v>
      </c>
      <c r="H71" s="1729">
        <v>0</v>
      </c>
      <c r="I71" s="1801">
        <v>0</v>
      </c>
      <c r="J71" s="1723">
        <v>0</v>
      </c>
      <c r="K71" s="1723"/>
      <c r="L71" s="1752" t="e">
        <v>#N/A</v>
      </c>
      <c r="M71" s="1752" t="e">
        <v>#N/A</v>
      </c>
      <c r="N71" s="1797" t="e">
        <v>#DIV/0!</v>
      </c>
      <c r="O71" s="1797" t="e">
        <v>#DIV/0!</v>
      </c>
      <c r="P71" s="1797" t="e">
        <v>#N/A</v>
      </c>
      <c r="Q71" s="1797" t="e">
        <v>#N/A</v>
      </c>
      <c r="R71" s="1797" t="e">
        <v>#N/A</v>
      </c>
      <c r="S71" s="1742">
        <v>0</v>
      </c>
      <c r="T71" s="1742">
        <v>0</v>
      </c>
      <c r="U71" s="1742">
        <v>0</v>
      </c>
      <c r="V71" s="1806" t="e">
        <v>#DIV/0!</v>
      </c>
      <c r="W71" s="1806" t="e">
        <v>#DIV/0!</v>
      </c>
      <c r="X71" s="1806" t="e">
        <v>#DIV/0!</v>
      </c>
    </row>
    <row r="72" spans="2:24">
      <c r="B72" s="1720"/>
      <c r="C72" s="1720" t="s">
        <v>189</v>
      </c>
      <c r="D72" s="1720">
        <v>0</v>
      </c>
      <c r="E72" s="1720" t="s">
        <v>559</v>
      </c>
      <c r="F72" s="1720" t="s">
        <v>186</v>
      </c>
      <c r="G72" s="1729">
        <v>0</v>
      </c>
      <c r="H72" s="1729">
        <v>0</v>
      </c>
      <c r="I72" s="1801">
        <v>0</v>
      </c>
      <c r="J72" s="1723">
        <v>0</v>
      </c>
      <c r="K72" s="1723"/>
      <c r="L72" s="1752" t="e">
        <v>#N/A</v>
      </c>
      <c r="M72" s="1752" t="e">
        <v>#N/A</v>
      </c>
      <c r="N72" s="1797" t="e">
        <v>#DIV/0!</v>
      </c>
      <c r="O72" s="1797" t="e">
        <v>#DIV/0!</v>
      </c>
      <c r="P72" s="1797" t="e">
        <v>#N/A</v>
      </c>
      <c r="Q72" s="1797" t="e">
        <v>#N/A</v>
      </c>
      <c r="R72" s="1797" t="e">
        <v>#N/A</v>
      </c>
      <c r="S72" s="1742">
        <v>0</v>
      </c>
      <c r="T72" s="1742">
        <v>0</v>
      </c>
      <c r="U72" s="1742">
        <v>0</v>
      </c>
      <c r="V72" s="1806" t="e">
        <v>#DIV/0!</v>
      </c>
      <c r="W72" s="1806" t="e">
        <v>#DIV/0!</v>
      </c>
      <c r="X72" s="1806" t="e">
        <v>#DIV/0!</v>
      </c>
    </row>
    <row r="73" spans="2:24">
      <c r="B73" s="1720"/>
      <c r="C73" s="1720" t="s">
        <v>190</v>
      </c>
      <c r="D73" s="1720">
        <v>0</v>
      </c>
      <c r="E73" s="1720" t="s">
        <v>559</v>
      </c>
      <c r="F73" s="1720" t="s">
        <v>186</v>
      </c>
      <c r="G73" s="1729">
        <v>0</v>
      </c>
      <c r="H73" s="1729">
        <v>0</v>
      </c>
      <c r="I73" s="1801">
        <v>0</v>
      </c>
      <c r="J73" s="1723">
        <v>0</v>
      </c>
      <c r="K73" s="1723"/>
      <c r="L73" s="1752" t="e">
        <v>#N/A</v>
      </c>
      <c r="M73" s="1752" t="e">
        <v>#N/A</v>
      </c>
      <c r="N73" s="1797" t="e">
        <v>#DIV/0!</v>
      </c>
      <c r="O73" s="1797" t="e">
        <v>#DIV/0!</v>
      </c>
      <c r="P73" s="1797" t="e">
        <v>#N/A</v>
      </c>
      <c r="Q73" s="1797" t="e">
        <v>#N/A</v>
      </c>
      <c r="R73" s="1797" t="e">
        <v>#N/A</v>
      </c>
      <c r="S73" s="1742">
        <v>0</v>
      </c>
      <c r="T73" s="1742">
        <v>0</v>
      </c>
      <c r="U73" s="1742">
        <v>0</v>
      </c>
      <c r="V73" s="1806" t="e">
        <v>#DIV/0!</v>
      </c>
      <c r="W73" s="1806" t="e">
        <v>#DIV/0!</v>
      </c>
      <c r="X73" s="1806" t="e">
        <v>#DIV/0!</v>
      </c>
    </row>
    <row r="74" spans="2:24">
      <c r="B74" s="1720"/>
      <c r="C74" s="1720" t="s">
        <v>191</v>
      </c>
      <c r="D74" s="1723">
        <v>0</v>
      </c>
      <c r="E74" s="1720" t="s">
        <v>559</v>
      </c>
      <c r="F74" s="1720" t="s">
        <v>186</v>
      </c>
      <c r="G74" s="1729"/>
      <c r="H74" s="1729"/>
      <c r="I74" s="1740">
        <v>0</v>
      </c>
      <c r="J74" s="1723">
        <v>0</v>
      </c>
      <c r="K74" s="1723"/>
      <c r="L74" s="1752" t="e">
        <v>#N/A</v>
      </c>
      <c r="M74" s="1752" t="e">
        <v>#N/A</v>
      </c>
      <c r="N74" s="1797" t="e">
        <v>#DIV/0!</v>
      </c>
      <c r="O74" s="1797" t="e">
        <v>#DIV/0!</v>
      </c>
      <c r="P74" s="1797" t="e">
        <v>#N/A</v>
      </c>
      <c r="Q74" s="1797" t="e">
        <v>#N/A</v>
      </c>
      <c r="R74" s="1797" t="e">
        <v>#N/A</v>
      </c>
      <c r="S74" s="1742">
        <v>0</v>
      </c>
      <c r="T74" s="1742">
        <v>0</v>
      </c>
      <c r="U74" s="1742">
        <v>0</v>
      </c>
      <c r="V74" s="1806" t="e">
        <v>#DIV/0!</v>
      </c>
      <c r="W74" s="1806" t="e">
        <v>#DIV/0!</v>
      </c>
      <c r="X74" s="1806" t="e">
        <v>#DIV/0!</v>
      </c>
    </row>
    <row r="75" spans="2:24">
      <c r="B75" s="1720"/>
      <c r="C75" s="1720" t="s">
        <v>192</v>
      </c>
      <c r="D75" s="1720">
        <v>0</v>
      </c>
      <c r="E75" s="1720" t="s">
        <v>559</v>
      </c>
      <c r="F75" s="1720" t="s">
        <v>186</v>
      </c>
      <c r="G75" s="1729"/>
      <c r="H75" s="1729"/>
      <c r="I75" s="1740">
        <v>0</v>
      </c>
      <c r="J75" s="1723"/>
      <c r="K75" s="1723"/>
      <c r="L75" s="1752" t="e">
        <v>#N/A</v>
      </c>
      <c r="M75" s="1752" t="e">
        <v>#N/A</v>
      </c>
      <c r="N75" s="1797" t="e">
        <v>#DIV/0!</v>
      </c>
      <c r="O75" s="1797" t="e">
        <v>#DIV/0!</v>
      </c>
      <c r="P75" s="1797" t="e">
        <v>#N/A</v>
      </c>
      <c r="Q75" s="1797" t="e">
        <v>#N/A</v>
      </c>
      <c r="R75" s="1797" t="e">
        <v>#N/A</v>
      </c>
      <c r="S75" s="1742">
        <v>0</v>
      </c>
      <c r="T75" s="1742">
        <v>0</v>
      </c>
      <c r="U75" s="1742">
        <v>0</v>
      </c>
      <c r="V75" s="1806" t="e">
        <v>#DIV/0!</v>
      </c>
      <c r="W75" s="1806" t="e">
        <v>#DIV/0!</v>
      </c>
      <c r="X75" s="1806" t="e">
        <v>#DIV/0!</v>
      </c>
    </row>
    <row r="76" spans="2:24">
      <c r="B76" s="1720"/>
      <c r="C76" s="1720" t="s">
        <v>193</v>
      </c>
      <c r="D76" s="1723">
        <v>0</v>
      </c>
      <c r="E76" s="1720" t="s">
        <v>559</v>
      </c>
      <c r="F76" s="1720" t="s">
        <v>186</v>
      </c>
      <c r="G76" s="1729"/>
      <c r="H76" s="1729"/>
      <c r="I76" s="1740">
        <v>0</v>
      </c>
      <c r="J76" s="1723"/>
      <c r="K76" s="1723"/>
      <c r="L76" s="1752" t="e">
        <v>#N/A</v>
      </c>
      <c r="M76" s="1752" t="e">
        <v>#N/A</v>
      </c>
      <c r="N76" s="1797" t="e">
        <v>#DIV/0!</v>
      </c>
      <c r="O76" s="1797" t="e">
        <v>#DIV/0!</v>
      </c>
      <c r="P76" s="1797" t="e">
        <v>#N/A</v>
      </c>
      <c r="Q76" s="1797" t="e">
        <v>#N/A</v>
      </c>
      <c r="R76" s="1797" t="e">
        <v>#N/A</v>
      </c>
      <c r="S76" s="1742">
        <v>0</v>
      </c>
      <c r="T76" s="1742">
        <v>0</v>
      </c>
      <c r="U76" s="1742">
        <v>0</v>
      </c>
      <c r="V76" s="1806" t="e">
        <v>#DIV/0!</v>
      </c>
      <c r="W76" s="1806" t="e">
        <v>#DIV/0!</v>
      </c>
      <c r="X76" s="1806" t="e">
        <v>#DIV/0!</v>
      </c>
    </row>
    <row r="77" spans="2:24">
      <c r="B77" s="1720"/>
      <c r="C77" s="1720" t="s">
        <v>194</v>
      </c>
      <c r="D77" s="1720">
        <v>0</v>
      </c>
      <c r="E77" s="1720" t="s">
        <v>559</v>
      </c>
      <c r="F77" s="1720" t="s">
        <v>186</v>
      </c>
      <c r="G77" s="1729"/>
      <c r="H77" s="1729"/>
      <c r="I77" s="1740">
        <v>0</v>
      </c>
      <c r="J77" s="1723"/>
      <c r="K77" s="1723"/>
      <c r="L77" s="1752" t="e">
        <v>#N/A</v>
      </c>
      <c r="M77" s="1752" t="e">
        <v>#N/A</v>
      </c>
      <c r="N77" s="1797" t="e">
        <v>#DIV/0!</v>
      </c>
      <c r="O77" s="1797" t="e">
        <v>#DIV/0!</v>
      </c>
      <c r="P77" s="1797" t="e">
        <v>#N/A</v>
      </c>
      <c r="Q77" s="1797" t="e">
        <v>#N/A</v>
      </c>
      <c r="R77" s="1797" t="e">
        <v>#N/A</v>
      </c>
      <c r="S77" s="1742">
        <v>0</v>
      </c>
      <c r="T77" s="1742">
        <v>0</v>
      </c>
      <c r="U77" s="1742">
        <v>0</v>
      </c>
      <c r="V77" s="1806" t="e">
        <v>#DIV/0!</v>
      </c>
      <c r="W77" s="1806" t="e">
        <v>#DIV/0!</v>
      </c>
      <c r="X77" s="1806" t="e">
        <v>#DIV/0!</v>
      </c>
    </row>
    <row r="78" spans="2:24">
      <c r="B78" s="1720"/>
      <c r="C78" s="1720" t="s">
        <v>195</v>
      </c>
      <c r="D78" s="1723">
        <v>0</v>
      </c>
      <c r="E78" s="1720" t="s">
        <v>559</v>
      </c>
      <c r="F78" s="1720" t="s">
        <v>186</v>
      </c>
      <c r="G78" s="1729"/>
      <c r="H78" s="1729"/>
      <c r="I78" s="1740">
        <v>0</v>
      </c>
      <c r="J78" s="1723"/>
      <c r="K78" s="1723"/>
      <c r="L78" s="1752" t="e">
        <v>#N/A</v>
      </c>
      <c r="M78" s="1752" t="e">
        <v>#N/A</v>
      </c>
      <c r="N78" s="1797" t="e">
        <v>#DIV/0!</v>
      </c>
      <c r="O78" s="1797" t="e">
        <v>#DIV/0!</v>
      </c>
      <c r="P78" s="1797" t="e">
        <v>#N/A</v>
      </c>
      <c r="Q78" s="1797" t="e">
        <v>#N/A</v>
      </c>
      <c r="R78" s="1797" t="e">
        <v>#N/A</v>
      </c>
      <c r="S78" s="1742">
        <v>0</v>
      </c>
      <c r="T78" s="1742">
        <v>0</v>
      </c>
      <c r="U78" s="1742">
        <v>0</v>
      </c>
      <c r="V78" s="1806" t="e">
        <v>#DIV/0!</v>
      </c>
      <c r="W78" s="1806" t="e">
        <v>#DIV/0!</v>
      </c>
      <c r="X78" s="1806" t="e">
        <v>#DIV/0!</v>
      </c>
    </row>
    <row r="79" spans="2:24">
      <c r="B79" s="1720"/>
      <c r="C79" s="1720" t="s">
        <v>196</v>
      </c>
      <c r="D79" s="1720">
        <v>0</v>
      </c>
      <c r="E79" s="1720" t="s">
        <v>559</v>
      </c>
      <c r="F79" s="1720" t="s">
        <v>186</v>
      </c>
      <c r="G79" s="1729"/>
      <c r="H79" s="1729"/>
      <c r="I79" s="1740">
        <v>0</v>
      </c>
      <c r="J79" s="1723"/>
      <c r="K79" s="1723"/>
      <c r="L79" s="1752" t="e">
        <v>#N/A</v>
      </c>
      <c r="M79" s="1752" t="e">
        <v>#N/A</v>
      </c>
      <c r="N79" s="1797" t="e">
        <v>#DIV/0!</v>
      </c>
      <c r="O79" s="1797" t="e">
        <v>#DIV/0!</v>
      </c>
      <c r="P79" s="1797" t="e">
        <v>#N/A</v>
      </c>
      <c r="Q79" s="1797" t="e">
        <v>#N/A</v>
      </c>
      <c r="R79" s="1797" t="e">
        <v>#N/A</v>
      </c>
      <c r="S79" s="1742">
        <v>0</v>
      </c>
      <c r="T79" s="1742">
        <v>0</v>
      </c>
      <c r="U79" s="1742">
        <v>0</v>
      </c>
      <c r="V79" s="1806" t="e">
        <v>#DIV/0!</v>
      </c>
      <c r="W79" s="1806" t="e">
        <v>#DIV/0!</v>
      </c>
      <c r="X79" s="1806" t="e">
        <v>#DIV/0!</v>
      </c>
    </row>
    <row r="80" spans="2:24">
      <c r="B80" s="1720"/>
      <c r="C80" s="1720" t="s">
        <v>197</v>
      </c>
      <c r="D80" s="1723">
        <v>0</v>
      </c>
      <c r="E80" s="1720" t="s">
        <v>559</v>
      </c>
      <c r="F80" s="1720" t="s">
        <v>186</v>
      </c>
      <c r="G80" s="1729"/>
      <c r="H80" s="1729"/>
      <c r="I80" s="1740">
        <v>0</v>
      </c>
      <c r="J80" s="1723"/>
      <c r="K80" s="1723"/>
      <c r="L80" s="1752" t="e">
        <v>#N/A</v>
      </c>
      <c r="M80" s="1752" t="e">
        <v>#N/A</v>
      </c>
      <c r="N80" s="1797" t="e">
        <v>#DIV/0!</v>
      </c>
      <c r="O80" s="1797" t="e">
        <v>#DIV/0!</v>
      </c>
      <c r="P80" s="1797" t="e">
        <v>#N/A</v>
      </c>
      <c r="Q80" s="1797" t="e">
        <v>#N/A</v>
      </c>
      <c r="R80" s="1797" t="e">
        <v>#N/A</v>
      </c>
      <c r="S80" s="1742">
        <v>0</v>
      </c>
      <c r="T80" s="1742">
        <v>0</v>
      </c>
      <c r="U80" s="1742">
        <v>0</v>
      </c>
      <c r="V80" s="1806" t="e">
        <v>#DIV/0!</v>
      </c>
      <c r="W80" s="1806" t="e">
        <v>#DIV/0!</v>
      </c>
      <c r="X80" s="1806" t="e">
        <v>#DIV/0!</v>
      </c>
    </row>
    <row r="81" spans="2:24">
      <c r="B81" s="1720"/>
      <c r="C81" s="1720" t="s">
        <v>198</v>
      </c>
      <c r="D81" s="1720">
        <v>0</v>
      </c>
      <c r="E81" s="1720" t="s">
        <v>559</v>
      </c>
      <c r="F81" s="1720" t="s">
        <v>186</v>
      </c>
      <c r="G81" s="1729"/>
      <c r="H81" s="1729"/>
      <c r="I81" s="1740">
        <v>0</v>
      </c>
      <c r="J81" s="1723"/>
      <c r="K81" s="1723"/>
      <c r="L81" s="1752" t="e">
        <v>#N/A</v>
      </c>
      <c r="M81" s="1752" t="e">
        <v>#N/A</v>
      </c>
      <c r="N81" s="1797" t="e">
        <v>#DIV/0!</v>
      </c>
      <c r="O81" s="1797" t="e">
        <v>#DIV/0!</v>
      </c>
      <c r="P81" s="1797" t="e">
        <v>#N/A</v>
      </c>
      <c r="Q81" s="1797" t="e">
        <v>#N/A</v>
      </c>
      <c r="R81" s="1797" t="e">
        <v>#N/A</v>
      </c>
      <c r="S81" s="1742">
        <v>0</v>
      </c>
      <c r="T81" s="1742">
        <v>0</v>
      </c>
      <c r="U81" s="1742">
        <v>0</v>
      </c>
      <c r="V81" s="1806" t="e">
        <v>#DIV/0!</v>
      </c>
      <c r="W81" s="1806" t="e">
        <v>#DIV/0!</v>
      </c>
      <c r="X81" s="1806" t="e">
        <v>#DIV/0!</v>
      </c>
    </row>
    <row r="82" spans="2:24">
      <c r="B82" s="1720"/>
      <c r="C82" s="1720" t="s">
        <v>199</v>
      </c>
      <c r="D82" s="1723">
        <v>0</v>
      </c>
      <c r="E82" s="1720" t="s">
        <v>559</v>
      </c>
      <c r="F82" s="1720" t="s">
        <v>186</v>
      </c>
      <c r="G82" s="1729"/>
      <c r="H82" s="1729"/>
      <c r="I82" s="1740">
        <v>0</v>
      </c>
      <c r="J82" s="1723"/>
      <c r="K82" s="1723"/>
      <c r="L82" s="1752" t="e">
        <v>#N/A</v>
      </c>
      <c r="M82" s="1752" t="e">
        <v>#N/A</v>
      </c>
      <c r="N82" s="1797" t="e">
        <v>#DIV/0!</v>
      </c>
      <c r="O82" s="1797" t="e">
        <v>#DIV/0!</v>
      </c>
      <c r="P82" s="1797" t="e">
        <v>#N/A</v>
      </c>
      <c r="Q82" s="1797" t="e">
        <v>#N/A</v>
      </c>
      <c r="R82" s="1797" t="e">
        <v>#N/A</v>
      </c>
      <c r="S82" s="1742">
        <v>0</v>
      </c>
      <c r="T82" s="1742">
        <v>0</v>
      </c>
      <c r="U82" s="1742">
        <v>0</v>
      </c>
      <c r="V82" s="1806" t="e">
        <v>#DIV/0!</v>
      </c>
      <c r="W82" s="1806" t="e">
        <v>#DIV/0!</v>
      </c>
      <c r="X82" s="1806" t="e">
        <v>#DIV/0!</v>
      </c>
    </row>
    <row r="83" spans="2:24">
      <c r="B83" s="1720"/>
      <c r="C83" s="1720" t="s">
        <v>200</v>
      </c>
      <c r="D83" s="1720">
        <v>0</v>
      </c>
      <c r="E83" s="1720" t="s">
        <v>559</v>
      </c>
      <c r="F83" s="1720" t="s">
        <v>186</v>
      </c>
      <c r="G83" s="1729"/>
      <c r="H83" s="1729"/>
      <c r="I83" s="1740">
        <v>0</v>
      </c>
      <c r="J83" s="1723"/>
      <c r="K83" s="1723"/>
      <c r="L83" s="1752" t="e">
        <v>#N/A</v>
      </c>
      <c r="M83" s="1752" t="e">
        <v>#N/A</v>
      </c>
      <c r="N83" s="1797" t="e">
        <v>#DIV/0!</v>
      </c>
      <c r="O83" s="1797" t="e">
        <v>#DIV/0!</v>
      </c>
      <c r="P83" s="1797" t="e">
        <v>#N/A</v>
      </c>
      <c r="Q83" s="1797" t="e">
        <v>#N/A</v>
      </c>
      <c r="R83" s="1797" t="e">
        <v>#N/A</v>
      </c>
      <c r="S83" s="1742">
        <v>0</v>
      </c>
      <c r="T83" s="1742">
        <v>0</v>
      </c>
      <c r="U83" s="1742">
        <v>0</v>
      </c>
      <c r="V83" s="1806" t="e">
        <v>#DIV/0!</v>
      </c>
      <c r="W83" s="1806" t="e">
        <v>#DIV/0!</v>
      </c>
      <c r="X83" s="1806" t="e">
        <v>#DIV/0!</v>
      </c>
    </row>
    <row r="84" spans="2:24">
      <c r="B84" s="1720"/>
      <c r="C84" s="1720" t="s">
        <v>201</v>
      </c>
      <c r="D84" s="1723">
        <v>0</v>
      </c>
      <c r="E84" s="1720" t="s">
        <v>559</v>
      </c>
      <c r="F84" s="1720" t="s">
        <v>186</v>
      </c>
      <c r="G84" s="1729"/>
      <c r="H84" s="1729"/>
      <c r="I84" s="1740">
        <v>0</v>
      </c>
      <c r="J84" s="1723"/>
      <c r="K84" s="1723"/>
      <c r="L84" s="1752" t="e">
        <v>#REF!</v>
      </c>
      <c r="M84" s="1752" t="e">
        <v>#REF!</v>
      </c>
      <c r="N84" s="1797" t="e">
        <v>#DIV/0!</v>
      </c>
      <c r="O84" s="1797" t="e">
        <v>#DIV/0!</v>
      </c>
      <c r="P84" s="1797" t="e">
        <v>#REF!</v>
      </c>
      <c r="Q84" s="1797" t="e">
        <v>#REF!</v>
      </c>
      <c r="R84" s="1797" t="e">
        <v>#N/A</v>
      </c>
      <c r="S84" s="1742">
        <v>0</v>
      </c>
      <c r="T84" s="1742">
        <v>0</v>
      </c>
      <c r="U84" s="1742">
        <v>0</v>
      </c>
      <c r="V84" s="1806" t="e">
        <v>#DIV/0!</v>
      </c>
      <c r="W84" s="1806" t="e">
        <v>#DIV/0!</v>
      </c>
      <c r="X84" s="1806" t="e">
        <v>#DIV/0!</v>
      </c>
    </row>
    <row r="85" spans="2:24">
      <c r="B85" s="1720"/>
      <c r="C85" s="1720" t="s">
        <v>202</v>
      </c>
      <c r="D85" s="1720">
        <v>0</v>
      </c>
      <c r="E85" s="1720" t="s">
        <v>559</v>
      </c>
      <c r="F85" s="1720" t="s">
        <v>186</v>
      </c>
      <c r="G85" s="1729"/>
      <c r="H85" s="1729"/>
      <c r="I85" s="1740">
        <v>0</v>
      </c>
      <c r="J85" s="1723"/>
      <c r="K85" s="1723"/>
      <c r="L85" s="1752" t="e">
        <v>#REF!</v>
      </c>
      <c r="M85" s="1752" t="e">
        <v>#REF!</v>
      </c>
      <c r="N85" s="1797" t="e">
        <v>#DIV/0!</v>
      </c>
      <c r="O85" s="1797" t="e">
        <v>#DIV/0!</v>
      </c>
      <c r="P85" s="1797" t="e">
        <v>#REF!</v>
      </c>
      <c r="Q85" s="1797" t="e">
        <v>#REF!</v>
      </c>
      <c r="R85" s="1797" t="e">
        <v>#N/A</v>
      </c>
      <c r="S85" s="1742">
        <v>0</v>
      </c>
      <c r="T85" s="1742">
        <v>0</v>
      </c>
      <c r="U85" s="1742">
        <v>0</v>
      </c>
      <c r="V85" s="1806" t="e">
        <v>#DIV/0!</v>
      </c>
      <c r="W85" s="1806" t="e">
        <v>#DIV/0!</v>
      </c>
      <c r="X85" s="1806" t="e">
        <v>#DIV/0!</v>
      </c>
    </row>
    <row r="86" spans="2:24">
      <c r="B86" s="1720"/>
      <c r="C86" s="1720" t="s">
        <v>203</v>
      </c>
      <c r="D86" s="1720">
        <v>0</v>
      </c>
      <c r="E86" s="1720" t="s">
        <v>559</v>
      </c>
      <c r="F86" s="1720" t="s">
        <v>186</v>
      </c>
      <c r="G86" s="1729"/>
      <c r="H86" s="1729"/>
      <c r="I86" s="1740">
        <v>0</v>
      </c>
      <c r="J86" s="1723"/>
      <c r="K86" s="1723"/>
      <c r="L86" s="1752" t="e">
        <v>#REF!</v>
      </c>
      <c r="M86" s="1752" t="e">
        <v>#REF!</v>
      </c>
      <c r="N86" s="1797" t="e">
        <v>#DIV/0!</v>
      </c>
      <c r="O86" s="1797" t="e">
        <v>#DIV/0!</v>
      </c>
      <c r="P86" s="1797" t="e">
        <v>#REF!</v>
      </c>
      <c r="Q86" s="1797" t="e">
        <v>#REF!</v>
      </c>
      <c r="R86" s="1797" t="e">
        <v>#N/A</v>
      </c>
      <c r="S86" s="1742">
        <v>0</v>
      </c>
      <c r="T86" s="1742">
        <v>0</v>
      </c>
      <c r="U86" s="1742">
        <v>0</v>
      </c>
      <c r="V86" s="1806" t="e">
        <v>#DIV/0!</v>
      </c>
      <c r="W86" s="1806" t="e">
        <v>#DIV/0!</v>
      </c>
      <c r="X86" s="1806" t="e">
        <v>#DIV/0!</v>
      </c>
    </row>
    <row r="87" spans="2:24">
      <c r="B87" s="1720"/>
      <c r="C87" s="1720" t="s">
        <v>204</v>
      </c>
      <c r="D87" s="1720">
        <v>0</v>
      </c>
      <c r="E87" s="1720" t="s">
        <v>559</v>
      </c>
      <c r="F87" s="1720" t="s">
        <v>186</v>
      </c>
      <c r="G87" s="1729"/>
      <c r="H87" s="1729"/>
      <c r="I87" s="1740">
        <v>0</v>
      </c>
      <c r="J87" s="1723"/>
      <c r="K87" s="1723"/>
      <c r="L87" s="1752" t="e">
        <v>#REF!</v>
      </c>
      <c r="M87" s="1752" t="e">
        <v>#REF!</v>
      </c>
      <c r="N87" s="1797" t="e">
        <v>#DIV/0!</v>
      </c>
      <c r="O87" s="1797" t="e">
        <v>#DIV/0!</v>
      </c>
      <c r="P87" s="1797" t="e">
        <v>#REF!</v>
      </c>
      <c r="Q87" s="1797" t="e">
        <v>#REF!</v>
      </c>
      <c r="R87" s="1797" t="e">
        <v>#N/A</v>
      </c>
      <c r="S87" s="1742">
        <v>0</v>
      </c>
      <c r="T87" s="1742">
        <v>0</v>
      </c>
      <c r="U87" s="1742">
        <v>0</v>
      </c>
    </row>
    <row r="88" spans="2:24">
      <c r="B88" s="1720"/>
      <c r="C88" s="1720" t="s">
        <v>205</v>
      </c>
      <c r="D88" s="1770">
        <v>0</v>
      </c>
      <c r="E88" s="1720" t="s">
        <v>559</v>
      </c>
      <c r="F88" s="1720" t="s">
        <v>186</v>
      </c>
      <c r="G88" s="1729"/>
      <c r="H88" s="1729"/>
      <c r="I88" s="1740">
        <v>0</v>
      </c>
      <c r="J88" s="1723"/>
      <c r="K88" s="1723"/>
      <c r="L88" s="1752" t="e">
        <v>#REF!</v>
      </c>
      <c r="M88" s="1752" t="e">
        <v>#REF!</v>
      </c>
      <c r="N88" s="1797" t="e">
        <v>#DIV/0!</v>
      </c>
      <c r="O88" s="1797" t="e">
        <v>#DIV/0!</v>
      </c>
      <c r="P88" s="1797" t="e">
        <v>#REF!</v>
      </c>
      <c r="Q88" s="1797" t="e">
        <v>#REF!</v>
      </c>
      <c r="R88" s="1797" t="e">
        <v>#N/A</v>
      </c>
      <c r="S88" s="1742">
        <v>0</v>
      </c>
      <c r="T88" s="1742">
        <v>0</v>
      </c>
      <c r="U88" s="1742">
        <v>0</v>
      </c>
    </row>
    <row r="89" spans="2:24">
      <c r="B89" s="1720"/>
      <c r="C89" s="1720" t="s">
        <v>206</v>
      </c>
      <c r="D89" s="1770">
        <v>0</v>
      </c>
      <c r="E89" s="1720" t="s">
        <v>559</v>
      </c>
      <c r="F89" s="1720" t="s">
        <v>186</v>
      </c>
      <c r="G89" s="1729"/>
      <c r="H89" s="1729"/>
      <c r="I89" s="1740">
        <v>0</v>
      </c>
      <c r="J89" s="1723"/>
      <c r="K89" s="1723"/>
      <c r="L89" s="1752" t="e">
        <v>#REF!</v>
      </c>
      <c r="M89" s="1752" t="e">
        <v>#REF!</v>
      </c>
      <c r="N89" s="1797" t="e">
        <v>#DIV/0!</v>
      </c>
      <c r="O89" s="1797" t="e">
        <v>#DIV/0!</v>
      </c>
      <c r="P89" s="1797" t="e">
        <v>#REF!</v>
      </c>
      <c r="Q89" s="1797" t="e">
        <v>#REF!</v>
      </c>
      <c r="R89" s="1797" t="e">
        <v>#N/A</v>
      </c>
      <c r="S89" s="1742">
        <v>0</v>
      </c>
      <c r="T89" s="1742">
        <v>0</v>
      </c>
      <c r="U89" s="1742">
        <v>0</v>
      </c>
    </row>
    <row r="90" spans="2:24">
      <c r="B90" s="1720"/>
      <c r="C90" s="1720" t="s">
        <v>207</v>
      </c>
      <c r="D90" s="1770">
        <v>0</v>
      </c>
      <c r="E90" s="1720" t="s">
        <v>559</v>
      </c>
      <c r="F90" s="1720" t="s">
        <v>186</v>
      </c>
      <c r="G90" s="1729"/>
      <c r="H90" s="1729"/>
      <c r="I90" s="1740">
        <v>0</v>
      </c>
      <c r="J90" s="1723"/>
      <c r="K90" s="1723"/>
      <c r="L90" s="1752" t="e">
        <v>#REF!</v>
      </c>
      <c r="M90" s="1752" t="e">
        <v>#REF!</v>
      </c>
      <c r="N90" s="1797" t="e">
        <v>#DIV/0!</v>
      </c>
      <c r="O90" s="1797" t="e">
        <v>#DIV/0!</v>
      </c>
      <c r="P90" s="1797" t="e">
        <v>#REF!</v>
      </c>
      <c r="Q90" s="1797" t="e">
        <v>#REF!</v>
      </c>
      <c r="R90" s="1797" t="e">
        <v>#N/A</v>
      </c>
      <c r="S90" s="1742">
        <v>0</v>
      </c>
      <c r="T90" s="1742">
        <v>0</v>
      </c>
      <c r="U90" s="1742">
        <v>0</v>
      </c>
    </row>
    <row r="91" spans="2:24">
      <c r="B91" s="1720"/>
      <c r="C91" s="1720" t="s">
        <v>208</v>
      </c>
      <c r="D91" s="1770">
        <v>0</v>
      </c>
      <c r="E91" s="1720" t="s">
        <v>559</v>
      </c>
      <c r="F91" s="1720" t="s">
        <v>186</v>
      </c>
      <c r="G91" s="1729"/>
      <c r="H91" s="1729"/>
      <c r="I91" s="1740">
        <v>0</v>
      </c>
      <c r="J91" s="1723"/>
      <c r="K91" s="1723"/>
      <c r="L91" s="1752" t="e">
        <v>#REF!</v>
      </c>
      <c r="M91" s="1752" t="e">
        <v>#REF!</v>
      </c>
      <c r="N91" s="1797" t="e">
        <v>#DIV/0!</v>
      </c>
      <c r="O91" s="1797" t="e">
        <v>#DIV/0!</v>
      </c>
      <c r="P91" s="1797" t="e">
        <v>#REF!</v>
      </c>
      <c r="Q91" s="1797" t="e">
        <v>#REF!</v>
      </c>
      <c r="R91" s="1797" t="e">
        <v>#N/A</v>
      </c>
      <c r="S91" s="1742">
        <v>0</v>
      </c>
      <c r="T91" s="1742">
        <v>0</v>
      </c>
      <c r="U91" s="1742">
        <v>0</v>
      </c>
    </row>
    <row r="92" spans="2:24">
      <c r="B92" s="1720"/>
      <c r="C92" s="1720" t="s">
        <v>209</v>
      </c>
      <c r="D92" s="1770">
        <v>0</v>
      </c>
      <c r="E92" s="1720" t="s">
        <v>559</v>
      </c>
      <c r="F92" s="1720" t="s">
        <v>186</v>
      </c>
      <c r="G92" s="1729"/>
      <c r="H92" s="1729"/>
      <c r="I92" s="1740">
        <v>0</v>
      </c>
      <c r="J92" s="1723"/>
      <c r="K92" s="1723"/>
      <c r="L92" s="1752" t="e">
        <v>#REF!</v>
      </c>
      <c r="M92" s="1752" t="e">
        <v>#REF!</v>
      </c>
      <c r="N92" s="1797" t="e">
        <v>#DIV/0!</v>
      </c>
      <c r="O92" s="1797" t="e">
        <v>#DIV/0!</v>
      </c>
      <c r="P92" s="1797" t="e">
        <v>#REF!</v>
      </c>
      <c r="Q92" s="1797" t="e">
        <v>#REF!</v>
      </c>
      <c r="R92" s="1797" t="e">
        <v>#N/A</v>
      </c>
      <c r="S92" s="1742">
        <v>0</v>
      </c>
      <c r="T92" s="1742">
        <v>0</v>
      </c>
      <c r="U92" s="1742">
        <v>0</v>
      </c>
    </row>
    <row r="93" spans="2:24">
      <c r="B93" s="1720"/>
      <c r="C93" s="1720" t="s">
        <v>210</v>
      </c>
      <c r="D93" s="1770">
        <v>0</v>
      </c>
      <c r="E93" s="1720" t="s">
        <v>559</v>
      </c>
      <c r="F93" s="1720" t="s">
        <v>186</v>
      </c>
      <c r="G93" s="1729"/>
      <c r="H93" s="1729"/>
      <c r="I93" s="1740">
        <v>0</v>
      </c>
      <c r="J93" s="1723"/>
      <c r="K93" s="1723"/>
      <c r="L93" s="1752" t="e">
        <v>#REF!</v>
      </c>
      <c r="M93" s="1752" t="e">
        <v>#REF!</v>
      </c>
      <c r="N93" s="1797" t="e">
        <v>#DIV/0!</v>
      </c>
      <c r="O93" s="1797" t="e">
        <v>#DIV/0!</v>
      </c>
      <c r="P93" s="1797" t="e">
        <v>#REF!</v>
      </c>
      <c r="Q93" s="1797" t="e">
        <v>#REF!</v>
      </c>
      <c r="R93" s="1797" t="e">
        <v>#N/A</v>
      </c>
      <c r="S93" s="1742">
        <v>0</v>
      </c>
      <c r="T93" s="1742">
        <v>0</v>
      </c>
      <c r="U93" s="1742">
        <v>0</v>
      </c>
    </row>
    <row r="94" spans="2:24">
      <c r="B94" s="1720"/>
      <c r="C94" s="1720" t="s">
        <v>211</v>
      </c>
      <c r="D94" s="1770">
        <v>0</v>
      </c>
      <c r="E94" s="1720" t="s">
        <v>559</v>
      </c>
      <c r="F94" s="1720" t="s">
        <v>186</v>
      </c>
      <c r="G94" s="1729"/>
      <c r="H94" s="1729"/>
      <c r="I94" s="1740">
        <v>0</v>
      </c>
      <c r="J94" s="1723"/>
      <c r="K94" s="1723"/>
      <c r="L94" s="1752" t="e">
        <v>#REF!</v>
      </c>
      <c r="M94" s="1752" t="e">
        <v>#REF!</v>
      </c>
      <c r="N94" s="1797" t="e">
        <v>#DIV/0!</v>
      </c>
      <c r="O94" s="1797" t="e">
        <v>#DIV/0!</v>
      </c>
      <c r="P94" s="1797" t="e">
        <v>#REF!</v>
      </c>
      <c r="Q94" s="1797" t="e">
        <v>#REF!</v>
      </c>
      <c r="R94" s="1797" t="e">
        <v>#N/A</v>
      </c>
      <c r="S94" s="1742">
        <v>0</v>
      </c>
      <c r="T94" s="1742">
        <v>0</v>
      </c>
      <c r="U94" s="1742">
        <v>0</v>
      </c>
    </row>
    <row r="95" spans="2:24">
      <c r="B95" s="1720"/>
      <c r="C95" s="1720" t="s">
        <v>212</v>
      </c>
      <c r="D95" s="1770">
        <v>0</v>
      </c>
      <c r="E95" s="1720" t="s">
        <v>559</v>
      </c>
      <c r="F95" s="1720" t="s">
        <v>186</v>
      </c>
      <c r="G95" s="1729"/>
      <c r="H95" s="1729"/>
      <c r="I95" s="1740">
        <v>0</v>
      </c>
      <c r="J95" s="1723"/>
      <c r="K95" s="1723"/>
      <c r="L95" s="1752" t="e">
        <v>#REF!</v>
      </c>
      <c r="M95" s="1752" t="e">
        <v>#REF!</v>
      </c>
      <c r="N95" s="1797" t="e">
        <v>#DIV/0!</v>
      </c>
      <c r="O95" s="1797" t="e">
        <v>#DIV/0!</v>
      </c>
      <c r="P95" s="1797" t="e">
        <v>#REF!</v>
      </c>
      <c r="Q95" s="1797" t="e">
        <v>#REF!</v>
      </c>
      <c r="R95" s="1797" t="e">
        <v>#N/A</v>
      </c>
      <c r="S95" s="1742">
        <v>0</v>
      </c>
      <c r="T95" s="1742">
        <v>0</v>
      </c>
      <c r="U95" s="1742">
        <v>0</v>
      </c>
    </row>
    <row r="96" spans="2:24">
      <c r="B96" s="1720"/>
      <c r="C96" s="1720" t="s">
        <v>213</v>
      </c>
      <c r="D96" s="1770">
        <v>0</v>
      </c>
      <c r="E96" s="1720" t="s">
        <v>559</v>
      </c>
      <c r="F96" s="1720" t="s">
        <v>186</v>
      </c>
      <c r="G96" s="1729"/>
      <c r="H96" s="1729"/>
      <c r="I96" s="1740">
        <v>0</v>
      </c>
      <c r="J96" s="1723"/>
      <c r="K96" s="1723"/>
      <c r="L96" s="1752" t="e">
        <v>#REF!</v>
      </c>
      <c r="M96" s="1752" t="e">
        <v>#REF!</v>
      </c>
      <c r="N96" s="1797" t="e">
        <v>#DIV/0!</v>
      </c>
      <c r="O96" s="1797" t="e">
        <v>#DIV/0!</v>
      </c>
      <c r="P96" s="1797" t="e">
        <v>#REF!</v>
      </c>
      <c r="Q96" s="1797" t="e">
        <v>#REF!</v>
      </c>
      <c r="R96" s="1797" t="e">
        <v>#N/A</v>
      </c>
      <c r="S96" s="1742">
        <v>0</v>
      </c>
      <c r="T96" s="1742">
        <v>0</v>
      </c>
      <c r="U96" s="1742">
        <v>0</v>
      </c>
    </row>
    <row r="97" spans="2:21">
      <c r="B97" s="1720"/>
      <c r="C97" s="1720" t="s">
        <v>214</v>
      </c>
      <c r="D97" s="1770">
        <v>0</v>
      </c>
      <c r="E97" s="1720" t="s">
        <v>559</v>
      </c>
      <c r="F97" s="1720" t="s">
        <v>186</v>
      </c>
      <c r="G97" s="1729"/>
      <c r="H97" s="1729"/>
      <c r="I97" s="1740">
        <v>0</v>
      </c>
      <c r="J97" s="1723"/>
      <c r="K97" s="1723"/>
      <c r="L97" s="1752" t="e">
        <v>#REF!</v>
      </c>
      <c r="M97" s="1752" t="e">
        <v>#REF!</v>
      </c>
      <c r="N97" s="1797" t="e">
        <v>#DIV/0!</v>
      </c>
      <c r="O97" s="1797" t="e">
        <v>#DIV/0!</v>
      </c>
      <c r="P97" s="1797" t="e">
        <v>#REF!</v>
      </c>
      <c r="Q97" s="1797" t="e">
        <v>#REF!</v>
      </c>
      <c r="R97" s="1797" t="e">
        <v>#N/A</v>
      </c>
      <c r="S97" s="1742">
        <v>0</v>
      </c>
      <c r="T97" s="1742">
        <v>0</v>
      </c>
      <c r="U97" s="1742">
        <v>0</v>
      </c>
    </row>
    <row r="98" spans="2:21">
      <c r="B98" s="1720"/>
      <c r="C98" s="1720" t="s">
        <v>215</v>
      </c>
      <c r="D98" s="1770">
        <v>0</v>
      </c>
      <c r="E98" s="1720" t="s">
        <v>559</v>
      </c>
      <c r="F98" s="1720" t="s">
        <v>186</v>
      </c>
      <c r="G98" s="1729"/>
      <c r="H98" s="1729"/>
      <c r="I98" s="1740">
        <v>0</v>
      </c>
      <c r="J98" s="1723"/>
      <c r="K98" s="1723"/>
      <c r="L98" s="1752" t="e">
        <v>#REF!</v>
      </c>
      <c r="M98" s="1752" t="e">
        <v>#REF!</v>
      </c>
      <c r="N98" s="1797" t="e">
        <v>#DIV/0!</v>
      </c>
      <c r="O98" s="1797" t="e">
        <v>#DIV/0!</v>
      </c>
      <c r="P98" s="1797" t="e">
        <v>#REF!</v>
      </c>
      <c r="Q98" s="1797" t="e">
        <v>#REF!</v>
      </c>
      <c r="R98" s="1797" t="e">
        <v>#N/A</v>
      </c>
      <c r="S98" s="1742">
        <v>0</v>
      </c>
      <c r="T98" s="1742">
        <v>0</v>
      </c>
      <c r="U98" s="1742">
        <v>0</v>
      </c>
    </row>
    <row r="99" spans="2:21">
      <c r="B99" s="1720"/>
      <c r="C99" s="1720" t="s">
        <v>216</v>
      </c>
      <c r="D99" s="1770">
        <v>0</v>
      </c>
      <c r="E99" s="1720" t="s">
        <v>559</v>
      </c>
      <c r="F99" s="1720" t="s">
        <v>186</v>
      </c>
      <c r="G99" s="1729"/>
      <c r="H99" s="1729"/>
      <c r="I99" s="1740">
        <v>0</v>
      </c>
      <c r="J99" s="1723"/>
      <c r="K99" s="1723"/>
      <c r="L99" s="1752" t="e">
        <v>#REF!</v>
      </c>
      <c r="M99" s="1752" t="e">
        <v>#REF!</v>
      </c>
      <c r="N99" s="1797" t="e">
        <v>#DIV/0!</v>
      </c>
      <c r="O99" s="1797" t="e">
        <v>#DIV/0!</v>
      </c>
      <c r="P99" s="1797" t="e">
        <v>#REF!</v>
      </c>
      <c r="Q99" s="1797" t="e">
        <v>#REF!</v>
      </c>
      <c r="R99" s="1797" t="e">
        <v>#N/A</v>
      </c>
      <c r="S99" s="1742">
        <v>0</v>
      </c>
      <c r="T99" s="1742">
        <v>0</v>
      </c>
      <c r="U99" s="1742">
        <v>0</v>
      </c>
    </row>
    <row r="100" spans="2:21">
      <c r="B100" s="1720"/>
      <c r="C100" s="1720" t="s">
        <v>217</v>
      </c>
      <c r="D100" s="1770">
        <v>0</v>
      </c>
      <c r="E100" s="1720" t="s">
        <v>559</v>
      </c>
      <c r="F100" s="1720" t="s">
        <v>186</v>
      </c>
      <c r="G100" s="1729"/>
      <c r="H100" s="1729"/>
      <c r="I100" s="1740">
        <v>0</v>
      </c>
      <c r="J100" s="1723"/>
      <c r="K100" s="1723"/>
      <c r="L100" s="1752" t="e">
        <v>#REF!</v>
      </c>
      <c r="M100" s="1752" t="e">
        <v>#REF!</v>
      </c>
      <c r="N100" s="1797" t="e">
        <v>#DIV/0!</v>
      </c>
      <c r="O100" s="1797" t="e">
        <v>#DIV/0!</v>
      </c>
      <c r="P100" s="1797" t="e">
        <v>#REF!</v>
      </c>
      <c r="Q100" s="1797" t="e">
        <v>#REF!</v>
      </c>
      <c r="R100" s="1797" t="e">
        <v>#N/A</v>
      </c>
      <c r="S100" s="1742">
        <v>0</v>
      </c>
      <c r="T100" s="1742">
        <v>0</v>
      </c>
      <c r="U100" s="1742">
        <v>0</v>
      </c>
    </row>
    <row r="101" spans="2:21">
      <c r="B101" s="1720"/>
      <c r="C101" s="1720" t="s">
        <v>218</v>
      </c>
      <c r="D101" s="1770">
        <v>0</v>
      </c>
      <c r="E101" s="1720" t="s">
        <v>559</v>
      </c>
      <c r="F101" s="1720" t="s">
        <v>186</v>
      </c>
      <c r="G101" s="1729"/>
      <c r="H101" s="1729"/>
      <c r="I101" s="1740">
        <v>0</v>
      </c>
      <c r="J101" s="1723"/>
      <c r="K101" s="1723"/>
      <c r="L101" s="1752" t="e">
        <v>#REF!</v>
      </c>
      <c r="M101" s="1752" t="e">
        <v>#REF!</v>
      </c>
      <c r="N101" s="1797" t="e">
        <v>#DIV/0!</v>
      </c>
      <c r="O101" s="1797" t="e">
        <v>#DIV/0!</v>
      </c>
      <c r="P101" s="1797" t="e">
        <v>#REF!</v>
      </c>
      <c r="Q101" s="1797" t="e">
        <v>#REF!</v>
      </c>
      <c r="R101" s="1797" t="e">
        <v>#N/A</v>
      </c>
      <c r="S101" s="1742">
        <v>0</v>
      </c>
      <c r="T101" s="1742">
        <v>0</v>
      </c>
      <c r="U101" s="1742">
        <v>0</v>
      </c>
    </row>
    <row r="102" spans="2:21">
      <c r="B102" s="1720"/>
      <c r="C102" s="1720" t="s">
        <v>219</v>
      </c>
      <c r="D102" s="1770">
        <v>0</v>
      </c>
      <c r="E102" s="1720" t="s">
        <v>559</v>
      </c>
      <c r="F102" s="1720" t="s">
        <v>186</v>
      </c>
      <c r="G102" s="1729"/>
      <c r="H102" s="1729"/>
      <c r="I102" s="1740">
        <v>0</v>
      </c>
      <c r="J102" s="1723"/>
      <c r="K102" s="1723"/>
      <c r="L102" s="1752" t="e">
        <v>#REF!</v>
      </c>
      <c r="M102" s="1752" t="e">
        <v>#REF!</v>
      </c>
      <c r="N102" s="1797" t="e">
        <v>#DIV/0!</v>
      </c>
      <c r="O102" s="1797" t="e">
        <v>#DIV/0!</v>
      </c>
      <c r="P102" s="1797" t="e">
        <v>#REF!</v>
      </c>
      <c r="Q102" s="1797" t="e">
        <v>#REF!</v>
      </c>
      <c r="R102" s="1797" t="e">
        <v>#N/A</v>
      </c>
      <c r="S102" s="1742">
        <v>0</v>
      </c>
      <c r="T102" s="1742">
        <v>0</v>
      </c>
      <c r="U102" s="1742">
        <v>0</v>
      </c>
    </row>
    <row r="103" spans="2:21">
      <c r="B103" s="1720"/>
      <c r="C103" s="1720" t="s">
        <v>220</v>
      </c>
      <c r="D103" s="1770">
        <v>0</v>
      </c>
      <c r="E103" s="1720" t="s">
        <v>559</v>
      </c>
      <c r="F103" s="1720" t="s">
        <v>186</v>
      </c>
      <c r="G103" s="1729"/>
      <c r="H103" s="1729"/>
      <c r="I103" s="1740">
        <v>0</v>
      </c>
      <c r="J103" s="1723"/>
      <c r="K103" s="1723"/>
      <c r="L103" s="1752" t="e">
        <v>#REF!</v>
      </c>
      <c r="M103" s="1752" t="e">
        <v>#REF!</v>
      </c>
      <c r="N103" s="1797" t="e">
        <v>#DIV/0!</v>
      </c>
      <c r="O103" s="1797" t="e">
        <v>#DIV/0!</v>
      </c>
      <c r="P103" s="1797" t="e">
        <v>#REF!</v>
      </c>
      <c r="Q103" s="1797" t="e">
        <v>#REF!</v>
      </c>
      <c r="R103" s="1797" t="e">
        <v>#N/A</v>
      </c>
      <c r="S103" s="1742">
        <v>0</v>
      </c>
      <c r="T103" s="1742">
        <v>0</v>
      </c>
      <c r="U103" s="1742">
        <v>0</v>
      </c>
    </row>
    <row r="104" spans="2:21">
      <c r="B104" s="1720"/>
      <c r="C104" s="1720" t="s">
        <v>221</v>
      </c>
      <c r="D104" s="1770">
        <v>0</v>
      </c>
      <c r="E104" s="1720" t="s">
        <v>559</v>
      </c>
      <c r="F104" s="1720" t="s">
        <v>186</v>
      </c>
      <c r="G104" s="1729"/>
      <c r="H104" s="1729"/>
      <c r="I104" s="1740">
        <v>0</v>
      </c>
      <c r="J104" s="1723"/>
      <c r="K104" s="1723"/>
      <c r="L104" s="1752" t="e">
        <v>#REF!</v>
      </c>
      <c r="M104" s="1752" t="e">
        <v>#REF!</v>
      </c>
      <c r="N104" s="1797" t="e">
        <v>#DIV/0!</v>
      </c>
      <c r="O104" s="1797" t="e">
        <v>#DIV/0!</v>
      </c>
      <c r="P104" s="1797" t="e">
        <v>#REF!</v>
      </c>
      <c r="Q104" s="1797" t="e">
        <v>#REF!</v>
      </c>
      <c r="R104" s="1797" t="e">
        <v>#N/A</v>
      </c>
      <c r="S104" s="1742">
        <v>0</v>
      </c>
      <c r="T104" s="1742">
        <v>0</v>
      </c>
      <c r="U104" s="1742">
        <v>0</v>
      </c>
    </row>
    <row r="105" spans="2:21">
      <c r="B105" s="1720"/>
      <c r="C105" s="1720" t="s">
        <v>222</v>
      </c>
      <c r="D105" s="1770">
        <v>0</v>
      </c>
      <c r="E105" s="1720" t="s">
        <v>559</v>
      </c>
      <c r="F105" s="1720" t="s">
        <v>186</v>
      </c>
      <c r="G105" s="1729"/>
      <c r="H105" s="1729"/>
      <c r="I105" s="1740">
        <v>0</v>
      </c>
      <c r="J105" s="1723"/>
      <c r="K105" s="1723"/>
      <c r="L105" s="1752" t="e">
        <v>#REF!</v>
      </c>
      <c r="M105" s="1752" t="e">
        <v>#REF!</v>
      </c>
      <c r="N105" s="1797" t="e">
        <v>#DIV/0!</v>
      </c>
      <c r="O105" s="1797" t="e">
        <v>#DIV/0!</v>
      </c>
      <c r="P105" s="1797" t="e">
        <v>#REF!</v>
      </c>
      <c r="Q105" s="1797" t="e">
        <v>#REF!</v>
      </c>
      <c r="R105" s="1797" t="e">
        <v>#N/A</v>
      </c>
      <c r="S105" s="1742">
        <v>0</v>
      </c>
      <c r="T105" s="1742">
        <v>0</v>
      </c>
      <c r="U105" s="1742">
        <v>0</v>
      </c>
    </row>
    <row r="106" spans="2:21">
      <c r="B106" s="1720"/>
      <c r="C106" s="1720" t="s">
        <v>223</v>
      </c>
      <c r="D106" s="1770">
        <v>0</v>
      </c>
      <c r="E106" s="1720" t="s">
        <v>559</v>
      </c>
      <c r="F106" s="1720" t="s">
        <v>186</v>
      </c>
      <c r="G106" s="1729"/>
      <c r="H106" s="1729"/>
      <c r="I106" s="1740">
        <v>0</v>
      </c>
      <c r="J106" s="1723"/>
      <c r="K106" s="1723"/>
      <c r="L106" s="1752" t="e">
        <v>#REF!</v>
      </c>
      <c r="M106" s="1752" t="e">
        <v>#REF!</v>
      </c>
      <c r="N106" s="1797" t="e">
        <v>#DIV/0!</v>
      </c>
      <c r="O106" s="1797" t="e">
        <v>#DIV/0!</v>
      </c>
      <c r="P106" s="1797" t="e">
        <v>#REF!</v>
      </c>
      <c r="Q106" s="1797" t="e">
        <v>#REF!</v>
      </c>
      <c r="R106" s="1797" t="e">
        <v>#N/A</v>
      </c>
      <c r="S106" s="1742">
        <v>0</v>
      </c>
      <c r="T106" s="1742">
        <v>0</v>
      </c>
      <c r="U106" s="1742">
        <v>0</v>
      </c>
    </row>
    <row r="107" spans="2:21">
      <c r="B107" s="1720"/>
      <c r="C107" s="1720" t="s">
        <v>224</v>
      </c>
      <c r="D107" s="1770">
        <v>0</v>
      </c>
      <c r="E107" s="1720" t="s">
        <v>559</v>
      </c>
      <c r="F107" s="1720" t="s">
        <v>186</v>
      </c>
      <c r="G107" s="1729"/>
      <c r="H107" s="1729"/>
      <c r="I107" s="1740">
        <v>0</v>
      </c>
      <c r="J107" s="1723"/>
      <c r="K107" s="1723"/>
      <c r="L107" s="1752" t="e">
        <v>#REF!</v>
      </c>
      <c r="M107" s="1752" t="e">
        <v>#REF!</v>
      </c>
      <c r="N107" s="1797" t="e">
        <v>#DIV/0!</v>
      </c>
      <c r="O107" s="1797" t="e">
        <v>#DIV/0!</v>
      </c>
      <c r="P107" s="1797" t="e">
        <v>#REF!</v>
      </c>
      <c r="Q107" s="1797" t="e">
        <v>#REF!</v>
      </c>
      <c r="R107" s="1797" t="e">
        <v>#N/A</v>
      </c>
      <c r="S107" s="1742">
        <v>0</v>
      </c>
      <c r="T107" s="1742">
        <v>0</v>
      </c>
      <c r="U107" s="1742">
        <v>0</v>
      </c>
    </row>
    <row r="108" spans="2:21">
      <c r="B108" s="1720"/>
      <c r="C108" s="1720" t="s">
        <v>225</v>
      </c>
      <c r="D108" s="1770">
        <v>0</v>
      </c>
      <c r="E108" s="1720" t="s">
        <v>559</v>
      </c>
      <c r="F108" s="1720" t="s">
        <v>186</v>
      </c>
      <c r="G108" s="1729"/>
      <c r="H108" s="1729"/>
      <c r="I108" s="1740">
        <v>0</v>
      </c>
      <c r="J108" s="1723"/>
      <c r="K108" s="1723"/>
      <c r="L108" s="1752" t="e">
        <v>#REF!</v>
      </c>
      <c r="M108" s="1752" t="e">
        <v>#REF!</v>
      </c>
      <c r="N108" s="1797" t="e">
        <v>#DIV/0!</v>
      </c>
      <c r="O108" s="1797" t="e">
        <v>#DIV/0!</v>
      </c>
      <c r="P108" s="1797" t="e">
        <v>#REF!</v>
      </c>
      <c r="Q108" s="1797" t="e">
        <v>#REF!</v>
      </c>
      <c r="R108" s="1797" t="e">
        <v>#N/A</v>
      </c>
      <c r="S108" s="1742">
        <v>0</v>
      </c>
      <c r="T108" s="1742">
        <v>0</v>
      </c>
      <c r="U108" s="1742">
        <v>0</v>
      </c>
    </row>
    <row r="109" spans="2:21" ht="13.5" thickBot="1">
      <c r="B109" s="1720"/>
      <c r="C109" s="1720" t="s">
        <v>226</v>
      </c>
      <c r="D109" s="1770">
        <v>0</v>
      </c>
      <c r="E109" s="1720" t="s">
        <v>559</v>
      </c>
      <c r="F109" s="1720" t="s">
        <v>186</v>
      </c>
      <c r="G109" s="1729"/>
      <c r="H109" s="1729"/>
      <c r="I109" s="1740">
        <v>0</v>
      </c>
      <c r="J109" s="1723"/>
      <c r="K109" s="1723"/>
      <c r="L109" s="1755" t="e">
        <v>#REF!</v>
      </c>
      <c r="M109" s="1755" t="e">
        <v>#REF!</v>
      </c>
      <c r="N109" s="1798" t="e">
        <v>#DIV/0!</v>
      </c>
      <c r="O109" s="1798" t="e">
        <v>#DIV/0!</v>
      </c>
      <c r="P109" s="1797" t="e">
        <v>#REF!</v>
      </c>
      <c r="Q109" s="1798" t="e">
        <v>#REF!</v>
      </c>
      <c r="R109" s="1798" t="e">
        <v>#N/A</v>
      </c>
      <c r="S109" s="1742">
        <v>0</v>
      </c>
      <c r="T109" s="1742">
        <v>0</v>
      </c>
      <c r="U109" s="1742">
        <v>0</v>
      </c>
    </row>
    <row r="110" spans="2:21" ht="13.5" thickBot="1">
      <c r="B110" s="1716"/>
      <c r="C110" s="1716"/>
      <c r="D110" s="1716"/>
      <c r="E110" s="1716"/>
      <c r="F110" s="1716"/>
      <c r="G110" s="1754">
        <v>0</v>
      </c>
      <c r="H110" s="1741">
        <v>0</v>
      </c>
      <c r="I110" s="1753">
        <v>0</v>
      </c>
      <c r="J110" s="1719" t="e">
        <v>#DIV/0!</v>
      </c>
      <c r="K110" s="1717"/>
      <c r="L110" s="1756" t="e">
        <v>#N/A</v>
      </c>
      <c r="M110" s="1757" t="e">
        <v>#N/A</v>
      </c>
      <c r="N110" s="1784" t="e">
        <v>#DIV/0!</v>
      </c>
      <c r="O110" s="1784" t="e">
        <v>#DIV/0!</v>
      </c>
      <c r="P110" s="1784" t="e">
        <v>#N/A</v>
      </c>
      <c r="Q110" s="1785" t="e">
        <v>#N/A</v>
      </c>
      <c r="R110" s="1785" t="e">
        <v>#DIV/0!</v>
      </c>
      <c r="S110" s="1743">
        <v>0</v>
      </c>
      <c r="T110" s="1743">
        <v>0</v>
      </c>
      <c r="U110" s="1743">
        <v>0</v>
      </c>
    </row>
  </sheetData>
  <sheetProtection password="9E1F" sheet="1" objects="1" scenarios="1"/>
  <customSheetViews>
    <customSheetView guid="{074EB09C-6289-46D7-9513-012B68BCA7BF}" fitToPage="1">
      <pane xSplit="1" ySplit="1" topLeftCell="B2" activePane="bottomRight" state="frozen"/>
      <selection pane="bottomRight"/>
      <pageMargins left="0.21" right="0.21" top="0.32" bottom="0.39" header="0.3" footer="0.3"/>
      <pageSetup paperSize="17" scale="50" orientation="landscape" r:id="rId1"/>
    </customSheetView>
    <customSheetView guid="{AF9F1D33-B8C2-423F-86A1-47612B8F532C}" fitToPage="1">
      <pane xSplit="1" ySplit="1" topLeftCell="B2" activePane="bottomRight" state="frozenSplit"/>
      <selection pane="bottomRight" activeCell="C28" sqref="C28:C29"/>
      <pageMargins left="0.7" right="0.7" top="0.75" bottom="0.75" header="0.3" footer="0.3"/>
      <pageSetup paperSize="17" scale="50" orientation="landscape"/>
    </customSheetView>
  </customSheetViews>
  <mergeCells count="14">
    <mergeCell ref="D14:E14"/>
    <mergeCell ref="I14:L14"/>
    <mergeCell ref="M14:N14"/>
    <mergeCell ref="S66:U66"/>
    <mergeCell ref="M15:O15"/>
    <mergeCell ref="I16:K16"/>
    <mergeCell ref="C15:F15"/>
    <mergeCell ref="V66:X66"/>
    <mergeCell ref="Q5:R5"/>
    <mergeCell ref="S5:U5"/>
    <mergeCell ref="V5:V6"/>
    <mergeCell ref="P15:R15"/>
    <mergeCell ref="L66:R66"/>
    <mergeCell ref="I15:L15"/>
  </mergeCells>
  <pageMargins left="0.21" right="0.21" top="0.32" bottom="0.39" header="0.3" footer="0.3"/>
  <pageSetup paperSize="17" scale="50" orientation="landscape" r:id="rId2"/>
  <drawing r:id="rId3"/>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X105"/>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8.85546875" defaultRowHeight="12.75"/>
  <cols>
    <col min="1" max="1" width="15.42578125" style="3064" customWidth="1"/>
    <col min="2" max="2" width="16.85546875" customWidth="1"/>
    <col min="3" max="3" width="33.42578125" customWidth="1"/>
    <col min="4" max="6" width="12.42578125" customWidth="1"/>
    <col min="7" max="7" width="14.42578125" customWidth="1"/>
    <col min="8" max="10" width="12.42578125" customWidth="1"/>
    <col min="11" max="11" width="16" customWidth="1"/>
    <col min="12" max="15" width="12.42578125" customWidth="1"/>
    <col min="16" max="18" width="13.140625" customWidth="1"/>
  </cols>
  <sheetData>
    <row r="1" spans="2:22" ht="42" customHeight="1" thickBot="1">
      <c r="B1" s="3461"/>
      <c r="C1" s="1811"/>
      <c r="D1" s="1811"/>
      <c r="E1" s="1811"/>
      <c r="F1" s="1822"/>
      <c r="G1" s="1822">
        <v>18230671</v>
      </c>
      <c r="H1" s="3331" t="s">
        <v>1161</v>
      </c>
      <c r="I1" s="1822"/>
      <c r="J1" s="1811"/>
      <c r="K1" s="1811"/>
      <c r="L1" s="1811"/>
      <c r="M1" s="1811"/>
      <c r="N1" s="1811"/>
      <c r="O1" s="1811"/>
      <c r="P1" s="1811"/>
      <c r="Q1" s="1811"/>
      <c r="R1" s="1811"/>
      <c r="S1" s="1811"/>
      <c r="T1" s="1811"/>
      <c r="U1" s="1811"/>
      <c r="V1" s="1811"/>
    </row>
    <row r="2" spans="2:22" ht="16.5" thickBot="1">
      <c r="B2" s="1822" t="s">
        <v>109</v>
      </c>
      <c r="C2" s="4976" t="s">
        <v>1200</v>
      </c>
      <c r="D2" s="1811"/>
      <c r="E2" s="1811"/>
      <c r="F2" s="1811"/>
      <c r="G2" s="1828" t="s">
        <v>8</v>
      </c>
      <c r="H2" s="1811"/>
      <c r="I2" s="1811"/>
      <c r="J2" s="1811"/>
      <c r="K2" s="1811"/>
      <c r="L2" s="1811"/>
      <c r="M2" s="1811"/>
      <c r="N2" s="1811"/>
      <c r="O2" s="1811"/>
      <c r="P2" s="1811"/>
      <c r="Q2" s="5152" t="s">
        <v>556</v>
      </c>
      <c r="R2" s="5152"/>
      <c r="S2" s="5153" t="s">
        <v>110</v>
      </c>
      <c r="T2" s="5154"/>
      <c r="U2" s="5155"/>
      <c r="V2" s="5147" t="s">
        <v>111</v>
      </c>
    </row>
    <row r="3" spans="2:22" ht="16.5" thickBot="1">
      <c r="B3" s="1853" t="s">
        <v>6</v>
      </c>
      <c r="C3" s="1853">
        <v>18230671</v>
      </c>
      <c r="D3" s="1811"/>
      <c r="E3" s="1811"/>
      <c r="F3" s="1811"/>
      <c r="G3" s="1839" t="s">
        <v>9</v>
      </c>
      <c r="H3" s="1838" t="s">
        <v>10</v>
      </c>
      <c r="I3" s="1838" t="s">
        <v>11</v>
      </c>
      <c r="J3" s="1838" t="s">
        <v>12</v>
      </c>
      <c r="K3" s="1838" t="s">
        <v>13</v>
      </c>
      <c r="L3" s="1838" t="s">
        <v>14</v>
      </c>
      <c r="M3" s="1838" t="s">
        <v>15</v>
      </c>
      <c r="N3" s="1838" t="s">
        <v>16</v>
      </c>
      <c r="O3" s="1838" t="s">
        <v>112</v>
      </c>
      <c r="P3" s="1838" t="s">
        <v>113</v>
      </c>
      <c r="Q3" s="1840" t="s">
        <v>18</v>
      </c>
      <c r="R3" s="1840" t="s">
        <v>114</v>
      </c>
      <c r="S3" s="1830" t="s">
        <v>115</v>
      </c>
      <c r="T3" s="1830" t="s">
        <v>12</v>
      </c>
      <c r="U3" s="1831" t="s">
        <v>116</v>
      </c>
      <c r="V3" s="5148"/>
    </row>
    <row r="4" spans="2:22" ht="16.5" thickBot="1">
      <c r="B4" s="1853" t="s">
        <v>117</v>
      </c>
      <c r="C4" s="4057" t="s">
        <v>1157</v>
      </c>
      <c r="D4" s="4056"/>
      <c r="E4" s="4056"/>
      <c r="F4" s="1822">
        <v>2011</v>
      </c>
      <c r="G4" s="1871">
        <v>24976</v>
      </c>
      <c r="H4" s="1872">
        <v>0</v>
      </c>
      <c r="I4" s="1872">
        <v>15735</v>
      </c>
      <c r="J4" s="1872">
        <v>996</v>
      </c>
      <c r="K4" s="1872">
        <v>54</v>
      </c>
      <c r="L4" s="1872">
        <v>8004</v>
      </c>
      <c r="M4" s="1872">
        <v>0</v>
      </c>
      <c r="N4" s="1872">
        <v>0</v>
      </c>
      <c r="O4" s="1872">
        <v>0</v>
      </c>
      <c r="P4" s="1872">
        <v>0</v>
      </c>
      <c r="Q4" s="1876">
        <v>49765</v>
      </c>
      <c r="R4" s="1883">
        <v>0</v>
      </c>
      <c r="S4" s="1901">
        <v>0</v>
      </c>
      <c r="T4" s="1901">
        <v>2.0014066110720385E-2</v>
      </c>
      <c r="U4" s="1901">
        <v>0.16083592886566864</v>
      </c>
      <c r="V4" s="1903" t="e">
        <v>#DIV/0!</v>
      </c>
    </row>
    <row r="5" spans="2:22" ht="16.5" thickBot="1">
      <c r="B5" s="1822" t="s">
        <v>33</v>
      </c>
      <c r="C5" s="1811"/>
      <c r="D5" s="1811"/>
      <c r="E5" s="1811"/>
      <c r="F5" s="1822">
        <v>2012</v>
      </c>
      <c r="G5" s="1873">
        <f>D13</f>
        <v>8290</v>
      </c>
      <c r="H5" s="1874">
        <f>D18</f>
        <v>0</v>
      </c>
      <c r="I5" s="1874">
        <f>D23</f>
        <v>5222.7</v>
      </c>
      <c r="J5" s="1874">
        <f>D28</f>
        <v>0</v>
      </c>
      <c r="K5" s="1874">
        <f>D33</f>
        <v>185</v>
      </c>
      <c r="L5" s="1874">
        <f>D38</f>
        <v>4225</v>
      </c>
      <c r="M5" s="1874">
        <f>D43</f>
        <v>1300</v>
      </c>
      <c r="N5" s="1874">
        <f>D48</f>
        <v>0</v>
      </c>
      <c r="O5" s="1874">
        <f>D53</f>
        <v>0</v>
      </c>
      <c r="P5" s="1874">
        <f>D54</f>
        <v>0</v>
      </c>
      <c r="Q5" s="1875">
        <f>SUM(G5:P5)</f>
        <v>19222.7</v>
      </c>
      <c r="R5" s="1892">
        <v>0</v>
      </c>
      <c r="S5" s="1902">
        <v>0</v>
      </c>
      <c r="T5" s="1902">
        <v>1.4375793004681619E-2</v>
      </c>
      <c r="U5" s="1902">
        <v>0.53909223767556069</v>
      </c>
      <c r="V5" s="1904" t="e">
        <v>#DIV/0!</v>
      </c>
    </row>
    <row r="6" spans="2:22" s="3532" customFormat="1" ht="16.5" thickBot="1">
      <c r="B6" s="3331"/>
      <c r="C6" s="4117"/>
      <c r="D6" s="4117"/>
      <c r="E6" s="4117"/>
      <c r="F6" s="4271" t="s">
        <v>1168</v>
      </c>
      <c r="G6" s="2062">
        <v>8303</v>
      </c>
      <c r="H6" s="4155">
        <v>0</v>
      </c>
      <c r="I6" s="4155">
        <v>5230.8900000000003</v>
      </c>
      <c r="J6" s="4155">
        <v>0</v>
      </c>
      <c r="K6" s="4155">
        <v>185</v>
      </c>
      <c r="L6" s="4155">
        <v>4225</v>
      </c>
      <c r="M6" s="4155">
        <v>1300</v>
      </c>
      <c r="N6" s="4155">
        <v>0</v>
      </c>
      <c r="O6" s="4155">
        <v>0</v>
      </c>
      <c r="P6" s="4155">
        <v>0</v>
      </c>
      <c r="Q6" s="2064">
        <v>19243.89</v>
      </c>
      <c r="R6" s="2082">
        <v>0</v>
      </c>
      <c r="S6" s="3637">
        <v>0</v>
      </c>
      <c r="T6" s="3637">
        <v>2.4232893501564733E-2</v>
      </c>
      <c r="U6" s="3637">
        <v>0.5274217997399383</v>
      </c>
      <c r="V6" s="2096" t="e">
        <v>#DIV/0!</v>
      </c>
    </row>
    <row r="7" spans="2:22" ht="16.5" thickBot="1">
      <c r="B7" s="1811"/>
      <c r="C7" s="1822" t="s">
        <v>807</v>
      </c>
      <c r="D7" s="1811"/>
      <c r="E7" s="1811"/>
      <c r="F7" s="4270" t="s">
        <v>1169</v>
      </c>
      <c r="G7" s="4224">
        <f>E13</f>
        <v>3795.75</v>
      </c>
      <c r="H7" s="4225">
        <f>E18</f>
        <v>0</v>
      </c>
      <c r="I7" s="4225">
        <f>E23</f>
        <v>2683.5952499999999</v>
      </c>
      <c r="J7" s="4225">
        <f>E28</f>
        <v>0</v>
      </c>
      <c r="K7" s="4225">
        <f>E33</f>
        <v>185</v>
      </c>
      <c r="L7" s="4225">
        <f>E38</f>
        <v>4225</v>
      </c>
      <c r="M7" s="4225">
        <f>E43</f>
        <v>2600</v>
      </c>
      <c r="N7" s="4225">
        <f>E48</f>
        <v>0</v>
      </c>
      <c r="O7" s="4225">
        <f>E53</f>
        <v>0</v>
      </c>
      <c r="P7" s="4225">
        <f>E54</f>
        <v>0</v>
      </c>
      <c r="Q7" s="4226">
        <f>SUM(G7:P7)</f>
        <v>13489.34525</v>
      </c>
      <c r="R7" s="4235">
        <v>0</v>
      </c>
      <c r="S7" s="1902">
        <v>0</v>
      </c>
      <c r="T7" s="1902">
        <v>2.4232893501564733E-2</v>
      </c>
      <c r="U7" s="1902">
        <v>0.5274217997399383</v>
      </c>
      <c r="V7" s="1904" t="e">
        <v>#DIV/0!</v>
      </c>
    </row>
    <row r="8" spans="2:22" ht="16.5" thickBot="1">
      <c r="B8" s="1811"/>
      <c r="C8" s="2086" t="s">
        <v>1431</v>
      </c>
      <c r="D8" s="1811"/>
      <c r="E8" s="1811"/>
      <c r="F8" s="2073" t="s">
        <v>1175</v>
      </c>
      <c r="G8" s="1884">
        <f>SUM(G5+G7)</f>
        <v>12085.75</v>
      </c>
      <c r="H8" s="3335">
        <f t="shared" ref="H8:Q8" si="0">SUM(H5+H7)</f>
        <v>0</v>
      </c>
      <c r="I8" s="3335">
        <f t="shared" si="0"/>
        <v>7906.2952499999992</v>
      </c>
      <c r="J8" s="3335">
        <f t="shared" si="0"/>
        <v>0</v>
      </c>
      <c r="K8" s="3335">
        <f t="shared" si="0"/>
        <v>370</v>
      </c>
      <c r="L8" s="3335">
        <f t="shared" si="0"/>
        <v>8450</v>
      </c>
      <c r="M8" s="3335">
        <f t="shared" si="0"/>
        <v>3900</v>
      </c>
      <c r="N8" s="3335">
        <f t="shared" si="0"/>
        <v>0</v>
      </c>
      <c r="O8" s="3335">
        <f t="shared" si="0"/>
        <v>0</v>
      </c>
      <c r="P8" s="3335">
        <f t="shared" si="0"/>
        <v>0</v>
      </c>
      <c r="Q8" s="3335">
        <f t="shared" si="0"/>
        <v>32712.045250000003</v>
      </c>
      <c r="R8" s="1893">
        <v>0</v>
      </c>
      <c r="S8" s="1902">
        <v>0</v>
      </c>
      <c r="T8" s="1902">
        <v>1.9325198426842959E-2</v>
      </c>
      <c r="U8" s="1902">
        <v>0.53323232696288902</v>
      </c>
      <c r="V8" s="1904" t="e">
        <v>#DIV/0!</v>
      </c>
    </row>
    <row r="10" spans="2:22" ht="13.5" thickBot="1">
      <c r="B10" s="1811"/>
      <c r="C10" s="1867" t="s">
        <v>118</v>
      </c>
      <c r="D10" s="5149" t="s">
        <v>119</v>
      </c>
      <c r="E10" s="5149"/>
      <c r="F10" s="1811"/>
      <c r="G10" s="1811"/>
      <c r="H10" s="1811"/>
      <c r="I10" s="5150" t="s">
        <v>120</v>
      </c>
      <c r="J10" s="5150"/>
      <c r="K10" s="5150"/>
      <c r="L10" s="5150"/>
      <c r="M10" s="5151" t="s">
        <v>119</v>
      </c>
      <c r="N10" s="5151"/>
      <c r="O10" s="1811"/>
      <c r="P10" s="1811"/>
      <c r="Q10" s="1811"/>
      <c r="R10" s="1811"/>
      <c r="S10" s="1811"/>
      <c r="T10" s="1811"/>
      <c r="U10" s="1811"/>
      <c r="V10" s="1811"/>
    </row>
    <row r="11" spans="2:22" ht="16.5" thickBot="1">
      <c r="B11" s="1870" t="s">
        <v>121</v>
      </c>
      <c r="C11" s="5156" t="s">
        <v>122</v>
      </c>
      <c r="D11" s="5156"/>
      <c r="E11" s="5156"/>
      <c r="F11" s="5157"/>
      <c r="G11" s="1811"/>
      <c r="H11" s="1811"/>
      <c r="I11" s="5153" t="s">
        <v>123</v>
      </c>
      <c r="J11" s="5154"/>
      <c r="K11" s="5154"/>
      <c r="L11" s="5155"/>
      <c r="M11" s="5153" t="s">
        <v>124</v>
      </c>
      <c r="N11" s="5154"/>
      <c r="O11" s="5155"/>
      <c r="P11" s="5153" t="s">
        <v>125</v>
      </c>
      <c r="Q11" s="5154"/>
      <c r="R11" s="5155"/>
      <c r="S11" s="1811"/>
      <c r="T11" s="4897"/>
      <c r="U11" s="4056"/>
      <c r="V11" s="4056"/>
    </row>
    <row r="12" spans="2:22" ht="16.5" thickBot="1">
      <c r="B12" s="1880">
        <v>2011</v>
      </c>
      <c r="C12" s="1869" t="s">
        <v>127</v>
      </c>
      <c r="D12" s="1865">
        <v>2012</v>
      </c>
      <c r="E12" s="1865">
        <v>2013</v>
      </c>
      <c r="F12" s="1865" t="s">
        <v>128</v>
      </c>
      <c r="G12" s="1811"/>
      <c r="H12" s="1829"/>
      <c r="I12" s="5158" t="s">
        <v>129</v>
      </c>
      <c r="J12" s="5159"/>
      <c r="K12" s="5160"/>
      <c r="L12" s="1861" t="s">
        <v>130</v>
      </c>
      <c r="M12" s="1862" t="s">
        <v>131</v>
      </c>
      <c r="N12" s="1863" t="s">
        <v>132</v>
      </c>
      <c r="O12" s="1864" t="s">
        <v>133</v>
      </c>
      <c r="P12" s="1862" t="s">
        <v>134</v>
      </c>
      <c r="Q12" s="1862" t="s">
        <v>135</v>
      </c>
      <c r="R12" s="1864" t="s">
        <v>136</v>
      </c>
      <c r="S12" s="1811"/>
      <c r="T12" s="4898"/>
      <c r="U12" s="4056"/>
      <c r="V12" s="4056"/>
    </row>
    <row r="13" spans="2:22" ht="13.5" thickBot="1">
      <c r="B13" s="1877">
        <v>24976</v>
      </c>
      <c r="C13" s="1841" t="s">
        <v>138</v>
      </c>
      <c r="D13" s="1842">
        <f>SUM(D14:D17)</f>
        <v>8290</v>
      </c>
      <c r="E13" s="2032">
        <f>SUM(E14:E17)</f>
        <v>3795.75</v>
      </c>
      <c r="F13" s="2032">
        <f>SUM(F14:F17)</f>
        <v>12085.75</v>
      </c>
      <c r="G13" s="1811"/>
      <c r="H13" s="1832"/>
      <c r="I13" s="1856" t="s">
        <v>368</v>
      </c>
      <c r="J13" s="1859"/>
      <c r="K13" s="1860"/>
      <c r="L13" s="1885">
        <v>0</v>
      </c>
      <c r="M13" s="1818">
        <v>0</v>
      </c>
      <c r="N13" s="1818">
        <v>0</v>
      </c>
      <c r="O13" s="1833">
        <v>0</v>
      </c>
      <c r="P13" s="1886">
        <v>0</v>
      </c>
      <c r="Q13" s="1886">
        <v>0</v>
      </c>
      <c r="R13" s="1887">
        <v>0</v>
      </c>
      <c r="S13" s="1811"/>
      <c r="T13" s="4056"/>
      <c r="U13" s="4056"/>
      <c r="V13" s="4056"/>
    </row>
    <row r="14" spans="2:22">
      <c r="B14" s="1878"/>
      <c r="C14" s="3220" t="s">
        <v>1439</v>
      </c>
      <c r="D14" s="1825">
        <v>8290</v>
      </c>
      <c r="E14" s="4454">
        <v>2075.75</v>
      </c>
      <c r="F14" s="1824">
        <f>SUM(D14:E14)</f>
        <v>10365.75</v>
      </c>
      <c r="G14" s="1811"/>
      <c r="H14" s="1832"/>
      <c r="I14" s="1856" t="s">
        <v>369</v>
      </c>
      <c r="J14" s="1859"/>
      <c r="K14" s="1860"/>
      <c r="L14" s="1885">
        <v>0</v>
      </c>
      <c r="M14" s="1818">
        <v>0</v>
      </c>
      <c r="N14" s="1818">
        <v>0</v>
      </c>
      <c r="O14" s="1833">
        <v>0</v>
      </c>
      <c r="P14" s="1886">
        <v>0</v>
      </c>
      <c r="Q14" s="1886">
        <v>0</v>
      </c>
      <c r="R14" s="1887">
        <v>0</v>
      </c>
      <c r="S14" s="1811"/>
      <c r="T14" s="4056"/>
      <c r="U14" s="4056"/>
      <c r="V14" s="4056"/>
    </row>
    <row r="15" spans="2:22">
      <c r="B15" s="1879"/>
      <c r="C15" s="4752" t="s">
        <v>1336</v>
      </c>
      <c r="D15" s="1824">
        <v>0</v>
      </c>
      <c r="E15" s="4453">
        <v>1720</v>
      </c>
      <c r="F15" s="3164">
        <f>SUM(D15:E15)</f>
        <v>1720</v>
      </c>
      <c r="G15" s="1811"/>
      <c r="H15" s="1832"/>
      <c r="I15" s="1856" t="s">
        <v>370</v>
      </c>
      <c r="J15" s="1859"/>
      <c r="K15" s="1860"/>
      <c r="L15" s="1885">
        <v>0</v>
      </c>
      <c r="M15" s="1818">
        <v>0</v>
      </c>
      <c r="N15" s="1818">
        <v>0</v>
      </c>
      <c r="O15" s="1833">
        <v>0</v>
      </c>
      <c r="P15" s="1886">
        <v>0</v>
      </c>
      <c r="Q15" s="1886">
        <v>0</v>
      </c>
      <c r="R15" s="1887">
        <v>0</v>
      </c>
      <c r="S15" s="1811"/>
      <c r="T15" s="4056"/>
      <c r="U15" s="4056"/>
      <c r="V15" s="4056"/>
    </row>
    <row r="16" spans="2:22">
      <c r="B16" s="1879"/>
      <c r="C16" s="1817"/>
      <c r="D16" s="1824">
        <v>0</v>
      </c>
      <c r="E16" s="1824">
        <v>0</v>
      </c>
      <c r="F16" s="3164">
        <f>SUM(D16:E16)</f>
        <v>0</v>
      </c>
      <c r="G16" s="1811"/>
      <c r="H16" s="1832"/>
      <c r="I16" s="1856" t="s">
        <v>188</v>
      </c>
      <c r="J16" s="1859"/>
      <c r="K16" s="1860"/>
      <c r="L16" s="1885">
        <v>0</v>
      </c>
      <c r="M16" s="1818">
        <v>0</v>
      </c>
      <c r="N16" s="1818">
        <v>0</v>
      </c>
      <c r="O16" s="1833">
        <v>0</v>
      </c>
      <c r="P16" s="1886">
        <v>0</v>
      </c>
      <c r="Q16" s="1886">
        <v>0</v>
      </c>
      <c r="R16" s="1887">
        <v>0</v>
      </c>
      <c r="S16" s="1811"/>
      <c r="T16" s="4056"/>
      <c r="U16" s="4056"/>
      <c r="V16" s="4056"/>
    </row>
    <row r="17" spans="2:22" ht="13.5" thickBot="1">
      <c r="B17" s="1879"/>
      <c r="C17" s="1817"/>
      <c r="D17" s="1824">
        <v>0</v>
      </c>
      <c r="E17" s="1824">
        <v>0</v>
      </c>
      <c r="F17" s="3164">
        <f>SUM(D17:E17)</f>
        <v>0</v>
      </c>
      <c r="G17" s="1811"/>
      <c r="H17" s="1832"/>
      <c r="I17" s="1856" t="s">
        <v>189</v>
      </c>
      <c r="J17" s="1859"/>
      <c r="K17" s="1860"/>
      <c r="L17" s="1885">
        <v>0</v>
      </c>
      <c r="M17" s="1818">
        <v>0</v>
      </c>
      <c r="N17" s="1818">
        <v>0</v>
      </c>
      <c r="O17" s="1833">
        <v>0</v>
      </c>
      <c r="P17" s="1886">
        <v>0</v>
      </c>
      <c r="Q17" s="1886">
        <v>0</v>
      </c>
      <c r="R17" s="1887">
        <v>0</v>
      </c>
      <c r="S17" s="1811"/>
      <c r="T17" s="4056"/>
      <c r="U17" s="4056"/>
      <c r="V17" s="4056"/>
    </row>
    <row r="18" spans="2:22" ht="13.5" thickBot="1">
      <c r="B18" s="1877">
        <v>0</v>
      </c>
      <c r="C18" s="1841" t="s">
        <v>143</v>
      </c>
      <c r="D18" s="1842">
        <f>SUM(D19:D22)</f>
        <v>0</v>
      </c>
      <c r="E18" s="2032">
        <f>SUM(E19:E22)</f>
        <v>0</v>
      </c>
      <c r="F18" s="2032">
        <f>SUM(F19:F22)</f>
        <v>0</v>
      </c>
      <c r="G18" s="1811"/>
      <c r="H18" s="1832"/>
      <c r="I18" s="1856" t="s">
        <v>190</v>
      </c>
      <c r="J18" s="1859"/>
      <c r="K18" s="1860"/>
      <c r="L18" s="1885">
        <v>0</v>
      </c>
      <c r="M18" s="1818">
        <v>0</v>
      </c>
      <c r="N18" s="1818">
        <v>0</v>
      </c>
      <c r="O18" s="1833">
        <v>0</v>
      </c>
      <c r="P18" s="1886">
        <v>0</v>
      </c>
      <c r="Q18" s="1886">
        <v>0</v>
      </c>
      <c r="R18" s="1887">
        <v>0</v>
      </c>
      <c r="S18" s="1811"/>
      <c r="T18" s="4056"/>
      <c r="U18" s="3535"/>
      <c r="V18" s="3535"/>
    </row>
    <row r="19" spans="2:22">
      <c r="B19" s="1878"/>
      <c r="C19" s="1817" t="s">
        <v>139</v>
      </c>
      <c r="D19" s="1897">
        <v>0</v>
      </c>
      <c r="E19" s="1897">
        <v>0</v>
      </c>
      <c r="F19" s="1824">
        <f>SUM(D19:E19)</f>
        <v>0</v>
      </c>
      <c r="G19" s="1811"/>
      <c r="H19" s="1832"/>
      <c r="I19" s="1856" t="s">
        <v>191</v>
      </c>
      <c r="J19" s="1859"/>
      <c r="K19" s="1860"/>
      <c r="L19" s="1885">
        <v>0</v>
      </c>
      <c r="M19" s="1818">
        <v>0</v>
      </c>
      <c r="N19" s="1818">
        <v>0</v>
      </c>
      <c r="O19" s="1833">
        <v>0</v>
      </c>
      <c r="P19" s="1886">
        <v>0</v>
      </c>
      <c r="Q19" s="1886">
        <v>0</v>
      </c>
      <c r="R19" s="1887">
        <v>0</v>
      </c>
      <c r="S19" s="1811"/>
      <c r="T19" s="4056"/>
      <c r="U19" s="3535"/>
      <c r="V19" s="3535"/>
    </row>
    <row r="20" spans="2:22">
      <c r="B20" s="1879"/>
      <c r="C20" s="1817" t="s">
        <v>140</v>
      </c>
      <c r="D20" s="1897">
        <v>0</v>
      </c>
      <c r="E20" s="1897">
        <v>0</v>
      </c>
      <c r="F20" s="3164">
        <f>SUM(D20:E20)</f>
        <v>0</v>
      </c>
      <c r="G20" s="1811"/>
      <c r="H20" s="1832"/>
      <c r="I20" s="1856" t="s">
        <v>192</v>
      </c>
      <c r="J20" s="1859"/>
      <c r="K20" s="1860"/>
      <c r="L20" s="1885">
        <v>0</v>
      </c>
      <c r="M20" s="1818">
        <v>0</v>
      </c>
      <c r="N20" s="1818">
        <v>0</v>
      </c>
      <c r="O20" s="1833">
        <v>0</v>
      </c>
      <c r="P20" s="1886">
        <v>0</v>
      </c>
      <c r="Q20" s="1886">
        <v>0</v>
      </c>
      <c r="R20" s="1887">
        <v>0</v>
      </c>
      <c r="S20" s="1811"/>
      <c r="T20" s="4056"/>
      <c r="U20" s="3535"/>
      <c r="V20" s="3535"/>
    </row>
    <row r="21" spans="2:22">
      <c r="B21" s="1879"/>
      <c r="C21" s="1817" t="s">
        <v>141</v>
      </c>
      <c r="D21" s="1826">
        <v>0</v>
      </c>
      <c r="E21" s="1826"/>
      <c r="F21" s="3164">
        <f>SUM(D21:E21)</f>
        <v>0</v>
      </c>
      <c r="G21" s="1811"/>
      <c r="H21" s="1832"/>
      <c r="I21" s="1856" t="s">
        <v>193</v>
      </c>
      <c r="J21" s="1859"/>
      <c r="K21" s="1860"/>
      <c r="L21" s="1885">
        <v>0</v>
      </c>
      <c r="M21" s="1818">
        <v>0</v>
      </c>
      <c r="N21" s="1818">
        <v>0</v>
      </c>
      <c r="O21" s="1833">
        <v>0</v>
      </c>
      <c r="P21" s="1886">
        <v>0</v>
      </c>
      <c r="Q21" s="1886">
        <v>0</v>
      </c>
      <c r="R21" s="1887">
        <v>0</v>
      </c>
      <c r="S21" s="1811"/>
      <c r="T21" s="4056"/>
      <c r="U21" s="3535"/>
      <c r="V21" s="3535"/>
    </row>
    <row r="22" spans="2:22" ht="13.5" thickBot="1">
      <c r="B22" s="1879"/>
      <c r="C22" s="1817" t="s">
        <v>142</v>
      </c>
      <c r="D22" s="1826">
        <v>0</v>
      </c>
      <c r="E22" s="1826"/>
      <c r="F22" s="3164">
        <f>SUM(D22:E22)</f>
        <v>0</v>
      </c>
      <c r="G22" s="1811"/>
      <c r="H22" s="1832"/>
      <c r="I22" s="1856" t="s">
        <v>194</v>
      </c>
      <c r="J22" s="1859"/>
      <c r="K22" s="1860"/>
      <c r="L22" s="1885">
        <v>0</v>
      </c>
      <c r="M22" s="1818">
        <v>0</v>
      </c>
      <c r="N22" s="1818">
        <v>0</v>
      </c>
      <c r="O22" s="1833">
        <v>0</v>
      </c>
      <c r="P22" s="1886">
        <v>0</v>
      </c>
      <c r="Q22" s="1886">
        <v>0</v>
      </c>
      <c r="R22" s="1887">
        <v>0</v>
      </c>
      <c r="S22" s="1811"/>
      <c r="T22" s="4056"/>
      <c r="U22" s="3535"/>
      <c r="V22" s="3535"/>
    </row>
    <row r="23" spans="2:22" ht="13.5" thickBot="1">
      <c r="B23" s="1877">
        <v>15735</v>
      </c>
      <c r="C23" s="1841" t="s">
        <v>144</v>
      </c>
      <c r="D23" s="1842">
        <f>SUM(D24:D27)</f>
        <v>5222.7</v>
      </c>
      <c r="E23" s="2032">
        <f>SUM(E24:E27)</f>
        <v>2683.5952499999999</v>
      </c>
      <c r="F23" s="2032">
        <f>SUM(F24:F27)</f>
        <v>7906.2952499999992</v>
      </c>
      <c r="G23" s="1816"/>
      <c r="H23" s="1832"/>
      <c r="I23" s="1856" t="s">
        <v>196</v>
      </c>
      <c r="J23" s="1859"/>
      <c r="K23" s="1860"/>
      <c r="L23" s="1885">
        <v>0</v>
      </c>
      <c r="M23" s="1818">
        <v>0</v>
      </c>
      <c r="N23" s="1818">
        <v>0</v>
      </c>
      <c r="O23" s="1833">
        <v>0</v>
      </c>
      <c r="P23" s="1886">
        <v>0</v>
      </c>
      <c r="Q23" s="1886">
        <v>0</v>
      </c>
      <c r="R23" s="1887">
        <v>0</v>
      </c>
      <c r="S23" s="1811"/>
      <c r="T23" s="4056"/>
      <c r="U23" s="3535"/>
      <c r="V23" s="3535"/>
    </row>
    <row r="24" spans="2:22">
      <c r="B24" s="1878"/>
      <c r="C24" s="3220" t="s">
        <v>1202</v>
      </c>
      <c r="D24" s="1824">
        <f t="shared" ref="D24:E27" si="1">D14*0.63</f>
        <v>5222.7</v>
      </c>
      <c r="E24" s="3240">
        <f>E13*0.707</f>
        <v>2683.5952499999999</v>
      </c>
      <c r="F24" s="1824">
        <f>SUM(D24:E24)</f>
        <v>7906.2952499999992</v>
      </c>
      <c r="G24" s="1811"/>
      <c r="H24" s="1832"/>
      <c r="I24" s="1856" t="s">
        <v>197</v>
      </c>
      <c r="J24" s="1859"/>
      <c r="K24" s="1860"/>
      <c r="L24" s="1885">
        <v>0</v>
      </c>
      <c r="M24" s="1818">
        <v>0</v>
      </c>
      <c r="N24" s="1818">
        <v>0</v>
      </c>
      <c r="O24" s="1833">
        <v>0</v>
      </c>
      <c r="P24" s="1886">
        <v>0</v>
      </c>
      <c r="Q24" s="1886">
        <v>0</v>
      </c>
      <c r="R24" s="1887">
        <v>0</v>
      </c>
      <c r="S24" s="1811"/>
      <c r="T24" s="4056"/>
      <c r="U24" s="3535"/>
      <c r="V24" s="3535"/>
    </row>
    <row r="25" spans="2:22">
      <c r="B25" s="1878"/>
      <c r="C25" s="3220" t="s">
        <v>1203</v>
      </c>
      <c r="D25" s="3240">
        <f t="shared" si="1"/>
        <v>0</v>
      </c>
      <c r="E25" s="3240">
        <f>E18*0.63</f>
        <v>0</v>
      </c>
      <c r="F25" s="3164">
        <f>SUM(D25:E25)</f>
        <v>0</v>
      </c>
      <c r="G25" s="1811"/>
      <c r="H25" s="1832"/>
      <c r="I25" s="1856" t="s">
        <v>198</v>
      </c>
      <c r="J25" s="1859"/>
      <c r="K25" s="1860"/>
      <c r="L25" s="1885">
        <v>0</v>
      </c>
      <c r="M25" s="1818">
        <v>0</v>
      </c>
      <c r="N25" s="1818">
        <v>0</v>
      </c>
      <c r="O25" s="1833">
        <v>0</v>
      </c>
      <c r="P25" s="1886">
        <v>0</v>
      </c>
      <c r="Q25" s="1886">
        <v>0</v>
      </c>
      <c r="R25" s="1887">
        <v>0</v>
      </c>
      <c r="S25" s="1811"/>
      <c r="T25" s="4056"/>
      <c r="U25" s="3535"/>
      <c r="V25" s="3535"/>
    </row>
    <row r="26" spans="2:22">
      <c r="B26" s="1879"/>
      <c r="C26" s="1817"/>
      <c r="D26" s="3240">
        <f t="shared" si="1"/>
        <v>0</v>
      </c>
      <c r="E26" s="3240">
        <f t="shared" si="1"/>
        <v>0</v>
      </c>
      <c r="F26" s="3164">
        <f>SUM(D26:E26)</f>
        <v>0</v>
      </c>
      <c r="G26" s="1811"/>
      <c r="H26" s="1832"/>
      <c r="I26" s="1856" t="s">
        <v>199</v>
      </c>
      <c r="J26" s="1859"/>
      <c r="K26" s="1860"/>
      <c r="L26" s="1885">
        <v>0</v>
      </c>
      <c r="M26" s="1818">
        <v>0</v>
      </c>
      <c r="N26" s="1818">
        <v>0</v>
      </c>
      <c r="O26" s="1833">
        <v>0</v>
      </c>
      <c r="P26" s="1886">
        <v>0</v>
      </c>
      <c r="Q26" s="1886">
        <v>0</v>
      </c>
      <c r="R26" s="1887">
        <v>0</v>
      </c>
      <c r="S26" s="1811"/>
      <c r="T26" s="4056"/>
      <c r="U26" s="3535"/>
      <c r="V26" s="3535"/>
    </row>
    <row r="27" spans="2:22" ht="13.5" thickBot="1">
      <c r="B27" s="1879"/>
      <c r="C27" s="1817"/>
      <c r="D27" s="3240">
        <f t="shared" si="1"/>
        <v>0</v>
      </c>
      <c r="E27" s="3240">
        <f t="shared" si="1"/>
        <v>0</v>
      </c>
      <c r="F27" s="3164">
        <f>SUM(D27:E27)</f>
        <v>0</v>
      </c>
      <c r="G27" s="1811"/>
      <c r="H27" s="1832"/>
      <c r="I27" s="1856" t="s">
        <v>200</v>
      </c>
      <c r="J27" s="1859"/>
      <c r="K27" s="1860"/>
      <c r="L27" s="1885">
        <v>0</v>
      </c>
      <c r="M27" s="1818">
        <v>0</v>
      </c>
      <c r="N27" s="1818">
        <v>0</v>
      </c>
      <c r="O27" s="1833">
        <v>0</v>
      </c>
      <c r="P27" s="1886">
        <v>0</v>
      </c>
      <c r="Q27" s="1886">
        <v>0</v>
      </c>
      <c r="R27" s="1887">
        <v>0</v>
      </c>
      <c r="S27" s="1811"/>
      <c r="T27" s="4056"/>
      <c r="U27" s="3535"/>
      <c r="V27" s="3535"/>
    </row>
    <row r="28" spans="2:22" ht="13.5" thickBot="1">
      <c r="B28" s="1877">
        <v>996</v>
      </c>
      <c r="C28" s="1841" t="s">
        <v>145</v>
      </c>
      <c r="D28" s="1842">
        <v>0</v>
      </c>
      <c r="E28" s="1842">
        <v>0</v>
      </c>
      <c r="F28" s="1843">
        <v>0</v>
      </c>
      <c r="G28" s="1811"/>
      <c r="H28" s="1832"/>
      <c r="I28" s="1856" t="s">
        <v>201</v>
      </c>
      <c r="J28" s="1859"/>
      <c r="K28" s="1860"/>
      <c r="L28" s="1885">
        <v>0</v>
      </c>
      <c r="M28" s="1818">
        <v>0</v>
      </c>
      <c r="N28" s="1818">
        <v>0</v>
      </c>
      <c r="O28" s="1833">
        <v>0</v>
      </c>
      <c r="P28" s="1886">
        <v>0</v>
      </c>
      <c r="Q28" s="1886">
        <v>0</v>
      </c>
      <c r="R28" s="1887">
        <v>0</v>
      </c>
      <c r="S28" s="1811"/>
      <c r="T28" s="4056"/>
      <c r="U28" s="3535"/>
      <c r="V28" s="3535"/>
    </row>
    <row r="29" spans="2:22">
      <c r="B29" s="1878"/>
      <c r="C29" s="3239" t="s">
        <v>139</v>
      </c>
      <c r="D29" s="1824">
        <v>0</v>
      </c>
      <c r="E29" s="1824">
        <v>0</v>
      </c>
      <c r="F29" s="1824">
        <v>0</v>
      </c>
      <c r="G29" s="1811"/>
      <c r="H29" s="1832"/>
      <c r="I29" s="1856" t="s">
        <v>202</v>
      </c>
      <c r="J29" s="1859"/>
      <c r="K29" s="1860"/>
      <c r="L29" s="1885">
        <v>0</v>
      </c>
      <c r="M29" s="1818">
        <v>0</v>
      </c>
      <c r="N29" s="1818">
        <v>0</v>
      </c>
      <c r="O29" s="1833">
        <v>0</v>
      </c>
      <c r="P29" s="1886">
        <v>0</v>
      </c>
      <c r="Q29" s="1886">
        <v>0</v>
      </c>
      <c r="R29" s="1887">
        <v>0</v>
      </c>
      <c r="S29" s="1811"/>
      <c r="T29" s="4056"/>
      <c r="U29" s="3535"/>
      <c r="V29" s="3535"/>
    </row>
    <row r="30" spans="2:22">
      <c r="B30" s="1879"/>
      <c r="C30" s="1817" t="s">
        <v>140</v>
      </c>
      <c r="D30" s="1825">
        <v>0</v>
      </c>
      <c r="E30" s="1825"/>
      <c r="F30" s="1824">
        <v>0</v>
      </c>
      <c r="G30" s="1811"/>
      <c r="H30" s="1832"/>
      <c r="I30" s="1856" t="s">
        <v>203</v>
      </c>
      <c r="J30" s="1859"/>
      <c r="K30" s="1860"/>
      <c r="L30" s="1885">
        <v>0</v>
      </c>
      <c r="M30" s="1818">
        <v>0</v>
      </c>
      <c r="N30" s="1818">
        <v>0</v>
      </c>
      <c r="O30" s="1833">
        <v>0</v>
      </c>
      <c r="P30" s="1886">
        <v>0</v>
      </c>
      <c r="Q30" s="1886">
        <v>0</v>
      </c>
      <c r="R30" s="1887">
        <v>0</v>
      </c>
      <c r="S30" s="1811"/>
      <c r="T30" s="4056"/>
      <c r="U30" s="3535"/>
      <c r="V30" s="3535"/>
    </row>
    <row r="31" spans="2:22">
      <c r="B31" s="1879"/>
      <c r="C31" s="1817" t="s">
        <v>141</v>
      </c>
      <c r="D31" s="1825">
        <v>0</v>
      </c>
      <c r="E31" s="1825"/>
      <c r="F31" s="1824">
        <v>0</v>
      </c>
      <c r="G31" s="1811"/>
      <c r="H31" s="1832"/>
      <c r="I31" s="1856" t="s">
        <v>204</v>
      </c>
      <c r="J31" s="1859"/>
      <c r="K31" s="1860"/>
      <c r="L31" s="1885">
        <v>0</v>
      </c>
      <c r="M31" s="1818">
        <v>0</v>
      </c>
      <c r="N31" s="1818">
        <v>0</v>
      </c>
      <c r="O31" s="1833">
        <v>0</v>
      </c>
      <c r="P31" s="1886">
        <v>0</v>
      </c>
      <c r="Q31" s="1886">
        <v>0</v>
      </c>
      <c r="R31" s="1887">
        <v>0</v>
      </c>
      <c r="S31" s="1811"/>
      <c r="T31" s="4056"/>
      <c r="U31" s="3535"/>
      <c r="V31" s="3535"/>
    </row>
    <row r="32" spans="2:22" ht="13.5" thickBot="1">
      <c r="B32" s="1879"/>
      <c r="C32" s="1817" t="s">
        <v>142</v>
      </c>
      <c r="D32" s="1825">
        <v>0</v>
      </c>
      <c r="E32" s="1825"/>
      <c r="F32" s="1824">
        <v>0</v>
      </c>
      <c r="G32" s="1811"/>
      <c r="H32" s="1832"/>
      <c r="I32" s="1856" t="s">
        <v>205</v>
      </c>
      <c r="J32" s="1859"/>
      <c r="K32" s="1860"/>
      <c r="L32" s="1885">
        <v>0</v>
      </c>
      <c r="M32" s="1818">
        <v>0</v>
      </c>
      <c r="N32" s="1818">
        <v>0</v>
      </c>
      <c r="O32" s="1833">
        <v>0</v>
      </c>
      <c r="P32" s="1886">
        <v>0</v>
      </c>
      <c r="Q32" s="1886">
        <v>0</v>
      </c>
      <c r="R32" s="1887">
        <v>0</v>
      </c>
      <c r="S32" s="1811"/>
      <c r="T32" s="4056"/>
      <c r="U32" s="3535"/>
      <c r="V32" s="3535"/>
    </row>
    <row r="33" spans="2:22" ht="13.5" thickBot="1">
      <c r="B33" s="1877">
        <v>54</v>
      </c>
      <c r="C33" s="1841" t="s">
        <v>146</v>
      </c>
      <c r="D33" s="1842">
        <f>SUM(D34:D37)</f>
        <v>185</v>
      </c>
      <c r="E33" s="3247">
        <f>SUM(E34:E37)</f>
        <v>185</v>
      </c>
      <c r="F33" s="1843">
        <f t="shared" ref="F33:F47" si="2">SUM(D33:E33)</f>
        <v>370</v>
      </c>
      <c r="G33" s="1811"/>
      <c r="H33" s="1832"/>
      <c r="I33" s="1856" t="s">
        <v>206</v>
      </c>
      <c r="J33" s="1859"/>
      <c r="K33" s="1860"/>
      <c r="L33" s="1885">
        <v>0</v>
      </c>
      <c r="M33" s="1818">
        <v>0</v>
      </c>
      <c r="N33" s="1818">
        <v>0</v>
      </c>
      <c r="O33" s="1833">
        <v>0</v>
      </c>
      <c r="P33" s="1886">
        <v>0</v>
      </c>
      <c r="Q33" s="1886">
        <v>0</v>
      </c>
      <c r="R33" s="1887">
        <v>0</v>
      </c>
      <c r="S33" s="1811"/>
      <c r="T33" s="4056"/>
      <c r="U33" s="3535"/>
      <c r="V33" s="3535"/>
    </row>
    <row r="34" spans="2:22">
      <c r="B34" s="1879"/>
      <c r="C34" s="3245" t="s">
        <v>990</v>
      </c>
      <c r="D34" s="3246">
        <v>185</v>
      </c>
      <c r="E34" s="3246">
        <v>185</v>
      </c>
      <c r="F34" s="1824">
        <f t="shared" si="2"/>
        <v>370</v>
      </c>
      <c r="G34" s="1811"/>
      <c r="H34" s="1832"/>
      <c r="I34" s="1856" t="s">
        <v>207</v>
      </c>
      <c r="J34" s="1859"/>
      <c r="K34" s="1860"/>
      <c r="L34" s="1885">
        <v>0</v>
      </c>
      <c r="M34" s="1818">
        <v>0</v>
      </c>
      <c r="N34" s="1818">
        <v>0</v>
      </c>
      <c r="O34" s="1833">
        <v>0</v>
      </c>
      <c r="P34" s="1886">
        <v>0</v>
      </c>
      <c r="Q34" s="1886">
        <v>0</v>
      </c>
      <c r="R34" s="1887">
        <v>0</v>
      </c>
      <c r="S34" s="1811"/>
      <c r="T34" s="4056"/>
      <c r="U34" s="3535"/>
      <c r="V34" s="3535"/>
    </row>
    <row r="35" spans="2:22">
      <c r="B35" s="1879"/>
      <c r="C35" s="1817" t="s">
        <v>140</v>
      </c>
      <c r="D35" s="1825">
        <v>0</v>
      </c>
      <c r="E35" s="1825"/>
      <c r="F35" s="3249">
        <f t="shared" si="2"/>
        <v>0</v>
      </c>
      <c r="G35" s="1811"/>
      <c r="H35" s="1832"/>
      <c r="I35" s="1856" t="s">
        <v>208</v>
      </c>
      <c r="J35" s="1859"/>
      <c r="K35" s="1860"/>
      <c r="L35" s="1885">
        <v>0</v>
      </c>
      <c r="M35" s="1818">
        <v>0</v>
      </c>
      <c r="N35" s="1818">
        <v>0</v>
      </c>
      <c r="O35" s="1833">
        <v>0</v>
      </c>
      <c r="P35" s="1886">
        <v>0</v>
      </c>
      <c r="Q35" s="1886">
        <v>0</v>
      </c>
      <c r="R35" s="1887">
        <v>0</v>
      </c>
      <c r="S35" s="1811"/>
      <c r="T35" s="4056"/>
      <c r="U35" s="3535"/>
      <c r="V35" s="3535"/>
    </row>
    <row r="36" spans="2:22">
      <c r="B36" s="1879"/>
      <c r="C36" s="1817" t="s">
        <v>141</v>
      </c>
      <c r="D36" s="1825">
        <v>0</v>
      </c>
      <c r="E36" s="1825"/>
      <c r="F36" s="3249">
        <f t="shared" si="2"/>
        <v>0</v>
      </c>
      <c r="G36" s="1811"/>
      <c r="H36" s="1832"/>
      <c r="I36" s="1856" t="s">
        <v>209</v>
      </c>
      <c r="J36" s="1859"/>
      <c r="K36" s="1860"/>
      <c r="L36" s="1885">
        <v>0</v>
      </c>
      <c r="M36" s="1818">
        <v>0</v>
      </c>
      <c r="N36" s="1818">
        <v>0</v>
      </c>
      <c r="O36" s="1833">
        <v>0</v>
      </c>
      <c r="P36" s="1886">
        <v>0</v>
      </c>
      <c r="Q36" s="1886">
        <v>0</v>
      </c>
      <c r="R36" s="1887">
        <v>0</v>
      </c>
      <c r="S36" s="1811"/>
      <c r="T36" s="4056"/>
      <c r="U36" s="3535"/>
      <c r="V36" s="3535"/>
    </row>
    <row r="37" spans="2:22" ht="13.5" thickBot="1">
      <c r="B37" s="1879"/>
      <c r="C37" s="1817" t="s">
        <v>142</v>
      </c>
      <c r="D37" s="1825">
        <v>0</v>
      </c>
      <c r="E37" s="1825"/>
      <c r="F37" s="3249">
        <f t="shared" si="2"/>
        <v>0</v>
      </c>
      <c r="G37" s="1811"/>
      <c r="H37" s="1832"/>
      <c r="I37" s="1856" t="s">
        <v>210</v>
      </c>
      <c r="J37" s="1859"/>
      <c r="K37" s="1860"/>
      <c r="L37" s="1885">
        <v>0</v>
      </c>
      <c r="M37" s="1818">
        <v>0</v>
      </c>
      <c r="N37" s="1818">
        <v>0</v>
      </c>
      <c r="O37" s="1833">
        <v>0</v>
      </c>
      <c r="P37" s="1886">
        <v>0</v>
      </c>
      <c r="Q37" s="1886">
        <v>0</v>
      </c>
      <c r="R37" s="1887">
        <v>0</v>
      </c>
      <c r="S37" s="1811"/>
      <c r="T37" s="4056"/>
      <c r="U37" s="3535"/>
      <c r="V37" s="3535"/>
    </row>
    <row r="38" spans="2:22" ht="13.5" thickBot="1">
      <c r="B38" s="1877">
        <v>8004</v>
      </c>
      <c r="C38" s="1841" t="s">
        <v>147</v>
      </c>
      <c r="D38" s="1842">
        <f>SUM(D39:D42)</f>
        <v>4225</v>
      </c>
      <c r="E38" s="3251">
        <f>SUM(E39:E42)</f>
        <v>4225</v>
      </c>
      <c r="F38" s="1843">
        <f t="shared" si="2"/>
        <v>8450</v>
      </c>
      <c r="G38" s="1811"/>
      <c r="H38" s="1832"/>
      <c r="I38" s="1856" t="s">
        <v>211</v>
      </c>
      <c r="J38" s="1859"/>
      <c r="K38" s="1860"/>
      <c r="L38" s="1885">
        <v>0</v>
      </c>
      <c r="M38" s="1818">
        <v>0</v>
      </c>
      <c r="N38" s="1818">
        <v>0</v>
      </c>
      <c r="O38" s="1833">
        <v>0</v>
      </c>
      <c r="P38" s="1886">
        <v>0</v>
      </c>
      <c r="Q38" s="1886">
        <v>0</v>
      </c>
      <c r="R38" s="1887">
        <v>0</v>
      </c>
      <c r="S38" s="1811"/>
      <c r="T38" s="4056"/>
      <c r="U38" s="3535"/>
      <c r="V38" s="3535"/>
    </row>
    <row r="39" spans="2:22">
      <c r="B39" s="1879"/>
      <c r="C39" s="3248" t="s">
        <v>991</v>
      </c>
      <c r="D39" s="3250">
        <v>3250</v>
      </c>
      <c r="E39" s="3250">
        <v>3250</v>
      </c>
      <c r="F39" s="1824">
        <f t="shared" si="2"/>
        <v>6500</v>
      </c>
      <c r="G39" s="1811"/>
      <c r="H39" s="1832"/>
      <c r="I39" s="1856" t="s">
        <v>212</v>
      </c>
      <c r="J39" s="1859"/>
      <c r="K39" s="1860"/>
      <c r="L39" s="1885">
        <v>0</v>
      </c>
      <c r="M39" s="1818">
        <v>0</v>
      </c>
      <c r="N39" s="1818">
        <v>0</v>
      </c>
      <c r="O39" s="1833">
        <v>0</v>
      </c>
      <c r="P39" s="1886">
        <v>0</v>
      </c>
      <c r="Q39" s="1886">
        <v>0</v>
      </c>
      <c r="R39" s="1887">
        <v>0</v>
      </c>
      <c r="S39" s="1811"/>
      <c r="T39" s="4056"/>
      <c r="U39" s="3535"/>
      <c r="V39" s="3535"/>
    </row>
    <row r="40" spans="2:22">
      <c r="B40" s="1879"/>
      <c r="C40" s="3248" t="s">
        <v>992</v>
      </c>
      <c r="D40" s="3250">
        <v>975</v>
      </c>
      <c r="E40" s="3250">
        <v>975</v>
      </c>
      <c r="F40" s="3249">
        <f t="shared" si="2"/>
        <v>1950</v>
      </c>
      <c r="G40" s="1811"/>
      <c r="H40" s="1832"/>
      <c r="I40" s="1856" t="s">
        <v>213</v>
      </c>
      <c r="J40" s="1859"/>
      <c r="K40" s="1860"/>
      <c r="L40" s="1885">
        <v>0</v>
      </c>
      <c r="M40" s="1818">
        <v>0</v>
      </c>
      <c r="N40" s="1818">
        <v>0</v>
      </c>
      <c r="O40" s="1833">
        <v>0</v>
      </c>
      <c r="P40" s="1886">
        <v>0</v>
      </c>
      <c r="Q40" s="1886">
        <v>0</v>
      </c>
      <c r="R40" s="1887">
        <v>0</v>
      </c>
      <c r="S40" s="1811"/>
      <c r="T40" s="4056"/>
      <c r="U40" s="3535"/>
      <c r="V40" s="3535"/>
    </row>
    <row r="41" spans="2:22">
      <c r="B41" s="1879"/>
      <c r="C41" s="1817" t="s">
        <v>141</v>
      </c>
      <c r="D41" s="1825">
        <v>0</v>
      </c>
      <c r="E41" s="1825"/>
      <c r="F41" s="3249">
        <f t="shared" si="2"/>
        <v>0</v>
      </c>
      <c r="G41" s="1811"/>
      <c r="H41" s="1832"/>
      <c r="I41" s="1856" t="s">
        <v>214</v>
      </c>
      <c r="J41" s="1859"/>
      <c r="K41" s="1860"/>
      <c r="L41" s="1885">
        <v>0</v>
      </c>
      <c r="M41" s="1818">
        <v>0</v>
      </c>
      <c r="N41" s="1818">
        <v>0</v>
      </c>
      <c r="O41" s="1833">
        <v>0</v>
      </c>
      <c r="P41" s="1886">
        <v>0</v>
      </c>
      <c r="Q41" s="1886">
        <v>0</v>
      </c>
      <c r="R41" s="1887">
        <v>0</v>
      </c>
      <c r="S41" s="1811"/>
      <c r="T41" s="4056"/>
      <c r="U41" s="3535"/>
      <c r="V41" s="3535"/>
    </row>
    <row r="42" spans="2:22" ht="13.5" thickBot="1">
      <c r="B42" s="1879"/>
      <c r="C42" s="1817" t="s">
        <v>142</v>
      </c>
      <c r="D42" s="1825">
        <v>0</v>
      </c>
      <c r="E42" s="1825"/>
      <c r="F42" s="3249">
        <f t="shared" si="2"/>
        <v>0</v>
      </c>
      <c r="G42" s="1811"/>
      <c r="H42" s="1832"/>
      <c r="I42" s="1856" t="s">
        <v>215</v>
      </c>
      <c r="J42" s="1859"/>
      <c r="K42" s="1860"/>
      <c r="L42" s="1885">
        <v>0</v>
      </c>
      <c r="M42" s="1818">
        <v>0</v>
      </c>
      <c r="N42" s="1818">
        <v>0</v>
      </c>
      <c r="O42" s="1833">
        <v>0</v>
      </c>
      <c r="P42" s="1886">
        <v>0</v>
      </c>
      <c r="Q42" s="1886">
        <v>0</v>
      </c>
      <c r="R42" s="1887">
        <v>0</v>
      </c>
      <c r="S42" s="1811"/>
      <c r="T42" s="4056"/>
      <c r="U42" s="3535"/>
      <c r="V42" s="3535"/>
    </row>
    <row r="43" spans="2:22" ht="13.5" thickBot="1">
      <c r="B43" s="1877">
        <v>0</v>
      </c>
      <c r="C43" s="1841" t="s">
        <v>148</v>
      </c>
      <c r="D43" s="1842">
        <f>SUM(D44:D47)</f>
        <v>1300</v>
      </c>
      <c r="E43" s="3255">
        <f>SUM(E44:E47)</f>
        <v>2600</v>
      </c>
      <c r="F43" s="1843">
        <f t="shared" si="2"/>
        <v>3900</v>
      </c>
      <c r="G43" s="1811"/>
      <c r="H43" s="1832"/>
      <c r="I43" s="1856" t="s">
        <v>216</v>
      </c>
      <c r="J43" s="1859"/>
      <c r="K43" s="1860"/>
      <c r="L43" s="1885">
        <v>0</v>
      </c>
      <c r="M43" s="1818">
        <v>0</v>
      </c>
      <c r="N43" s="1818">
        <v>0</v>
      </c>
      <c r="O43" s="1833">
        <v>0</v>
      </c>
      <c r="P43" s="1886">
        <v>0</v>
      </c>
      <c r="Q43" s="1886">
        <v>0</v>
      </c>
      <c r="R43" s="1887">
        <v>0</v>
      </c>
      <c r="S43" s="1811"/>
      <c r="T43" s="4056"/>
      <c r="U43" s="3535"/>
      <c r="V43" s="3535"/>
    </row>
    <row r="44" spans="2:22">
      <c r="B44" s="1879"/>
      <c r="C44" s="3256" t="s">
        <v>993</v>
      </c>
      <c r="D44" s="3254">
        <v>650</v>
      </c>
      <c r="E44" s="4454">
        <v>1300</v>
      </c>
      <c r="F44" s="1824">
        <f t="shared" si="2"/>
        <v>1950</v>
      </c>
      <c r="G44" s="1811"/>
      <c r="H44" s="1832"/>
      <c r="I44" s="1856" t="s">
        <v>217</v>
      </c>
      <c r="J44" s="1859"/>
      <c r="K44" s="1860"/>
      <c r="L44" s="1885">
        <v>0</v>
      </c>
      <c r="M44" s="1818">
        <v>0</v>
      </c>
      <c r="N44" s="1818">
        <v>0</v>
      </c>
      <c r="O44" s="1833">
        <v>0</v>
      </c>
      <c r="P44" s="1886">
        <v>0</v>
      </c>
      <c r="Q44" s="1886">
        <v>0</v>
      </c>
      <c r="R44" s="1887">
        <v>0</v>
      </c>
      <c r="S44" s="1811"/>
      <c r="T44" s="4056"/>
      <c r="U44" s="3535"/>
      <c r="V44" s="3535"/>
    </row>
    <row r="45" spans="2:22">
      <c r="B45" s="1879"/>
      <c r="C45" s="3252" t="s">
        <v>994</v>
      </c>
      <c r="D45" s="3254">
        <v>650</v>
      </c>
      <c r="E45" s="4454">
        <v>1300</v>
      </c>
      <c r="F45" s="3253">
        <f t="shared" si="2"/>
        <v>1950</v>
      </c>
      <c r="G45" s="1811"/>
      <c r="H45" s="1832"/>
      <c r="I45" s="1856" t="s">
        <v>218</v>
      </c>
      <c r="J45" s="1859"/>
      <c r="K45" s="1860"/>
      <c r="L45" s="1885">
        <v>0</v>
      </c>
      <c r="M45" s="1818">
        <v>0</v>
      </c>
      <c r="N45" s="1818">
        <v>0</v>
      </c>
      <c r="O45" s="1833">
        <v>0</v>
      </c>
      <c r="P45" s="1886">
        <v>0</v>
      </c>
      <c r="Q45" s="1886">
        <v>0</v>
      </c>
      <c r="R45" s="1887">
        <v>0</v>
      </c>
      <c r="S45" s="1811"/>
      <c r="T45" s="4056"/>
      <c r="U45" s="3535"/>
      <c r="V45" s="3535"/>
    </row>
    <row r="46" spans="2:22">
      <c r="B46" s="1879"/>
      <c r="C46" s="1817" t="s">
        <v>141</v>
      </c>
      <c r="D46" s="1825">
        <v>0</v>
      </c>
      <c r="E46" s="1825"/>
      <c r="F46" s="3253">
        <f t="shared" si="2"/>
        <v>0</v>
      </c>
      <c r="G46" s="1811"/>
      <c r="H46" s="1832"/>
      <c r="I46" s="1856" t="s">
        <v>219</v>
      </c>
      <c r="J46" s="1859"/>
      <c r="K46" s="1860"/>
      <c r="L46" s="1885">
        <v>0</v>
      </c>
      <c r="M46" s="1818">
        <v>0</v>
      </c>
      <c r="N46" s="1818">
        <v>0</v>
      </c>
      <c r="O46" s="1833">
        <v>0</v>
      </c>
      <c r="P46" s="1886">
        <v>0</v>
      </c>
      <c r="Q46" s="1886">
        <v>0</v>
      </c>
      <c r="R46" s="1887">
        <v>0</v>
      </c>
      <c r="S46" s="1811"/>
      <c r="T46" s="4056"/>
      <c r="U46" s="3535"/>
      <c r="V46" s="3535"/>
    </row>
    <row r="47" spans="2:22" ht="13.5" thickBot="1">
      <c r="B47" s="1879"/>
      <c r="C47" s="1817" t="s">
        <v>142</v>
      </c>
      <c r="D47" s="1825">
        <v>0</v>
      </c>
      <c r="E47" s="1825"/>
      <c r="F47" s="3253">
        <f t="shared" si="2"/>
        <v>0</v>
      </c>
      <c r="G47" s="1811"/>
      <c r="H47" s="1832"/>
      <c r="I47" s="1856" t="s">
        <v>220</v>
      </c>
      <c r="J47" s="1859"/>
      <c r="K47" s="1860"/>
      <c r="L47" s="1885">
        <v>0</v>
      </c>
      <c r="M47" s="1818">
        <v>0</v>
      </c>
      <c r="N47" s="1818">
        <v>0</v>
      </c>
      <c r="O47" s="1833">
        <v>0</v>
      </c>
      <c r="P47" s="1886">
        <v>0</v>
      </c>
      <c r="Q47" s="1886">
        <v>0</v>
      </c>
      <c r="R47" s="1887">
        <v>0</v>
      </c>
      <c r="S47" s="1811"/>
      <c r="T47" s="4056"/>
      <c r="U47" s="3535"/>
      <c r="V47" s="3535"/>
    </row>
    <row r="48" spans="2:22" ht="13.5" thickBot="1">
      <c r="B48" s="1877">
        <v>0</v>
      </c>
      <c r="C48" s="1841" t="s">
        <v>149</v>
      </c>
      <c r="D48" s="1842">
        <f>SUM(D49:D50)</f>
        <v>0</v>
      </c>
      <c r="E48" s="2032">
        <f>SUM(E49:E50)</f>
        <v>0</v>
      </c>
      <c r="F48" s="2032">
        <f>SUM(F49:F50)</f>
        <v>0</v>
      </c>
      <c r="G48" s="1811"/>
      <c r="H48" s="1832"/>
      <c r="I48" s="1856" t="s">
        <v>221</v>
      </c>
      <c r="J48" s="1859"/>
      <c r="K48" s="1860"/>
      <c r="L48" s="1885">
        <v>0</v>
      </c>
      <c r="M48" s="1818">
        <v>0</v>
      </c>
      <c r="N48" s="1818">
        <v>0</v>
      </c>
      <c r="O48" s="1833">
        <v>0</v>
      </c>
      <c r="P48" s="1886">
        <v>0</v>
      </c>
      <c r="Q48" s="1886">
        <v>0</v>
      </c>
      <c r="R48" s="1887">
        <v>0</v>
      </c>
      <c r="S48" s="1811"/>
      <c r="T48" s="4056"/>
      <c r="U48" s="3535"/>
      <c r="V48" s="3535"/>
    </row>
    <row r="49" spans="2:24">
      <c r="B49" s="1879"/>
      <c r="C49" s="3252" t="s">
        <v>139</v>
      </c>
      <c r="D49" s="1825">
        <v>0</v>
      </c>
      <c r="E49" s="1825">
        <v>0</v>
      </c>
      <c r="F49" s="1824">
        <f>SUM(D49:E49)</f>
        <v>0</v>
      </c>
      <c r="G49" s="1811"/>
      <c r="H49" s="1832"/>
      <c r="I49" s="1856" t="s">
        <v>222</v>
      </c>
      <c r="J49" s="1859"/>
      <c r="K49" s="1860"/>
      <c r="L49" s="1885">
        <v>0</v>
      </c>
      <c r="M49" s="1818">
        <v>0</v>
      </c>
      <c r="N49" s="1818">
        <v>0</v>
      </c>
      <c r="O49" s="1833">
        <v>0</v>
      </c>
      <c r="P49" s="1886">
        <v>0</v>
      </c>
      <c r="Q49" s="1886">
        <v>0</v>
      </c>
      <c r="R49" s="1887">
        <v>0</v>
      </c>
      <c r="S49" s="1811"/>
      <c r="T49" s="4056"/>
      <c r="U49" s="3535"/>
      <c r="V49" s="3535"/>
    </row>
    <row r="50" spans="2:24">
      <c r="B50" s="1879"/>
      <c r="C50" s="1817" t="s">
        <v>140</v>
      </c>
      <c r="D50" s="1825">
        <v>0</v>
      </c>
      <c r="E50" s="1825"/>
      <c r="F50" s="3164">
        <f>SUM(D50:E50)</f>
        <v>0</v>
      </c>
      <c r="G50" s="1811"/>
      <c r="H50" s="1811"/>
      <c r="I50" s="1856" t="s">
        <v>223</v>
      </c>
      <c r="J50" s="1859"/>
      <c r="K50" s="1860"/>
      <c r="L50" s="1885">
        <v>0</v>
      </c>
      <c r="M50" s="1818">
        <v>0</v>
      </c>
      <c r="N50" s="1818">
        <v>0</v>
      </c>
      <c r="O50" s="1833">
        <v>0</v>
      </c>
      <c r="P50" s="1886">
        <v>0</v>
      </c>
      <c r="Q50" s="1886">
        <v>0</v>
      </c>
      <c r="R50" s="1887">
        <v>0</v>
      </c>
      <c r="S50" s="1811"/>
      <c r="T50" s="4056"/>
      <c r="U50" s="4056"/>
      <c r="V50" s="4056"/>
      <c r="W50" s="1811"/>
      <c r="X50" s="1811"/>
    </row>
    <row r="51" spans="2:24">
      <c r="B51" s="1879"/>
      <c r="C51" s="1817" t="s">
        <v>141</v>
      </c>
      <c r="D51" s="1825">
        <v>0</v>
      </c>
      <c r="E51" s="1825"/>
      <c r="F51" s="1824">
        <v>0</v>
      </c>
      <c r="G51" s="1811"/>
      <c r="H51" s="1811"/>
      <c r="I51" s="1856" t="s">
        <v>224</v>
      </c>
      <c r="J51" s="1859"/>
      <c r="K51" s="1860"/>
      <c r="L51" s="1885">
        <v>0</v>
      </c>
      <c r="M51" s="1818">
        <v>0</v>
      </c>
      <c r="N51" s="1818">
        <v>0</v>
      </c>
      <c r="O51" s="1833">
        <v>0</v>
      </c>
      <c r="P51" s="1886">
        <v>0</v>
      </c>
      <c r="Q51" s="1886">
        <v>0</v>
      </c>
      <c r="R51" s="1887">
        <v>0</v>
      </c>
      <c r="S51" s="1811"/>
      <c r="T51" s="4056"/>
      <c r="U51" s="4056"/>
      <c r="V51" s="4056"/>
      <c r="W51" s="1811"/>
      <c r="X51" s="1811"/>
    </row>
    <row r="52" spans="2:24" ht="13.5" thickBot="1">
      <c r="B52" s="1879"/>
      <c r="C52" s="1817" t="s">
        <v>142</v>
      </c>
      <c r="D52" s="1825">
        <v>0</v>
      </c>
      <c r="E52" s="1825"/>
      <c r="F52" s="1824">
        <v>0</v>
      </c>
      <c r="G52" s="1811"/>
      <c r="H52" s="1811"/>
      <c r="I52" s="1856" t="s">
        <v>225</v>
      </c>
      <c r="J52" s="1859"/>
      <c r="K52" s="1860"/>
      <c r="L52" s="1885">
        <v>0</v>
      </c>
      <c r="M52" s="1818">
        <v>0</v>
      </c>
      <c r="N52" s="1818">
        <v>0</v>
      </c>
      <c r="O52" s="1833">
        <v>0</v>
      </c>
      <c r="P52" s="1886">
        <v>0</v>
      </c>
      <c r="Q52" s="1886">
        <v>0</v>
      </c>
      <c r="R52" s="1887">
        <v>0</v>
      </c>
      <c r="S52" s="1811"/>
      <c r="T52" s="4056"/>
      <c r="U52" s="4056"/>
      <c r="V52" s="4056"/>
      <c r="W52" s="1811"/>
      <c r="X52" s="1811"/>
    </row>
    <row r="53" spans="2:24" ht="13.5" thickBot="1">
      <c r="B53" s="1877">
        <v>0</v>
      </c>
      <c r="C53" s="1841" t="s">
        <v>150</v>
      </c>
      <c r="D53" s="1842"/>
      <c r="E53" s="1842">
        <v>0</v>
      </c>
      <c r="F53" s="1843">
        <v>0</v>
      </c>
      <c r="G53" s="1844" t="s">
        <v>151</v>
      </c>
      <c r="H53" s="1811"/>
      <c r="I53" s="1856" t="s">
        <v>226</v>
      </c>
      <c r="J53" s="1859"/>
      <c r="K53" s="1860"/>
      <c r="L53" s="1885">
        <v>0</v>
      </c>
      <c r="M53" s="1818">
        <v>0</v>
      </c>
      <c r="N53" s="1818">
        <v>0</v>
      </c>
      <c r="O53" s="1833">
        <v>0</v>
      </c>
      <c r="P53" s="1886">
        <v>0</v>
      </c>
      <c r="Q53" s="1886">
        <v>0</v>
      </c>
      <c r="R53" s="1887">
        <v>0</v>
      </c>
      <c r="S53" s="1811"/>
      <c r="T53" s="4056"/>
      <c r="U53" s="4056"/>
      <c r="V53" s="4056"/>
      <c r="W53" s="1811"/>
      <c r="X53" s="1811"/>
    </row>
    <row r="54" spans="2:24" ht="13.5" thickBot="1">
      <c r="B54" s="1877">
        <v>0</v>
      </c>
      <c r="C54" s="1841" t="s">
        <v>152</v>
      </c>
      <c r="D54" s="1842">
        <v>0</v>
      </c>
      <c r="E54" s="1842">
        <v>0</v>
      </c>
      <c r="F54" s="1843">
        <v>0</v>
      </c>
      <c r="G54" s="1811"/>
      <c r="H54" s="1811"/>
      <c r="I54" s="1856">
        <v>0</v>
      </c>
      <c r="J54" s="1857"/>
      <c r="K54" s="1858"/>
      <c r="L54" s="1885">
        <v>0</v>
      </c>
      <c r="M54" s="1818">
        <v>0</v>
      </c>
      <c r="N54" s="1818">
        <v>0</v>
      </c>
      <c r="O54" s="1833">
        <v>0</v>
      </c>
      <c r="P54" s="1886">
        <v>0</v>
      </c>
      <c r="Q54" s="1886">
        <v>0</v>
      </c>
      <c r="R54" s="1887">
        <v>0</v>
      </c>
      <c r="S54" s="1811"/>
      <c r="T54" s="4056"/>
      <c r="U54" s="4056"/>
      <c r="V54" s="4056"/>
      <c r="W54" s="1811"/>
      <c r="X54" s="1811"/>
    </row>
    <row r="55" spans="2:24">
      <c r="B55" s="1827">
        <v>49765</v>
      </c>
      <c r="C55" s="1812" t="s">
        <v>153</v>
      </c>
      <c r="D55" s="2017">
        <f>D13+D18+D23+D28+D33+D38+D43+D48+D53+D54</f>
        <v>19222.7</v>
      </c>
      <c r="E55" s="2017">
        <f>E13+E18+E23+E28+E33+E38+E43+E48+E53+E54</f>
        <v>13489.34525</v>
      </c>
      <c r="F55" s="2017">
        <f>F13+F18+F23+F28+F33+F38+F43+F48+F53+F54</f>
        <v>32712.045249999999</v>
      </c>
      <c r="G55" s="1811"/>
      <c r="H55" s="1811"/>
      <c r="I55" s="1811"/>
      <c r="J55" s="1811"/>
      <c r="K55" s="1811"/>
      <c r="L55" s="1811"/>
      <c r="M55" s="1811"/>
      <c r="N55" s="1811"/>
      <c r="O55" s="1811"/>
      <c r="P55" s="1888">
        <v>0</v>
      </c>
      <c r="Q55" s="1888">
        <v>0</v>
      </c>
      <c r="R55" s="1888">
        <v>0</v>
      </c>
      <c r="S55" s="1811"/>
      <c r="T55" s="4899"/>
      <c r="U55" s="4056"/>
      <c r="V55" s="4056"/>
      <c r="W55" s="1811"/>
      <c r="X55" s="1811"/>
    </row>
    <row r="56" spans="2:24">
      <c r="B56" s="1811"/>
      <c r="C56" s="1812"/>
      <c r="D56" s="1827"/>
      <c r="E56" s="1827"/>
      <c r="F56" s="1827"/>
      <c r="G56" s="1811"/>
      <c r="H56" s="1811"/>
      <c r="I56" s="1811"/>
      <c r="J56" s="1811"/>
      <c r="K56" s="1811"/>
      <c r="L56" s="1811"/>
      <c r="M56" s="1811"/>
      <c r="N56" s="1811"/>
      <c r="O56" s="1811"/>
      <c r="P56" s="1811"/>
      <c r="Q56" s="1811"/>
      <c r="R56" s="1811"/>
      <c r="S56" s="1811"/>
      <c r="T56" s="4056"/>
      <c r="U56" s="4056"/>
      <c r="V56" s="4056"/>
      <c r="W56" s="1811"/>
      <c r="X56" s="1811"/>
    </row>
    <row r="57" spans="2:24">
      <c r="B57" s="1811"/>
      <c r="C57" s="1812" t="s">
        <v>154</v>
      </c>
      <c r="D57" s="1827"/>
      <c r="E57" s="1827"/>
      <c r="F57" s="1827"/>
      <c r="G57" s="1811"/>
      <c r="H57" s="1811"/>
      <c r="I57" s="1811"/>
      <c r="J57" s="1811"/>
      <c r="K57" s="1811"/>
      <c r="L57" s="1811"/>
      <c r="M57" s="1811"/>
      <c r="N57" s="1811"/>
      <c r="O57" s="1811"/>
      <c r="P57" s="1811"/>
      <c r="Q57" s="1811"/>
      <c r="R57" s="1811"/>
      <c r="S57" s="1811"/>
      <c r="T57" s="1811"/>
      <c r="U57" s="1811"/>
      <c r="V57" s="1811"/>
      <c r="W57" s="1811"/>
      <c r="X57" s="1811"/>
    </row>
    <row r="58" spans="2:24">
      <c r="B58" s="1811"/>
      <c r="C58" s="1812" t="s">
        <v>155</v>
      </c>
      <c r="D58" s="1813">
        <v>0</v>
      </c>
      <c r="E58" s="1813">
        <v>0</v>
      </c>
      <c r="F58" s="1813">
        <v>0</v>
      </c>
      <c r="G58" s="1898">
        <v>0</v>
      </c>
      <c r="H58" s="1899" t="s">
        <v>156</v>
      </c>
      <c r="I58" s="1811"/>
      <c r="J58" s="1811"/>
      <c r="K58" s="1811"/>
      <c r="L58" s="1811"/>
      <c r="M58" s="1811"/>
      <c r="N58" s="1811"/>
      <c r="O58" s="1811"/>
      <c r="P58" s="1811"/>
      <c r="Q58" s="1811"/>
      <c r="R58" s="1811"/>
      <c r="S58" s="1811"/>
      <c r="T58" s="1811"/>
      <c r="U58" s="1811"/>
      <c r="V58" s="1811"/>
      <c r="W58" s="1811"/>
      <c r="X58" s="1811"/>
    </row>
    <row r="59" spans="2:24" ht="13.5" thickBot="1">
      <c r="B59" s="1811"/>
      <c r="C59" s="1811"/>
      <c r="D59" s="1811"/>
      <c r="E59" s="1811"/>
      <c r="F59" s="1811"/>
      <c r="G59" s="1811"/>
      <c r="H59" s="1811"/>
      <c r="I59" s="1811"/>
      <c r="J59" s="1811"/>
      <c r="K59" s="1811"/>
      <c r="L59" s="1811"/>
      <c r="M59" s="1811"/>
      <c r="N59" s="1811"/>
      <c r="O59" s="1811"/>
      <c r="P59" s="1811"/>
      <c r="Q59" s="1811"/>
      <c r="R59" s="1811"/>
      <c r="S59" s="1811"/>
      <c r="T59" s="1811"/>
      <c r="U59" s="1811"/>
      <c r="V59" s="1811"/>
      <c r="W59" s="1811"/>
      <c r="X59" s="1811"/>
    </row>
    <row r="60" spans="2:24" ht="16.5" thickBot="1">
      <c r="B60" s="1854" t="s">
        <v>157</v>
      </c>
      <c r="C60" s="1855"/>
      <c r="D60" s="5161" t="s">
        <v>158</v>
      </c>
      <c r="E60" s="5151"/>
      <c r="F60" s="5151"/>
      <c r="G60" s="5151"/>
      <c r="H60" s="5151"/>
      <c r="I60" s="1811"/>
      <c r="J60" s="1811"/>
      <c r="K60" s="1868"/>
      <c r="L60" s="1811"/>
      <c r="M60" s="1811"/>
      <c r="N60" s="1811"/>
      <c r="O60" s="1811"/>
      <c r="P60" s="1811"/>
      <c r="Q60" s="1811"/>
      <c r="R60" s="1811"/>
      <c r="S60" s="1811"/>
      <c r="T60" s="1811"/>
      <c r="U60" s="1811"/>
      <c r="V60" s="1811"/>
      <c r="W60" s="1811"/>
      <c r="X60" s="1811"/>
    </row>
    <row r="61" spans="2:24" ht="16.5" thickBot="1">
      <c r="B61" s="5153" t="s">
        <v>159</v>
      </c>
      <c r="C61" s="5154"/>
      <c r="D61" s="5154"/>
      <c r="E61" s="5154"/>
      <c r="F61" s="5154"/>
      <c r="G61" s="5154"/>
      <c r="H61" s="5154"/>
      <c r="I61" s="5154"/>
      <c r="J61" s="5154"/>
      <c r="K61" s="5155"/>
      <c r="L61" s="5153" t="s">
        <v>160</v>
      </c>
      <c r="M61" s="5154"/>
      <c r="N61" s="5154"/>
      <c r="O61" s="5154"/>
      <c r="P61" s="5154"/>
      <c r="Q61" s="5154"/>
      <c r="R61" s="5155"/>
      <c r="S61" s="5153" t="s">
        <v>161</v>
      </c>
      <c r="T61" s="5154"/>
      <c r="U61" s="5155"/>
      <c r="V61" s="5153" t="s">
        <v>110</v>
      </c>
      <c r="W61" s="5154"/>
      <c r="X61" s="5155"/>
    </row>
    <row r="62" spans="2:24" ht="13.5" thickBot="1">
      <c r="B62" s="1819" t="s">
        <v>162</v>
      </c>
      <c r="C62" s="1820" t="s">
        <v>129</v>
      </c>
      <c r="D62" s="1820" t="s">
        <v>130</v>
      </c>
      <c r="E62" s="1820" t="s">
        <v>163</v>
      </c>
      <c r="F62" s="1820" t="s">
        <v>164</v>
      </c>
      <c r="G62" s="1820" t="s">
        <v>165</v>
      </c>
      <c r="H62" s="1820" t="s">
        <v>166</v>
      </c>
      <c r="I62" s="1820" t="s">
        <v>167</v>
      </c>
      <c r="J62" s="1820" t="s">
        <v>168</v>
      </c>
      <c r="K62" s="1821" t="s">
        <v>169</v>
      </c>
      <c r="L62" s="1889" t="s">
        <v>170</v>
      </c>
      <c r="M62" s="1890" t="s">
        <v>171</v>
      </c>
      <c r="N62" s="1845" t="s">
        <v>802</v>
      </c>
      <c r="O62" s="1845" t="s">
        <v>803</v>
      </c>
      <c r="P62" s="1891" t="s">
        <v>804</v>
      </c>
      <c r="Q62" s="1891" t="s">
        <v>805</v>
      </c>
      <c r="R62" s="1852" t="s">
        <v>806</v>
      </c>
      <c r="S62" s="1830" t="s">
        <v>177</v>
      </c>
      <c r="T62" s="1830" t="s">
        <v>178</v>
      </c>
      <c r="U62" s="1831" t="s">
        <v>179</v>
      </c>
      <c r="V62" s="1830" t="s">
        <v>115</v>
      </c>
      <c r="W62" s="1830" t="s">
        <v>12</v>
      </c>
      <c r="X62" s="1831" t="s">
        <v>116</v>
      </c>
    </row>
    <row r="63" spans="2:24">
      <c r="B63" s="1818"/>
      <c r="C63" s="1815" t="s">
        <v>368</v>
      </c>
      <c r="D63" s="1818">
        <v>0</v>
      </c>
      <c r="E63" s="1818" t="s">
        <v>559</v>
      </c>
      <c r="F63" s="1815" t="s">
        <v>186</v>
      </c>
      <c r="G63" s="1823">
        <v>0</v>
      </c>
      <c r="H63" s="1823">
        <v>0</v>
      </c>
      <c r="I63" s="1896">
        <v>0</v>
      </c>
      <c r="J63" s="1818">
        <v>0</v>
      </c>
      <c r="K63" s="1818"/>
      <c r="L63" s="1846" t="e">
        <v>#N/A</v>
      </c>
      <c r="M63" s="1846" t="e">
        <v>#N/A</v>
      </c>
      <c r="N63" s="1894" t="e">
        <v>#DIV/0!</v>
      </c>
      <c r="O63" s="1894" t="e">
        <v>#DIV/0!</v>
      </c>
      <c r="P63" s="1894" t="e">
        <v>#N/A</v>
      </c>
      <c r="Q63" s="1894" t="e">
        <v>#N/A</v>
      </c>
      <c r="R63" s="1894" t="e">
        <v>#N/A</v>
      </c>
      <c r="S63" s="1836">
        <v>0</v>
      </c>
      <c r="T63" s="1836">
        <v>0</v>
      </c>
      <c r="U63" s="1836">
        <v>0</v>
      </c>
      <c r="V63" s="1900" t="e">
        <v>#DIV/0!</v>
      </c>
      <c r="W63" s="1900" t="e">
        <v>#DIV/0!</v>
      </c>
      <c r="X63" s="1900" t="e">
        <v>#DIV/0!</v>
      </c>
    </row>
    <row r="64" spans="2:24">
      <c r="B64" s="1815"/>
      <c r="C64" s="1815" t="s">
        <v>369</v>
      </c>
      <c r="D64" s="1815">
        <v>0</v>
      </c>
      <c r="E64" s="1815" t="s">
        <v>559</v>
      </c>
      <c r="F64" s="1815" t="s">
        <v>186</v>
      </c>
      <c r="G64" s="1823">
        <v>0</v>
      </c>
      <c r="H64" s="1823">
        <v>0</v>
      </c>
      <c r="I64" s="1896">
        <v>0</v>
      </c>
      <c r="J64" s="1818">
        <v>0</v>
      </c>
      <c r="K64" s="1818"/>
      <c r="L64" s="1846" t="e">
        <v>#N/A</v>
      </c>
      <c r="M64" s="1846" t="e">
        <v>#N/A</v>
      </c>
      <c r="N64" s="1894" t="e">
        <v>#DIV/0!</v>
      </c>
      <c r="O64" s="1894" t="e">
        <v>#DIV/0!</v>
      </c>
      <c r="P64" s="1894" t="e">
        <v>#N/A</v>
      </c>
      <c r="Q64" s="1894" t="e">
        <v>#N/A</v>
      </c>
      <c r="R64" s="1894" t="e">
        <v>#N/A</v>
      </c>
      <c r="S64" s="1836">
        <v>0</v>
      </c>
      <c r="T64" s="1836">
        <v>0</v>
      </c>
      <c r="U64" s="1836">
        <v>0</v>
      </c>
      <c r="V64" s="1900" t="e">
        <v>#DIV/0!</v>
      </c>
      <c r="W64" s="1900" t="e">
        <v>#DIV/0!</v>
      </c>
      <c r="X64" s="1900" t="e">
        <v>#DIV/0!</v>
      </c>
    </row>
    <row r="65" spans="2:24">
      <c r="B65" s="1815"/>
      <c r="C65" s="1815" t="s">
        <v>370</v>
      </c>
      <c r="D65" s="1815">
        <v>0</v>
      </c>
      <c r="E65" s="1815" t="s">
        <v>559</v>
      </c>
      <c r="F65" s="1815" t="s">
        <v>186</v>
      </c>
      <c r="G65" s="1823">
        <v>0</v>
      </c>
      <c r="H65" s="1823">
        <v>0</v>
      </c>
      <c r="I65" s="1896">
        <v>0</v>
      </c>
      <c r="J65" s="1818">
        <v>0</v>
      </c>
      <c r="K65" s="1818"/>
      <c r="L65" s="1846" t="e">
        <v>#N/A</v>
      </c>
      <c r="M65" s="1846" t="e">
        <v>#N/A</v>
      </c>
      <c r="N65" s="1894" t="e">
        <v>#DIV/0!</v>
      </c>
      <c r="O65" s="1894" t="e">
        <v>#DIV/0!</v>
      </c>
      <c r="P65" s="1894" t="e">
        <v>#N/A</v>
      </c>
      <c r="Q65" s="1894" t="e">
        <v>#N/A</v>
      </c>
      <c r="R65" s="1894" t="e">
        <v>#N/A</v>
      </c>
      <c r="S65" s="1836">
        <v>0</v>
      </c>
      <c r="T65" s="1836">
        <v>0</v>
      </c>
      <c r="U65" s="1836">
        <v>0</v>
      </c>
      <c r="V65" s="1900" t="e">
        <v>#DIV/0!</v>
      </c>
      <c r="W65" s="1900" t="e">
        <v>#DIV/0!</v>
      </c>
      <c r="X65" s="1900" t="e">
        <v>#DIV/0!</v>
      </c>
    </row>
    <row r="66" spans="2:24">
      <c r="B66" s="1815"/>
      <c r="C66" s="1815" t="s">
        <v>188</v>
      </c>
      <c r="D66" s="1815">
        <v>0</v>
      </c>
      <c r="E66" s="1815" t="s">
        <v>559</v>
      </c>
      <c r="F66" s="1815" t="s">
        <v>186</v>
      </c>
      <c r="G66" s="1823">
        <v>0</v>
      </c>
      <c r="H66" s="1823">
        <v>0</v>
      </c>
      <c r="I66" s="1896">
        <v>0</v>
      </c>
      <c r="J66" s="1818">
        <v>0</v>
      </c>
      <c r="K66" s="1818"/>
      <c r="L66" s="1846" t="e">
        <v>#N/A</v>
      </c>
      <c r="M66" s="1846" t="e">
        <v>#N/A</v>
      </c>
      <c r="N66" s="1894" t="e">
        <v>#DIV/0!</v>
      </c>
      <c r="O66" s="1894" t="e">
        <v>#DIV/0!</v>
      </c>
      <c r="P66" s="1894" t="e">
        <v>#N/A</v>
      </c>
      <c r="Q66" s="1894" t="e">
        <v>#N/A</v>
      </c>
      <c r="R66" s="1894" t="e">
        <v>#N/A</v>
      </c>
      <c r="S66" s="1836">
        <v>0</v>
      </c>
      <c r="T66" s="1836">
        <v>0</v>
      </c>
      <c r="U66" s="1836">
        <v>0</v>
      </c>
      <c r="V66" s="1900" t="e">
        <v>#DIV/0!</v>
      </c>
      <c r="W66" s="1900" t="e">
        <v>#DIV/0!</v>
      </c>
      <c r="X66" s="1900" t="e">
        <v>#DIV/0!</v>
      </c>
    </row>
    <row r="67" spans="2:24">
      <c r="B67" s="1815"/>
      <c r="C67" s="1815" t="s">
        <v>189</v>
      </c>
      <c r="D67" s="1815">
        <v>0</v>
      </c>
      <c r="E67" s="1815" t="s">
        <v>559</v>
      </c>
      <c r="F67" s="1815" t="s">
        <v>186</v>
      </c>
      <c r="G67" s="1823">
        <v>0</v>
      </c>
      <c r="H67" s="1823">
        <v>0</v>
      </c>
      <c r="I67" s="1896">
        <v>0</v>
      </c>
      <c r="J67" s="1818">
        <v>0</v>
      </c>
      <c r="K67" s="1818"/>
      <c r="L67" s="1846" t="e">
        <v>#N/A</v>
      </c>
      <c r="M67" s="1846" t="e">
        <v>#N/A</v>
      </c>
      <c r="N67" s="1894" t="e">
        <v>#DIV/0!</v>
      </c>
      <c r="O67" s="1894" t="e">
        <v>#DIV/0!</v>
      </c>
      <c r="P67" s="1894" t="e">
        <v>#N/A</v>
      </c>
      <c r="Q67" s="1894" t="e">
        <v>#N/A</v>
      </c>
      <c r="R67" s="1894" t="e">
        <v>#N/A</v>
      </c>
      <c r="S67" s="1836">
        <v>0</v>
      </c>
      <c r="T67" s="1836">
        <v>0</v>
      </c>
      <c r="U67" s="1836">
        <v>0</v>
      </c>
      <c r="V67" s="1900" t="e">
        <v>#DIV/0!</v>
      </c>
      <c r="W67" s="1900" t="e">
        <v>#DIV/0!</v>
      </c>
      <c r="X67" s="1900" t="e">
        <v>#DIV/0!</v>
      </c>
    </row>
    <row r="68" spans="2:24">
      <c r="B68" s="1815"/>
      <c r="C68" s="1815" t="s">
        <v>190</v>
      </c>
      <c r="D68" s="1815">
        <v>0</v>
      </c>
      <c r="E68" s="1815" t="s">
        <v>559</v>
      </c>
      <c r="F68" s="1815" t="s">
        <v>186</v>
      </c>
      <c r="G68" s="1823">
        <v>0</v>
      </c>
      <c r="H68" s="1823">
        <v>0</v>
      </c>
      <c r="I68" s="1896">
        <v>0</v>
      </c>
      <c r="J68" s="1818">
        <v>0</v>
      </c>
      <c r="K68" s="1818"/>
      <c r="L68" s="1846" t="e">
        <v>#N/A</v>
      </c>
      <c r="M68" s="1846" t="e">
        <v>#N/A</v>
      </c>
      <c r="N68" s="1894" t="e">
        <v>#DIV/0!</v>
      </c>
      <c r="O68" s="1894" t="e">
        <v>#DIV/0!</v>
      </c>
      <c r="P68" s="1894" t="e">
        <v>#N/A</v>
      </c>
      <c r="Q68" s="1894" t="e">
        <v>#N/A</v>
      </c>
      <c r="R68" s="1894" t="e">
        <v>#N/A</v>
      </c>
      <c r="S68" s="1836">
        <v>0</v>
      </c>
      <c r="T68" s="1836">
        <v>0</v>
      </c>
      <c r="U68" s="1836">
        <v>0</v>
      </c>
      <c r="V68" s="1900" t="e">
        <v>#DIV/0!</v>
      </c>
      <c r="W68" s="1900" t="e">
        <v>#DIV/0!</v>
      </c>
      <c r="X68" s="1900" t="e">
        <v>#DIV/0!</v>
      </c>
    </row>
    <row r="69" spans="2:24">
      <c r="B69" s="1815"/>
      <c r="C69" s="1815" t="s">
        <v>191</v>
      </c>
      <c r="D69" s="1818">
        <v>0</v>
      </c>
      <c r="E69" s="1815" t="s">
        <v>559</v>
      </c>
      <c r="F69" s="1815" t="s">
        <v>186</v>
      </c>
      <c r="G69" s="1823"/>
      <c r="H69" s="1823"/>
      <c r="I69" s="1834">
        <v>0</v>
      </c>
      <c r="J69" s="1818">
        <v>0</v>
      </c>
      <c r="K69" s="1818"/>
      <c r="L69" s="1846" t="e">
        <v>#N/A</v>
      </c>
      <c r="M69" s="1846" t="e">
        <v>#N/A</v>
      </c>
      <c r="N69" s="1894" t="e">
        <v>#DIV/0!</v>
      </c>
      <c r="O69" s="1894" t="e">
        <v>#DIV/0!</v>
      </c>
      <c r="P69" s="1894" t="e">
        <v>#N/A</v>
      </c>
      <c r="Q69" s="1894" t="e">
        <v>#N/A</v>
      </c>
      <c r="R69" s="1894" t="e">
        <v>#N/A</v>
      </c>
      <c r="S69" s="1836">
        <v>0</v>
      </c>
      <c r="T69" s="1836">
        <v>0</v>
      </c>
      <c r="U69" s="1836">
        <v>0</v>
      </c>
      <c r="V69" s="1900" t="e">
        <v>#DIV/0!</v>
      </c>
      <c r="W69" s="1900" t="e">
        <v>#DIV/0!</v>
      </c>
      <c r="X69" s="1900" t="e">
        <v>#DIV/0!</v>
      </c>
    </row>
    <row r="70" spans="2:24">
      <c r="B70" s="1815"/>
      <c r="C70" s="1815" t="s">
        <v>192</v>
      </c>
      <c r="D70" s="1815">
        <v>0</v>
      </c>
      <c r="E70" s="1815" t="s">
        <v>559</v>
      </c>
      <c r="F70" s="1815" t="s">
        <v>186</v>
      </c>
      <c r="G70" s="1823"/>
      <c r="H70" s="1823"/>
      <c r="I70" s="1834">
        <v>0</v>
      </c>
      <c r="J70" s="1818"/>
      <c r="K70" s="1818"/>
      <c r="L70" s="1846" t="e">
        <v>#N/A</v>
      </c>
      <c r="M70" s="1846" t="e">
        <v>#N/A</v>
      </c>
      <c r="N70" s="1894" t="e">
        <v>#DIV/0!</v>
      </c>
      <c r="O70" s="1894" t="e">
        <v>#DIV/0!</v>
      </c>
      <c r="P70" s="1894" t="e">
        <v>#N/A</v>
      </c>
      <c r="Q70" s="1894" t="e">
        <v>#N/A</v>
      </c>
      <c r="R70" s="1894" t="e">
        <v>#N/A</v>
      </c>
      <c r="S70" s="1836">
        <v>0</v>
      </c>
      <c r="T70" s="1836">
        <v>0</v>
      </c>
      <c r="U70" s="1836">
        <v>0</v>
      </c>
      <c r="V70" s="1900" t="e">
        <v>#DIV/0!</v>
      </c>
      <c r="W70" s="1900" t="e">
        <v>#DIV/0!</v>
      </c>
      <c r="X70" s="1900" t="e">
        <v>#DIV/0!</v>
      </c>
    </row>
    <row r="71" spans="2:24">
      <c r="B71" s="1815"/>
      <c r="C71" s="1815" t="s">
        <v>193</v>
      </c>
      <c r="D71" s="1818">
        <v>0</v>
      </c>
      <c r="E71" s="1815" t="s">
        <v>559</v>
      </c>
      <c r="F71" s="1815" t="s">
        <v>186</v>
      </c>
      <c r="G71" s="1823"/>
      <c r="H71" s="1823"/>
      <c r="I71" s="1834">
        <v>0</v>
      </c>
      <c r="J71" s="1818"/>
      <c r="K71" s="1818"/>
      <c r="L71" s="1846" t="e">
        <v>#N/A</v>
      </c>
      <c r="M71" s="1846" t="e">
        <v>#N/A</v>
      </c>
      <c r="N71" s="1894" t="e">
        <v>#DIV/0!</v>
      </c>
      <c r="O71" s="1894" t="e">
        <v>#DIV/0!</v>
      </c>
      <c r="P71" s="1894" t="e">
        <v>#N/A</v>
      </c>
      <c r="Q71" s="1894" t="e">
        <v>#N/A</v>
      </c>
      <c r="R71" s="1894" t="e">
        <v>#N/A</v>
      </c>
      <c r="S71" s="1836">
        <v>0</v>
      </c>
      <c r="T71" s="1836">
        <v>0</v>
      </c>
      <c r="U71" s="1836">
        <v>0</v>
      </c>
      <c r="V71" s="1900" t="e">
        <v>#DIV/0!</v>
      </c>
      <c r="W71" s="1900" t="e">
        <v>#DIV/0!</v>
      </c>
      <c r="X71" s="1900" t="e">
        <v>#DIV/0!</v>
      </c>
    </row>
    <row r="72" spans="2:24">
      <c r="B72" s="1815"/>
      <c r="C72" s="1815" t="s">
        <v>194</v>
      </c>
      <c r="D72" s="1815">
        <v>0</v>
      </c>
      <c r="E72" s="1815" t="s">
        <v>559</v>
      </c>
      <c r="F72" s="1815" t="s">
        <v>186</v>
      </c>
      <c r="G72" s="1823"/>
      <c r="H72" s="1823"/>
      <c r="I72" s="1834">
        <v>0</v>
      </c>
      <c r="J72" s="1818"/>
      <c r="K72" s="1818"/>
      <c r="L72" s="1846" t="e">
        <v>#N/A</v>
      </c>
      <c r="M72" s="1846" t="e">
        <v>#N/A</v>
      </c>
      <c r="N72" s="1894" t="e">
        <v>#DIV/0!</v>
      </c>
      <c r="O72" s="1894" t="e">
        <v>#DIV/0!</v>
      </c>
      <c r="P72" s="1894" t="e">
        <v>#N/A</v>
      </c>
      <c r="Q72" s="1894" t="e">
        <v>#N/A</v>
      </c>
      <c r="R72" s="1894" t="e">
        <v>#N/A</v>
      </c>
      <c r="S72" s="1836">
        <v>0</v>
      </c>
      <c r="T72" s="1836">
        <v>0</v>
      </c>
      <c r="U72" s="1836">
        <v>0</v>
      </c>
      <c r="V72" s="1900" t="e">
        <v>#DIV/0!</v>
      </c>
      <c r="W72" s="1900" t="e">
        <v>#DIV/0!</v>
      </c>
      <c r="X72" s="1900" t="e">
        <v>#DIV/0!</v>
      </c>
    </row>
    <row r="73" spans="2:24">
      <c r="B73" s="1815"/>
      <c r="C73" s="1815" t="s">
        <v>195</v>
      </c>
      <c r="D73" s="1818">
        <v>0</v>
      </c>
      <c r="E73" s="1815" t="s">
        <v>559</v>
      </c>
      <c r="F73" s="1815" t="s">
        <v>186</v>
      </c>
      <c r="G73" s="1823"/>
      <c r="H73" s="1823"/>
      <c r="I73" s="1834">
        <v>0</v>
      </c>
      <c r="J73" s="1818"/>
      <c r="K73" s="1818"/>
      <c r="L73" s="1846" t="e">
        <v>#N/A</v>
      </c>
      <c r="M73" s="1846" t="e">
        <v>#N/A</v>
      </c>
      <c r="N73" s="1894" t="e">
        <v>#DIV/0!</v>
      </c>
      <c r="O73" s="1894" t="e">
        <v>#DIV/0!</v>
      </c>
      <c r="P73" s="1894" t="e">
        <v>#N/A</v>
      </c>
      <c r="Q73" s="1894" t="e">
        <v>#N/A</v>
      </c>
      <c r="R73" s="1894" t="e">
        <v>#N/A</v>
      </c>
      <c r="S73" s="1836">
        <v>0</v>
      </c>
      <c r="T73" s="1836">
        <v>0</v>
      </c>
      <c r="U73" s="1836">
        <v>0</v>
      </c>
      <c r="V73" s="1900" t="e">
        <v>#DIV/0!</v>
      </c>
      <c r="W73" s="1900" t="e">
        <v>#DIV/0!</v>
      </c>
      <c r="X73" s="1900" t="e">
        <v>#DIV/0!</v>
      </c>
    </row>
    <row r="74" spans="2:24">
      <c r="B74" s="1815"/>
      <c r="C74" s="1815" t="s">
        <v>196</v>
      </c>
      <c r="D74" s="1815">
        <v>0</v>
      </c>
      <c r="E74" s="1815" t="s">
        <v>559</v>
      </c>
      <c r="F74" s="1815" t="s">
        <v>186</v>
      </c>
      <c r="G74" s="1823"/>
      <c r="H74" s="1823"/>
      <c r="I74" s="1834">
        <v>0</v>
      </c>
      <c r="J74" s="1818"/>
      <c r="K74" s="1818"/>
      <c r="L74" s="1846" t="e">
        <v>#N/A</v>
      </c>
      <c r="M74" s="1846" t="e">
        <v>#N/A</v>
      </c>
      <c r="N74" s="1894" t="e">
        <v>#DIV/0!</v>
      </c>
      <c r="O74" s="1894" t="e">
        <v>#DIV/0!</v>
      </c>
      <c r="P74" s="1894" t="e">
        <v>#N/A</v>
      </c>
      <c r="Q74" s="1894" t="e">
        <v>#N/A</v>
      </c>
      <c r="R74" s="1894" t="e">
        <v>#N/A</v>
      </c>
      <c r="S74" s="1836">
        <v>0</v>
      </c>
      <c r="T74" s="1836">
        <v>0</v>
      </c>
      <c r="U74" s="1836">
        <v>0</v>
      </c>
      <c r="V74" s="1900" t="e">
        <v>#DIV/0!</v>
      </c>
      <c r="W74" s="1900" t="e">
        <v>#DIV/0!</v>
      </c>
      <c r="X74" s="1900" t="e">
        <v>#DIV/0!</v>
      </c>
    </row>
    <row r="75" spans="2:24">
      <c r="B75" s="1815"/>
      <c r="C75" s="1815" t="s">
        <v>197</v>
      </c>
      <c r="D75" s="1818">
        <v>0</v>
      </c>
      <c r="E75" s="1815" t="s">
        <v>559</v>
      </c>
      <c r="F75" s="1815" t="s">
        <v>186</v>
      </c>
      <c r="G75" s="1823"/>
      <c r="H75" s="1823"/>
      <c r="I75" s="1834">
        <v>0</v>
      </c>
      <c r="J75" s="1818"/>
      <c r="K75" s="1818"/>
      <c r="L75" s="1846" t="e">
        <v>#N/A</v>
      </c>
      <c r="M75" s="1846" t="e">
        <v>#N/A</v>
      </c>
      <c r="N75" s="1894" t="e">
        <v>#DIV/0!</v>
      </c>
      <c r="O75" s="1894" t="e">
        <v>#DIV/0!</v>
      </c>
      <c r="P75" s="1894" t="e">
        <v>#N/A</v>
      </c>
      <c r="Q75" s="1894" t="e">
        <v>#N/A</v>
      </c>
      <c r="R75" s="1894" t="e">
        <v>#N/A</v>
      </c>
      <c r="S75" s="1836">
        <v>0</v>
      </c>
      <c r="T75" s="1836">
        <v>0</v>
      </c>
      <c r="U75" s="1836">
        <v>0</v>
      </c>
      <c r="V75" s="1900" t="e">
        <v>#DIV/0!</v>
      </c>
      <c r="W75" s="1900" t="e">
        <v>#DIV/0!</v>
      </c>
      <c r="X75" s="1900" t="e">
        <v>#DIV/0!</v>
      </c>
    </row>
    <row r="76" spans="2:24">
      <c r="B76" s="1815"/>
      <c r="C76" s="1815" t="s">
        <v>198</v>
      </c>
      <c r="D76" s="1815">
        <v>0</v>
      </c>
      <c r="E76" s="1815" t="s">
        <v>559</v>
      </c>
      <c r="F76" s="1815" t="s">
        <v>186</v>
      </c>
      <c r="G76" s="1823"/>
      <c r="H76" s="1823"/>
      <c r="I76" s="1834">
        <v>0</v>
      </c>
      <c r="J76" s="1818"/>
      <c r="K76" s="1818"/>
      <c r="L76" s="1846" t="e">
        <v>#N/A</v>
      </c>
      <c r="M76" s="1846" t="e">
        <v>#N/A</v>
      </c>
      <c r="N76" s="1894" t="e">
        <v>#DIV/0!</v>
      </c>
      <c r="O76" s="1894" t="e">
        <v>#DIV/0!</v>
      </c>
      <c r="P76" s="1894" t="e">
        <v>#N/A</v>
      </c>
      <c r="Q76" s="1894" t="e">
        <v>#N/A</v>
      </c>
      <c r="R76" s="1894" t="e">
        <v>#N/A</v>
      </c>
      <c r="S76" s="1836">
        <v>0</v>
      </c>
      <c r="T76" s="1836">
        <v>0</v>
      </c>
      <c r="U76" s="1836">
        <v>0</v>
      </c>
      <c r="V76" s="1900" t="e">
        <v>#DIV/0!</v>
      </c>
      <c r="W76" s="1900" t="e">
        <v>#DIV/0!</v>
      </c>
      <c r="X76" s="1900" t="e">
        <v>#DIV/0!</v>
      </c>
    </row>
    <row r="77" spans="2:24">
      <c r="B77" s="1815"/>
      <c r="C77" s="1815" t="s">
        <v>199</v>
      </c>
      <c r="D77" s="1818">
        <v>0</v>
      </c>
      <c r="E77" s="1815" t="s">
        <v>559</v>
      </c>
      <c r="F77" s="1815" t="s">
        <v>186</v>
      </c>
      <c r="G77" s="1823"/>
      <c r="H77" s="1823"/>
      <c r="I77" s="1834">
        <v>0</v>
      </c>
      <c r="J77" s="1818"/>
      <c r="K77" s="1818"/>
      <c r="L77" s="1846" t="e">
        <v>#N/A</v>
      </c>
      <c r="M77" s="1846" t="e">
        <v>#N/A</v>
      </c>
      <c r="N77" s="1894" t="e">
        <v>#DIV/0!</v>
      </c>
      <c r="O77" s="1894" t="e">
        <v>#DIV/0!</v>
      </c>
      <c r="P77" s="1894" t="e">
        <v>#N/A</v>
      </c>
      <c r="Q77" s="1894" t="e">
        <v>#N/A</v>
      </c>
      <c r="R77" s="1894" t="e">
        <v>#N/A</v>
      </c>
      <c r="S77" s="1836">
        <v>0</v>
      </c>
      <c r="T77" s="1836">
        <v>0</v>
      </c>
      <c r="U77" s="1836">
        <v>0</v>
      </c>
      <c r="V77" s="1900" t="e">
        <v>#DIV/0!</v>
      </c>
      <c r="W77" s="1900" t="e">
        <v>#DIV/0!</v>
      </c>
      <c r="X77" s="1900" t="e">
        <v>#DIV/0!</v>
      </c>
    </row>
    <row r="78" spans="2:24">
      <c r="B78" s="1815"/>
      <c r="C78" s="1815" t="s">
        <v>200</v>
      </c>
      <c r="D78" s="1815">
        <v>0</v>
      </c>
      <c r="E78" s="1815" t="s">
        <v>559</v>
      </c>
      <c r="F78" s="1815" t="s">
        <v>186</v>
      </c>
      <c r="G78" s="1823"/>
      <c r="H78" s="1823"/>
      <c r="I78" s="1834">
        <v>0</v>
      </c>
      <c r="J78" s="1818"/>
      <c r="K78" s="1818"/>
      <c r="L78" s="1846" t="e">
        <v>#N/A</v>
      </c>
      <c r="M78" s="1846" t="e">
        <v>#N/A</v>
      </c>
      <c r="N78" s="1894" t="e">
        <v>#DIV/0!</v>
      </c>
      <c r="O78" s="1894" t="e">
        <v>#DIV/0!</v>
      </c>
      <c r="P78" s="1894" t="e">
        <v>#N/A</v>
      </c>
      <c r="Q78" s="1894" t="e">
        <v>#N/A</v>
      </c>
      <c r="R78" s="1894" t="e">
        <v>#N/A</v>
      </c>
      <c r="S78" s="1836">
        <v>0</v>
      </c>
      <c r="T78" s="1836">
        <v>0</v>
      </c>
      <c r="U78" s="1836">
        <v>0</v>
      </c>
      <c r="V78" s="1900" t="e">
        <v>#DIV/0!</v>
      </c>
      <c r="W78" s="1900" t="e">
        <v>#DIV/0!</v>
      </c>
      <c r="X78" s="1900" t="e">
        <v>#DIV/0!</v>
      </c>
    </row>
    <row r="79" spans="2:24">
      <c r="B79" s="1815"/>
      <c r="C79" s="1815" t="s">
        <v>201</v>
      </c>
      <c r="D79" s="1818">
        <v>0</v>
      </c>
      <c r="E79" s="1815" t="s">
        <v>559</v>
      </c>
      <c r="F79" s="1815" t="s">
        <v>186</v>
      </c>
      <c r="G79" s="1823"/>
      <c r="H79" s="1823"/>
      <c r="I79" s="1834">
        <v>0</v>
      </c>
      <c r="J79" s="1818"/>
      <c r="K79" s="1818"/>
      <c r="L79" s="1846" t="e">
        <v>#REF!</v>
      </c>
      <c r="M79" s="1846" t="e">
        <v>#REF!</v>
      </c>
      <c r="N79" s="1894" t="e">
        <v>#DIV/0!</v>
      </c>
      <c r="O79" s="1894" t="e">
        <v>#DIV/0!</v>
      </c>
      <c r="P79" s="1894" t="e">
        <v>#REF!</v>
      </c>
      <c r="Q79" s="1894" t="e">
        <v>#REF!</v>
      </c>
      <c r="R79" s="1894" t="e">
        <v>#N/A</v>
      </c>
      <c r="S79" s="1836">
        <v>0</v>
      </c>
      <c r="T79" s="1836">
        <v>0</v>
      </c>
      <c r="U79" s="1836">
        <v>0</v>
      </c>
      <c r="V79" s="1900" t="e">
        <v>#DIV/0!</v>
      </c>
      <c r="W79" s="1900" t="e">
        <v>#DIV/0!</v>
      </c>
      <c r="X79" s="1900" t="e">
        <v>#DIV/0!</v>
      </c>
    </row>
    <row r="80" spans="2:24">
      <c r="B80" s="1815"/>
      <c r="C80" s="1815" t="s">
        <v>202</v>
      </c>
      <c r="D80" s="1815">
        <v>0</v>
      </c>
      <c r="E80" s="1815" t="s">
        <v>559</v>
      </c>
      <c r="F80" s="1815" t="s">
        <v>186</v>
      </c>
      <c r="G80" s="1823"/>
      <c r="H80" s="1823"/>
      <c r="I80" s="1834">
        <v>0</v>
      </c>
      <c r="J80" s="1818"/>
      <c r="K80" s="1818"/>
      <c r="L80" s="1846" t="e">
        <v>#REF!</v>
      </c>
      <c r="M80" s="1846" t="e">
        <v>#REF!</v>
      </c>
      <c r="N80" s="1894" t="e">
        <v>#DIV/0!</v>
      </c>
      <c r="O80" s="1894" t="e">
        <v>#DIV/0!</v>
      </c>
      <c r="P80" s="1894" t="e">
        <v>#REF!</v>
      </c>
      <c r="Q80" s="1894" t="e">
        <v>#REF!</v>
      </c>
      <c r="R80" s="1894" t="e">
        <v>#N/A</v>
      </c>
      <c r="S80" s="1836">
        <v>0</v>
      </c>
      <c r="T80" s="1836">
        <v>0</v>
      </c>
      <c r="U80" s="1836">
        <v>0</v>
      </c>
      <c r="V80" s="1900" t="e">
        <v>#DIV/0!</v>
      </c>
      <c r="W80" s="1900" t="e">
        <v>#DIV/0!</v>
      </c>
      <c r="X80" s="1900" t="e">
        <v>#DIV/0!</v>
      </c>
    </row>
    <row r="81" spans="2:24">
      <c r="B81" s="1815"/>
      <c r="C81" s="1815" t="s">
        <v>203</v>
      </c>
      <c r="D81" s="1815">
        <v>0</v>
      </c>
      <c r="E81" s="1815" t="s">
        <v>559</v>
      </c>
      <c r="F81" s="1815" t="s">
        <v>186</v>
      </c>
      <c r="G81" s="1823"/>
      <c r="H81" s="1823"/>
      <c r="I81" s="1834">
        <v>0</v>
      </c>
      <c r="J81" s="1818"/>
      <c r="K81" s="1818"/>
      <c r="L81" s="1846" t="e">
        <v>#REF!</v>
      </c>
      <c r="M81" s="1846" t="e">
        <v>#REF!</v>
      </c>
      <c r="N81" s="1894" t="e">
        <v>#DIV/0!</v>
      </c>
      <c r="O81" s="1894" t="e">
        <v>#DIV/0!</v>
      </c>
      <c r="P81" s="1894" t="e">
        <v>#REF!</v>
      </c>
      <c r="Q81" s="1894" t="e">
        <v>#REF!</v>
      </c>
      <c r="R81" s="1894" t="e">
        <v>#N/A</v>
      </c>
      <c r="S81" s="1836">
        <v>0</v>
      </c>
      <c r="T81" s="1836">
        <v>0</v>
      </c>
      <c r="U81" s="1836">
        <v>0</v>
      </c>
      <c r="V81" s="1900" t="e">
        <v>#DIV/0!</v>
      </c>
      <c r="W81" s="1900" t="e">
        <v>#DIV/0!</v>
      </c>
      <c r="X81" s="1900" t="e">
        <v>#DIV/0!</v>
      </c>
    </row>
    <row r="82" spans="2:24">
      <c r="B82" s="1815"/>
      <c r="C82" s="1815" t="s">
        <v>204</v>
      </c>
      <c r="D82" s="1815">
        <v>0</v>
      </c>
      <c r="E82" s="1815" t="s">
        <v>559</v>
      </c>
      <c r="F82" s="1815" t="s">
        <v>186</v>
      </c>
      <c r="G82" s="1823"/>
      <c r="H82" s="1823"/>
      <c r="I82" s="1834">
        <v>0</v>
      </c>
      <c r="J82" s="1818"/>
      <c r="K82" s="1818"/>
      <c r="L82" s="1846" t="e">
        <v>#REF!</v>
      </c>
      <c r="M82" s="1846" t="e">
        <v>#REF!</v>
      </c>
      <c r="N82" s="1894" t="e">
        <v>#DIV/0!</v>
      </c>
      <c r="O82" s="1894" t="e">
        <v>#DIV/0!</v>
      </c>
      <c r="P82" s="1894" t="e">
        <v>#REF!</v>
      </c>
      <c r="Q82" s="1894" t="e">
        <v>#REF!</v>
      </c>
      <c r="R82" s="1894" t="e">
        <v>#N/A</v>
      </c>
      <c r="S82" s="1836">
        <v>0</v>
      </c>
      <c r="T82" s="1836">
        <v>0</v>
      </c>
      <c r="U82" s="1836">
        <v>0</v>
      </c>
    </row>
    <row r="83" spans="2:24">
      <c r="B83" s="1815"/>
      <c r="C83" s="1815" t="s">
        <v>205</v>
      </c>
      <c r="D83" s="1866">
        <v>0</v>
      </c>
      <c r="E83" s="1815" t="s">
        <v>559</v>
      </c>
      <c r="F83" s="1815" t="s">
        <v>186</v>
      </c>
      <c r="G83" s="1823"/>
      <c r="H83" s="1823"/>
      <c r="I83" s="1834">
        <v>0</v>
      </c>
      <c r="J83" s="1818"/>
      <c r="K83" s="1818"/>
      <c r="L83" s="1846" t="e">
        <v>#REF!</v>
      </c>
      <c r="M83" s="1846" t="e">
        <v>#REF!</v>
      </c>
      <c r="N83" s="1894" t="e">
        <v>#DIV/0!</v>
      </c>
      <c r="O83" s="1894" t="e">
        <v>#DIV/0!</v>
      </c>
      <c r="P83" s="1894" t="e">
        <v>#REF!</v>
      </c>
      <c r="Q83" s="1894" t="e">
        <v>#REF!</v>
      </c>
      <c r="R83" s="1894" t="e">
        <v>#N/A</v>
      </c>
      <c r="S83" s="1836">
        <v>0</v>
      </c>
      <c r="T83" s="1836">
        <v>0</v>
      </c>
      <c r="U83" s="1836">
        <v>0</v>
      </c>
    </row>
    <row r="84" spans="2:24">
      <c r="B84" s="1815"/>
      <c r="C84" s="1815" t="s">
        <v>206</v>
      </c>
      <c r="D84" s="1866">
        <v>0</v>
      </c>
      <c r="E84" s="1815" t="s">
        <v>559</v>
      </c>
      <c r="F84" s="1815" t="s">
        <v>186</v>
      </c>
      <c r="G84" s="1823"/>
      <c r="H84" s="1823"/>
      <c r="I84" s="1834">
        <v>0</v>
      </c>
      <c r="J84" s="1818"/>
      <c r="K84" s="1818"/>
      <c r="L84" s="1846" t="e">
        <v>#REF!</v>
      </c>
      <c r="M84" s="1846" t="e">
        <v>#REF!</v>
      </c>
      <c r="N84" s="1894" t="e">
        <v>#DIV/0!</v>
      </c>
      <c r="O84" s="1894" t="e">
        <v>#DIV/0!</v>
      </c>
      <c r="P84" s="1894" t="e">
        <v>#REF!</v>
      </c>
      <c r="Q84" s="1894" t="e">
        <v>#REF!</v>
      </c>
      <c r="R84" s="1894" t="e">
        <v>#N/A</v>
      </c>
      <c r="S84" s="1836">
        <v>0</v>
      </c>
      <c r="T84" s="1836">
        <v>0</v>
      </c>
      <c r="U84" s="1836">
        <v>0</v>
      </c>
    </row>
    <row r="85" spans="2:24">
      <c r="B85" s="1815"/>
      <c r="C85" s="1815" t="s">
        <v>207</v>
      </c>
      <c r="D85" s="1866">
        <v>0</v>
      </c>
      <c r="E85" s="1815" t="s">
        <v>559</v>
      </c>
      <c r="F85" s="1815" t="s">
        <v>186</v>
      </c>
      <c r="G85" s="1823"/>
      <c r="H85" s="1823"/>
      <c r="I85" s="1834">
        <v>0</v>
      </c>
      <c r="J85" s="1818"/>
      <c r="K85" s="1818"/>
      <c r="L85" s="1846" t="e">
        <v>#REF!</v>
      </c>
      <c r="M85" s="1846" t="e">
        <v>#REF!</v>
      </c>
      <c r="N85" s="1894" t="e">
        <v>#DIV/0!</v>
      </c>
      <c r="O85" s="1894" t="e">
        <v>#DIV/0!</v>
      </c>
      <c r="P85" s="1894" t="e">
        <v>#REF!</v>
      </c>
      <c r="Q85" s="1894" t="e">
        <v>#REF!</v>
      </c>
      <c r="R85" s="1894" t="e">
        <v>#N/A</v>
      </c>
      <c r="S85" s="1836">
        <v>0</v>
      </c>
      <c r="T85" s="1836">
        <v>0</v>
      </c>
      <c r="U85" s="1836">
        <v>0</v>
      </c>
    </row>
    <row r="86" spans="2:24">
      <c r="B86" s="1815"/>
      <c r="C86" s="1815" t="s">
        <v>208</v>
      </c>
      <c r="D86" s="1866">
        <v>0</v>
      </c>
      <c r="E86" s="1815" t="s">
        <v>559</v>
      </c>
      <c r="F86" s="1815" t="s">
        <v>186</v>
      </c>
      <c r="G86" s="1823"/>
      <c r="H86" s="1823"/>
      <c r="I86" s="1834">
        <v>0</v>
      </c>
      <c r="J86" s="1818"/>
      <c r="K86" s="1818"/>
      <c r="L86" s="1846" t="e">
        <v>#REF!</v>
      </c>
      <c r="M86" s="1846" t="e">
        <v>#REF!</v>
      </c>
      <c r="N86" s="1894" t="e">
        <v>#DIV/0!</v>
      </c>
      <c r="O86" s="1894" t="e">
        <v>#DIV/0!</v>
      </c>
      <c r="P86" s="1894" t="e">
        <v>#REF!</v>
      </c>
      <c r="Q86" s="1894" t="e">
        <v>#REF!</v>
      </c>
      <c r="R86" s="1894" t="e">
        <v>#N/A</v>
      </c>
      <c r="S86" s="1836">
        <v>0</v>
      </c>
      <c r="T86" s="1836">
        <v>0</v>
      </c>
      <c r="U86" s="1836">
        <v>0</v>
      </c>
    </row>
    <row r="87" spans="2:24">
      <c r="B87" s="1815"/>
      <c r="C87" s="1815" t="s">
        <v>209</v>
      </c>
      <c r="D87" s="1866">
        <v>0</v>
      </c>
      <c r="E87" s="1815" t="s">
        <v>559</v>
      </c>
      <c r="F87" s="1815" t="s">
        <v>186</v>
      </c>
      <c r="G87" s="1823"/>
      <c r="H87" s="1823"/>
      <c r="I87" s="1834">
        <v>0</v>
      </c>
      <c r="J87" s="1818"/>
      <c r="K87" s="1818"/>
      <c r="L87" s="1846" t="e">
        <v>#REF!</v>
      </c>
      <c r="M87" s="1846" t="e">
        <v>#REF!</v>
      </c>
      <c r="N87" s="1894" t="e">
        <v>#DIV/0!</v>
      </c>
      <c r="O87" s="1894" t="e">
        <v>#DIV/0!</v>
      </c>
      <c r="P87" s="1894" t="e">
        <v>#REF!</v>
      </c>
      <c r="Q87" s="1894" t="e">
        <v>#REF!</v>
      </c>
      <c r="R87" s="1894" t="e">
        <v>#N/A</v>
      </c>
      <c r="S87" s="1836">
        <v>0</v>
      </c>
      <c r="T87" s="1836">
        <v>0</v>
      </c>
      <c r="U87" s="1836">
        <v>0</v>
      </c>
    </row>
    <row r="88" spans="2:24">
      <c r="B88" s="1815"/>
      <c r="C88" s="1815" t="s">
        <v>210</v>
      </c>
      <c r="D88" s="1866">
        <v>0</v>
      </c>
      <c r="E88" s="1815" t="s">
        <v>559</v>
      </c>
      <c r="F88" s="1815" t="s">
        <v>186</v>
      </c>
      <c r="G88" s="1823"/>
      <c r="H88" s="1823"/>
      <c r="I88" s="1834">
        <v>0</v>
      </c>
      <c r="J88" s="1818"/>
      <c r="K88" s="1818"/>
      <c r="L88" s="1846" t="e">
        <v>#REF!</v>
      </c>
      <c r="M88" s="1846" t="e">
        <v>#REF!</v>
      </c>
      <c r="N88" s="1894" t="e">
        <v>#DIV/0!</v>
      </c>
      <c r="O88" s="1894" t="e">
        <v>#DIV/0!</v>
      </c>
      <c r="P88" s="1894" t="e">
        <v>#REF!</v>
      </c>
      <c r="Q88" s="1894" t="e">
        <v>#REF!</v>
      </c>
      <c r="R88" s="1894" t="e">
        <v>#N/A</v>
      </c>
      <c r="S88" s="1836">
        <v>0</v>
      </c>
      <c r="T88" s="1836">
        <v>0</v>
      </c>
      <c r="U88" s="1836">
        <v>0</v>
      </c>
    </row>
    <row r="89" spans="2:24">
      <c r="B89" s="1815"/>
      <c r="C89" s="1815" t="s">
        <v>211</v>
      </c>
      <c r="D89" s="1866">
        <v>0</v>
      </c>
      <c r="E89" s="1815" t="s">
        <v>559</v>
      </c>
      <c r="F89" s="1815" t="s">
        <v>186</v>
      </c>
      <c r="G89" s="1823"/>
      <c r="H89" s="1823"/>
      <c r="I89" s="1834">
        <v>0</v>
      </c>
      <c r="J89" s="1818"/>
      <c r="K89" s="1818"/>
      <c r="L89" s="1846" t="e">
        <v>#REF!</v>
      </c>
      <c r="M89" s="1846" t="e">
        <v>#REF!</v>
      </c>
      <c r="N89" s="1894" t="e">
        <v>#DIV/0!</v>
      </c>
      <c r="O89" s="1894" t="e">
        <v>#DIV/0!</v>
      </c>
      <c r="P89" s="1894" t="e">
        <v>#REF!</v>
      </c>
      <c r="Q89" s="1894" t="e">
        <v>#REF!</v>
      </c>
      <c r="R89" s="1894" t="e">
        <v>#N/A</v>
      </c>
      <c r="S89" s="1836">
        <v>0</v>
      </c>
      <c r="T89" s="1836">
        <v>0</v>
      </c>
      <c r="U89" s="1836">
        <v>0</v>
      </c>
    </row>
    <row r="90" spans="2:24">
      <c r="B90" s="1815"/>
      <c r="C90" s="1815" t="s">
        <v>212</v>
      </c>
      <c r="D90" s="1866">
        <v>0</v>
      </c>
      <c r="E90" s="1815" t="s">
        <v>559</v>
      </c>
      <c r="F90" s="1815" t="s">
        <v>186</v>
      </c>
      <c r="G90" s="1823"/>
      <c r="H90" s="1823"/>
      <c r="I90" s="1834">
        <v>0</v>
      </c>
      <c r="J90" s="1818"/>
      <c r="K90" s="1818"/>
      <c r="L90" s="1846" t="e">
        <v>#REF!</v>
      </c>
      <c r="M90" s="1846" t="e">
        <v>#REF!</v>
      </c>
      <c r="N90" s="1894" t="e">
        <v>#DIV/0!</v>
      </c>
      <c r="O90" s="1894" t="e">
        <v>#DIV/0!</v>
      </c>
      <c r="P90" s="1894" t="e">
        <v>#REF!</v>
      </c>
      <c r="Q90" s="1894" t="e">
        <v>#REF!</v>
      </c>
      <c r="R90" s="1894" t="e">
        <v>#N/A</v>
      </c>
      <c r="S90" s="1836">
        <v>0</v>
      </c>
      <c r="T90" s="1836">
        <v>0</v>
      </c>
      <c r="U90" s="1836">
        <v>0</v>
      </c>
    </row>
    <row r="91" spans="2:24">
      <c r="B91" s="1815"/>
      <c r="C91" s="1815" t="s">
        <v>213</v>
      </c>
      <c r="D91" s="1866">
        <v>0</v>
      </c>
      <c r="E91" s="1815" t="s">
        <v>559</v>
      </c>
      <c r="F91" s="1815" t="s">
        <v>186</v>
      </c>
      <c r="G91" s="1823"/>
      <c r="H91" s="1823"/>
      <c r="I91" s="1834">
        <v>0</v>
      </c>
      <c r="J91" s="1818"/>
      <c r="K91" s="1818"/>
      <c r="L91" s="1846" t="e">
        <v>#REF!</v>
      </c>
      <c r="M91" s="1846" t="e">
        <v>#REF!</v>
      </c>
      <c r="N91" s="1894" t="e">
        <v>#DIV/0!</v>
      </c>
      <c r="O91" s="1894" t="e">
        <v>#DIV/0!</v>
      </c>
      <c r="P91" s="1894" t="e">
        <v>#REF!</v>
      </c>
      <c r="Q91" s="1894" t="e">
        <v>#REF!</v>
      </c>
      <c r="R91" s="1894" t="e">
        <v>#N/A</v>
      </c>
      <c r="S91" s="1836">
        <v>0</v>
      </c>
      <c r="T91" s="1836">
        <v>0</v>
      </c>
      <c r="U91" s="1836">
        <v>0</v>
      </c>
    </row>
    <row r="92" spans="2:24">
      <c r="B92" s="1815"/>
      <c r="C92" s="1815" t="s">
        <v>214</v>
      </c>
      <c r="D92" s="1866">
        <v>0</v>
      </c>
      <c r="E92" s="1815" t="s">
        <v>559</v>
      </c>
      <c r="F92" s="1815" t="s">
        <v>186</v>
      </c>
      <c r="G92" s="1823"/>
      <c r="H92" s="1823"/>
      <c r="I92" s="1834">
        <v>0</v>
      </c>
      <c r="J92" s="1818"/>
      <c r="K92" s="1818"/>
      <c r="L92" s="1846" t="e">
        <v>#REF!</v>
      </c>
      <c r="M92" s="1846" t="e">
        <v>#REF!</v>
      </c>
      <c r="N92" s="1894" t="e">
        <v>#DIV/0!</v>
      </c>
      <c r="O92" s="1894" t="e">
        <v>#DIV/0!</v>
      </c>
      <c r="P92" s="1894" t="e">
        <v>#REF!</v>
      </c>
      <c r="Q92" s="1894" t="e">
        <v>#REF!</v>
      </c>
      <c r="R92" s="1894" t="e">
        <v>#N/A</v>
      </c>
      <c r="S92" s="1836">
        <v>0</v>
      </c>
      <c r="T92" s="1836">
        <v>0</v>
      </c>
      <c r="U92" s="1836">
        <v>0</v>
      </c>
    </row>
    <row r="93" spans="2:24">
      <c r="B93" s="1815"/>
      <c r="C93" s="1815" t="s">
        <v>215</v>
      </c>
      <c r="D93" s="1866">
        <v>0</v>
      </c>
      <c r="E93" s="1815" t="s">
        <v>559</v>
      </c>
      <c r="F93" s="1815" t="s">
        <v>186</v>
      </c>
      <c r="G93" s="1823"/>
      <c r="H93" s="1823"/>
      <c r="I93" s="1834">
        <v>0</v>
      </c>
      <c r="J93" s="1818"/>
      <c r="K93" s="1818"/>
      <c r="L93" s="1846" t="e">
        <v>#REF!</v>
      </c>
      <c r="M93" s="1846" t="e">
        <v>#REF!</v>
      </c>
      <c r="N93" s="1894" t="e">
        <v>#DIV/0!</v>
      </c>
      <c r="O93" s="1894" t="e">
        <v>#DIV/0!</v>
      </c>
      <c r="P93" s="1894" t="e">
        <v>#REF!</v>
      </c>
      <c r="Q93" s="1894" t="e">
        <v>#REF!</v>
      </c>
      <c r="R93" s="1894" t="e">
        <v>#N/A</v>
      </c>
      <c r="S93" s="1836">
        <v>0</v>
      </c>
      <c r="T93" s="1836">
        <v>0</v>
      </c>
      <c r="U93" s="1836">
        <v>0</v>
      </c>
    </row>
    <row r="94" spans="2:24">
      <c r="B94" s="1815"/>
      <c r="C94" s="1815" t="s">
        <v>216</v>
      </c>
      <c r="D94" s="1866">
        <v>0</v>
      </c>
      <c r="E94" s="1815" t="s">
        <v>559</v>
      </c>
      <c r="F94" s="1815" t="s">
        <v>186</v>
      </c>
      <c r="G94" s="1823"/>
      <c r="H94" s="1823"/>
      <c r="I94" s="1834">
        <v>0</v>
      </c>
      <c r="J94" s="1818"/>
      <c r="K94" s="1818"/>
      <c r="L94" s="1846" t="e">
        <v>#REF!</v>
      </c>
      <c r="M94" s="1846" t="e">
        <v>#REF!</v>
      </c>
      <c r="N94" s="1894" t="e">
        <v>#DIV/0!</v>
      </c>
      <c r="O94" s="1894" t="e">
        <v>#DIV/0!</v>
      </c>
      <c r="P94" s="1894" t="e">
        <v>#REF!</v>
      </c>
      <c r="Q94" s="1894" t="e">
        <v>#REF!</v>
      </c>
      <c r="R94" s="1894" t="e">
        <v>#N/A</v>
      </c>
      <c r="S94" s="1836">
        <v>0</v>
      </c>
      <c r="T94" s="1836">
        <v>0</v>
      </c>
      <c r="U94" s="1836">
        <v>0</v>
      </c>
    </row>
    <row r="95" spans="2:24">
      <c r="B95" s="1815"/>
      <c r="C95" s="1815" t="s">
        <v>217</v>
      </c>
      <c r="D95" s="1866">
        <v>0</v>
      </c>
      <c r="E95" s="1815" t="s">
        <v>559</v>
      </c>
      <c r="F95" s="1815" t="s">
        <v>186</v>
      </c>
      <c r="G95" s="1823"/>
      <c r="H95" s="1823"/>
      <c r="I95" s="1834">
        <v>0</v>
      </c>
      <c r="J95" s="1818"/>
      <c r="K95" s="1818"/>
      <c r="L95" s="1846" t="e">
        <v>#REF!</v>
      </c>
      <c r="M95" s="1846" t="e">
        <v>#REF!</v>
      </c>
      <c r="N95" s="1894" t="e">
        <v>#DIV/0!</v>
      </c>
      <c r="O95" s="1894" t="e">
        <v>#DIV/0!</v>
      </c>
      <c r="P95" s="1894" t="e">
        <v>#REF!</v>
      </c>
      <c r="Q95" s="1894" t="e">
        <v>#REF!</v>
      </c>
      <c r="R95" s="1894" t="e">
        <v>#N/A</v>
      </c>
      <c r="S95" s="1836">
        <v>0</v>
      </c>
      <c r="T95" s="1836">
        <v>0</v>
      </c>
      <c r="U95" s="1836">
        <v>0</v>
      </c>
    </row>
    <row r="96" spans="2:24">
      <c r="B96" s="1815"/>
      <c r="C96" s="1815" t="s">
        <v>218</v>
      </c>
      <c r="D96" s="1866">
        <v>0</v>
      </c>
      <c r="E96" s="1815" t="s">
        <v>559</v>
      </c>
      <c r="F96" s="1815" t="s">
        <v>186</v>
      </c>
      <c r="G96" s="1823"/>
      <c r="H96" s="1823"/>
      <c r="I96" s="1834">
        <v>0</v>
      </c>
      <c r="J96" s="1818"/>
      <c r="K96" s="1818"/>
      <c r="L96" s="1846" t="e">
        <v>#REF!</v>
      </c>
      <c r="M96" s="1846" t="e">
        <v>#REF!</v>
      </c>
      <c r="N96" s="1894" t="e">
        <v>#DIV/0!</v>
      </c>
      <c r="O96" s="1894" t="e">
        <v>#DIV/0!</v>
      </c>
      <c r="P96" s="1894" t="e">
        <v>#REF!</v>
      </c>
      <c r="Q96" s="1894" t="e">
        <v>#REF!</v>
      </c>
      <c r="R96" s="1894" t="e">
        <v>#N/A</v>
      </c>
      <c r="S96" s="1836">
        <v>0</v>
      </c>
      <c r="T96" s="1836">
        <v>0</v>
      </c>
      <c r="U96" s="1836">
        <v>0</v>
      </c>
    </row>
    <row r="97" spans="2:21">
      <c r="B97" s="1815"/>
      <c r="C97" s="1815" t="s">
        <v>219</v>
      </c>
      <c r="D97" s="1866">
        <v>0</v>
      </c>
      <c r="E97" s="1815" t="s">
        <v>559</v>
      </c>
      <c r="F97" s="1815" t="s">
        <v>186</v>
      </c>
      <c r="G97" s="1823"/>
      <c r="H97" s="1823"/>
      <c r="I97" s="1834">
        <v>0</v>
      </c>
      <c r="J97" s="1818"/>
      <c r="K97" s="1818"/>
      <c r="L97" s="1846" t="e">
        <v>#REF!</v>
      </c>
      <c r="M97" s="1846" t="e">
        <v>#REF!</v>
      </c>
      <c r="N97" s="1894" t="e">
        <v>#DIV/0!</v>
      </c>
      <c r="O97" s="1894" t="e">
        <v>#DIV/0!</v>
      </c>
      <c r="P97" s="1894" t="e">
        <v>#REF!</v>
      </c>
      <c r="Q97" s="1894" t="e">
        <v>#REF!</v>
      </c>
      <c r="R97" s="1894" t="e">
        <v>#N/A</v>
      </c>
      <c r="S97" s="1836">
        <v>0</v>
      </c>
      <c r="T97" s="1836">
        <v>0</v>
      </c>
      <c r="U97" s="1836">
        <v>0</v>
      </c>
    </row>
    <row r="98" spans="2:21">
      <c r="B98" s="1815"/>
      <c r="C98" s="1815" t="s">
        <v>220</v>
      </c>
      <c r="D98" s="1866">
        <v>0</v>
      </c>
      <c r="E98" s="1815" t="s">
        <v>559</v>
      </c>
      <c r="F98" s="1815" t="s">
        <v>186</v>
      </c>
      <c r="G98" s="1823"/>
      <c r="H98" s="1823"/>
      <c r="I98" s="1834">
        <v>0</v>
      </c>
      <c r="J98" s="1818"/>
      <c r="K98" s="1818"/>
      <c r="L98" s="1846" t="e">
        <v>#REF!</v>
      </c>
      <c r="M98" s="1846" t="e">
        <v>#REF!</v>
      </c>
      <c r="N98" s="1894" t="e">
        <v>#DIV/0!</v>
      </c>
      <c r="O98" s="1894" t="e">
        <v>#DIV/0!</v>
      </c>
      <c r="P98" s="1894" t="e">
        <v>#REF!</v>
      </c>
      <c r="Q98" s="1894" t="e">
        <v>#REF!</v>
      </c>
      <c r="R98" s="1894" t="e">
        <v>#N/A</v>
      </c>
      <c r="S98" s="1836">
        <v>0</v>
      </c>
      <c r="T98" s="1836">
        <v>0</v>
      </c>
      <c r="U98" s="1836">
        <v>0</v>
      </c>
    </row>
    <row r="99" spans="2:21">
      <c r="B99" s="1815"/>
      <c r="C99" s="1815" t="s">
        <v>221</v>
      </c>
      <c r="D99" s="1866">
        <v>0</v>
      </c>
      <c r="E99" s="1815" t="s">
        <v>559</v>
      </c>
      <c r="F99" s="1815" t="s">
        <v>186</v>
      </c>
      <c r="G99" s="1823"/>
      <c r="H99" s="1823"/>
      <c r="I99" s="1834">
        <v>0</v>
      </c>
      <c r="J99" s="1818"/>
      <c r="K99" s="1818"/>
      <c r="L99" s="1846" t="e">
        <v>#REF!</v>
      </c>
      <c r="M99" s="1846" t="e">
        <v>#REF!</v>
      </c>
      <c r="N99" s="1894" t="e">
        <v>#DIV/0!</v>
      </c>
      <c r="O99" s="1894" t="e">
        <v>#DIV/0!</v>
      </c>
      <c r="P99" s="1894" t="e">
        <v>#REF!</v>
      </c>
      <c r="Q99" s="1894" t="e">
        <v>#REF!</v>
      </c>
      <c r="R99" s="1894" t="e">
        <v>#N/A</v>
      </c>
      <c r="S99" s="1836">
        <v>0</v>
      </c>
      <c r="T99" s="1836">
        <v>0</v>
      </c>
      <c r="U99" s="1836">
        <v>0</v>
      </c>
    </row>
    <row r="100" spans="2:21">
      <c r="B100" s="1815"/>
      <c r="C100" s="1815" t="s">
        <v>222</v>
      </c>
      <c r="D100" s="1866">
        <v>0</v>
      </c>
      <c r="E100" s="1815" t="s">
        <v>559</v>
      </c>
      <c r="F100" s="1815" t="s">
        <v>186</v>
      </c>
      <c r="G100" s="1823"/>
      <c r="H100" s="1823"/>
      <c r="I100" s="1834">
        <v>0</v>
      </c>
      <c r="J100" s="1818"/>
      <c r="K100" s="1818"/>
      <c r="L100" s="1846" t="e">
        <v>#REF!</v>
      </c>
      <c r="M100" s="1846" t="e">
        <v>#REF!</v>
      </c>
      <c r="N100" s="1894" t="e">
        <v>#DIV/0!</v>
      </c>
      <c r="O100" s="1894" t="e">
        <v>#DIV/0!</v>
      </c>
      <c r="P100" s="1894" t="e">
        <v>#REF!</v>
      </c>
      <c r="Q100" s="1894" t="e">
        <v>#REF!</v>
      </c>
      <c r="R100" s="1894" t="e">
        <v>#N/A</v>
      </c>
      <c r="S100" s="1836">
        <v>0</v>
      </c>
      <c r="T100" s="1836">
        <v>0</v>
      </c>
      <c r="U100" s="1836">
        <v>0</v>
      </c>
    </row>
    <row r="101" spans="2:21">
      <c r="B101" s="1815"/>
      <c r="C101" s="1815" t="s">
        <v>223</v>
      </c>
      <c r="D101" s="1866">
        <v>0</v>
      </c>
      <c r="E101" s="1815" t="s">
        <v>559</v>
      </c>
      <c r="F101" s="1815" t="s">
        <v>186</v>
      </c>
      <c r="G101" s="1823"/>
      <c r="H101" s="1823"/>
      <c r="I101" s="1834">
        <v>0</v>
      </c>
      <c r="J101" s="1818"/>
      <c r="K101" s="1818"/>
      <c r="L101" s="1846" t="e">
        <v>#REF!</v>
      </c>
      <c r="M101" s="1846" t="e">
        <v>#REF!</v>
      </c>
      <c r="N101" s="1894" t="e">
        <v>#DIV/0!</v>
      </c>
      <c r="O101" s="1894" t="e">
        <v>#DIV/0!</v>
      </c>
      <c r="P101" s="1894" t="e">
        <v>#REF!</v>
      </c>
      <c r="Q101" s="1894" t="e">
        <v>#REF!</v>
      </c>
      <c r="R101" s="1894" t="e">
        <v>#N/A</v>
      </c>
      <c r="S101" s="1836">
        <v>0</v>
      </c>
      <c r="T101" s="1836">
        <v>0</v>
      </c>
      <c r="U101" s="1836">
        <v>0</v>
      </c>
    </row>
    <row r="102" spans="2:21">
      <c r="B102" s="1815"/>
      <c r="C102" s="1815" t="s">
        <v>224</v>
      </c>
      <c r="D102" s="1866">
        <v>0</v>
      </c>
      <c r="E102" s="1815" t="s">
        <v>559</v>
      </c>
      <c r="F102" s="1815" t="s">
        <v>186</v>
      </c>
      <c r="G102" s="1823"/>
      <c r="H102" s="1823"/>
      <c r="I102" s="1834">
        <v>0</v>
      </c>
      <c r="J102" s="1818"/>
      <c r="K102" s="1818"/>
      <c r="L102" s="1846" t="e">
        <v>#REF!</v>
      </c>
      <c r="M102" s="1846" t="e">
        <v>#REF!</v>
      </c>
      <c r="N102" s="1894" t="e">
        <v>#DIV/0!</v>
      </c>
      <c r="O102" s="1894" t="e">
        <v>#DIV/0!</v>
      </c>
      <c r="P102" s="1894" t="e">
        <v>#REF!</v>
      </c>
      <c r="Q102" s="1894" t="e">
        <v>#REF!</v>
      </c>
      <c r="R102" s="1894" t="e">
        <v>#N/A</v>
      </c>
      <c r="S102" s="1836">
        <v>0</v>
      </c>
      <c r="T102" s="1836">
        <v>0</v>
      </c>
      <c r="U102" s="1836">
        <v>0</v>
      </c>
    </row>
    <row r="103" spans="2:21">
      <c r="B103" s="1815"/>
      <c r="C103" s="1815" t="s">
        <v>225</v>
      </c>
      <c r="D103" s="1866">
        <v>0</v>
      </c>
      <c r="E103" s="1815" t="s">
        <v>559</v>
      </c>
      <c r="F103" s="1815" t="s">
        <v>186</v>
      </c>
      <c r="G103" s="1823"/>
      <c r="H103" s="1823"/>
      <c r="I103" s="1834">
        <v>0</v>
      </c>
      <c r="J103" s="1818"/>
      <c r="K103" s="1818"/>
      <c r="L103" s="1846" t="e">
        <v>#REF!</v>
      </c>
      <c r="M103" s="1846" t="e">
        <v>#REF!</v>
      </c>
      <c r="N103" s="1894" t="e">
        <v>#DIV/0!</v>
      </c>
      <c r="O103" s="1894" t="e">
        <v>#DIV/0!</v>
      </c>
      <c r="P103" s="1894" t="e">
        <v>#REF!</v>
      </c>
      <c r="Q103" s="1894" t="e">
        <v>#REF!</v>
      </c>
      <c r="R103" s="1894" t="e">
        <v>#N/A</v>
      </c>
      <c r="S103" s="1836">
        <v>0</v>
      </c>
      <c r="T103" s="1836">
        <v>0</v>
      </c>
      <c r="U103" s="1836">
        <v>0</v>
      </c>
    </row>
    <row r="104" spans="2:21" ht="13.5" thickBot="1">
      <c r="B104" s="1815"/>
      <c r="C104" s="1815" t="s">
        <v>226</v>
      </c>
      <c r="D104" s="1866">
        <v>0</v>
      </c>
      <c r="E104" s="1815" t="s">
        <v>559</v>
      </c>
      <c r="F104" s="1815" t="s">
        <v>186</v>
      </c>
      <c r="G104" s="1823"/>
      <c r="H104" s="1823"/>
      <c r="I104" s="1834">
        <v>0</v>
      </c>
      <c r="J104" s="1818"/>
      <c r="K104" s="1818"/>
      <c r="L104" s="1849" t="e">
        <v>#REF!</v>
      </c>
      <c r="M104" s="1849" t="e">
        <v>#REF!</v>
      </c>
      <c r="N104" s="1895" t="e">
        <v>#DIV/0!</v>
      </c>
      <c r="O104" s="1895" t="e">
        <v>#DIV/0!</v>
      </c>
      <c r="P104" s="1894" t="e">
        <v>#REF!</v>
      </c>
      <c r="Q104" s="1895" t="e">
        <v>#REF!</v>
      </c>
      <c r="R104" s="1895" t="e">
        <v>#N/A</v>
      </c>
      <c r="S104" s="1836">
        <v>0</v>
      </c>
      <c r="T104" s="1836">
        <v>0</v>
      </c>
      <c r="U104" s="1836">
        <v>0</v>
      </c>
    </row>
    <row r="105" spans="2:21" ht="13.5" thickBot="1">
      <c r="B105" s="1811"/>
      <c r="C105" s="1811"/>
      <c r="D105" s="1811"/>
      <c r="E105" s="1811"/>
      <c r="F105" s="1811"/>
      <c r="G105" s="1848">
        <v>0</v>
      </c>
      <c r="H105" s="1835">
        <v>0</v>
      </c>
      <c r="I105" s="1847">
        <v>0</v>
      </c>
      <c r="J105" s="1814" t="e">
        <v>#DIV/0!</v>
      </c>
      <c r="K105" s="1812"/>
      <c r="L105" s="1850" t="e">
        <v>#N/A</v>
      </c>
      <c r="M105" s="1851" t="e">
        <v>#N/A</v>
      </c>
      <c r="N105" s="1881" t="e">
        <v>#DIV/0!</v>
      </c>
      <c r="O105" s="1881" t="e">
        <v>#DIV/0!</v>
      </c>
      <c r="P105" s="1881" t="e">
        <v>#N/A</v>
      </c>
      <c r="Q105" s="1882" t="e">
        <v>#N/A</v>
      </c>
      <c r="R105" s="1882" t="e">
        <v>#DIV/0!</v>
      </c>
      <c r="S105" s="1837">
        <v>0</v>
      </c>
      <c r="T105" s="1837">
        <v>0</v>
      </c>
      <c r="U105" s="1837">
        <v>0</v>
      </c>
    </row>
  </sheetData>
  <sheetProtection password="9E1F" sheet="1" objects="1" scenarios="1"/>
  <customSheetViews>
    <customSheetView guid="{074EB09C-6289-46D7-9513-012B68BCA7BF}" fitToPage="1">
      <pane xSplit="1" ySplit="1" topLeftCell="B2" activePane="bottomRight" state="frozen"/>
      <selection pane="bottomRight"/>
      <pageMargins left="0.17" right="0.22" top="0.28000000000000003" bottom="0.39" header="0.3" footer="0.3"/>
      <pageSetup paperSize="17" scale="53" orientation="landscape" r:id="rId1"/>
    </customSheetView>
    <customSheetView guid="{AF9F1D33-B8C2-423F-86A1-47612B8F532C}" fitToPage="1">
      <pane xSplit="1" ySplit="1" topLeftCell="B2" activePane="bottomRight" state="frozenSplit"/>
      <selection pane="bottomRight" activeCell="C24" sqref="C24:C25"/>
      <pageMargins left="0.7" right="0.7" top="0.75" bottom="0.75" header="0.3" footer="0.3"/>
      <pageSetup paperSize="17" scale="53" orientation="landscape"/>
    </customSheetView>
  </customSheetViews>
  <mergeCells count="16">
    <mergeCell ref="D10:E10"/>
    <mergeCell ref="I10:L10"/>
    <mergeCell ref="M10:N10"/>
    <mergeCell ref="S61:U61"/>
    <mergeCell ref="M11:O11"/>
    <mergeCell ref="B61:K61"/>
    <mergeCell ref="I12:K12"/>
    <mergeCell ref="D60:H60"/>
    <mergeCell ref="C11:F11"/>
    <mergeCell ref="V61:X61"/>
    <mergeCell ref="Q2:R2"/>
    <mergeCell ref="S2:U2"/>
    <mergeCell ref="V2:V3"/>
    <mergeCell ref="P11:R11"/>
    <mergeCell ref="L61:R61"/>
    <mergeCell ref="I11:L11"/>
  </mergeCells>
  <pageMargins left="0.17" right="0.22" top="0.28000000000000003" bottom="0.39" header="0.3" footer="0.3"/>
  <pageSetup paperSize="17" scale="54" orientation="landscape" r:id="rId2"/>
  <drawing r:id="rId3"/>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sheetPr enableFormatConditionsCalculation="0">
    <tabColor rgb="FFFF0000"/>
  </sheetPr>
  <dimension ref="A1:A13"/>
  <sheetViews>
    <sheetView topLeftCell="A13" workbookViewId="0">
      <selection activeCell="K69" sqref="K69"/>
    </sheetView>
  </sheetViews>
  <sheetFormatPr defaultColWidth="8.85546875" defaultRowHeight="12.75"/>
  <sheetData>
    <row r="1" spans="1:1">
      <c r="A1" t="s">
        <v>0</v>
      </c>
    </row>
    <row r="13" spans="1:1">
      <c r="A13" t="s">
        <v>2</v>
      </c>
    </row>
  </sheetData>
  <customSheetViews>
    <customSheetView guid="{074EB09C-6289-46D7-9513-012B68BCA7BF}" topLeftCell="A13">
      <selection activeCell="K69" sqref="K69"/>
      <pageMargins left="0.7" right="0.7" top="0.75" bottom="0.75" header="0.3" footer="0.3"/>
      <pageSetup orientation="portrait" r:id="rId1"/>
    </customSheetView>
    <customSheetView guid="{AF9F1D33-B8C2-423F-86A1-47612B8F532C}" topLeftCell="A13">
      <selection activeCell="A13" sqref="A13"/>
      <pageMargins left="0.7" right="0.7" top="0.75" bottom="0.75" header="0.3" footer="0.3"/>
      <pageSetup orientation="portrait"/>
    </customSheetView>
  </customSheetViews>
  <pageMargins left="0.7" right="0.7" top="0.75" bottom="0.75" header="0.3" footer="0.3"/>
  <pageSetup orientation="portrait" r:id="rId2"/>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B3" sqref="B3"/>
    </sheetView>
  </sheetViews>
  <sheetFormatPr defaultColWidth="8.85546875" defaultRowHeight="12.75"/>
  <cols>
    <col min="1" max="1" width="15.28515625" customWidth="1"/>
    <col min="2" max="2" width="21" customWidth="1"/>
    <col min="3" max="3" width="25" style="2" customWidth="1"/>
    <col min="4" max="4" width="22.85546875" style="3" customWidth="1"/>
    <col min="5" max="9" width="18.85546875" customWidth="1"/>
    <col min="10" max="10" width="17.42578125" customWidth="1"/>
    <col min="11" max="12" width="24.42578125" customWidth="1"/>
    <col min="13" max="13" width="19.42578125" customWidth="1"/>
    <col min="14" max="14" width="13.85546875" customWidth="1"/>
    <col min="15" max="15" width="15.42578125" customWidth="1"/>
  </cols>
  <sheetData>
    <row r="1" spans="1:15" ht="44.25" customHeight="1"/>
    <row r="2" spans="1:15" s="194" customFormat="1" ht="18.75" customHeight="1" thickBot="1">
      <c r="B2" s="1" t="s">
        <v>1179</v>
      </c>
      <c r="C2" s="2113"/>
      <c r="D2" s="2"/>
      <c r="E2" s="3"/>
    </row>
    <row r="3" spans="1:15" ht="18" customHeight="1" thickBot="1">
      <c r="B3" s="4275" t="s">
        <v>1173</v>
      </c>
      <c r="C3" s="167"/>
      <c r="D3" s="6" t="s">
        <v>75</v>
      </c>
      <c r="E3" s="101">
        <v>18230737</v>
      </c>
    </row>
    <row r="4" spans="1:15" ht="20.25" customHeight="1">
      <c r="B4" s="2207" t="s">
        <v>99</v>
      </c>
    </row>
    <row r="5" spans="1:15" ht="13.5" thickBot="1">
      <c r="A5" s="69"/>
      <c r="C5"/>
      <c r="D5" s="2"/>
      <c r="E5" s="104" t="s">
        <v>1139</v>
      </c>
    </row>
    <row r="6" spans="1:15" ht="38.25">
      <c r="B6" s="3462"/>
      <c r="C6"/>
      <c r="D6"/>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95"/>
      <c r="O7" s="26" t="s">
        <v>21</v>
      </c>
    </row>
    <row r="8" spans="1:15" s="53" customFormat="1">
      <c r="A8" s="109"/>
      <c r="D8" s="111" t="s">
        <v>22</v>
      </c>
      <c r="E8" s="28">
        <v>69700</v>
      </c>
      <c r="F8" s="28">
        <v>0</v>
      </c>
      <c r="G8" s="28">
        <v>0</v>
      </c>
      <c r="H8" s="28">
        <v>0</v>
      </c>
      <c r="I8" s="28">
        <v>0</v>
      </c>
      <c r="J8" s="28">
        <v>149300</v>
      </c>
      <c r="K8" s="28">
        <v>0</v>
      </c>
      <c r="L8" s="28">
        <v>0</v>
      </c>
      <c r="M8" s="28">
        <v>0</v>
      </c>
      <c r="N8" s="87">
        <v>219000</v>
      </c>
      <c r="O8" s="30" t="e">
        <f>(N8-N7)/N7</f>
        <v>#DIV/0!</v>
      </c>
    </row>
    <row r="9" spans="1:15" s="53" customFormat="1">
      <c r="A9" s="109"/>
      <c r="D9" s="53">
        <v>2012</v>
      </c>
      <c r="E9" s="118">
        <f>SUM(B24:B26)</f>
        <v>0</v>
      </c>
      <c r="F9" s="118">
        <f>SUM(B30:B32)</f>
        <v>0</v>
      </c>
      <c r="G9" s="118">
        <f>(SUM(B24:B26)+SUM(B30:B32))*0.63</f>
        <v>0</v>
      </c>
      <c r="H9" s="118">
        <f>SUM(B45:B49)+SUM(B53:B58)</f>
        <v>0</v>
      </c>
      <c r="I9" s="119">
        <f>SUM(B61:B65)</f>
        <v>0</v>
      </c>
      <c r="J9" s="118">
        <f>SUM(B69:B74)</f>
        <v>95650</v>
      </c>
      <c r="K9" s="118">
        <f>SUM(B77:B83)</f>
        <v>0</v>
      </c>
      <c r="L9" s="118">
        <f>SUM(B86:B91)</f>
        <v>0</v>
      </c>
      <c r="M9" s="120"/>
      <c r="N9" s="121">
        <f>SUM(E9:M9)</f>
        <v>95650</v>
      </c>
      <c r="O9" s="30">
        <f>(N9-N8)/N8</f>
        <v>-0.56324200913242006</v>
      </c>
    </row>
    <row r="10" spans="1:15" s="5017" customFormat="1">
      <c r="A10" s="5023"/>
      <c r="D10" s="5011" t="s">
        <v>1168</v>
      </c>
      <c r="E10" s="5007">
        <v>0</v>
      </c>
      <c r="F10" s="5007">
        <v>0</v>
      </c>
      <c r="G10" s="5007">
        <v>0</v>
      </c>
      <c r="H10" s="5007">
        <v>0</v>
      </c>
      <c r="I10" s="5016">
        <v>0</v>
      </c>
      <c r="J10" s="5007">
        <v>95130</v>
      </c>
      <c r="K10" s="5007">
        <v>0</v>
      </c>
      <c r="L10" s="5007">
        <v>0</v>
      </c>
      <c r="M10" s="5001"/>
      <c r="N10" s="5004">
        <v>95130</v>
      </c>
      <c r="O10" s="1346">
        <v>-5.4364871928907479E-3</v>
      </c>
    </row>
    <row r="11" spans="1:15" s="53" customFormat="1">
      <c r="A11" s="109"/>
      <c r="D11" s="4264" t="s">
        <v>1169</v>
      </c>
      <c r="E11" s="4218">
        <f>SUM(C24:C26)</f>
        <v>0</v>
      </c>
      <c r="F11" s="4218">
        <f>SUM(C30:C32)</f>
        <v>0</v>
      </c>
      <c r="G11" s="4218">
        <f>(SUM(C24:C26)+SUM(C30:C32))*0.63</f>
        <v>0</v>
      </c>
      <c r="H11" s="4218">
        <f>SUM(C45:C49)+SUM(C53:C58)</f>
        <v>0</v>
      </c>
      <c r="I11" s="4219">
        <f>SUM(C61:C65)</f>
        <v>0</v>
      </c>
      <c r="J11" s="4218">
        <f>SUM(C69:C74)</f>
        <v>95130</v>
      </c>
      <c r="K11" s="4218">
        <f>SUM(C77:C83)</f>
        <v>0</v>
      </c>
      <c r="L11" s="4218">
        <f>SUM(C86:C91)</f>
        <v>0</v>
      </c>
      <c r="M11" s="4220"/>
      <c r="N11" s="4221">
        <f>SUM(E11:M11)</f>
        <v>95130</v>
      </c>
      <c r="O11" s="30">
        <f>(N11-N9)/N9</f>
        <v>-5.4364871928907479E-3</v>
      </c>
    </row>
    <row r="12" spans="1:15" s="19" customFormat="1" ht="13.5" thickBot="1">
      <c r="A12" s="69"/>
      <c r="D12" s="123" t="s">
        <v>1172</v>
      </c>
      <c r="E12" s="124">
        <f>SUM(E9:E11)</f>
        <v>0</v>
      </c>
      <c r="F12" s="124">
        <f t="shared" ref="F12:M12" si="0">SUM(F9:F11)</f>
        <v>0</v>
      </c>
      <c r="G12" s="124">
        <f t="shared" si="0"/>
        <v>0</v>
      </c>
      <c r="H12" s="124">
        <f t="shared" si="0"/>
        <v>0</v>
      </c>
      <c r="I12" s="124">
        <f t="shared" si="0"/>
        <v>0</v>
      </c>
      <c r="J12" s="124">
        <f t="shared" si="0"/>
        <v>285910</v>
      </c>
      <c r="K12" s="124">
        <f t="shared" si="0"/>
        <v>0</v>
      </c>
      <c r="L12" s="124">
        <f t="shared" si="0"/>
        <v>0</v>
      </c>
      <c r="M12" s="125">
        <f t="shared" si="0"/>
        <v>0</v>
      </c>
      <c r="N12" s="126">
        <f>SUM(N9:N11)</f>
        <v>285910</v>
      </c>
    </row>
    <row r="13" spans="1:15" ht="18" customHeight="1">
      <c r="A13" s="69"/>
      <c r="C13"/>
      <c r="D13" s="2"/>
      <c r="E13" s="3"/>
      <c r="M13" s="69" t="s">
        <v>23</v>
      </c>
    </row>
    <row r="14" spans="1:15">
      <c r="A14" s="69"/>
      <c r="C14"/>
      <c r="D14" s="2"/>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14" s="53" customFormat="1" ht="15.75">
      <c r="A17" s="109"/>
      <c r="B17" s="129"/>
      <c r="C17" s="129"/>
      <c r="D17" s="129"/>
      <c r="E17" s="129"/>
      <c r="F17" s="129"/>
      <c r="G17" s="129"/>
    </row>
    <row r="18" spans="1:14" ht="15.75">
      <c r="A18" s="69"/>
      <c r="B18" s="5141" t="s">
        <v>26</v>
      </c>
      <c r="C18" s="5141"/>
      <c r="D18" s="43" t="s">
        <v>27</v>
      </c>
      <c r="E18" s="44" t="s">
        <v>28</v>
      </c>
    </row>
    <row r="19" spans="1:14" ht="15.75">
      <c r="A19" s="69"/>
      <c r="B19" s="5142" t="s">
        <v>29</v>
      </c>
      <c r="C19" s="5142"/>
      <c r="D19" s="43"/>
      <c r="E19" s="44"/>
      <c r="N19" s="84"/>
    </row>
    <row r="20" spans="1:14" ht="45.75">
      <c r="A20" s="69"/>
      <c r="B20" s="170">
        <v>2012</v>
      </c>
      <c r="C20" s="170">
        <v>2013</v>
      </c>
      <c r="D20" s="69" t="s">
        <v>82</v>
      </c>
      <c r="E20" s="131" t="s">
        <v>31</v>
      </c>
      <c r="N20" s="84"/>
    </row>
    <row r="21" spans="1:14">
      <c r="A21" s="69"/>
      <c r="B21" s="174" t="s">
        <v>9</v>
      </c>
      <c r="C21" s="174" t="s">
        <v>9</v>
      </c>
      <c r="D21" s="138"/>
      <c r="E21" s="139">
        <f>SUM(B24:B26)+SUM(C24:C26)</f>
        <v>0</v>
      </c>
    </row>
    <row r="22" spans="1:14" ht="7.5" customHeight="1">
      <c r="A22" s="69"/>
      <c r="B22" s="175"/>
      <c r="C22" s="175"/>
      <c r="D22" s="2"/>
      <c r="E22" s="52"/>
    </row>
    <row r="23" spans="1:14">
      <c r="A23" s="69"/>
      <c r="B23" s="176" t="s">
        <v>32</v>
      </c>
      <c r="C23" s="176" t="s">
        <v>32</v>
      </c>
      <c r="D23" s="143" t="s">
        <v>7</v>
      </c>
      <c r="E23" s="52"/>
      <c r="F23" s="144" t="s">
        <v>7</v>
      </c>
    </row>
    <row r="24" spans="1:14">
      <c r="A24" s="69"/>
      <c r="B24" s="69"/>
      <c r="C24" s="19"/>
      <c r="E24" s="52"/>
      <c r="F24" s="146"/>
    </row>
    <row r="25" spans="1:14">
      <c r="A25" s="69"/>
      <c r="C25"/>
      <c r="D25" s="2"/>
      <c r="E25" s="52"/>
    </row>
    <row r="26" spans="1:14">
      <c r="A26" s="69"/>
      <c r="C26"/>
      <c r="D26" s="2"/>
      <c r="E26" s="52"/>
    </row>
    <row r="27" spans="1:14" s="53" customFormat="1" ht="21" customHeight="1">
      <c r="A27" s="109"/>
      <c r="B27" s="174" t="s">
        <v>10</v>
      </c>
      <c r="C27" s="174" t="s">
        <v>10</v>
      </c>
      <c r="D27" s="138"/>
      <c r="E27" s="139">
        <f>SUM(B30:B33)+SUM(C30:C33)</f>
        <v>0</v>
      </c>
    </row>
    <row r="28" spans="1:14" ht="8.25" customHeight="1">
      <c r="A28" s="69"/>
      <c r="B28" s="180"/>
      <c r="C28" s="180"/>
      <c r="D28" s="152"/>
      <c r="E28" s="52"/>
    </row>
    <row r="29" spans="1:14" s="53" customFormat="1" ht="13.5" customHeight="1">
      <c r="A29" s="109"/>
      <c r="B29" s="176" t="s">
        <v>32</v>
      </c>
      <c r="C29" s="176" t="s">
        <v>32</v>
      </c>
      <c r="D29" s="152"/>
      <c r="E29" s="52"/>
    </row>
    <row r="30" spans="1:14">
      <c r="A30" s="69"/>
      <c r="B30" s="86"/>
      <c r="C30" s="181"/>
      <c r="D30" s="150"/>
      <c r="E30" s="52"/>
    </row>
    <row r="31" spans="1:14">
      <c r="A31" s="69"/>
      <c r="B31" s="181"/>
      <c r="C31" s="181"/>
      <c r="D31" s="150"/>
      <c r="E31" s="52"/>
    </row>
    <row r="32" spans="1:14">
      <c r="A32" s="69"/>
      <c r="B32" s="19"/>
      <c r="C32" s="19"/>
      <c r="D32" s="150"/>
      <c r="E32" s="52"/>
    </row>
    <row r="33" spans="1:6">
      <c r="A33" s="69"/>
      <c r="B33" s="19"/>
      <c r="C33" s="19"/>
      <c r="D33" s="150"/>
      <c r="E33" s="52"/>
    </row>
    <row r="34" spans="1:6">
      <c r="A34" s="69"/>
      <c r="B34" s="174" t="s">
        <v>11</v>
      </c>
      <c r="C34" s="174" t="s">
        <v>11</v>
      </c>
      <c r="D34" s="138"/>
      <c r="E34" s="139">
        <f>E21*0.63</f>
        <v>0</v>
      </c>
    </row>
    <row r="35" spans="1:6" ht="7.5" customHeight="1">
      <c r="A35" s="69"/>
      <c r="B35" s="175"/>
      <c r="C35" s="175"/>
      <c r="D35" s="2"/>
      <c r="E35" s="68"/>
    </row>
    <row r="36" spans="1:6">
      <c r="A36" s="187"/>
      <c r="B36" s="182" t="s">
        <v>37</v>
      </c>
      <c r="C36" s="182" t="s">
        <v>1204</v>
      </c>
      <c r="D36" s="143" t="s">
        <v>7</v>
      </c>
      <c r="E36" s="52"/>
      <c r="F36" s="157"/>
    </row>
    <row r="37" spans="1:6">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26.2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27.75" customHeight="1">
      <c r="A50" s="69"/>
      <c r="B50" s="19"/>
      <c r="C50" s="19"/>
      <c r="D50" s="150"/>
      <c r="E50" s="52"/>
    </row>
    <row r="51" spans="1:5" ht="25.5">
      <c r="A51" s="69"/>
      <c r="B51" s="174" t="s">
        <v>39</v>
      </c>
      <c r="C51" s="174" t="s">
        <v>39</v>
      </c>
      <c r="D51" s="138"/>
      <c r="E51" s="139">
        <f>SUM(B53:B58)+SUM(C53:C58)</f>
        <v>0</v>
      </c>
    </row>
    <row r="52" spans="1:5" ht="6.75" customHeight="1">
      <c r="A52" s="69"/>
      <c r="B52" s="180"/>
      <c r="C52" s="180"/>
      <c r="D52"/>
      <c r="E52" s="73"/>
    </row>
    <row r="53" spans="1:5">
      <c r="A53" s="69"/>
      <c r="B53" s="184"/>
      <c r="C53" s="184"/>
      <c r="D53"/>
      <c r="E53" s="73"/>
    </row>
    <row r="54" spans="1:5" ht="12.75" customHeight="1">
      <c r="A54" s="69"/>
      <c r="B54" s="184"/>
      <c r="C54" s="184"/>
      <c r="D54"/>
      <c r="E54" s="73"/>
    </row>
    <row r="55" spans="1:5">
      <c r="A55" s="69"/>
      <c r="B55" s="184"/>
      <c r="C55" s="184"/>
      <c r="D55"/>
      <c r="E55" s="73"/>
    </row>
    <row r="56" spans="1:5">
      <c r="A56" s="69"/>
      <c r="B56" s="184"/>
      <c r="C56" s="184"/>
      <c r="D56"/>
      <c r="E56" s="73"/>
    </row>
    <row r="57" spans="1:5">
      <c r="A57" s="69"/>
      <c r="C57"/>
      <c r="D57"/>
      <c r="E57" s="73"/>
    </row>
    <row r="58" spans="1:5">
      <c r="A58" s="69"/>
      <c r="C58"/>
      <c r="D58" s="2"/>
      <c r="E58" s="52"/>
    </row>
    <row r="59" spans="1:5">
      <c r="A59" s="69"/>
      <c r="B59" s="174" t="s">
        <v>13</v>
      </c>
      <c r="C59" s="174" t="s">
        <v>13</v>
      </c>
      <c r="D59" s="138"/>
      <c r="E59" s="139">
        <f>SUM(B61:B66)+SUM(C61:C66)</f>
        <v>0</v>
      </c>
    </row>
    <row r="60" spans="1:5" ht="6.75" customHeight="1">
      <c r="A60" s="69"/>
      <c r="B60" s="175"/>
      <c r="C60" s="175"/>
      <c r="D60" s="2"/>
      <c r="E60" s="52"/>
    </row>
    <row r="61" spans="1:5">
      <c r="A61" s="69"/>
      <c r="C61"/>
      <c r="D61" s="160" t="s">
        <v>70</v>
      </c>
      <c r="E61" s="52"/>
    </row>
    <row r="62" spans="1:5">
      <c r="A62" s="69"/>
      <c r="B62" t="s">
        <v>7</v>
      </c>
      <c r="C62"/>
      <c r="D62" s="160" t="s">
        <v>41</v>
      </c>
      <c r="E62" s="52"/>
    </row>
    <row r="63" spans="1:5">
      <c r="A63" s="69"/>
      <c r="C63"/>
      <c r="D63" s="160" t="s">
        <v>42</v>
      </c>
      <c r="E63" s="52"/>
    </row>
    <row r="64" spans="1:5">
      <c r="A64" s="69"/>
      <c r="C64"/>
      <c r="D64" s="160" t="s">
        <v>61</v>
      </c>
      <c r="E64" s="52"/>
    </row>
    <row r="65" spans="1:6">
      <c r="A65" s="69"/>
      <c r="B65" s="188"/>
      <c r="C65" s="188"/>
      <c r="D65" s="160" t="s">
        <v>44</v>
      </c>
      <c r="E65" s="52"/>
    </row>
    <row r="66" spans="1:6">
      <c r="A66" s="69"/>
      <c r="B66" s="188"/>
      <c r="C66" s="188"/>
      <c r="D66" s="160"/>
      <c r="E66" s="52"/>
    </row>
    <row r="67" spans="1:6">
      <c r="A67" s="69"/>
      <c r="B67" s="174" t="s">
        <v>14</v>
      </c>
      <c r="C67" s="174" t="s">
        <v>14</v>
      </c>
      <c r="D67" s="138"/>
      <c r="E67" s="139">
        <f>SUM(B69:B74)+SUM(C69:C74)</f>
        <v>190780</v>
      </c>
    </row>
    <row r="68" spans="1:6" ht="6" customHeight="1">
      <c r="A68" s="162"/>
      <c r="B68" s="175"/>
      <c r="C68" s="175"/>
      <c r="D68" s="2"/>
      <c r="E68" s="52"/>
    </row>
    <row r="69" spans="1:6">
      <c r="A69" s="69"/>
      <c r="B69" s="84">
        <v>25220</v>
      </c>
      <c r="C69" s="84">
        <v>13000</v>
      </c>
      <c r="D69" s="160" t="s">
        <v>93</v>
      </c>
      <c r="E69" s="52"/>
    </row>
    <row r="70" spans="1:6">
      <c r="A70" s="69"/>
      <c r="B70" s="84"/>
      <c r="C70" s="84"/>
      <c r="D70" s="160"/>
      <c r="E70" s="52"/>
    </row>
    <row r="71" spans="1:6">
      <c r="A71" s="69"/>
      <c r="B71" s="84">
        <v>32500</v>
      </c>
      <c r="C71" s="84">
        <v>44200</v>
      </c>
      <c r="D71" s="160" t="s">
        <v>103</v>
      </c>
      <c r="E71" s="52"/>
    </row>
    <row r="72" spans="1:6">
      <c r="A72" s="69"/>
      <c r="B72" s="84">
        <v>35100</v>
      </c>
      <c r="C72" s="84">
        <v>35100</v>
      </c>
      <c r="D72" s="160" t="s">
        <v>104</v>
      </c>
      <c r="E72" s="52"/>
      <c r="F72" s="3533">
        <v>18230655</v>
      </c>
    </row>
    <row r="73" spans="1:6">
      <c r="A73" s="69"/>
      <c r="B73" s="84">
        <v>2050</v>
      </c>
      <c r="C73" s="84">
        <v>2050</v>
      </c>
      <c r="D73" s="3065" t="s">
        <v>973</v>
      </c>
      <c r="E73" s="52"/>
      <c r="F73" s="3533">
        <v>18230686</v>
      </c>
    </row>
    <row r="74" spans="1:6">
      <c r="A74" s="69"/>
      <c r="B74" s="84">
        <v>780</v>
      </c>
      <c r="C74" s="84">
        <v>780</v>
      </c>
      <c r="D74" s="3065" t="s">
        <v>974</v>
      </c>
      <c r="E74" s="52"/>
    </row>
    <row r="75" spans="1:6">
      <c r="A75" s="69"/>
      <c r="B75" s="174" t="s">
        <v>15</v>
      </c>
      <c r="C75" s="174" t="s">
        <v>15</v>
      </c>
      <c r="D75" s="138"/>
      <c r="E75" s="139">
        <f>SUM(B77:B83)+SUM(C77:C83)</f>
        <v>0</v>
      </c>
    </row>
    <row r="76" spans="1:6" ht="6.75" customHeight="1">
      <c r="A76" s="69"/>
      <c r="B76" s="180"/>
      <c r="C76" s="180"/>
      <c r="D76" s="2"/>
      <c r="E76" s="52"/>
    </row>
    <row r="77" spans="1:6" s="53" customFormat="1" ht="12.75" customHeight="1">
      <c r="A77" s="109"/>
      <c r="B77" s="184"/>
      <c r="C77" s="184"/>
      <c r="D77" s="163"/>
      <c r="E77" s="52"/>
    </row>
    <row r="78" spans="1:6" s="53" customFormat="1" ht="12.75" customHeight="1">
      <c r="A78" s="109"/>
      <c r="B78" s="184"/>
      <c r="C78" s="184"/>
      <c r="D78" s="163"/>
      <c r="E78" s="52"/>
    </row>
    <row r="79" spans="1:6" s="53" customFormat="1" ht="12.75" customHeight="1">
      <c r="A79" s="109"/>
      <c r="B79" s="184"/>
      <c r="C79" s="184"/>
      <c r="D79" s="163"/>
      <c r="E79" s="52"/>
    </row>
    <row r="80" spans="1:6" s="53" customFormat="1" ht="12.75" customHeight="1">
      <c r="A80" s="109"/>
      <c r="B80" s="184"/>
      <c r="C80" s="184"/>
      <c r="D80" s="163"/>
      <c r="E80" s="52"/>
    </row>
    <row r="81" spans="1:5" s="53" customFormat="1" ht="12.75" customHeight="1">
      <c r="A81" s="109"/>
      <c r="B81" s="184"/>
      <c r="C81" s="184"/>
      <c r="D81" s="163"/>
      <c r="E81" s="52"/>
    </row>
    <row r="82" spans="1:5">
      <c r="A82" s="69"/>
      <c r="C82"/>
      <c r="D82" s="150"/>
      <c r="E82" s="52"/>
    </row>
    <row r="83" spans="1:5">
      <c r="A83" s="69"/>
      <c r="C83"/>
      <c r="D83" s="150"/>
      <c r="E83" s="52"/>
    </row>
    <row r="84" spans="1:5">
      <c r="A84" s="69"/>
      <c r="B84" s="174" t="s">
        <v>16</v>
      </c>
      <c r="C84" s="174" t="s">
        <v>16</v>
      </c>
      <c r="D84" s="138"/>
      <c r="E84" s="139">
        <f>SUM(B86:B91)+SUM(C86:C91)</f>
        <v>0</v>
      </c>
    </row>
    <row r="85" spans="1:5" s="53" customFormat="1" ht="6.75" customHeight="1">
      <c r="A85" s="109"/>
      <c r="B85" s="180"/>
      <c r="C85" s="180"/>
      <c r="D85" s="163"/>
      <c r="E85" s="52"/>
    </row>
    <row r="86" spans="1:5" s="53" customFormat="1" ht="12.75" customHeight="1">
      <c r="A86" s="109"/>
      <c r="B86" s="191"/>
      <c r="C86" s="191"/>
      <c r="D86" s="163"/>
      <c r="E86" s="52"/>
    </row>
    <row r="87" spans="1:5" s="53" customFormat="1" ht="12.75" customHeight="1">
      <c r="A87" s="109"/>
      <c r="B87" s="1428"/>
      <c r="C87" s="1428"/>
      <c r="E87" s="52"/>
    </row>
    <row r="88" spans="1:5" s="53" customFormat="1" ht="12.75" customHeight="1">
      <c r="A88" s="109"/>
      <c r="B88" s="191"/>
      <c r="C88" s="191"/>
      <c r="D88" s="165"/>
      <c r="E88" s="52"/>
    </row>
    <row r="89" spans="1:5" s="53" customFormat="1">
      <c r="A89" s="109"/>
      <c r="B89" s="191"/>
      <c r="C89" s="191"/>
      <c r="D89" s="163"/>
      <c r="E89" s="52"/>
    </row>
    <row r="90" spans="1:5" s="53" customFormat="1">
      <c r="A90" s="109"/>
      <c r="B90" s="191"/>
      <c r="C90" s="191"/>
      <c r="D90" s="163"/>
      <c r="E90" s="52"/>
    </row>
    <row r="91" spans="1:5">
      <c r="A91" s="69"/>
      <c r="B91" s="179"/>
      <c r="C91" s="179"/>
      <c r="D91" s="2"/>
      <c r="E91" s="52"/>
    </row>
    <row r="92" spans="1:5" ht="25.5">
      <c r="A92" s="69"/>
      <c r="B92" s="174" t="s">
        <v>17</v>
      </c>
      <c r="C92" s="174" t="s">
        <v>17</v>
      </c>
      <c r="D92" s="2"/>
      <c r="E92" s="52"/>
    </row>
    <row r="93" spans="1:5" s="53" customFormat="1" ht="6.75" customHeight="1">
      <c r="A93" s="109"/>
      <c r="B93" s="180"/>
      <c r="C93" s="180"/>
      <c r="D93" s="163"/>
      <c r="E93" s="52"/>
    </row>
    <row r="94" spans="1:5" s="53" customFormat="1">
      <c r="A94" s="109"/>
      <c r="B94" s="184"/>
      <c r="C94" s="184"/>
      <c r="D94" s="163"/>
      <c r="E94" s="82"/>
    </row>
    <row r="95" spans="1:5">
      <c r="A95" s="69"/>
      <c r="B95" s="86" t="s">
        <v>54</v>
      </c>
      <c r="C95"/>
      <c r="D95" s="2"/>
      <c r="E95" s="3"/>
    </row>
    <row r="96" spans="1:5">
      <c r="A96" s="69"/>
      <c r="B96" s="86" t="s">
        <v>55</v>
      </c>
      <c r="C96"/>
      <c r="D96" s="2"/>
      <c r="E96" s="3"/>
    </row>
    <row r="97" spans="1:5">
      <c r="A97" s="69"/>
      <c r="B97" s="86" t="s">
        <v>56</v>
      </c>
      <c r="C97"/>
      <c r="D97" s="2"/>
      <c r="E97" s="3"/>
    </row>
  </sheetData>
  <sheetProtection password="9E1F" sheet="1" objects="1" scenarios="1"/>
  <customSheetViews>
    <customSheetView guid="{074EB09C-6289-46D7-9513-012B68BCA7BF}" fitToPage="1">
      <pane xSplit="1" ySplit="1" topLeftCell="B2" activePane="bottomRight" state="frozen"/>
      <selection pane="bottomRight" activeCell="B3" sqref="B3"/>
      <pageMargins left="0.27" right="0.7" top="0.38" bottom="0.45" header="0.3" footer="0.3"/>
      <pageSetup paperSize="17" scale="53" orientation="landscape" r:id="rId1"/>
    </customSheetView>
    <customSheetView guid="{AF9F1D33-B8C2-423F-86A1-47612B8F532C}" fitToPage="1">
      <pane xSplit="1" ySplit="1" topLeftCell="B5" activePane="bottomRight" state="frozenSplit"/>
      <selection pane="bottomRight" activeCell="G49" sqref="G49"/>
      <pageMargins left="0.7" right="0.7" top="0.75" bottom="0.75" header="0.3" footer="0.3"/>
      <pageSetup paperSize="17" scale="53" orientation="landscape"/>
    </customSheetView>
  </customSheetViews>
  <mergeCells count="3">
    <mergeCell ref="B18:C18"/>
    <mergeCell ref="B19:C19"/>
    <mergeCell ref="B15:E15"/>
  </mergeCells>
  <pageMargins left="0.27" right="0.7" top="0.38" bottom="0.45" header="0.3" footer="0.3"/>
  <pageSetup paperSize="17" scale="54" orientation="landscape" r:id="rId2"/>
  <drawing r:id="rId3"/>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sheetPr enableFormatConditionsCalculation="0">
    <tabColor theme="5" tint="0.59999389629810485"/>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8.85546875" defaultRowHeight="12.75"/>
  <cols>
    <col min="1" max="1" width="16" customWidth="1"/>
    <col min="2" max="2" width="21" customWidth="1"/>
    <col min="3" max="3" width="23.140625" style="2" customWidth="1"/>
    <col min="4" max="4" width="21.85546875" style="3" customWidth="1"/>
    <col min="5" max="9" width="18.85546875" customWidth="1"/>
    <col min="10" max="10" width="17.42578125" customWidth="1"/>
    <col min="11" max="12" width="24.42578125" customWidth="1"/>
    <col min="13" max="13" width="19.42578125" customWidth="1"/>
    <col min="14" max="14" width="14.7109375" customWidth="1"/>
    <col min="15" max="15" width="19.42578125" customWidth="1"/>
  </cols>
  <sheetData>
    <row r="1" spans="1:15" ht="42" customHeight="1"/>
    <row r="2" spans="1:15" ht="19.5" customHeight="1" thickBot="1">
      <c r="B2" s="1" t="s">
        <v>102</v>
      </c>
      <c r="C2" s="166"/>
      <c r="D2" s="2"/>
      <c r="E2" s="3"/>
    </row>
    <row r="3" spans="1:15" ht="15.75" thickBot="1">
      <c r="B3" s="5" t="s">
        <v>99</v>
      </c>
      <c r="C3" s="167"/>
      <c r="D3" s="6" t="s">
        <v>75</v>
      </c>
      <c r="E3" s="101">
        <v>18230732</v>
      </c>
    </row>
    <row r="4" spans="1:15" ht="16.5" customHeight="1"/>
    <row r="5" spans="1:15" ht="13.5" thickBot="1">
      <c r="A5" s="69"/>
      <c r="C5"/>
      <c r="D5" s="2"/>
      <c r="E5" s="104" t="s">
        <v>1139</v>
      </c>
    </row>
    <row r="6" spans="1:15" ht="38.25">
      <c r="B6" s="3462"/>
      <c r="C6"/>
      <c r="D6"/>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15">
        <v>152000</v>
      </c>
      <c r="O7" s="26" t="s">
        <v>21</v>
      </c>
    </row>
    <row r="8" spans="1:15" s="53" customFormat="1">
      <c r="A8" s="109"/>
      <c r="D8" s="111" t="s">
        <v>22</v>
      </c>
      <c r="E8" s="112"/>
      <c r="F8" s="28">
        <v>73125</v>
      </c>
      <c r="G8" s="28">
        <v>34700</v>
      </c>
      <c r="H8" s="28">
        <v>0</v>
      </c>
      <c r="I8" s="28">
        <v>6000</v>
      </c>
      <c r="J8" s="28">
        <v>0</v>
      </c>
      <c r="K8" s="28">
        <v>0</v>
      </c>
      <c r="L8" s="28">
        <v>0</v>
      </c>
      <c r="M8" s="28">
        <v>0</v>
      </c>
      <c r="N8" s="87">
        <v>113825</v>
      </c>
      <c r="O8" s="30">
        <f>(N8-N7)/N7</f>
        <v>-0.25115131578947369</v>
      </c>
    </row>
    <row r="9" spans="1:15" s="53" customFormat="1">
      <c r="A9" s="109"/>
      <c r="D9" s="53">
        <v>2012</v>
      </c>
      <c r="E9" s="118">
        <f>SUM(B24:B26)</f>
        <v>23400</v>
      </c>
      <c r="F9" s="118">
        <f>SUM(B30:B32)</f>
        <v>0</v>
      </c>
      <c r="G9" s="118">
        <f>(SUM(B24:B26)+SUM(B30:B32))*0.63</f>
        <v>14742</v>
      </c>
      <c r="H9" s="118">
        <f>SUM(B45:B49)+SUM(B53:B58)</f>
        <v>0</v>
      </c>
      <c r="I9" s="119">
        <f>SUM(B61:B65)</f>
        <v>2600</v>
      </c>
      <c r="J9" s="118">
        <f>SUM(B69:B74)</f>
        <v>11050</v>
      </c>
      <c r="K9" s="118">
        <f>SUM(B77:B83)</f>
        <v>0</v>
      </c>
      <c r="L9" s="118">
        <f>SUM(B86:B91)</f>
        <v>0</v>
      </c>
      <c r="M9" s="120"/>
      <c r="N9" s="121">
        <f>SUM(E9:M9)</f>
        <v>51792</v>
      </c>
      <c r="O9" s="30">
        <f>(N9-N8)/N8</f>
        <v>-0.54498572369866027</v>
      </c>
    </row>
    <row r="10" spans="1:15" s="5017" customFormat="1">
      <c r="A10" s="5023"/>
      <c r="D10" s="5011" t="s">
        <v>1168</v>
      </c>
      <c r="E10" s="5007">
        <v>24102</v>
      </c>
      <c r="F10" s="5007">
        <v>0</v>
      </c>
      <c r="G10" s="5007">
        <v>15184.26</v>
      </c>
      <c r="H10" s="5007">
        <v>0</v>
      </c>
      <c r="I10" s="5016">
        <v>2600</v>
      </c>
      <c r="J10" s="5007">
        <v>11050</v>
      </c>
      <c r="K10" s="5007">
        <v>0</v>
      </c>
      <c r="L10" s="5007">
        <v>0</v>
      </c>
      <c r="M10" s="5001"/>
      <c r="N10" s="5004">
        <v>52936.26</v>
      </c>
      <c r="O10" s="1346">
        <v>2.2093373493975943E-2</v>
      </c>
    </row>
    <row r="11" spans="1:15" s="53" customFormat="1">
      <c r="A11" s="109"/>
      <c r="D11" s="4264" t="s">
        <v>1169</v>
      </c>
      <c r="E11" s="4218">
        <f>SUM(C24:C26)</f>
        <v>24102</v>
      </c>
      <c r="F11" s="4218">
        <f>SUM(C30:C32)</f>
        <v>0</v>
      </c>
      <c r="G11" s="4218">
        <f>(SUM(C24:C26)+SUM(C30:C32))*0.707</f>
        <v>17040.113999999998</v>
      </c>
      <c r="H11" s="4218">
        <f>SUM(C45:C49)+SUM(C53:C58)</f>
        <v>0</v>
      </c>
      <c r="I11" s="4219">
        <f>SUM(C61:C65)</f>
        <v>2600</v>
      </c>
      <c r="J11" s="4218">
        <f>SUM(C69:C74)</f>
        <v>11050</v>
      </c>
      <c r="K11" s="4218">
        <f>SUM(C77:C83)</f>
        <v>0</v>
      </c>
      <c r="L11" s="4218">
        <f>SUM(C86:C91)</f>
        <v>0</v>
      </c>
      <c r="M11" s="4220"/>
      <c r="N11" s="4221">
        <f>SUM(E11:M11)</f>
        <v>54792.114000000001</v>
      </c>
      <c r="O11" s="30">
        <f>(N11-N9)/N9</f>
        <v>5.7926204819277134E-2</v>
      </c>
    </row>
    <row r="12" spans="1:15" s="19" customFormat="1">
      <c r="A12" s="69"/>
      <c r="D12" s="123" t="s">
        <v>1172</v>
      </c>
      <c r="E12" s="124">
        <f>SUM(E9+E11)</f>
        <v>47502</v>
      </c>
      <c r="F12" s="124">
        <f t="shared" ref="F12:N12" si="0">SUM(F9+F11)</f>
        <v>0</v>
      </c>
      <c r="G12" s="124">
        <f t="shared" si="0"/>
        <v>31782.113999999998</v>
      </c>
      <c r="H12" s="124">
        <f t="shared" si="0"/>
        <v>0</v>
      </c>
      <c r="I12" s="124">
        <f t="shared" si="0"/>
        <v>5200</v>
      </c>
      <c r="J12" s="124">
        <f t="shared" si="0"/>
        <v>22100</v>
      </c>
      <c r="K12" s="124">
        <f t="shared" si="0"/>
        <v>0</v>
      </c>
      <c r="L12" s="124">
        <f t="shared" si="0"/>
        <v>0</v>
      </c>
      <c r="M12" s="124">
        <f t="shared" si="0"/>
        <v>0</v>
      </c>
      <c r="N12" s="124">
        <f t="shared" si="0"/>
        <v>106584.114</v>
      </c>
    </row>
    <row r="13" spans="1:15" ht="18" customHeight="1">
      <c r="A13" s="69"/>
      <c r="C13"/>
      <c r="D13" s="2"/>
      <c r="E13" s="3"/>
      <c r="M13" s="69" t="s">
        <v>23</v>
      </c>
    </row>
    <row r="14" spans="1:15">
      <c r="A14" s="69"/>
      <c r="C14"/>
      <c r="D14" s="2"/>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170">
        <v>2012</v>
      </c>
      <c r="C20" s="170">
        <v>2013</v>
      </c>
      <c r="D20" s="69" t="s">
        <v>82</v>
      </c>
      <c r="E20" s="131" t="s">
        <v>31</v>
      </c>
    </row>
    <row r="21" spans="1:7">
      <c r="A21" s="69"/>
      <c r="B21" s="174" t="s">
        <v>9</v>
      </c>
      <c r="C21" s="174" t="s">
        <v>9</v>
      </c>
      <c r="D21" s="138"/>
      <c r="E21" s="139">
        <f>SUM(B24:B26)+SUM(C24:C26)</f>
        <v>47502</v>
      </c>
    </row>
    <row r="22" spans="1:7" ht="7.5" customHeight="1">
      <c r="A22" s="69"/>
      <c r="B22" s="175"/>
      <c r="C22" s="175"/>
      <c r="D22" s="2"/>
      <c r="E22" s="52"/>
    </row>
    <row r="23" spans="1:7">
      <c r="A23" s="69"/>
      <c r="B23" s="176" t="s">
        <v>32</v>
      </c>
      <c r="C23" s="176" t="s">
        <v>32</v>
      </c>
      <c r="D23" s="143" t="s">
        <v>7</v>
      </c>
      <c r="E23" s="52"/>
      <c r="F23" s="144" t="s">
        <v>7</v>
      </c>
    </row>
    <row r="24" spans="1:7">
      <c r="A24" s="69"/>
      <c r="B24" s="177">
        <v>23400</v>
      </c>
      <c r="C24" s="178">
        <v>24102</v>
      </c>
      <c r="D24" s="145"/>
      <c r="E24" s="52"/>
      <c r="F24" s="146"/>
    </row>
    <row r="25" spans="1:7">
      <c r="A25" s="69"/>
      <c r="B25" s="179"/>
      <c r="C25" s="179"/>
      <c r="D25" s="148"/>
      <c r="E25" s="52"/>
    </row>
    <row r="26" spans="1:7">
      <c r="A26" s="69"/>
      <c r="B26" s="179"/>
      <c r="C26" s="179"/>
      <c r="D26" s="2"/>
      <c r="E26" s="52"/>
    </row>
    <row r="27" spans="1:7" s="53" customFormat="1" ht="21" customHeight="1">
      <c r="A27" s="109"/>
      <c r="B27" s="174" t="s">
        <v>10</v>
      </c>
      <c r="C27" s="174" t="s">
        <v>10</v>
      </c>
      <c r="D27" s="138"/>
      <c r="E27" s="139">
        <f>SUM(B30:B33)+SUM(C30:C33)</f>
        <v>0</v>
      </c>
    </row>
    <row r="28" spans="1:7" ht="8.25" customHeight="1">
      <c r="A28" s="69"/>
      <c r="B28" s="180"/>
      <c r="C28" s="180"/>
      <c r="D28" s="152"/>
      <c r="E28" s="52"/>
    </row>
    <row r="29" spans="1:7" s="53" customFormat="1" ht="13.5" customHeight="1">
      <c r="A29" s="109"/>
      <c r="B29" s="176" t="s">
        <v>32</v>
      </c>
      <c r="C29" s="176" t="s">
        <v>32</v>
      </c>
      <c r="D29" s="152"/>
      <c r="E29" s="52"/>
    </row>
    <row r="30" spans="1:7">
      <c r="A30" s="69"/>
      <c r="B30" s="86"/>
      <c r="C30" s="181"/>
      <c r="D30" s="150"/>
      <c r="E30" s="52"/>
    </row>
    <row r="31" spans="1:7">
      <c r="A31" s="69"/>
      <c r="B31" s="181"/>
      <c r="C31" s="181"/>
      <c r="D31" s="150"/>
      <c r="E31" s="52"/>
    </row>
    <row r="32" spans="1:7">
      <c r="A32" s="69"/>
      <c r="B32" s="19"/>
      <c r="C32" s="19"/>
      <c r="D32" s="150"/>
      <c r="E32" s="52"/>
    </row>
    <row r="33" spans="1:6">
      <c r="A33" s="69"/>
      <c r="B33" s="19"/>
      <c r="C33" s="19"/>
      <c r="D33" s="150"/>
      <c r="E33" s="52"/>
    </row>
    <row r="34" spans="1:6">
      <c r="A34" s="69"/>
      <c r="B34" s="174" t="s">
        <v>11</v>
      </c>
      <c r="C34" s="174" t="s">
        <v>11</v>
      </c>
      <c r="D34" s="138"/>
      <c r="E34" s="139">
        <f>(B24*0.63)+(C24*0.707)</f>
        <v>31782.113999999998</v>
      </c>
    </row>
    <row r="35" spans="1:6" ht="7.5" customHeight="1">
      <c r="A35" s="69"/>
      <c r="B35" s="175"/>
      <c r="C35" s="175"/>
      <c r="D35" s="2"/>
      <c r="E35" s="68"/>
    </row>
    <row r="36" spans="1:6">
      <c r="A36" s="187"/>
      <c r="B36" s="182" t="s">
        <v>37</v>
      </c>
      <c r="C36" s="182" t="s">
        <v>1204</v>
      </c>
      <c r="D36" s="143" t="s">
        <v>7</v>
      </c>
      <c r="E36" s="52"/>
      <c r="F36" s="157"/>
    </row>
    <row r="37" spans="1:6">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26.2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27.75" customHeight="1">
      <c r="A50" s="69"/>
      <c r="B50" s="19"/>
      <c r="C50" s="19"/>
      <c r="D50" s="150"/>
      <c r="E50" s="52"/>
    </row>
    <row r="51" spans="1:5" ht="25.5">
      <c r="A51" s="69"/>
      <c r="B51" s="174" t="s">
        <v>39</v>
      </c>
      <c r="C51" s="174" t="s">
        <v>39</v>
      </c>
      <c r="D51" s="138"/>
      <c r="E51" s="139">
        <f>SUM(B53:B58)+SUM(C53:C58)</f>
        <v>0</v>
      </c>
    </row>
    <row r="52" spans="1:5" ht="6.75" customHeight="1">
      <c r="A52" s="69"/>
      <c r="B52" s="180"/>
      <c r="C52" s="180"/>
      <c r="D52"/>
      <c r="E52" s="73"/>
    </row>
    <row r="53" spans="1:5">
      <c r="A53" s="69"/>
      <c r="B53" s="184"/>
      <c r="C53" s="184"/>
      <c r="D53"/>
      <c r="E53" s="73"/>
    </row>
    <row r="54" spans="1:5" ht="12.75" customHeight="1">
      <c r="A54" s="69"/>
      <c r="B54" s="184"/>
      <c r="C54" s="184"/>
      <c r="D54"/>
      <c r="E54" s="73"/>
    </row>
    <row r="55" spans="1:5">
      <c r="A55" s="69"/>
      <c r="B55" s="184"/>
      <c r="C55" s="184"/>
      <c r="D55"/>
      <c r="E55" s="73"/>
    </row>
    <row r="56" spans="1:5">
      <c r="A56" s="69"/>
      <c r="B56" s="184"/>
      <c r="C56" s="184"/>
      <c r="D56"/>
      <c r="E56" s="73"/>
    </row>
    <row r="57" spans="1:5">
      <c r="A57" s="69"/>
      <c r="C57"/>
      <c r="D57"/>
      <c r="E57" s="73"/>
    </row>
    <row r="58" spans="1:5">
      <c r="A58" s="69"/>
      <c r="C58"/>
      <c r="D58" s="2"/>
      <c r="E58" s="52"/>
    </row>
    <row r="59" spans="1:5">
      <c r="A59" s="69"/>
      <c r="B59" s="174" t="s">
        <v>13</v>
      </c>
      <c r="C59" s="174" t="s">
        <v>13</v>
      </c>
      <c r="D59" s="138"/>
      <c r="E59" s="139">
        <f>SUM(B61:B66)+SUM(C61:C66)</f>
        <v>5200</v>
      </c>
    </row>
    <row r="60" spans="1:5" ht="6.75" customHeight="1">
      <c r="A60" s="69"/>
      <c r="B60" s="175"/>
      <c r="C60" s="175"/>
      <c r="D60" s="2"/>
      <c r="E60" s="52"/>
    </row>
    <row r="61" spans="1:5">
      <c r="A61" s="69"/>
      <c r="B61" s="84"/>
      <c r="C61" s="84"/>
      <c r="D61" s="160" t="s">
        <v>70</v>
      </c>
      <c r="E61" s="52"/>
    </row>
    <row r="62" spans="1:5">
      <c r="A62" s="69"/>
      <c r="B62" s="84" t="s">
        <v>7</v>
      </c>
      <c r="C62" s="84"/>
      <c r="D62" s="160" t="s">
        <v>41</v>
      </c>
      <c r="E62" s="52"/>
    </row>
    <row r="63" spans="1:5">
      <c r="A63" s="69"/>
      <c r="B63" s="84">
        <v>2600</v>
      </c>
      <c r="C63" s="84">
        <v>2600</v>
      </c>
      <c r="D63" s="160" t="s">
        <v>42</v>
      </c>
      <c r="E63" s="52"/>
    </row>
    <row r="64" spans="1:5">
      <c r="A64" s="69"/>
      <c r="B64" s="84"/>
      <c r="C64" s="84"/>
      <c r="D64" s="160" t="s">
        <v>61</v>
      </c>
      <c r="E64" s="52"/>
    </row>
    <row r="65" spans="1:5">
      <c r="A65" s="69"/>
      <c r="B65" s="185"/>
      <c r="C65" s="185"/>
      <c r="D65" s="160" t="s">
        <v>44</v>
      </c>
      <c r="E65" s="52"/>
    </row>
    <row r="66" spans="1:5">
      <c r="A66" s="69"/>
      <c r="B66" s="185"/>
      <c r="C66" s="185"/>
      <c r="D66" s="160"/>
      <c r="E66" s="52"/>
    </row>
    <row r="67" spans="1:5">
      <c r="A67" s="69"/>
      <c r="B67" s="174" t="s">
        <v>14</v>
      </c>
      <c r="C67" s="174" t="s">
        <v>14</v>
      </c>
      <c r="D67" s="138"/>
      <c r="E67" s="139">
        <f>SUM(B69:B74)+SUM(C69:C74)</f>
        <v>22100</v>
      </c>
    </row>
    <row r="68" spans="1:5" ht="6" customHeight="1">
      <c r="A68" s="162"/>
      <c r="B68" s="175"/>
      <c r="C68" s="175"/>
      <c r="D68" s="2"/>
      <c r="E68" s="52"/>
    </row>
    <row r="69" spans="1:5">
      <c r="A69" s="69"/>
      <c r="B69" s="84">
        <v>11050</v>
      </c>
      <c r="C69" s="84">
        <v>11050</v>
      </c>
      <c r="D69" s="160" t="s">
        <v>85</v>
      </c>
      <c r="E69" s="52"/>
    </row>
    <row r="70" spans="1:5">
      <c r="A70" s="69"/>
      <c r="B70" s="84"/>
      <c r="C70" s="84"/>
      <c r="D70" s="2"/>
      <c r="E70" s="52"/>
    </row>
    <row r="71" spans="1:5">
      <c r="A71" s="69"/>
      <c r="B71" s="84"/>
      <c r="C71" s="84"/>
      <c r="D71" s="2"/>
      <c r="E71" s="52"/>
    </row>
    <row r="72" spans="1:5">
      <c r="A72" s="69"/>
      <c r="B72" s="84"/>
      <c r="C72" s="84"/>
      <c r="D72" s="2"/>
      <c r="E72" s="52"/>
    </row>
    <row r="73" spans="1:5">
      <c r="A73" s="69"/>
      <c r="B73" s="84"/>
      <c r="C73" s="84"/>
      <c r="D73" s="2"/>
      <c r="E73" s="52"/>
    </row>
    <row r="74" spans="1:5">
      <c r="A74" s="69"/>
      <c r="B74" s="84" t="s">
        <v>7</v>
      </c>
      <c r="C74" s="84"/>
      <c r="D74" s="2"/>
      <c r="E74" s="52"/>
    </row>
    <row r="75" spans="1:5">
      <c r="A75" s="69"/>
      <c r="B75" s="174" t="s">
        <v>15</v>
      </c>
      <c r="C75" s="174" t="s">
        <v>15</v>
      </c>
      <c r="D75" s="138"/>
      <c r="E75" s="139">
        <f>SUM(B77:B83)+SUM(C77:C83)</f>
        <v>0</v>
      </c>
    </row>
    <row r="76" spans="1:5" ht="6.75" customHeight="1">
      <c r="A76" s="69"/>
      <c r="B76" s="180"/>
      <c r="C76" s="180"/>
      <c r="D76" s="2"/>
      <c r="E76" s="52"/>
    </row>
    <row r="77" spans="1:5" s="53" customFormat="1" ht="12.75" customHeight="1">
      <c r="A77" s="109"/>
      <c r="B77" s="184"/>
      <c r="C77" s="184"/>
      <c r="D77" s="163"/>
      <c r="E77" s="52"/>
    </row>
    <row r="78" spans="1:5" s="53" customFormat="1" ht="12.75" customHeight="1">
      <c r="A78" s="109"/>
      <c r="B78" s="184"/>
      <c r="C78" s="184"/>
      <c r="D78" s="163"/>
      <c r="E78" s="52"/>
    </row>
    <row r="79" spans="1:5" s="53" customFormat="1" ht="12.75" customHeight="1">
      <c r="A79" s="109"/>
      <c r="B79" s="184"/>
      <c r="C79" s="184"/>
      <c r="D79" s="163"/>
      <c r="E79" s="52"/>
    </row>
    <row r="80" spans="1:5" s="53" customFormat="1" ht="12.75" customHeight="1">
      <c r="A80" s="109"/>
      <c r="B80" s="184"/>
      <c r="C80" s="184"/>
      <c r="D80" s="163"/>
      <c r="E80" s="52"/>
    </row>
    <row r="81" spans="1:5" s="53" customFormat="1" ht="12.75" customHeight="1">
      <c r="A81" s="109"/>
      <c r="B81" s="184"/>
      <c r="C81" s="184"/>
      <c r="D81" s="163"/>
      <c r="E81" s="52"/>
    </row>
    <row r="82" spans="1:5">
      <c r="A82" s="69"/>
      <c r="C82"/>
      <c r="D82" s="150"/>
      <c r="E82" s="52"/>
    </row>
    <row r="83" spans="1:5">
      <c r="A83" s="69"/>
      <c r="C83"/>
      <c r="D83" s="150"/>
      <c r="E83" s="52"/>
    </row>
    <row r="84" spans="1:5">
      <c r="A84" s="69"/>
      <c r="B84" s="174" t="s">
        <v>16</v>
      </c>
      <c r="C84" s="174" t="s">
        <v>16</v>
      </c>
      <c r="D84" s="138"/>
      <c r="E84" s="139">
        <f>SUM(B86:B91)+SUM(C86:C91)</f>
        <v>0</v>
      </c>
    </row>
    <row r="85" spans="1:5" s="53" customFormat="1" ht="6.75" customHeight="1">
      <c r="A85" s="109"/>
      <c r="B85" s="180"/>
      <c r="C85" s="180"/>
      <c r="D85" s="163"/>
      <c r="E85" s="52"/>
    </row>
    <row r="86" spans="1:5" s="53" customFormat="1" ht="12.75" customHeight="1">
      <c r="A86" s="109"/>
      <c r="B86" s="184"/>
      <c r="C86" s="184"/>
      <c r="D86" s="163"/>
      <c r="E86" s="52"/>
    </row>
    <row r="87" spans="1:5" s="53" customFormat="1" ht="12.75" customHeight="1">
      <c r="A87" s="109"/>
      <c r="B87" s="184"/>
      <c r="C87" s="184"/>
      <c r="D87" s="163"/>
      <c r="E87" s="52"/>
    </row>
    <row r="88" spans="1:5" s="53" customFormat="1" ht="12.75" customHeight="1">
      <c r="A88" s="109"/>
      <c r="B88" s="184"/>
      <c r="C88" s="184"/>
      <c r="D88" s="163"/>
      <c r="E88" s="52"/>
    </row>
    <row r="89" spans="1:5" s="53" customFormat="1">
      <c r="A89" s="109"/>
      <c r="B89" s="184"/>
      <c r="C89" s="184"/>
      <c r="D89" s="163"/>
      <c r="E89" s="52"/>
    </row>
    <row r="90" spans="1:5" s="53" customFormat="1">
      <c r="A90" s="109"/>
      <c r="B90" s="184"/>
      <c r="C90" s="184"/>
      <c r="D90" s="163"/>
      <c r="E90" s="52"/>
    </row>
    <row r="91" spans="1:5">
      <c r="A91" s="69"/>
      <c r="C91"/>
      <c r="D91" s="2"/>
      <c r="E91" s="52"/>
    </row>
    <row r="92" spans="1:5" ht="25.5">
      <c r="A92" s="69"/>
      <c r="B92" s="174" t="s">
        <v>17</v>
      </c>
      <c r="C92" s="174" t="s">
        <v>17</v>
      </c>
      <c r="D92" s="2"/>
      <c r="E92" s="52"/>
    </row>
    <row r="93" spans="1:5" s="53" customFormat="1" ht="6.75" customHeight="1">
      <c r="A93" s="109"/>
      <c r="B93" s="180"/>
      <c r="C93" s="180"/>
      <c r="D93" s="163"/>
      <c r="E93" s="52"/>
    </row>
    <row r="94" spans="1:5" s="53" customFormat="1">
      <c r="A94" s="109"/>
      <c r="B94" s="184"/>
      <c r="C94" s="184"/>
      <c r="D94" s="163"/>
      <c r="E94" s="82"/>
    </row>
    <row r="95" spans="1:5">
      <c r="A95" s="69"/>
      <c r="B95" s="86" t="s">
        <v>54</v>
      </c>
      <c r="C95"/>
      <c r="D95" s="2"/>
      <c r="E95" s="3"/>
    </row>
    <row r="96" spans="1:5">
      <c r="A96" s="69"/>
      <c r="B96" s="86" t="s">
        <v>55</v>
      </c>
      <c r="C96"/>
      <c r="D96" s="2"/>
      <c r="E96" s="3"/>
    </row>
    <row r="97" spans="1:5">
      <c r="A97" s="69"/>
      <c r="B97" s="86" t="s">
        <v>56</v>
      </c>
      <c r="C97"/>
      <c r="D97" s="2"/>
      <c r="E97" s="3"/>
    </row>
  </sheetData>
  <sheetProtection password="9E1F" sheet="1" objects="1" scenarios="1"/>
  <customSheetViews>
    <customSheetView guid="{074EB09C-6289-46D7-9513-012B68BCA7BF}" fitToPage="1">
      <pane xSplit="1" ySplit="1" topLeftCell="B2" activePane="bottomRight" state="frozen"/>
      <selection pane="bottomRight" activeCell="K69" sqref="K69"/>
      <pageMargins left="0.39" right="0.7" top="0.32" bottom="0.35" header="0.3" footer="0.3"/>
      <pageSetup paperSize="17" scale="55" orientation="landscape" r:id="rId1"/>
    </customSheetView>
    <customSheetView guid="{AF9F1D33-B8C2-423F-86A1-47612B8F532C}" fitToPage="1">
      <pane xSplit="1" ySplit="1" topLeftCell="B20" activePane="bottomRight" state="frozenSplit"/>
      <selection pane="bottomRight" activeCell="G12" sqref="G12"/>
      <pageMargins left="0.7" right="0.7" top="0.75" bottom="0.75" header="0.3" footer="0.3"/>
      <pageSetup paperSize="17" scale="55" orientation="landscape"/>
    </customSheetView>
  </customSheetViews>
  <mergeCells count="3">
    <mergeCell ref="B18:C18"/>
    <mergeCell ref="B19:C19"/>
    <mergeCell ref="B15:E15"/>
  </mergeCells>
  <pageMargins left="0.39" right="0.7" top="0.32" bottom="0.35" header="0.3" footer="0.3"/>
  <pageSetup paperSize="17" scale="54" orientation="landscape" r:id="rId2"/>
  <drawing r:id="rId3"/>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sheetPr enableFormatConditionsCalculation="0">
    <pageSetUpPr fitToPage="1"/>
  </sheetPr>
  <dimension ref="A1:O98"/>
  <sheetViews>
    <sheetView zoomScaleNormal="100" workbookViewId="0">
      <pane xSplit="1" ySplit="1" topLeftCell="B2" activePane="bottomRight" state="frozen"/>
      <selection pane="topRight" activeCell="B1" sqref="B1"/>
      <selection pane="bottomLeft" activeCell="A2" sqref="A2"/>
      <selection pane="bottomRight" activeCell="D80" sqref="D80"/>
    </sheetView>
  </sheetViews>
  <sheetFormatPr defaultColWidth="8.85546875" defaultRowHeight="12.75"/>
  <cols>
    <col min="1" max="1" width="15.7109375" customWidth="1"/>
    <col min="2" max="2" width="21.28515625" customWidth="1"/>
    <col min="3" max="3" width="22.7109375" style="2" customWidth="1"/>
    <col min="4" max="4" width="22.42578125" style="3" customWidth="1"/>
    <col min="5" max="9" width="18.85546875" customWidth="1"/>
    <col min="10" max="10" width="17.42578125" customWidth="1"/>
    <col min="11" max="12" width="20.140625" customWidth="1"/>
    <col min="13" max="13" width="19.42578125" customWidth="1"/>
    <col min="14" max="14" width="14.42578125" customWidth="1"/>
    <col min="15" max="15" width="15.28515625" customWidth="1"/>
  </cols>
  <sheetData>
    <row r="1" spans="1:15" ht="43.5" customHeight="1"/>
    <row r="2" spans="1:15" ht="18.75" thickBot="1">
      <c r="B2" s="1" t="s">
        <v>76</v>
      </c>
      <c r="C2" s="166"/>
      <c r="D2" s="2"/>
      <c r="E2" s="3"/>
    </row>
    <row r="3" spans="1:15" ht="15.75" thickBot="1">
      <c r="B3" s="5" t="s">
        <v>99</v>
      </c>
      <c r="C3" s="167"/>
      <c r="D3" s="6" t="s">
        <v>6</v>
      </c>
      <c r="E3" s="101">
        <v>18230657</v>
      </c>
    </row>
    <row r="4" spans="1:15">
      <c r="B4" s="167"/>
    </row>
    <row r="5" spans="1:15">
      <c r="B5" s="167" t="s">
        <v>7</v>
      </c>
      <c r="C5" s="102"/>
    </row>
    <row r="6" spans="1:15" ht="13.5" thickBot="1">
      <c r="A6" s="69"/>
      <c r="C6"/>
      <c r="D6" s="2"/>
      <c r="E6" s="104" t="s">
        <v>1139</v>
      </c>
    </row>
    <row r="7" spans="1:15" ht="38.25">
      <c r="B7" s="3462"/>
      <c r="C7"/>
      <c r="D7"/>
      <c r="E7" s="105" t="s">
        <v>9</v>
      </c>
      <c r="F7" s="105" t="s">
        <v>10</v>
      </c>
      <c r="G7" s="105" t="s">
        <v>11</v>
      </c>
      <c r="H7" s="106" t="s">
        <v>12</v>
      </c>
      <c r="I7" s="107" t="s">
        <v>13</v>
      </c>
      <c r="J7" s="105" t="s">
        <v>14</v>
      </c>
      <c r="K7" s="105" t="s">
        <v>15</v>
      </c>
      <c r="L7" s="105" t="s">
        <v>16</v>
      </c>
      <c r="M7" s="105" t="s">
        <v>17</v>
      </c>
      <c r="N7" s="108" t="s">
        <v>18</v>
      </c>
      <c r="O7" s="18" t="s">
        <v>19</v>
      </c>
    </row>
    <row r="8" spans="1:15" s="53" customFormat="1">
      <c r="A8" s="109"/>
      <c r="D8" s="111" t="s">
        <v>20</v>
      </c>
      <c r="E8" s="112"/>
      <c r="F8" s="112"/>
      <c r="G8" s="112"/>
      <c r="H8" s="113"/>
      <c r="I8" s="114"/>
      <c r="J8" s="112"/>
      <c r="K8" s="112"/>
      <c r="L8" s="112"/>
      <c r="M8" s="112"/>
      <c r="N8" s="195"/>
      <c r="O8" s="26" t="s">
        <v>21</v>
      </c>
    </row>
    <row r="9" spans="1:15" s="53" customFormat="1">
      <c r="A9" s="109"/>
      <c r="D9" s="111" t="s">
        <v>22</v>
      </c>
      <c r="E9" s="28">
        <v>49733</v>
      </c>
      <c r="F9" s="28">
        <v>0</v>
      </c>
      <c r="G9" s="28">
        <v>31331.79</v>
      </c>
      <c r="H9" s="28">
        <v>0</v>
      </c>
      <c r="I9" s="28">
        <v>8040</v>
      </c>
      <c r="J9" s="28">
        <v>2250</v>
      </c>
      <c r="K9" s="28">
        <v>600</v>
      </c>
      <c r="L9" s="28">
        <v>0</v>
      </c>
      <c r="M9" s="28">
        <v>0</v>
      </c>
      <c r="N9" s="29">
        <v>91954.790000000008</v>
      </c>
      <c r="O9" s="30" t="e">
        <f>(N9-N8)/N8</f>
        <v>#DIV/0!</v>
      </c>
    </row>
    <row r="10" spans="1:15" s="53" customFormat="1">
      <c r="A10" s="109"/>
      <c r="D10" s="53">
        <v>2012</v>
      </c>
      <c r="E10" s="118">
        <f>SUM(B25:B27)</f>
        <v>24931</v>
      </c>
      <c r="F10" s="118">
        <f>SUM(B31:B33)</f>
        <v>0</v>
      </c>
      <c r="G10" s="118">
        <f>(SUM(B25:B27)+SUM(B31:B33))*0.63</f>
        <v>15706.53</v>
      </c>
      <c r="H10" s="118">
        <f>SUM(B46:B50)+SUM(B54:B59)</f>
        <v>0</v>
      </c>
      <c r="I10" s="119">
        <f>SUM(B62:B66)</f>
        <v>780</v>
      </c>
      <c r="J10" s="118">
        <f>SUM(B70:B75)</f>
        <v>845</v>
      </c>
      <c r="K10" s="118">
        <f>SUM(B78:B84)</f>
        <v>0</v>
      </c>
      <c r="L10" s="118">
        <f>SUM(B87:B92)</f>
        <v>0</v>
      </c>
      <c r="M10" s="120"/>
      <c r="N10" s="186">
        <f>SUM(E10:M10)</f>
        <v>42262.53</v>
      </c>
      <c r="O10" s="30">
        <f>(N10-N9)/N9</f>
        <v>-0.5403988198983436</v>
      </c>
    </row>
    <row r="11" spans="1:15" s="5017" customFormat="1">
      <c r="A11" s="5023"/>
      <c r="D11" s="5011" t="s">
        <v>1168</v>
      </c>
      <c r="E11" s="5007">
        <v>25659</v>
      </c>
      <c r="F11" s="5007">
        <v>0</v>
      </c>
      <c r="G11" s="5007">
        <v>16165.17</v>
      </c>
      <c r="H11" s="5007">
        <v>0</v>
      </c>
      <c r="I11" s="5016">
        <v>1300</v>
      </c>
      <c r="J11" s="5007">
        <v>845</v>
      </c>
      <c r="K11" s="5007">
        <v>0</v>
      </c>
      <c r="L11" s="5007">
        <v>0</v>
      </c>
      <c r="M11" s="5001"/>
      <c r="N11" s="115">
        <v>43969.17</v>
      </c>
      <c r="O11" s="1346">
        <v>4.0381870181458598E-2</v>
      </c>
    </row>
    <row r="12" spans="1:15" s="53" customFormat="1">
      <c r="A12" s="109"/>
      <c r="D12" s="4264" t="s">
        <v>1169</v>
      </c>
      <c r="E12" s="4218">
        <f>SUM(C25:C27)</f>
        <v>29568</v>
      </c>
      <c r="F12" s="4218">
        <f>SUM(C31:C33)</f>
        <v>0</v>
      </c>
      <c r="G12" s="4218">
        <f>(SUM(C25:C27)+SUM(C31:C33))*0.707</f>
        <v>20904.575999999997</v>
      </c>
      <c r="H12" s="4218">
        <f>SUM(C46:C50)+SUM(C54:C59)</f>
        <v>0</v>
      </c>
      <c r="I12" s="4219">
        <f>SUM(C62:C66)</f>
        <v>5200</v>
      </c>
      <c r="J12" s="4218">
        <f>SUM(C70:C75)</f>
        <v>852</v>
      </c>
      <c r="K12" s="4218">
        <f>SUM(C78:C84)</f>
        <v>390</v>
      </c>
      <c r="L12" s="4218">
        <f>SUM(C87:C92)</f>
        <v>0</v>
      </c>
      <c r="M12" s="4220"/>
      <c r="N12" s="4221">
        <f>SUM(E12:M12)</f>
        <v>56914.576000000001</v>
      </c>
      <c r="O12" s="30">
        <f>(N12-N10)/N10</f>
        <v>0.34669117064217408</v>
      </c>
    </row>
    <row r="13" spans="1:15" s="19" customFormat="1">
      <c r="A13" s="69"/>
      <c r="D13" s="123" t="s">
        <v>1172</v>
      </c>
      <c r="E13" s="124">
        <f>SUM(E10+E12)</f>
        <v>54499</v>
      </c>
      <c r="F13" s="124">
        <f t="shared" ref="F13:N13" si="0">SUM(F10+F12)</f>
        <v>0</v>
      </c>
      <c r="G13" s="124">
        <f t="shared" si="0"/>
        <v>36611.106</v>
      </c>
      <c r="H13" s="124">
        <f t="shared" si="0"/>
        <v>0</v>
      </c>
      <c r="I13" s="124">
        <f t="shared" si="0"/>
        <v>5980</v>
      </c>
      <c r="J13" s="124">
        <f t="shared" si="0"/>
        <v>1697</v>
      </c>
      <c r="K13" s="124">
        <f t="shared" si="0"/>
        <v>390</v>
      </c>
      <c r="L13" s="124">
        <f t="shared" si="0"/>
        <v>0</v>
      </c>
      <c r="M13" s="124">
        <f t="shared" si="0"/>
        <v>0</v>
      </c>
      <c r="N13" s="124">
        <f t="shared" si="0"/>
        <v>99177.106</v>
      </c>
    </row>
    <row r="14" spans="1:15" ht="18" customHeight="1">
      <c r="A14" s="69"/>
      <c r="C14"/>
      <c r="D14" s="2"/>
      <c r="E14" s="3"/>
      <c r="M14" s="69" t="s">
        <v>23</v>
      </c>
    </row>
    <row r="15" spans="1:15">
      <c r="A15" s="69"/>
      <c r="C15"/>
      <c r="D15" s="2"/>
      <c r="E15" s="3"/>
      <c r="M15" s="69" t="s">
        <v>24</v>
      </c>
    </row>
    <row r="16" spans="1:15" ht="15.75">
      <c r="A16" s="69"/>
      <c r="B16" s="5143" t="s">
        <v>25</v>
      </c>
      <c r="C16" s="5145"/>
      <c r="D16" s="5145"/>
      <c r="E16" s="5144"/>
      <c r="F16" s="3437"/>
      <c r="G16" s="3437"/>
    </row>
    <row r="17" spans="1:10" s="53" customFormat="1" ht="15.75">
      <c r="A17" s="109"/>
      <c r="B17" s="169"/>
      <c r="C17" s="129"/>
      <c r="D17" s="129"/>
      <c r="E17" s="129"/>
      <c r="F17" s="129"/>
      <c r="G17" s="129"/>
    </row>
    <row r="18" spans="1:10" s="53" customFormat="1" ht="15.75">
      <c r="A18" s="109"/>
      <c r="B18" s="129"/>
      <c r="C18" s="129"/>
      <c r="D18" s="129"/>
      <c r="E18" s="129"/>
      <c r="F18" s="129"/>
      <c r="G18" s="129"/>
    </row>
    <row r="19" spans="1:10" ht="15.75">
      <c r="A19" s="69"/>
      <c r="B19" s="5141" t="s">
        <v>26</v>
      </c>
      <c r="C19" s="5141"/>
      <c r="D19" s="43" t="s">
        <v>27</v>
      </c>
      <c r="E19" s="44" t="s">
        <v>28</v>
      </c>
    </row>
    <row r="20" spans="1:10" ht="15.75">
      <c r="A20" s="69"/>
      <c r="B20" s="5142" t="s">
        <v>29</v>
      </c>
      <c r="C20" s="5142"/>
      <c r="D20" s="43"/>
      <c r="E20" s="44"/>
      <c r="H20" s="132"/>
      <c r="I20" s="132"/>
      <c r="J20" s="132"/>
    </row>
    <row r="21" spans="1:10" ht="45.75">
      <c r="A21" s="69"/>
      <c r="B21" s="170">
        <v>2012</v>
      </c>
      <c r="C21" s="170">
        <v>2013</v>
      </c>
      <c r="D21" s="69" t="s">
        <v>82</v>
      </c>
      <c r="E21" s="131" t="s">
        <v>31</v>
      </c>
      <c r="H21" s="196"/>
      <c r="I21" s="132"/>
      <c r="J21" s="132"/>
    </row>
    <row r="22" spans="1:10">
      <c r="A22" s="69"/>
      <c r="B22" s="174" t="s">
        <v>9</v>
      </c>
      <c r="C22" s="174" t="s">
        <v>9</v>
      </c>
      <c r="D22" s="138"/>
      <c r="E22" s="139">
        <f>SUM(B25:B27)+SUM(C25:C27)</f>
        <v>54499</v>
      </c>
      <c r="H22" s="140"/>
      <c r="I22" s="132"/>
      <c r="J22" s="132"/>
    </row>
    <row r="23" spans="1:10" ht="7.5" customHeight="1">
      <c r="A23" s="69"/>
      <c r="B23" s="175"/>
      <c r="C23" s="175"/>
      <c r="D23" s="2"/>
      <c r="E23" s="52"/>
      <c r="H23" s="140"/>
      <c r="I23" s="132"/>
      <c r="J23" s="132"/>
    </row>
    <row r="24" spans="1:10">
      <c r="A24" s="69"/>
      <c r="B24" s="176" t="s">
        <v>32</v>
      </c>
      <c r="C24" s="176" t="s">
        <v>32</v>
      </c>
      <c r="D24" s="143" t="s">
        <v>7</v>
      </c>
      <c r="E24" s="52"/>
      <c r="F24" s="144" t="s">
        <v>7</v>
      </c>
      <c r="H24" s="140"/>
      <c r="I24" s="132"/>
      <c r="J24" s="132"/>
    </row>
    <row r="25" spans="1:10">
      <c r="A25" s="69"/>
      <c r="B25" s="177">
        <v>24931</v>
      </c>
      <c r="C25" s="4434">
        <v>29568</v>
      </c>
      <c r="D25" s="145" t="s">
        <v>1206</v>
      </c>
      <c r="E25" s="52"/>
      <c r="F25" s="146"/>
      <c r="H25" s="140"/>
      <c r="I25" s="132"/>
      <c r="J25" s="132"/>
    </row>
    <row r="26" spans="1:10" ht="15">
      <c r="A26" s="69"/>
      <c r="B26" s="179"/>
      <c r="C26" s="179"/>
      <c r="D26" s="150"/>
      <c r="E26" s="52"/>
      <c r="H26" s="149"/>
      <c r="I26" s="132"/>
      <c r="J26" s="132"/>
    </row>
    <row r="27" spans="1:10">
      <c r="A27" s="69"/>
      <c r="B27" s="179"/>
      <c r="C27" s="179"/>
      <c r="D27" s="148"/>
      <c r="E27" s="52"/>
      <c r="H27" s="140"/>
      <c r="I27" s="132"/>
      <c r="J27" s="132"/>
    </row>
    <row r="28" spans="1:10" s="53" customFormat="1" ht="21" customHeight="1">
      <c r="A28" s="109"/>
      <c r="B28" s="174" t="s">
        <v>10</v>
      </c>
      <c r="C28" s="174" t="s">
        <v>10</v>
      </c>
      <c r="D28" s="138"/>
      <c r="E28" s="139">
        <f>SUM(B31:B34)+SUM(C31:C34)</f>
        <v>0</v>
      </c>
    </row>
    <row r="29" spans="1:10" ht="8.25" customHeight="1">
      <c r="A29" s="69"/>
      <c r="B29" s="180"/>
      <c r="C29" s="180"/>
      <c r="D29" s="152"/>
      <c r="E29" s="52"/>
    </row>
    <row r="30" spans="1:10" s="53" customFormat="1" ht="13.5" customHeight="1">
      <c r="A30" s="109"/>
      <c r="B30" s="176" t="s">
        <v>32</v>
      </c>
      <c r="C30" s="176" t="s">
        <v>32</v>
      </c>
      <c r="D30" s="152"/>
      <c r="E30" s="52"/>
    </row>
    <row r="31" spans="1:10">
      <c r="A31" s="69"/>
      <c r="B31" s="86"/>
      <c r="C31" s="181"/>
      <c r="D31" s="150"/>
      <c r="E31" s="52"/>
    </row>
    <row r="32" spans="1:10">
      <c r="A32" s="69"/>
      <c r="B32" s="181"/>
      <c r="C32" s="181"/>
      <c r="D32" s="150"/>
      <c r="E32" s="52"/>
    </row>
    <row r="33" spans="1:6">
      <c r="A33" s="69"/>
      <c r="B33" s="19"/>
      <c r="C33" s="19"/>
      <c r="D33" s="150"/>
      <c r="E33" s="52"/>
    </row>
    <row r="34" spans="1:6">
      <c r="A34" s="69"/>
      <c r="B34" s="19"/>
      <c r="C34" s="19"/>
      <c r="D34" s="150"/>
      <c r="E34" s="52"/>
    </row>
    <row r="35" spans="1:6">
      <c r="A35" s="69"/>
      <c r="B35" s="174" t="s">
        <v>11</v>
      </c>
      <c r="C35" s="174" t="s">
        <v>11</v>
      </c>
      <c r="D35" s="138"/>
      <c r="E35" s="139">
        <f>(B25*0.63)+(C25*0.707)</f>
        <v>36611.106</v>
      </c>
    </row>
    <row r="36" spans="1:6" ht="7.5" customHeight="1">
      <c r="A36" s="69"/>
      <c r="B36" s="175"/>
      <c r="C36" s="175"/>
      <c r="D36" s="2"/>
      <c r="E36" s="68"/>
    </row>
    <row r="37" spans="1:6">
      <c r="A37" s="187"/>
      <c r="B37" s="182" t="s">
        <v>37</v>
      </c>
      <c r="C37" s="182" t="s">
        <v>1204</v>
      </c>
      <c r="D37" s="143" t="s">
        <v>7</v>
      </c>
      <c r="E37" s="52"/>
      <c r="F37" s="157"/>
    </row>
    <row r="38" spans="1:6">
      <c r="A38" s="69"/>
      <c r="B38" s="19"/>
      <c r="C38" s="19"/>
      <c r="D38" s="150" t="s">
        <v>7</v>
      </c>
      <c r="E38" s="52"/>
    </row>
    <row r="39" spans="1:6" s="53" customFormat="1">
      <c r="A39" s="109"/>
      <c r="B39" s="174" t="s">
        <v>38</v>
      </c>
      <c r="C39" s="174" t="s">
        <v>38</v>
      </c>
      <c r="D39" s="138"/>
      <c r="E39" s="139">
        <f>SUM(B41:B43)+SUM(C41:C43)</f>
        <v>0</v>
      </c>
    </row>
    <row r="40" spans="1:6" ht="7.5" customHeight="1">
      <c r="A40" s="69"/>
      <c r="B40" s="180"/>
      <c r="C40" s="180"/>
      <c r="D40" s="152"/>
      <c r="E40" s="52"/>
    </row>
    <row r="41" spans="1:6">
      <c r="A41" s="69"/>
      <c r="C41" s="181"/>
      <c r="D41" s="150"/>
      <c r="E41" s="52"/>
    </row>
    <row r="42" spans="1:6" ht="26.25" customHeight="1">
      <c r="A42" s="69"/>
      <c r="B42" s="19"/>
      <c r="C42" s="19"/>
      <c r="D42" s="150"/>
      <c r="E42" s="52"/>
    </row>
    <row r="43" spans="1:6" ht="15.75" customHeight="1">
      <c r="A43" s="69"/>
      <c r="B43" s="19"/>
      <c r="C43" s="19"/>
      <c r="D43" s="150"/>
      <c r="E43" s="52"/>
    </row>
    <row r="44" spans="1:6">
      <c r="A44" s="69"/>
      <c r="B44" s="174" t="s">
        <v>12</v>
      </c>
      <c r="C44" s="174" t="s">
        <v>12</v>
      </c>
      <c r="D44" s="138"/>
      <c r="E44" s="139">
        <f>SUM(B46:B51)+SUM(C46:C51)</f>
        <v>0</v>
      </c>
    </row>
    <row r="45" spans="1:6" ht="6.75" customHeight="1">
      <c r="A45" s="69"/>
      <c r="B45" s="183"/>
      <c r="C45" s="183"/>
      <c r="D45" s="150"/>
      <c r="E45" s="52"/>
    </row>
    <row r="46" spans="1:6">
      <c r="A46" s="69"/>
      <c r="B46" s="197"/>
      <c r="C46" s="197"/>
      <c r="D46" s="148" t="s">
        <v>105</v>
      </c>
      <c r="E46" s="52"/>
    </row>
    <row r="47" spans="1:6">
      <c r="A47" s="69"/>
      <c r="B47" s="197"/>
      <c r="C47" s="197"/>
      <c r="D47" s="150"/>
      <c r="E47" s="52"/>
    </row>
    <row r="48" spans="1:6">
      <c r="A48" s="69"/>
      <c r="B48" s="197"/>
      <c r="C48" s="197"/>
      <c r="D48" s="150"/>
      <c r="E48" s="52"/>
    </row>
    <row r="49" spans="1:5">
      <c r="A49" s="69"/>
      <c r="B49" s="197"/>
      <c r="C49" s="197"/>
      <c r="D49" s="150"/>
      <c r="E49" s="52"/>
    </row>
    <row r="50" spans="1:5" ht="27.75" customHeight="1">
      <c r="A50" s="69"/>
      <c r="B50" s="197"/>
      <c r="C50" s="197"/>
      <c r="D50" s="150"/>
      <c r="E50" s="52"/>
    </row>
    <row r="51" spans="1:5" ht="15" customHeight="1">
      <c r="A51" s="69"/>
      <c r="B51" s="197"/>
      <c r="C51" s="197"/>
      <c r="D51" s="150"/>
      <c r="E51" s="52"/>
    </row>
    <row r="52" spans="1:5" ht="25.5">
      <c r="A52" s="69"/>
      <c r="B52" s="174" t="s">
        <v>39</v>
      </c>
      <c r="C52" s="174" t="s">
        <v>39</v>
      </c>
      <c r="D52" s="138"/>
      <c r="E52" s="139">
        <f>SUM(B54:B59)+SUM(C54:C59)</f>
        <v>0</v>
      </c>
    </row>
    <row r="53" spans="1:5" ht="6.75" customHeight="1">
      <c r="A53" s="69"/>
      <c r="B53" s="180"/>
      <c r="C53" s="180"/>
      <c r="D53"/>
      <c r="E53" s="73"/>
    </row>
    <row r="54" spans="1:5">
      <c r="A54" s="69"/>
      <c r="B54" s="184"/>
      <c r="C54" s="184"/>
      <c r="D54"/>
      <c r="E54" s="73"/>
    </row>
    <row r="55" spans="1:5" ht="12.75" customHeight="1">
      <c r="A55" s="69"/>
      <c r="B55" s="184"/>
      <c r="C55" s="184"/>
      <c r="D55"/>
      <c r="E55" s="73"/>
    </row>
    <row r="56" spans="1:5">
      <c r="A56" s="69"/>
      <c r="B56" s="184"/>
      <c r="C56" s="184"/>
      <c r="D56"/>
      <c r="E56" s="73"/>
    </row>
    <row r="57" spans="1:5">
      <c r="A57" s="69"/>
      <c r="B57" s="184"/>
      <c r="C57" s="184"/>
      <c r="D57"/>
      <c r="E57" s="73"/>
    </row>
    <row r="58" spans="1:5">
      <c r="A58" s="69"/>
      <c r="C58"/>
      <c r="D58"/>
      <c r="E58" s="73"/>
    </row>
    <row r="59" spans="1:5">
      <c r="A59" s="69"/>
      <c r="C59"/>
      <c r="D59" s="2"/>
      <c r="E59" s="52"/>
    </row>
    <row r="60" spans="1:5">
      <c r="A60" s="69"/>
      <c r="B60" s="174" t="s">
        <v>13</v>
      </c>
      <c r="C60" s="174" t="s">
        <v>13</v>
      </c>
      <c r="D60" s="138"/>
      <c r="E60" s="139">
        <f>SUM(B62:B67)+SUM(C62:C67)</f>
        <v>5980</v>
      </c>
    </row>
    <row r="61" spans="1:5" ht="6.75" customHeight="1">
      <c r="A61" s="69"/>
      <c r="B61" s="175"/>
      <c r="C61" s="175"/>
      <c r="D61" s="2"/>
      <c r="E61" s="52"/>
    </row>
    <row r="62" spans="1:5">
      <c r="A62" s="69"/>
      <c r="B62" s="84">
        <v>130</v>
      </c>
      <c r="C62" s="4435">
        <v>2600</v>
      </c>
      <c r="D62" s="160" t="s">
        <v>77</v>
      </c>
      <c r="E62" s="52"/>
    </row>
    <row r="63" spans="1:5">
      <c r="A63" s="69"/>
      <c r="B63" s="84" t="s">
        <v>7</v>
      </c>
      <c r="C63" s="84"/>
      <c r="D63" s="160"/>
      <c r="E63" s="52"/>
    </row>
    <row r="64" spans="1:5">
      <c r="A64" s="69"/>
      <c r="B64" s="84">
        <v>650</v>
      </c>
      <c r="C64" s="4435">
        <v>2600</v>
      </c>
      <c r="D64" s="160" t="s">
        <v>1207</v>
      </c>
      <c r="E64" s="52"/>
    </row>
    <row r="65" spans="1:5">
      <c r="A65" s="69"/>
      <c r="B65" s="84"/>
      <c r="C65" s="84"/>
      <c r="D65" s="160" t="s">
        <v>61</v>
      </c>
      <c r="E65" s="52"/>
    </row>
    <row r="66" spans="1:5">
      <c r="A66" s="69"/>
      <c r="B66" s="185"/>
      <c r="C66" s="185"/>
      <c r="D66" s="160" t="s">
        <v>44</v>
      </c>
      <c r="E66" s="52"/>
    </row>
    <row r="67" spans="1:5">
      <c r="A67" s="69"/>
      <c r="B67" s="185"/>
      <c r="C67" s="185"/>
      <c r="D67" s="160"/>
      <c r="E67" s="52"/>
    </row>
    <row r="68" spans="1:5">
      <c r="A68" s="69"/>
      <c r="B68" s="174" t="s">
        <v>14</v>
      </c>
      <c r="C68" s="174" t="s">
        <v>14</v>
      </c>
      <c r="D68" s="138"/>
      <c r="E68" s="139">
        <f>SUM(B70:B75)+SUM(C70:C75)</f>
        <v>1697</v>
      </c>
    </row>
    <row r="69" spans="1:5" ht="6" customHeight="1">
      <c r="A69" s="162"/>
      <c r="B69" s="175"/>
      <c r="C69" s="175"/>
      <c r="D69" s="2"/>
      <c r="E69" s="52"/>
    </row>
    <row r="70" spans="1:5" ht="38.25">
      <c r="A70" s="69"/>
      <c r="B70" s="84">
        <v>845</v>
      </c>
      <c r="C70" s="4435">
        <v>852</v>
      </c>
      <c r="D70" s="160" t="s">
        <v>1208</v>
      </c>
      <c r="E70" s="52"/>
    </row>
    <row r="71" spans="1:5">
      <c r="A71" s="69"/>
      <c r="B71" s="84"/>
      <c r="C71" s="84"/>
      <c r="D71" s="2"/>
      <c r="E71" s="52"/>
    </row>
    <row r="72" spans="1:5">
      <c r="A72" s="69"/>
      <c r="B72" s="84"/>
      <c r="C72" s="84"/>
      <c r="D72" s="2"/>
      <c r="E72" s="52"/>
    </row>
    <row r="73" spans="1:5">
      <c r="A73" s="69"/>
      <c r="B73" s="84"/>
      <c r="C73" s="84"/>
      <c r="D73" s="2"/>
      <c r="E73" s="52"/>
    </row>
    <row r="74" spans="1:5">
      <c r="A74" s="69"/>
      <c r="B74" s="84"/>
      <c r="C74" s="84"/>
      <c r="D74" s="2"/>
      <c r="E74" s="52"/>
    </row>
    <row r="75" spans="1:5">
      <c r="A75" s="69"/>
      <c r="B75" s="84" t="s">
        <v>7</v>
      </c>
      <c r="C75" s="84"/>
      <c r="D75" s="2"/>
      <c r="E75" s="52"/>
    </row>
    <row r="76" spans="1:5">
      <c r="A76" s="69"/>
      <c r="B76" s="174" t="s">
        <v>15</v>
      </c>
      <c r="C76" s="174" t="s">
        <v>15</v>
      </c>
      <c r="D76" s="138"/>
      <c r="E76" s="139">
        <f>SUM(B78:B84)+SUM(C78:C84)</f>
        <v>390</v>
      </c>
    </row>
    <row r="77" spans="1:5" ht="6.75" customHeight="1">
      <c r="A77" s="69"/>
      <c r="B77" s="180"/>
      <c r="C77" s="180"/>
      <c r="D77" s="2"/>
      <c r="E77" s="52"/>
    </row>
    <row r="78" spans="1:5" s="53" customFormat="1" ht="12.75" customHeight="1">
      <c r="A78" s="109"/>
      <c r="B78" s="184"/>
      <c r="C78" s="184"/>
      <c r="D78" s="163"/>
      <c r="E78" s="52"/>
    </row>
    <row r="79" spans="1:5" s="53" customFormat="1" ht="12.75" customHeight="1">
      <c r="A79" s="109"/>
      <c r="B79" s="184"/>
      <c r="C79" s="4435">
        <v>390</v>
      </c>
      <c r="D79" s="163"/>
      <c r="E79" s="52"/>
    </row>
    <row r="80" spans="1:5" s="53" customFormat="1" ht="12.75" customHeight="1">
      <c r="A80" s="109"/>
      <c r="B80" s="184"/>
      <c r="C80" s="184"/>
      <c r="D80" s="163"/>
      <c r="E80" s="52"/>
    </row>
    <row r="81" spans="1:5" s="53" customFormat="1" ht="12.75" customHeight="1">
      <c r="A81" s="109"/>
      <c r="B81" s="184"/>
      <c r="C81" s="184"/>
      <c r="D81" s="163"/>
      <c r="E81" s="52"/>
    </row>
    <row r="82" spans="1:5" s="53" customFormat="1" ht="12.75" customHeight="1">
      <c r="A82" s="109"/>
      <c r="B82" s="184"/>
      <c r="C82" s="184"/>
      <c r="D82" s="163"/>
      <c r="E82" s="52"/>
    </row>
    <row r="83" spans="1:5">
      <c r="A83" s="69"/>
      <c r="C83"/>
      <c r="D83" s="150"/>
      <c r="E83" s="52"/>
    </row>
    <row r="84" spans="1:5">
      <c r="A84" s="69"/>
      <c r="C84"/>
      <c r="D84" s="150"/>
      <c r="E84" s="52"/>
    </row>
    <row r="85" spans="1:5">
      <c r="A85" s="69"/>
      <c r="B85" s="174" t="s">
        <v>16</v>
      </c>
      <c r="C85" s="174" t="s">
        <v>16</v>
      </c>
      <c r="D85" s="138"/>
      <c r="E85" s="139">
        <f>SUM(B87:B92)+SUM(C87:C92)</f>
        <v>0</v>
      </c>
    </row>
    <row r="86" spans="1:5" s="53" customFormat="1" ht="6.75" customHeight="1">
      <c r="A86" s="109"/>
      <c r="B86" s="180"/>
      <c r="C86" s="180"/>
      <c r="D86" s="163"/>
      <c r="E86" s="52"/>
    </row>
    <row r="87" spans="1:5" s="53" customFormat="1" ht="12.75" customHeight="1">
      <c r="A87" s="109"/>
      <c r="B87" s="191"/>
      <c r="C87" s="191"/>
      <c r="D87" s="165"/>
      <c r="E87" s="52"/>
    </row>
    <row r="88" spans="1:5" s="53" customFormat="1" ht="12.75" customHeight="1">
      <c r="A88" s="109"/>
      <c r="B88" s="191"/>
      <c r="C88" s="191"/>
      <c r="D88" s="163"/>
      <c r="E88" s="52"/>
    </row>
    <row r="89" spans="1:5" s="53" customFormat="1" ht="12.75" customHeight="1">
      <c r="A89" s="109"/>
      <c r="B89" s="191"/>
      <c r="C89" s="191"/>
      <c r="D89" s="163"/>
      <c r="E89" s="52"/>
    </row>
    <row r="90" spans="1:5" s="53" customFormat="1">
      <c r="A90" s="109"/>
      <c r="B90" s="191"/>
      <c r="C90" s="191"/>
      <c r="D90" s="163"/>
      <c r="E90" s="52"/>
    </row>
    <row r="91" spans="1:5" s="53" customFormat="1">
      <c r="A91" s="109"/>
      <c r="B91" s="191"/>
      <c r="C91" s="191"/>
      <c r="D91" s="163"/>
      <c r="E91" s="52"/>
    </row>
    <row r="92" spans="1:5">
      <c r="A92" s="69"/>
      <c r="B92" s="179"/>
      <c r="C92" s="179"/>
      <c r="D92" s="2"/>
      <c r="E92" s="52"/>
    </row>
    <row r="93" spans="1:5" ht="25.5">
      <c r="A93" s="69"/>
      <c r="B93" s="174" t="s">
        <v>17</v>
      </c>
      <c r="C93" s="174" t="s">
        <v>17</v>
      </c>
      <c r="D93" s="2"/>
      <c r="E93" s="52"/>
    </row>
    <row r="94" spans="1:5" s="53" customFormat="1" ht="6.75" customHeight="1">
      <c r="A94" s="109"/>
      <c r="B94" s="180"/>
      <c r="C94" s="180"/>
      <c r="D94" s="163"/>
      <c r="E94" s="52"/>
    </row>
    <row r="95" spans="1:5" s="53" customFormat="1">
      <c r="A95" s="109"/>
      <c r="B95" s="184"/>
      <c r="C95" s="184"/>
      <c r="D95" s="163"/>
      <c r="E95" s="82"/>
    </row>
    <row r="96" spans="1:5">
      <c r="A96" s="69"/>
      <c r="B96" s="86" t="s">
        <v>54</v>
      </c>
      <c r="C96"/>
      <c r="D96" s="2"/>
      <c r="E96" s="3"/>
    </row>
    <row r="97" spans="1:5">
      <c r="A97" s="69"/>
      <c r="B97" s="86" t="s">
        <v>55</v>
      </c>
      <c r="C97"/>
      <c r="D97" s="2"/>
      <c r="E97" s="3"/>
    </row>
    <row r="98" spans="1:5">
      <c r="A98" s="69"/>
      <c r="B98" s="86" t="s">
        <v>56</v>
      </c>
      <c r="C98"/>
      <c r="D98" s="2"/>
      <c r="E98" s="3"/>
    </row>
  </sheetData>
  <sheetProtection password="9E1F" sheet="1" objects="1" scenarios="1"/>
  <customSheetViews>
    <customSheetView guid="{074EB09C-6289-46D7-9513-012B68BCA7BF}" fitToPage="1">
      <pane xSplit="1" ySplit="1" topLeftCell="B2" activePane="bottomRight" state="frozen"/>
      <selection pane="bottomRight" activeCell="D80" sqref="D80"/>
      <pageMargins left="0.24" right="0.7" top="0.38" bottom="0.37" header="0.3" footer="0.3"/>
      <pageSetup paperSize="17" scale="54" orientation="landscape" r:id="rId1"/>
    </customSheetView>
    <customSheetView guid="{AF9F1D33-B8C2-423F-86A1-47612B8F532C}" fitToPage="1">
      <pane xSplit="1" ySplit="1" topLeftCell="I2" activePane="bottomRight" state="frozenSplit"/>
      <selection pane="bottomRight" activeCell="G93" sqref="G93"/>
      <pageMargins left="0.7" right="0.7" top="0.75" bottom="0.75" header="0.3" footer="0.3"/>
      <pageSetup paperSize="17" scale="54" orientation="landscape"/>
    </customSheetView>
  </customSheetViews>
  <mergeCells count="3">
    <mergeCell ref="B19:C19"/>
    <mergeCell ref="B20:C20"/>
    <mergeCell ref="B16:E16"/>
  </mergeCells>
  <pageMargins left="0.24" right="0.7" top="0.38" bottom="0.37" header="0.3" footer="0.3"/>
  <pageSetup paperSize="17" scale="54" orientation="landscape" r:id="rId2"/>
  <drawing r:id="rId3"/>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31.42578125" defaultRowHeight="12.75"/>
  <cols>
    <col min="1" max="1" width="15.42578125" customWidth="1"/>
    <col min="2" max="3" width="21.140625" customWidth="1"/>
    <col min="4" max="4" width="22.7109375" customWidth="1"/>
    <col min="5" max="7" width="22.42578125" customWidth="1"/>
    <col min="8" max="10" width="19.42578125" customWidth="1"/>
    <col min="11" max="13" width="18.140625" customWidth="1"/>
    <col min="14" max="14" width="23.28515625" customWidth="1"/>
    <col min="15" max="15" width="21" customWidth="1"/>
  </cols>
  <sheetData>
    <row r="1" spans="1:15" ht="41.25" customHeight="1"/>
    <row r="2" spans="1:15" ht="18.75" thickBot="1">
      <c r="A2" s="1283"/>
      <c r="B2" s="1326" t="s">
        <v>779</v>
      </c>
      <c r="C2" s="1284"/>
      <c r="D2" s="1285"/>
      <c r="E2" s="4063" t="s">
        <v>788</v>
      </c>
      <c r="F2" s="1283" t="s">
        <v>912</v>
      </c>
      <c r="G2" s="1283"/>
      <c r="H2" s="1283"/>
      <c r="I2" s="1283"/>
      <c r="J2" s="1283"/>
      <c r="K2" s="1283"/>
      <c r="L2" s="1283"/>
      <c r="M2" s="1283"/>
      <c r="N2" s="1283"/>
      <c r="O2" s="1283"/>
    </row>
    <row r="3" spans="1:15" ht="15.75" thickBot="1">
      <c r="A3" s="1283"/>
      <c r="B3" s="1327" t="s">
        <v>99</v>
      </c>
      <c r="C3" s="1305"/>
      <c r="D3" s="1328" t="s">
        <v>75</v>
      </c>
      <c r="E3" s="1329">
        <v>18230698</v>
      </c>
      <c r="F3" s="1283"/>
      <c r="G3" s="1283"/>
      <c r="H3" s="1283"/>
      <c r="I3" s="1283"/>
      <c r="J3" s="1283"/>
      <c r="K3" s="1283"/>
      <c r="L3" s="1283"/>
      <c r="M3" s="1283"/>
      <c r="N3" s="1283"/>
      <c r="O3" s="1283"/>
    </row>
    <row r="4" spans="1:15">
      <c r="B4" s="3532" t="s">
        <v>1141</v>
      </c>
    </row>
    <row r="5" spans="1:15" ht="13.5" thickBot="1">
      <c r="A5" s="1312"/>
      <c r="B5" s="1283"/>
      <c r="C5" s="1283"/>
      <c r="D5" s="1285"/>
      <c r="E5" s="1325" t="s">
        <v>1139</v>
      </c>
      <c r="F5" s="1283"/>
      <c r="G5" s="1283"/>
      <c r="H5" s="1283"/>
      <c r="I5" s="1283"/>
      <c r="J5" s="1283"/>
      <c r="K5" s="1283"/>
      <c r="L5" s="1283"/>
      <c r="M5" s="1283"/>
      <c r="N5" s="1283"/>
      <c r="O5" s="1283"/>
    </row>
    <row r="6" spans="1:15" ht="38.25">
      <c r="B6" s="3462"/>
      <c r="C6" s="1283"/>
      <c r="D6" s="1283"/>
      <c r="E6" s="1287" t="s">
        <v>9</v>
      </c>
      <c r="F6" s="1287" t="s">
        <v>10</v>
      </c>
      <c r="G6" s="1287" t="s">
        <v>11</v>
      </c>
      <c r="H6" s="1288" t="s">
        <v>12</v>
      </c>
      <c r="I6" s="1289" t="s">
        <v>13</v>
      </c>
      <c r="J6" s="1287" t="s">
        <v>14</v>
      </c>
      <c r="K6" s="1287" t="s">
        <v>15</v>
      </c>
      <c r="L6" s="1287" t="s">
        <v>16</v>
      </c>
      <c r="M6" s="1287" t="s">
        <v>17</v>
      </c>
      <c r="N6" s="1290" t="s">
        <v>18</v>
      </c>
      <c r="O6" s="1336" t="s">
        <v>19</v>
      </c>
    </row>
    <row r="7" spans="1:15">
      <c r="A7" s="1313"/>
      <c r="B7" s="1304"/>
      <c r="C7" s="1304"/>
      <c r="D7" s="1330" t="s">
        <v>20</v>
      </c>
      <c r="E7" s="1331"/>
      <c r="F7" s="1331"/>
      <c r="G7" s="1331"/>
      <c r="H7" s="1332"/>
      <c r="I7" s="1333"/>
      <c r="J7" s="1331"/>
      <c r="K7" s="1331"/>
      <c r="L7" s="1331"/>
      <c r="M7" s="1331"/>
      <c r="N7" s="1348">
        <v>48653</v>
      </c>
      <c r="O7" s="1345" t="s">
        <v>21</v>
      </c>
    </row>
    <row r="8" spans="1:15">
      <c r="A8" s="1313"/>
      <c r="B8" s="1304"/>
      <c r="C8" s="1304"/>
      <c r="D8" s="1330" t="s">
        <v>22</v>
      </c>
      <c r="E8" s="1334">
        <v>2300</v>
      </c>
      <c r="F8" s="1334">
        <v>0</v>
      </c>
      <c r="G8" s="1334">
        <v>1449</v>
      </c>
      <c r="H8" s="1334">
        <v>0</v>
      </c>
      <c r="I8" s="1334">
        <v>0</v>
      </c>
      <c r="J8" s="1334">
        <v>0</v>
      </c>
      <c r="K8" s="1334">
        <v>0</v>
      </c>
      <c r="L8" s="1334">
        <v>40553</v>
      </c>
      <c r="M8" s="1335">
        <v>0</v>
      </c>
      <c r="N8" s="1349">
        <v>44302</v>
      </c>
      <c r="O8" s="1346">
        <v>-8.9429223275029293E-2</v>
      </c>
    </row>
    <row r="9" spans="1:15">
      <c r="A9" s="1313"/>
      <c r="B9" s="1304"/>
      <c r="C9" s="1304"/>
      <c r="D9" s="1304">
        <v>2012</v>
      </c>
      <c r="E9" s="1338">
        <v>0</v>
      </c>
      <c r="F9" s="1338">
        <v>0</v>
      </c>
      <c r="G9" s="1338">
        <v>0</v>
      </c>
      <c r="H9" s="1338">
        <v>0</v>
      </c>
      <c r="I9" s="1341">
        <v>0</v>
      </c>
      <c r="J9" s="1338">
        <v>0</v>
      </c>
      <c r="K9" s="1338">
        <v>0</v>
      </c>
      <c r="L9" s="1338">
        <f>SUM(B86:B91)</f>
        <v>18000</v>
      </c>
      <c r="M9" s="1344"/>
      <c r="N9" s="1347">
        <f>SUM(E9:M9)</f>
        <v>18000</v>
      </c>
      <c r="O9" s="1346">
        <v>-1</v>
      </c>
    </row>
    <row r="10" spans="1:15" s="4993" customFormat="1">
      <c r="A10" s="5021"/>
      <c r="B10" s="5014"/>
      <c r="C10" s="5014"/>
      <c r="D10" s="4999" t="s">
        <v>1168</v>
      </c>
      <c r="E10" s="5002">
        <v>0</v>
      </c>
      <c r="F10" s="5002">
        <v>0</v>
      </c>
      <c r="G10" s="5002">
        <v>0</v>
      </c>
      <c r="H10" s="5002">
        <v>0</v>
      </c>
      <c r="I10" s="5008">
        <v>0</v>
      </c>
      <c r="J10" s="5002">
        <v>0</v>
      </c>
      <c r="K10" s="5002">
        <v>0</v>
      </c>
      <c r="L10" s="5002">
        <v>18000</v>
      </c>
      <c r="M10" s="5000"/>
      <c r="N10" s="4995">
        <v>18000</v>
      </c>
      <c r="O10" s="1346" t="e">
        <v>#DIV/0!</v>
      </c>
    </row>
    <row r="11" spans="1:15">
      <c r="A11" s="1313"/>
      <c r="B11" s="1304"/>
      <c r="C11" s="1304"/>
      <c r="D11" s="4277" t="s">
        <v>1169</v>
      </c>
      <c r="E11" s="4231">
        <v>0</v>
      </c>
      <c r="F11" s="4231">
        <v>0</v>
      </c>
      <c r="G11" s="4231">
        <v>0</v>
      </c>
      <c r="H11" s="4231">
        <v>0</v>
      </c>
      <c r="I11" s="4232">
        <v>0</v>
      </c>
      <c r="J11" s="4231">
        <v>0</v>
      </c>
      <c r="K11" s="4231">
        <v>0</v>
      </c>
      <c r="L11" s="4231">
        <f>SUM(C86:C91)</f>
        <v>25000</v>
      </c>
      <c r="M11" s="4233"/>
      <c r="N11" s="4234">
        <f>SUM(E11:M11)</f>
        <v>25000</v>
      </c>
      <c r="O11" s="1346" t="e">
        <v>#DIV/0!</v>
      </c>
    </row>
    <row r="12" spans="1:15">
      <c r="A12" s="1312"/>
      <c r="B12" s="1291"/>
      <c r="C12" s="1291"/>
      <c r="D12" s="1311" t="s">
        <v>1172</v>
      </c>
      <c r="E12" s="1340">
        <f>E9+E11</f>
        <v>0</v>
      </c>
      <c r="F12" s="1340">
        <f t="shared" ref="F12:N12" si="0">F9+F11</f>
        <v>0</v>
      </c>
      <c r="G12" s="1340">
        <f t="shared" si="0"/>
        <v>0</v>
      </c>
      <c r="H12" s="1340">
        <f t="shared" si="0"/>
        <v>0</v>
      </c>
      <c r="I12" s="1340">
        <f t="shared" si="0"/>
        <v>0</v>
      </c>
      <c r="J12" s="1340">
        <f t="shared" si="0"/>
        <v>0</v>
      </c>
      <c r="K12" s="1340">
        <f t="shared" si="0"/>
        <v>0</v>
      </c>
      <c r="L12" s="1340">
        <f t="shared" si="0"/>
        <v>43000</v>
      </c>
      <c r="M12" s="1340">
        <f t="shared" si="0"/>
        <v>0</v>
      </c>
      <c r="N12" s="1340">
        <f t="shared" si="0"/>
        <v>43000</v>
      </c>
      <c r="O12" s="1291"/>
    </row>
    <row r="13" spans="1:15" ht="25.5">
      <c r="A13" s="1312"/>
      <c r="B13" s="1283"/>
      <c r="C13" s="1283"/>
      <c r="D13" s="1285"/>
      <c r="E13" s="1286"/>
      <c r="F13" s="1283"/>
      <c r="G13" s="1283"/>
      <c r="H13" s="1283"/>
      <c r="I13" s="1283"/>
      <c r="J13" s="1283"/>
      <c r="K13" s="1283"/>
      <c r="L13" s="1283"/>
      <c r="M13" s="1312" t="s">
        <v>23</v>
      </c>
      <c r="N13" s="1283"/>
      <c r="O13" s="1283"/>
    </row>
    <row r="14" spans="1:15">
      <c r="A14" s="1312"/>
      <c r="B14" s="1283"/>
      <c r="C14" s="1283"/>
      <c r="D14" s="1285"/>
      <c r="E14" s="1286"/>
      <c r="F14" s="1283"/>
      <c r="G14" s="1283"/>
      <c r="H14" s="1283"/>
      <c r="I14" s="1283"/>
      <c r="J14" s="1283"/>
      <c r="K14" s="1283"/>
      <c r="L14" s="1283"/>
      <c r="M14" s="1312" t="s">
        <v>24</v>
      </c>
      <c r="N14" s="1283"/>
      <c r="O14" s="1283"/>
    </row>
    <row r="15" spans="1:15" ht="15.75">
      <c r="A15" s="1312"/>
      <c r="B15" s="5165" t="s">
        <v>25</v>
      </c>
      <c r="C15" s="5166"/>
      <c r="D15" s="5166"/>
      <c r="E15" s="5167"/>
      <c r="F15" s="4067"/>
      <c r="G15" s="4067"/>
      <c r="H15" s="1283"/>
      <c r="I15" s="1283"/>
      <c r="J15" s="1283"/>
      <c r="K15" s="1283"/>
      <c r="L15" s="1283"/>
      <c r="M15" s="1283"/>
      <c r="N15" s="1283"/>
      <c r="O15" s="1283"/>
    </row>
    <row r="16" spans="1:15" ht="15.75">
      <c r="A16" s="1313"/>
      <c r="B16" s="1320"/>
      <c r="C16" s="1319"/>
      <c r="D16" s="1319"/>
      <c r="E16" s="1319"/>
      <c r="F16" s="1319"/>
      <c r="G16" s="1319"/>
      <c r="H16" s="1304"/>
      <c r="I16" s="1304"/>
      <c r="J16" s="1304"/>
      <c r="K16" s="1304"/>
      <c r="L16" s="1304"/>
      <c r="M16" s="1304"/>
      <c r="N16" s="1304"/>
      <c r="O16" s="1304"/>
    </row>
    <row r="17" spans="1:15" ht="15.75">
      <c r="A17" s="1313"/>
      <c r="B17" s="1319"/>
      <c r="C17" s="1319"/>
      <c r="D17" s="1319"/>
      <c r="E17" s="1319"/>
      <c r="F17" s="1319"/>
      <c r="G17" s="1319"/>
      <c r="H17" s="1304"/>
      <c r="I17" s="1304"/>
      <c r="J17" s="1304"/>
      <c r="K17" s="1304"/>
      <c r="L17" s="1304"/>
      <c r="M17" s="1304"/>
      <c r="N17" s="1304"/>
      <c r="O17" s="1304"/>
    </row>
    <row r="18" spans="1:15" ht="15.75">
      <c r="A18" s="1312"/>
      <c r="B18" s="5163" t="s">
        <v>26</v>
      </c>
      <c r="C18" s="5163"/>
      <c r="D18" s="1300" t="s">
        <v>27</v>
      </c>
      <c r="E18" s="1301" t="s">
        <v>28</v>
      </c>
      <c r="F18" s="1283"/>
      <c r="G18" s="1283"/>
    </row>
    <row r="19" spans="1:15" ht="15.75">
      <c r="A19" s="1312"/>
      <c r="B19" s="5164" t="s">
        <v>29</v>
      </c>
      <c r="C19" s="5164"/>
      <c r="D19" s="1300"/>
      <c r="E19" s="1301"/>
      <c r="F19" s="1283"/>
      <c r="G19" s="1283"/>
    </row>
    <row r="20" spans="1:15" ht="45.75">
      <c r="A20" s="1312"/>
      <c r="B20" s="1299">
        <v>2012</v>
      </c>
      <c r="C20" s="1299">
        <v>2013</v>
      </c>
      <c r="D20" s="1312" t="s">
        <v>82</v>
      </c>
      <c r="E20" s="1337" t="s">
        <v>31</v>
      </c>
      <c r="F20" s="1283"/>
      <c r="G20" s="1283"/>
    </row>
    <row r="21" spans="1:15">
      <c r="A21" s="1312"/>
      <c r="B21" s="1292" t="s">
        <v>9</v>
      </c>
      <c r="C21" s="1292" t="s">
        <v>9</v>
      </c>
      <c r="D21" s="1339"/>
      <c r="E21" s="1342">
        <v>0</v>
      </c>
      <c r="F21" s="1283"/>
      <c r="G21" s="1283"/>
    </row>
    <row r="22" spans="1:15">
      <c r="A22" s="1312"/>
      <c r="B22" s="1315"/>
      <c r="C22" s="1315"/>
      <c r="D22" s="1285"/>
      <c r="E22" s="1321"/>
      <c r="F22" s="1283"/>
      <c r="G22" s="1283"/>
    </row>
    <row r="23" spans="1:15">
      <c r="A23" s="1312"/>
      <c r="B23" s="1293" t="s">
        <v>32</v>
      </c>
      <c r="C23" s="1293" t="s">
        <v>32</v>
      </c>
      <c r="D23" s="1294" t="s">
        <v>7</v>
      </c>
      <c r="E23" s="1321"/>
      <c r="F23" s="1306" t="s">
        <v>7</v>
      </c>
      <c r="G23" s="1283"/>
    </row>
    <row r="24" spans="1:15">
      <c r="A24" s="1312"/>
      <c r="B24" s="1312"/>
      <c r="C24" s="1291"/>
      <c r="D24" s="1286"/>
      <c r="E24" s="1321"/>
      <c r="F24" s="1310"/>
      <c r="G24" s="1283"/>
    </row>
    <row r="25" spans="1:15">
      <c r="A25" s="1312"/>
      <c r="B25" s="1283"/>
      <c r="C25" s="1283"/>
      <c r="D25" s="1285"/>
      <c r="E25" s="1321"/>
      <c r="F25" s="1283"/>
      <c r="G25" s="1283"/>
    </row>
    <row r="26" spans="1:15">
      <c r="A26" s="1312"/>
      <c r="B26" s="1283"/>
      <c r="C26" s="1283"/>
      <c r="D26" s="1285"/>
      <c r="E26" s="1321"/>
      <c r="F26" s="1283"/>
      <c r="G26" s="1283"/>
    </row>
    <row r="27" spans="1:15">
      <c r="A27" s="1313"/>
      <c r="B27" s="1292" t="s">
        <v>10</v>
      </c>
      <c r="C27" s="1292" t="s">
        <v>10</v>
      </c>
      <c r="D27" s="1339"/>
      <c r="E27" s="1342">
        <v>0</v>
      </c>
      <c r="F27" s="1304"/>
      <c r="G27" s="1304"/>
    </row>
    <row r="28" spans="1:15">
      <c r="A28" s="1312"/>
      <c r="B28" s="1316"/>
      <c r="C28" s="1316"/>
      <c r="D28" s="1297"/>
      <c r="E28" s="1321"/>
      <c r="F28" s="1283"/>
      <c r="G28" s="1283"/>
    </row>
    <row r="29" spans="1:15">
      <c r="A29" s="1313"/>
      <c r="B29" s="1293" t="s">
        <v>32</v>
      </c>
      <c r="C29" s="1293" t="s">
        <v>32</v>
      </c>
      <c r="D29" s="1297"/>
      <c r="E29" s="1321"/>
      <c r="F29" s="1304"/>
      <c r="G29" s="1304"/>
    </row>
    <row r="30" spans="1:15">
      <c r="A30" s="1312"/>
      <c r="B30" s="1309"/>
      <c r="C30" s="1298"/>
      <c r="D30" s="1295"/>
      <c r="E30" s="1321"/>
      <c r="F30" s="1283"/>
      <c r="G30" s="1283"/>
    </row>
    <row r="31" spans="1:15">
      <c r="A31" s="1312"/>
      <c r="B31" s="1298"/>
      <c r="C31" s="1298"/>
      <c r="D31" s="1295"/>
      <c r="E31" s="1321"/>
      <c r="F31" s="1283"/>
      <c r="G31" s="1283"/>
    </row>
    <row r="32" spans="1:15">
      <c r="A32" s="1312"/>
      <c r="B32" s="1291"/>
      <c r="C32" s="1291"/>
      <c r="D32" s="1295"/>
      <c r="E32" s="1321"/>
      <c r="F32" s="1283"/>
      <c r="G32" s="1283"/>
    </row>
    <row r="33" spans="1:7">
      <c r="A33" s="1312"/>
      <c r="B33" s="1291"/>
      <c r="C33" s="1291"/>
      <c r="D33" s="1295"/>
      <c r="E33" s="1321"/>
      <c r="F33" s="1283"/>
      <c r="G33" s="1283"/>
    </row>
    <row r="34" spans="1:7">
      <c r="A34" s="1312"/>
      <c r="B34" s="1292" t="s">
        <v>11</v>
      </c>
      <c r="C34" s="1292" t="s">
        <v>11</v>
      </c>
      <c r="D34" s="1339"/>
      <c r="E34" s="1342">
        <v>0</v>
      </c>
      <c r="F34" s="1283"/>
    </row>
    <row r="35" spans="1:7">
      <c r="A35" s="1312"/>
      <c r="B35" s="1315"/>
      <c r="C35" s="1315"/>
      <c r="D35" s="1285"/>
      <c r="E35" s="1322"/>
      <c r="F35" s="1283"/>
    </row>
    <row r="36" spans="1:7">
      <c r="A36" s="1343"/>
      <c r="B36" s="1307" t="s">
        <v>37</v>
      </c>
      <c r="C36" s="1307" t="s">
        <v>1204</v>
      </c>
      <c r="D36" s="1294" t="s">
        <v>7</v>
      </c>
      <c r="E36" s="1321"/>
      <c r="F36" s="1303"/>
    </row>
    <row r="37" spans="1:7">
      <c r="A37" s="1312"/>
      <c r="B37" s="1291"/>
      <c r="C37" s="1291"/>
      <c r="D37" s="1295" t="s">
        <v>7</v>
      </c>
      <c r="E37" s="1321"/>
      <c r="F37" s="1283"/>
    </row>
    <row r="38" spans="1:7">
      <c r="A38" s="1313"/>
      <c r="B38" s="1292" t="s">
        <v>38</v>
      </c>
      <c r="C38" s="1292" t="s">
        <v>38</v>
      </c>
      <c r="D38" s="1339"/>
      <c r="E38" s="1342">
        <v>0</v>
      </c>
      <c r="F38" s="1304"/>
    </row>
    <row r="39" spans="1:7">
      <c r="A39" s="1312"/>
      <c r="B39" s="1316"/>
      <c r="C39" s="1316"/>
      <c r="D39" s="1297"/>
      <c r="E39" s="1321"/>
      <c r="F39" s="1283"/>
    </row>
    <row r="40" spans="1:7">
      <c r="A40" s="1312"/>
      <c r="B40" s="1283"/>
      <c r="C40" s="1298"/>
      <c r="D40" s="1295"/>
      <c r="E40" s="1321"/>
      <c r="F40" s="1283"/>
    </row>
    <row r="41" spans="1:7">
      <c r="A41" s="1312"/>
      <c r="B41" s="1291"/>
      <c r="C41" s="1291"/>
      <c r="D41" s="1295"/>
      <c r="E41" s="1321"/>
      <c r="F41" s="1283"/>
    </row>
    <row r="42" spans="1:7">
      <c r="A42" s="1312"/>
      <c r="B42" s="1291"/>
      <c r="C42" s="1291"/>
      <c r="D42" s="1295"/>
      <c r="E42" s="1321"/>
      <c r="F42" s="1283"/>
    </row>
    <row r="43" spans="1:7">
      <c r="A43" s="1312"/>
      <c r="B43" s="1292" t="s">
        <v>12</v>
      </c>
      <c r="C43" s="1292" t="s">
        <v>12</v>
      </c>
      <c r="D43" s="1339"/>
      <c r="E43" s="1342">
        <v>0</v>
      </c>
      <c r="F43" s="1283"/>
    </row>
    <row r="44" spans="1:7">
      <c r="A44" s="1312"/>
      <c r="B44" s="1317"/>
      <c r="C44" s="1317"/>
      <c r="D44" s="1295"/>
      <c r="E44" s="1321"/>
      <c r="F44" s="1283"/>
    </row>
    <row r="45" spans="1:7">
      <c r="A45" s="1312"/>
      <c r="B45" s="1291"/>
      <c r="C45" s="1291"/>
      <c r="D45" s="1295"/>
      <c r="E45" s="1321"/>
      <c r="F45" s="1283"/>
    </row>
    <row r="46" spans="1:7">
      <c r="A46" s="1312"/>
      <c r="B46" s="1291"/>
      <c r="C46" s="1291"/>
      <c r="D46" s="1295"/>
      <c r="E46" s="1321"/>
      <c r="F46" s="1283"/>
    </row>
    <row r="47" spans="1:7">
      <c r="A47" s="1312"/>
      <c r="B47" s="1291"/>
      <c r="C47" s="1291"/>
      <c r="D47" s="1295"/>
      <c r="E47" s="1321"/>
      <c r="F47" s="1283"/>
    </row>
    <row r="48" spans="1:7">
      <c r="A48" s="1312"/>
      <c r="B48" s="1291"/>
      <c r="C48" s="1291"/>
      <c r="D48" s="1295"/>
      <c r="E48" s="1321"/>
      <c r="F48" s="1283"/>
    </row>
    <row r="49" spans="1:6">
      <c r="A49" s="1312"/>
      <c r="B49" s="1291"/>
      <c r="C49" s="1291"/>
      <c r="D49" s="1295"/>
      <c r="E49" s="1321"/>
      <c r="F49" s="1283"/>
    </row>
    <row r="50" spans="1:6">
      <c r="A50" s="1312"/>
      <c r="B50" s="1291"/>
      <c r="C50" s="1291"/>
      <c r="D50" s="1295"/>
      <c r="E50" s="1321"/>
    </row>
    <row r="51" spans="1:6" ht="25.5">
      <c r="A51" s="1312"/>
      <c r="B51" s="1292" t="s">
        <v>39</v>
      </c>
      <c r="C51" s="1292" t="s">
        <v>39</v>
      </c>
      <c r="D51" s="1339"/>
      <c r="E51" s="1342">
        <v>0</v>
      </c>
    </row>
    <row r="52" spans="1:6">
      <c r="A52" s="1312"/>
      <c r="B52" s="1316"/>
      <c r="C52" s="1316"/>
      <c r="D52" s="1283"/>
      <c r="E52" s="1323"/>
    </row>
    <row r="53" spans="1:6">
      <c r="A53" s="1312"/>
      <c r="B53" s="1296"/>
      <c r="C53" s="1296"/>
      <c r="D53" s="1283"/>
      <c r="E53" s="1323"/>
    </row>
    <row r="54" spans="1:6">
      <c r="A54" s="1312"/>
      <c r="B54" s="1296"/>
      <c r="C54" s="1296"/>
      <c r="D54" s="1283"/>
      <c r="E54" s="1323"/>
    </row>
    <row r="55" spans="1:6">
      <c r="A55" s="1312"/>
      <c r="B55" s="1296"/>
      <c r="C55" s="1296"/>
      <c r="D55" s="1283"/>
      <c r="E55" s="1323"/>
    </row>
    <row r="56" spans="1:6">
      <c r="A56" s="1312"/>
      <c r="B56" s="1296"/>
      <c r="C56" s="1296"/>
      <c r="D56" s="1283"/>
      <c r="E56" s="1323"/>
    </row>
    <row r="57" spans="1:6">
      <c r="A57" s="1312"/>
      <c r="B57" s="1283"/>
      <c r="C57" s="1283"/>
      <c r="D57" s="1283"/>
      <c r="E57" s="1323"/>
    </row>
    <row r="58" spans="1:6">
      <c r="A58" s="1312"/>
      <c r="B58" s="1283"/>
      <c r="C58" s="1283"/>
      <c r="D58" s="1285"/>
      <c r="E58" s="1321"/>
    </row>
    <row r="59" spans="1:6">
      <c r="A59" s="1312"/>
      <c r="B59" s="1292" t="s">
        <v>13</v>
      </c>
      <c r="C59" s="1292" t="s">
        <v>13</v>
      </c>
      <c r="D59" s="1339"/>
      <c r="E59" s="1342">
        <v>0</v>
      </c>
    </row>
    <row r="60" spans="1:6">
      <c r="A60" s="1312"/>
      <c r="B60" s="1315"/>
      <c r="C60" s="1315"/>
      <c r="D60" s="1285"/>
      <c r="E60" s="1321"/>
    </row>
    <row r="61" spans="1:6">
      <c r="A61" s="1312"/>
      <c r="B61" s="1283"/>
      <c r="C61" s="1283"/>
      <c r="D61" s="1318" t="s">
        <v>70</v>
      </c>
      <c r="E61" s="1321"/>
    </row>
    <row r="62" spans="1:6">
      <c r="A62" s="1312"/>
      <c r="B62" s="1283" t="s">
        <v>7</v>
      </c>
      <c r="C62" s="1283"/>
      <c r="D62" s="1318" t="s">
        <v>41</v>
      </c>
      <c r="E62" s="1321"/>
    </row>
    <row r="63" spans="1:6">
      <c r="A63" s="1312"/>
      <c r="B63" s="1283"/>
      <c r="C63" s="1283"/>
      <c r="D63" s="1318" t="s">
        <v>42</v>
      </c>
      <c r="E63" s="1321"/>
    </row>
    <row r="64" spans="1:6">
      <c r="A64" s="1312"/>
      <c r="B64" s="1283"/>
      <c r="C64" s="1283"/>
      <c r="D64" s="1318" t="s">
        <v>61</v>
      </c>
      <c r="E64" s="1321"/>
    </row>
    <row r="65" spans="1:5">
      <c r="A65" s="1312"/>
      <c r="B65" s="1308"/>
      <c r="C65" s="1308"/>
      <c r="D65" s="1318" t="s">
        <v>44</v>
      </c>
      <c r="E65" s="1321"/>
    </row>
    <row r="66" spans="1:5">
      <c r="A66" s="1312"/>
      <c r="B66" s="1308"/>
      <c r="C66" s="1308"/>
      <c r="D66" s="1318"/>
      <c r="E66" s="1321"/>
    </row>
    <row r="67" spans="1:5">
      <c r="A67" s="1312"/>
      <c r="B67" s="1292" t="s">
        <v>14</v>
      </c>
      <c r="C67" s="1292" t="s">
        <v>14</v>
      </c>
      <c r="D67" s="1339"/>
      <c r="E67" s="1342">
        <v>0</v>
      </c>
    </row>
    <row r="68" spans="1:5">
      <c r="A68" s="1314"/>
      <c r="B68" s="1315"/>
      <c r="C68" s="1315"/>
      <c r="D68" s="1285"/>
      <c r="E68" s="1321"/>
    </row>
    <row r="69" spans="1:5">
      <c r="A69" s="1312"/>
      <c r="B69" s="1283" t="s">
        <v>7</v>
      </c>
      <c r="C69" s="1283"/>
      <c r="D69" s="1285"/>
      <c r="E69" s="1321"/>
    </row>
    <row r="70" spans="1:5">
      <c r="A70" s="1312"/>
      <c r="B70" s="1283"/>
      <c r="C70" s="1283"/>
      <c r="D70" s="1285"/>
      <c r="E70" s="1321"/>
    </row>
    <row r="71" spans="1:5">
      <c r="A71" s="1312"/>
      <c r="B71" s="1283"/>
      <c r="C71" s="1283"/>
      <c r="D71" s="1285"/>
      <c r="E71" s="1321"/>
    </row>
    <row r="72" spans="1:5">
      <c r="A72" s="1312"/>
      <c r="B72" s="1283"/>
      <c r="C72" s="1283"/>
      <c r="D72" s="1285"/>
      <c r="E72" s="1321"/>
    </row>
    <row r="73" spans="1:5">
      <c r="A73" s="1312"/>
      <c r="B73" s="1283"/>
      <c r="C73" s="1283"/>
      <c r="D73" s="1285"/>
      <c r="E73" s="1321"/>
    </row>
    <row r="74" spans="1:5">
      <c r="A74" s="1312"/>
      <c r="B74" s="1283" t="s">
        <v>7</v>
      </c>
      <c r="C74" s="1283"/>
      <c r="D74" s="1285"/>
      <c r="E74" s="1321"/>
    </row>
    <row r="75" spans="1:5">
      <c r="A75" s="1312"/>
      <c r="B75" s="1292" t="s">
        <v>15</v>
      </c>
      <c r="C75" s="1292" t="s">
        <v>15</v>
      </c>
      <c r="D75" s="1339"/>
      <c r="E75" s="1342">
        <v>0</v>
      </c>
    </row>
    <row r="76" spans="1:5">
      <c r="A76" s="1312"/>
      <c r="B76" s="1316"/>
      <c r="C76" s="1316"/>
      <c r="D76" s="1285"/>
      <c r="E76" s="1321"/>
    </row>
    <row r="77" spans="1:5">
      <c r="A77" s="1313"/>
      <c r="B77" s="1296"/>
      <c r="C77" s="1296"/>
      <c r="D77" s="1302"/>
      <c r="E77" s="1321"/>
    </row>
    <row r="78" spans="1:5">
      <c r="A78" s="1313"/>
      <c r="B78" s="1296"/>
      <c r="C78" s="1296"/>
      <c r="D78" s="1302"/>
      <c r="E78" s="1321"/>
    </row>
    <row r="79" spans="1:5">
      <c r="A79" s="1313"/>
      <c r="B79" s="1296"/>
      <c r="C79" s="1296"/>
      <c r="D79" s="1302"/>
      <c r="E79" s="1321"/>
    </row>
    <row r="80" spans="1:5">
      <c r="A80" s="1313"/>
      <c r="B80" s="1296"/>
      <c r="C80" s="1296"/>
      <c r="D80" s="1302"/>
      <c r="E80" s="1321"/>
    </row>
    <row r="81" spans="1:5">
      <c r="A81" s="1313"/>
      <c r="B81" s="1296"/>
      <c r="C81" s="1296"/>
      <c r="D81" s="1302"/>
      <c r="E81" s="1321"/>
    </row>
    <row r="82" spans="1:5">
      <c r="A82" s="1312"/>
      <c r="B82" s="1283"/>
      <c r="C82" s="1283"/>
      <c r="D82" s="1295"/>
      <c r="E82" s="1321"/>
    </row>
    <row r="83" spans="1:5">
      <c r="A83" s="1312"/>
      <c r="B83" s="1283"/>
      <c r="C83" s="1283"/>
      <c r="D83" s="1295"/>
      <c r="E83" s="1321"/>
    </row>
    <row r="84" spans="1:5">
      <c r="A84" s="1312"/>
      <c r="B84" s="1292" t="s">
        <v>16</v>
      </c>
      <c r="C84" s="1292" t="s">
        <v>16</v>
      </c>
      <c r="D84" s="1339"/>
      <c r="E84" s="1342">
        <f>SUM(B86:B91)+SUM(C86:C91)</f>
        <v>43000</v>
      </c>
    </row>
    <row r="85" spans="1:5">
      <c r="A85" s="1313"/>
      <c r="B85" s="1316"/>
      <c r="C85" s="1316"/>
      <c r="D85" s="1302"/>
      <c r="E85" s="1321"/>
    </row>
    <row r="86" spans="1:5" ht="25.5">
      <c r="A86" s="1313"/>
      <c r="B86" s="3050">
        <v>18000</v>
      </c>
      <c r="C86" s="4709">
        <v>0</v>
      </c>
      <c r="D86" s="3070" t="s">
        <v>970</v>
      </c>
      <c r="E86" s="1321"/>
    </row>
    <row r="87" spans="1:5">
      <c r="A87" s="1313"/>
      <c r="B87" s="1296"/>
      <c r="C87" s="1296"/>
      <c r="D87" s="1302"/>
      <c r="E87" s="1321"/>
    </row>
    <row r="88" spans="1:5">
      <c r="A88" s="1313"/>
      <c r="B88" s="1296"/>
      <c r="C88" s="4756">
        <v>25000</v>
      </c>
      <c r="D88" s="4430" t="s">
        <v>1342</v>
      </c>
      <c r="E88" s="1321"/>
    </row>
    <row r="89" spans="1:5">
      <c r="A89" s="1313"/>
      <c r="B89" s="1296"/>
      <c r="C89" s="1296"/>
      <c r="D89" s="1302"/>
      <c r="E89" s="1321"/>
    </row>
    <row r="90" spans="1:5">
      <c r="A90" s="1313"/>
      <c r="B90" s="1296"/>
      <c r="C90" s="1296"/>
      <c r="D90" s="1302"/>
      <c r="E90" s="1321"/>
    </row>
    <row r="91" spans="1:5">
      <c r="A91" s="1312"/>
      <c r="B91" s="1283"/>
      <c r="C91" s="1283"/>
      <c r="D91" s="1285"/>
      <c r="E91" s="1321"/>
    </row>
    <row r="92" spans="1:5" ht="25.5">
      <c r="A92" s="1312"/>
      <c r="B92" s="1292" t="s">
        <v>17</v>
      </c>
      <c r="C92" s="1292" t="s">
        <v>17</v>
      </c>
      <c r="D92" s="1285"/>
      <c r="E92" s="1321"/>
    </row>
    <row r="93" spans="1:5">
      <c r="A93" s="1313"/>
      <c r="B93" s="1316"/>
      <c r="C93" s="1316"/>
      <c r="D93" s="1302"/>
      <c r="E93" s="1321"/>
    </row>
    <row r="94" spans="1:5">
      <c r="A94" s="1313"/>
      <c r="B94" s="1296"/>
      <c r="C94" s="1296"/>
      <c r="D94" s="1302"/>
      <c r="E94" s="1324"/>
    </row>
    <row r="95" spans="1:5">
      <c r="A95" s="1312"/>
      <c r="B95" s="1309" t="s">
        <v>54</v>
      </c>
      <c r="C95" s="1283"/>
      <c r="D95" s="1285"/>
      <c r="E95" s="1286"/>
    </row>
    <row r="96" spans="1:5">
      <c r="A96" s="1312"/>
      <c r="B96" s="1309" t="s">
        <v>55</v>
      </c>
      <c r="C96" s="1283"/>
      <c r="D96" s="1285"/>
      <c r="E96" s="1286"/>
    </row>
    <row r="97" spans="1:5">
      <c r="A97" s="1312"/>
      <c r="B97" s="1309" t="s">
        <v>56</v>
      </c>
      <c r="C97" s="1283"/>
      <c r="D97" s="1285"/>
      <c r="E97" s="1286"/>
    </row>
  </sheetData>
  <sheetProtection password="9E1F" sheet="1" objects="1" scenarios="1"/>
  <customSheetViews>
    <customSheetView guid="{074EB09C-6289-46D7-9513-012B68BCA7BF}" fitToPage="1">
      <pane xSplit="1" ySplit="1" topLeftCell="B2" activePane="bottomRight" state="frozen"/>
      <selection pane="bottomRight" activeCell="K69" sqref="K69"/>
      <pageMargins left="0.27" right="0.7" top="0.45" bottom="0.36" header="0.3" footer="0.3"/>
      <pageSetup paperSize="17" scale="53" orientation="landscape" r:id="rId1"/>
    </customSheetView>
    <customSheetView guid="{AF9F1D33-B8C2-423F-86A1-47612B8F532C}" fitToPage="1">
      <pane xSplit="1" ySplit="1" topLeftCell="B8" activePane="bottomRight" state="frozenSplit"/>
      <selection pane="bottomRight" activeCell="C37" sqref="C37"/>
      <pageMargins left="0.7" right="0.7" top="0.75" bottom="0.75" header="0.3" footer="0.3"/>
      <pageSetup paperSize="17" scale="53" orientation="landscape"/>
    </customSheetView>
  </customSheetViews>
  <mergeCells count="3">
    <mergeCell ref="B18:C18"/>
    <mergeCell ref="B19:C19"/>
    <mergeCell ref="B15:E15"/>
  </mergeCells>
  <pageMargins left="0.27" right="0.7" top="0.45" bottom="0.36" header="0.3" footer="0.3"/>
  <pageSetup paperSize="17" scale="54" orientation="landscape" r:id="rId2"/>
  <drawing r:id="rId3"/>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sheetPr enableFormatConditionsCalculation="0">
    <pageSetUpPr fitToPage="1"/>
  </sheetPr>
  <dimension ref="A1:O101"/>
  <sheetViews>
    <sheetView zoomScaleNormal="100" workbookViewId="0">
      <pane xSplit="1" ySplit="1" topLeftCell="B2" activePane="bottomRight" state="frozen"/>
      <selection pane="topRight" activeCell="B1" sqref="B1"/>
      <selection pane="bottomLeft" activeCell="A2" sqref="A2"/>
      <selection pane="bottomRight" activeCell="D26" sqref="D26"/>
    </sheetView>
  </sheetViews>
  <sheetFormatPr defaultColWidth="8.85546875" defaultRowHeight="12.75"/>
  <cols>
    <col min="1" max="1" width="15.42578125" customWidth="1"/>
    <col min="2" max="3" width="22" customWidth="1"/>
    <col min="4" max="4" width="22.85546875" customWidth="1"/>
    <col min="5" max="5" width="19.85546875" customWidth="1"/>
    <col min="6" max="6" width="21" customWidth="1"/>
    <col min="7" max="7" width="23.7109375" customWidth="1"/>
    <col min="8" max="8" width="20.42578125" customWidth="1"/>
    <col min="9" max="9" width="17.7109375" customWidth="1"/>
    <col min="10" max="11" width="23.7109375" customWidth="1"/>
    <col min="12" max="12" width="18.7109375" customWidth="1"/>
    <col min="13" max="13" width="23.7109375" customWidth="1"/>
    <col min="14" max="14" width="14.140625" customWidth="1"/>
    <col min="15" max="15" width="20" customWidth="1"/>
  </cols>
  <sheetData>
    <row r="1" spans="1:15" ht="42" customHeight="1"/>
    <row r="3" spans="1:15" ht="18.75" thickBot="1">
      <c r="B3" s="1" t="s">
        <v>100</v>
      </c>
      <c r="C3" s="166"/>
      <c r="D3" s="2"/>
      <c r="E3" s="3"/>
    </row>
    <row r="4" spans="1:15" ht="15.75" thickBot="1">
      <c r="B4" s="5" t="s">
        <v>99</v>
      </c>
      <c r="C4" s="167"/>
      <c r="D4" s="6" t="s">
        <v>75</v>
      </c>
      <c r="E4" s="101">
        <v>18230670</v>
      </c>
    </row>
    <row r="5" spans="1:15" ht="15">
      <c r="B5" s="5"/>
      <c r="C5" s="167"/>
      <c r="D5" s="6"/>
      <c r="E5" s="193"/>
    </row>
    <row r="6" spans="1:15" ht="13.5" thickBot="1">
      <c r="A6" s="69"/>
      <c r="D6" s="2"/>
      <c r="E6" s="104" t="s">
        <v>1139</v>
      </c>
    </row>
    <row r="7" spans="1:15" ht="38.25">
      <c r="B7" s="3462"/>
      <c r="E7" s="105" t="s">
        <v>9</v>
      </c>
      <c r="F7" s="105" t="s">
        <v>10</v>
      </c>
      <c r="G7" s="105" t="s">
        <v>11</v>
      </c>
      <c r="H7" s="106" t="s">
        <v>12</v>
      </c>
      <c r="I7" s="107" t="s">
        <v>13</v>
      </c>
      <c r="J7" s="105" t="s">
        <v>14</v>
      </c>
      <c r="K7" s="105" t="s">
        <v>15</v>
      </c>
      <c r="L7" s="105" t="s">
        <v>16</v>
      </c>
      <c r="M7" s="105" t="s">
        <v>17</v>
      </c>
      <c r="N7" s="108" t="s">
        <v>18</v>
      </c>
      <c r="O7" s="18" t="s">
        <v>19</v>
      </c>
    </row>
    <row r="8" spans="1:15" s="53" customFormat="1">
      <c r="A8" s="109"/>
      <c r="D8" s="111" t="s">
        <v>20</v>
      </c>
      <c r="E8" s="112"/>
      <c r="F8" s="112"/>
      <c r="G8" s="112"/>
      <c r="H8" s="113"/>
      <c r="I8" s="114"/>
      <c r="J8" s="112"/>
      <c r="K8" s="112"/>
      <c r="L8" s="112"/>
      <c r="M8" s="112"/>
      <c r="N8" s="115">
        <v>189654</v>
      </c>
      <c r="O8" s="26" t="s">
        <v>21</v>
      </c>
    </row>
    <row r="9" spans="1:15" s="53" customFormat="1">
      <c r="A9" s="109"/>
      <c r="D9" s="111" t="s">
        <v>22</v>
      </c>
      <c r="E9" s="28">
        <v>65800</v>
      </c>
      <c r="F9" s="28">
        <v>0</v>
      </c>
      <c r="G9" s="28">
        <v>41454</v>
      </c>
      <c r="H9" s="28">
        <v>0</v>
      </c>
      <c r="I9" s="28">
        <v>800</v>
      </c>
      <c r="J9" s="28">
        <v>127000</v>
      </c>
      <c r="K9" s="28">
        <v>800</v>
      </c>
      <c r="L9" s="28">
        <v>400</v>
      </c>
      <c r="M9" s="168">
        <v>0</v>
      </c>
      <c r="N9" s="87">
        <v>236254</v>
      </c>
      <c r="O9" s="30">
        <f>(N9-N8)/N8</f>
        <v>0.24571060984740634</v>
      </c>
    </row>
    <row r="10" spans="1:15" s="53" customFormat="1">
      <c r="A10" s="109"/>
      <c r="D10" s="53">
        <v>2012</v>
      </c>
      <c r="E10" s="118">
        <f>SUM(B25:B27)</f>
        <v>28353</v>
      </c>
      <c r="F10" s="118">
        <f>SUM(B31:B33)</f>
        <v>0</v>
      </c>
      <c r="G10" s="118">
        <f>(SUM(B25:B27)+SUM(B31:B33))*0.63</f>
        <v>17862.39</v>
      </c>
      <c r="H10" s="118">
        <f>SUM(B46:B50)+SUM(B54:B59)</f>
        <v>0</v>
      </c>
      <c r="I10" s="119">
        <f>SUM(B62:B66)</f>
        <v>487</v>
      </c>
      <c r="J10" s="118">
        <f>SUM(B70:B78)</f>
        <v>37700</v>
      </c>
      <c r="K10" s="118">
        <f>SUM(B81:B87)</f>
        <v>200</v>
      </c>
      <c r="L10" s="118">
        <f>SUM(B90:B95)</f>
        <v>150</v>
      </c>
      <c r="M10" s="120"/>
      <c r="N10" s="121">
        <f>SUM(E10:M10)</f>
        <v>84752.39</v>
      </c>
      <c r="O10" s="30">
        <f>(N10-N9)/N9</f>
        <v>-0.64126579867430811</v>
      </c>
    </row>
    <row r="11" spans="1:15" s="5017" customFormat="1">
      <c r="A11" s="5023"/>
      <c r="D11" s="5011" t="s">
        <v>1168</v>
      </c>
      <c r="E11" s="5007">
        <v>29204</v>
      </c>
      <c r="F11" s="5007">
        <v>0</v>
      </c>
      <c r="G11" s="5007">
        <v>18398.52</v>
      </c>
      <c r="H11" s="5007">
        <v>0</v>
      </c>
      <c r="I11" s="5016">
        <v>488</v>
      </c>
      <c r="J11" s="5007">
        <v>50050</v>
      </c>
      <c r="K11" s="5007">
        <v>200</v>
      </c>
      <c r="L11" s="5007">
        <v>150</v>
      </c>
      <c r="M11" s="5001"/>
      <c r="N11" s="5004">
        <v>98490.52</v>
      </c>
      <c r="O11" s="1346">
        <v>0.16209725767025573</v>
      </c>
    </row>
    <row r="12" spans="1:15" s="53" customFormat="1">
      <c r="A12" s="109"/>
      <c r="D12" s="4264" t="s">
        <v>1169</v>
      </c>
      <c r="E12" s="4218">
        <f>SUM(C25:C27)</f>
        <v>27238</v>
      </c>
      <c r="F12" s="4218">
        <f>SUM(C31:C33)</f>
        <v>0</v>
      </c>
      <c r="G12" s="4218">
        <f>(SUM(C25:C27)+SUM(C31:C33))*0.707</f>
        <v>19257.266</v>
      </c>
      <c r="H12" s="4218">
        <f>SUM(C46:C50)+SUM(C54:C59)</f>
        <v>0</v>
      </c>
      <c r="I12" s="4219">
        <f>SUM(C62:C66)</f>
        <v>488</v>
      </c>
      <c r="J12" s="4218">
        <f>SUM(C70:C78)</f>
        <v>43550</v>
      </c>
      <c r="K12" s="4218">
        <f>SUM(C81:C87)</f>
        <v>200</v>
      </c>
      <c r="L12" s="4218">
        <f>SUM(C90:C95)</f>
        <v>150</v>
      </c>
      <c r="M12" s="4220"/>
      <c r="N12" s="4221">
        <f>SUM(E12:M12)</f>
        <v>90883.266000000003</v>
      </c>
      <c r="O12" s="30">
        <f>(N12-N10)/N10</f>
        <v>7.2338679770564629E-2</v>
      </c>
    </row>
    <row r="13" spans="1:15" s="19" customFormat="1">
      <c r="A13" s="69"/>
      <c r="D13" s="123" t="s">
        <v>1172</v>
      </c>
      <c r="E13" s="124">
        <f>SUM(E10+E12)</f>
        <v>55591</v>
      </c>
      <c r="F13" s="124">
        <f t="shared" ref="F13:N13" si="0">SUM(F10+F12)</f>
        <v>0</v>
      </c>
      <c r="G13" s="124">
        <f t="shared" si="0"/>
        <v>37119.656000000003</v>
      </c>
      <c r="H13" s="124">
        <f t="shared" si="0"/>
        <v>0</v>
      </c>
      <c r="I13" s="124">
        <f t="shared" si="0"/>
        <v>975</v>
      </c>
      <c r="J13" s="124">
        <f t="shared" si="0"/>
        <v>81250</v>
      </c>
      <c r="K13" s="124">
        <f t="shared" si="0"/>
        <v>400</v>
      </c>
      <c r="L13" s="124">
        <f t="shared" si="0"/>
        <v>300</v>
      </c>
      <c r="M13" s="124">
        <f t="shared" si="0"/>
        <v>0</v>
      </c>
      <c r="N13" s="124">
        <f t="shared" si="0"/>
        <v>175635.65600000002</v>
      </c>
    </row>
    <row r="14" spans="1:15" ht="18" customHeight="1">
      <c r="A14" s="69"/>
      <c r="D14" s="2"/>
      <c r="E14" s="3"/>
      <c r="M14" s="69" t="s">
        <v>23</v>
      </c>
    </row>
    <row r="15" spans="1:15">
      <c r="A15" s="69"/>
      <c r="D15" s="2"/>
      <c r="E15" s="3"/>
      <c r="M15" s="69" t="s">
        <v>24</v>
      </c>
    </row>
    <row r="16" spans="1:15" ht="15.75">
      <c r="A16" s="69"/>
      <c r="B16" s="5143" t="s">
        <v>25</v>
      </c>
      <c r="C16" s="5145"/>
      <c r="D16" s="5145"/>
      <c r="E16" s="5144"/>
      <c r="F16" s="3437"/>
      <c r="G16" s="3437"/>
    </row>
    <row r="17" spans="1:7" s="53" customFormat="1" ht="15.75">
      <c r="A17" s="109"/>
      <c r="B17" s="169"/>
      <c r="C17" s="129"/>
      <c r="D17" s="129"/>
      <c r="E17" s="129"/>
      <c r="F17" s="129"/>
      <c r="G17" s="129"/>
    </row>
    <row r="18" spans="1:7" s="53" customFormat="1" ht="15.75">
      <c r="A18" s="109"/>
      <c r="B18" s="129"/>
      <c r="C18" s="129"/>
      <c r="D18" s="129"/>
      <c r="E18" s="129"/>
      <c r="F18" s="129"/>
      <c r="G18" s="129"/>
    </row>
    <row r="19" spans="1:7" ht="15.75">
      <c r="A19" s="69"/>
      <c r="B19" s="5141" t="s">
        <v>26</v>
      </c>
      <c r="C19" s="5141"/>
      <c r="D19" s="43" t="s">
        <v>27</v>
      </c>
      <c r="E19" s="44" t="s">
        <v>28</v>
      </c>
    </row>
    <row r="20" spans="1:7" ht="15.75">
      <c r="A20" s="69"/>
      <c r="B20" s="5142" t="s">
        <v>29</v>
      </c>
      <c r="C20" s="5142"/>
      <c r="D20" s="43"/>
      <c r="E20" s="44"/>
    </row>
    <row r="21" spans="1:7" ht="45.75">
      <c r="A21" s="69"/>
      <c r="B21" s="170">
        <v>2012</v>
      </c>
      <c r="C21" s="170">
        <v>2013</v>
      </c>
      <c r="D21" s="69" t="s">
        <v>82</v>
      </c>
      <c r="E21" s="131" t="s">
        <v>31</v>
      </c>
    </row>
    <row r="22" spans="1:7">
      <c r="A22" s="69"/>
      <c r="B22" s="174" t="s">
        <v>9</v>
      </c>
      <c r="C22" s="174" t="s">
        <v>9</v>
      </c>
      <c r="D22" s="138"/>
      <c r="E22" s="139">
        <f>SUM(B25:B27)+SUM(C25:C27)</f>
        <v>55591</v>
      </c>
    </row>
    <row r="23" spans="1:7" ht="7.5" customHeight="1">
      <c r="A23" s="69"/>
      <c r="B23" s="175"/>
      <c r="C23" s="175"/>
      <c r="D23" s="2"/>
      <c r="E23" s="52"/>
    </row>
    <row r="24" spans="1:7">
      <c r="A24" s="69"/>
      <c r="B24" s="176" t="s">
        <v>32</v>
      </c>
      <c r="C24" s="176" t="s">
        <v>32</v>
      </c>
      <c r="D24" s="143" t="s">
        <v>7</v>
      </c>
      <c r="E24" s="52"/>
      <c r="F24" s="144" t="s">
        <v>7</v>
      </c>
    </row>
    <row r="25" spans="1:7">
      <c r="A25" s="69"/>
      <c r="B25" s="177">
        <v>28353</v>
      </c>
      <c r="C25" s="4434">
        <v>27238</v>
      </c>
      <c r="D25" s="4853" t="s">
        <v>1427</v>
      </c>
      <c r="E25" s="52"/>
      <c r="F25" s="146"/>
    </row>
    <row r="26" spans="1:7">
      <c r="A26" s="69"/>
      <c r="B26" s="179"/>
      <c r="C26" s="179"/>
      <c r="D26" s="2"/>
      <c r="E26" s="52"/>
    </row>
    <row r="27" spans="1:7">
      <c r="A27" s="69"/>
      <c r="B27" s="179"/>
      <c r="C27" s="179"/>
      <c r="D27" s="2"/>
      <c r="E27" s="52"/>
    </row>
    <row r="28" spans="1:7" s="53" customFormat="1" ht="21" customHeight="1">
      <c r="A28" s="109"/>
      <c r="B28" s="174" t="s">
        <v>10</v>
      </c>
      <c r="C28" s="174" t="s">
        <v>10</v>
      </c>
      <c r="D28" s="138"/>
      <c r="E28" s="139">
        <f>SUM(B31:B34)+SUM(C31:C34)</f>
        <v>0</v>
      </c>
    </row>
    <row r="29" spans="1:7" ht="8.25" customHeight="1">
      <c r="A29" s="69"/>
      <c r="B29" s="180"/>
      <c r="C29" s="180"/>
      <c r="D29" s="152"/>
      <c r="E29" s="52"/>
    </row>
    <row r="30" spans="1:7" s="53" customFormat="1" ht="13.5" customHeight="1">
      <c r="A30" s="109"/>
      <c r="B30" s="176" t="s">
        <v>32</v>
      </c>
      <c r="C30" s="176" t="s">
        <v>32</v>
      </c>
      <c r="D30" s="152"/>
      <c r="E30" s="52"/>
    </row>
    <row r="31" spans="1:7">
      <c r="A31" s="69"/>
      <c r="B31" s="86"/>
      <c r="C31" s="181"/>
      <c r="D31" s="150"/>
      <c r="E31" s="52"/>
    </row>
    <row r="32" spans="1:7">
      <c r="A32" s="69"/>
      <c r="B32" s="181"/>
      <c r="C32" s="181"/>
      <c r="D32" s="150"/>
      <c r="E32" s="52"/>
    </row>
    <row r="33" spans="1:6">
      <c r="A33" s="69"/>
      <c r="B33" s="19"/>
      <c r="C33" s="19"/>
      <c r="D33" s="150"/>
      <c r="E33" s="52"/>
    </row>
    <row r="34" spans="1:6">
      <c r="A34" s="69"/>
      <c r="B34" s="19"/>
      <c r="C34" s="19"/>
      <c r="D34" s="150"/>
      <c r="E34" s="52"/>
    </row>
    <row r="35" spans="1:6">
      <c r="A35" s="69"/>
      <c r="B35" s="174" t="s">
        <v>11</v>
      </c>
      <c r="C35" s="174" t="s">
        <v>11</v>
      </c>
      <c r="D35" s="138"/>
      <c r="E35" s="139">
        <f>(B25*0.63)+(C25*0.707)</f>
        <v>37119.656000000003</v>
      </c>
    </row>
    <row r="36" spans="1:6" ht="7.5" customHeight="1">
      <c r="A36" s="69"/>
      <c r="B36" s="175"/>
      <c r="C36" s="175"/>
      <c r="D36" s="2"/>
      <c r="E36" s="68"/>
    </row>
    <row r="37" spans="1:6">
      <c r="A37" s="187"/>
      <c r="B37" s="182" t="s">
        <v>37</v>
      </c>
      <c r="C37" s="182" t="s">
        <v>1204</v>
      </c>
      <c r="D37" s="143" t="s">
        <v>7</v>
      </c>
      <c r="E37" s="52"/>
      <c r="F37" s="157"/>
    </row>
    <row r="38" spans="1:6">
      <c r="A38" s="69"/>
      <c r="B38" s="19"/>
      <c r="C38" s="19"/>
      <c r="D38" s="150" t="s">
        <v>7</v>
      </c>
      <c r="E38" s="52"/>
    </row>
    <row r="39" spans="1:6" s="53" customFormat="1">
      <c r="A39" s="109"/>
      <c r="B39" s="174" t="s">
        <v>38</v>
      </c>
      <c r="C39" s="174" t="s">
        <v>38</v>
      </c>
      <c r="D39" s="138"/>
      <c r="E39" s="139">
        <f>SUM(B41:B43)+SUM(C41:C43)</f>
        <v>0</v>
      </c>
    </row>
    <row r="40" spans="1:6" ht="7.5" customHeight="1">
      <c r="A40" s="69"/>
      <c r="B40" s="180"/>
      <c r="C40" s="180"/>
      <c r="D40" s="152"/>
      <c r="E40" s="52"/>
    </row>
    <row r="41" spans="1:6">
      <c r="A41" s="69"/>
      <c r="C41" s="181"/>
      <c r="D41" s="150"/>
      <c r="E41" s="52"/>
    </row>
    <row r="42" spans="1:6" ht="26.25" customHeight="1">
      <c r="A42" s="69"/>
      <c r="B42" s="19"/>
      <c r="C42" s="19"/>
      <c r="D42" s="150"/>
      <c r="E42" s="52"/>
    </row>
    <row r="43" spans="1:6" ht="26.25" customHeight="1">
      <c r="A43" s="69"/>
      <c r="B43" s="19"/>
      <c r="C43" s="19"/>
      <c r="D43" s="150"/>
      <c r="E43" s="52"/>
    </row>
    <row r="44" spans="1:6">
      <c r="A44" s="69"/>
      <c r="B44" s="174" t="s">
        <v>12</v>
      </c>
      <c r="C44" s="174" t="s">
        <v>12</v>
      </c>
      <c r="D44" s="138"/>
      <c r="E44" s="139">
        <f>SUM(B46:B51)+SUM(C46:C51)</f>
        <v>0</v>
      </c>
    </row>
    <row r="45" spans="1:6" ht="6.75" customHeight="1">
      <c r="A45" s="69"/>
      <c r="B45" s="183"/>
      <c r="C45" s="183"/>
      <c r="D45" s="150"/>
      <c r="E45" s="52"/>
    </row>
    <row r="46" spans="1:6">
      <c r="A46" s="69"/>
      <c r="B46" s="19"/>
      <c r="C46" s="19"/>
      <c r="D46" s="150"/>
      <c r="E46" s="52"/>
    </row>
    <row r="47" spans="1:6">
      <c r="A47" s="69"/>
      <c r="B47" s="19"/>
      <c r="C47" s="19"/>
      <c r="D47" s="150"/>
      <c r="E47" s="52"/>
    </row>
    <row r="48" spans="1:6">
      <c r="A48" s="69"/>
      <c r="B48" s="19"/>
      <c r="C48" s="19"/>
      <c r="D48" s="150"/>
      <c r="E48" s="52"/>
    </row>
    <row r="49" spans="1:5">
      <c r="A49" s="69"/>
      <c r="B49" s="19"/>
      <c r="C49" s="19"/>
      <c r="D49" s="150"/>
      <c r="E49" s="52"/>
    </row>
    <row r="50" spans="1:5" ht="27.75" customHeight="1">
      <c r="A50" s="69"/>
      <c r="B50" s="19"/>
      <c r="C50" s="19"/>
      <c r="D50" s="150"/>
      <c r="E50" s="52"/>
    </row>
    <row r="51" spans="1:5" ht="27.75" customHeight="1">
      <c r="A51" s="69"/>
      <c r="B51" s="19"/>
      <c r="C51" s="19"/>
      <c r="D51" s="150"/>
      <c r="E51" s="52"/>
    </row>
    <row r="52" spans="1:5">
      <c r="A52" s="69"/>
      <c r="B52" s="174" t="s">
        <v>39</v>
      </c>
      <c r="C52" s="174" t="s">
        <v>39</v>
      </c>
      <c r="D52" s="138"/>
      <c r="E52" s="139">
        <f>SUM(B54:B59)+SUM(C54:C59)</f>
        <v>0</v>
      </c>
    </row>
    <row r="53" spans="1:5" ht="6.75" customHeight="1">
      <c r="A53" s="69"/>
      <c r="B53" s="180"/>
      <c r="C53" s="180"/>
      <c r="E53" s="73"/>
    </row>
    <row r="54" spans="1:5">
      <c r="A54" s="69"/>
      <c r="B54" s="184"/>
      <c r="C54" s="184"/>
      <c r="E54" s="73"/>
    </row>
    <row r="55" spans="1:5" ht="12.75" customHeight="1">
      <c r="A55" s="69"/>
      <c r="B55" s="184"/>
      <c r="C55" s="184"/>
      <c r="E55" s="73"/>
    </row>
    <row r="56" spans="1:5">
      <c r="A56" s="69"/>
      <c r="B56" s="184"/>
      <c r="C56" s="184"/>
      <c r="E56" s="73"/>
    </row>
    <row r="57" spans="1:5">
      <c r="A57" s="69"/>
      <c r="B57" s="184"/>
      <c r="C57" s="184"/>
      <c r="E57" s="73"/>
    </row>
    <row r="58" spans="1:5">
      <c r="A58" s="69"/>
      <c r="E58" s="73"/>
    </row>
    <row r="59" spans="1:5">
      <c r="A59" s="69"/>
      <c r="D59" s="2"/>
      <c r="E59" s="52"/>
    </row>
    <row r="60" spans="1:5">
      <c r="A60" s="69"/>
      <c r="B60" s="174" t="s">
        <v>13</v>
      </c>
      <c r="C60" s="174" t="s">
        <v>13</v>
      </c>
      <c r="D60" s="138"/>
      <c r="E60" s="139">
        <f>SUM(B62:B67)+SUM(C62:C67)</f>
        <v>975</v>
      </c>
    </row>
    <row r="61" spans="1:5" ht="6.75" customHeight="1">
      <c r="A61" s="69"/>
      <c r="B61" s="175"/>
      <c r="C61" s="175"/>
      <c r="D61" s="2"/>
      <c r="E61" s="52"/>
    </row>
    <row r="62" spans="1:5">
      <c r="A62" s="69"/>
      <c r="B62" s="3492">
        <v>200</v>
      </c>
      <c r="C62" s="3492">
        <v>200</v>
      </c>
      <c r="D62" s="160" t="s">
        <v>70</v>
      </c>
      <c r="E62" s="52"/>
    </row>
    <row r="63" spans="1:5">
      <c r="A63" s="69"/>
      <c r="B63" s="3492">
        <v>200</v>
      </c>
      <c r="C63" s="3492">
        <v>200</v>
      </c>
      <c r="D63" s="160" t="s">
        <v>41</v>
      </c>
      <c r="E63" s="52"/>
    </row>
    <row r="64" spans="1:5">
      <c r="A64" s="69"/>
      <c r="B64" s="3492">
        <v>37</v>
      </c>
      <c r="C64" s="3492">
        <v>38</v>
      </c>
      <c r="D64" s="160" t="s">
        <v>42</v>
      </c>
      <c r="E64" s="52"/>
    </row>
    <row r="65" spans="1:5">
      <c r="A65" s="69"/>
      <c r="B65" s="3492">
        <v>50</v>
      </c>
      <c r="C65" s="3492">
        <v>50</v>
      </c>
      <c r="D65" s="160" t="s">
        <v>61</v>
      </c>
      <c r="E65" s="52"/>
    </row>
    <row r="66" spans="1:5">
      <c r="A66" s="69"/>
      <c r="B66" s="185"/>
      <c r="C66" s="185"/>
      <c r="D66" s="160" t="s">
        <v>44</v>
      </c>
      <c r="E66" s="52"/>
    </row>
    <row r="67" spans="1:5">
      <c r="A67" s="69"/>
      <c r="B67" s="185"/>
      <c r="C67" s="185"/>
      <c r="D67" s="160"/>
      <c r="E67" s="52"/>
    </row>
    <row r="68" spans="1:5">
      <c r="A68" s="69"/>
      <c r="B68" s="174" t="s">
        <v>14</v>
      </c>
      <c r="C68" s="174" t="s">
        <v>14</v>
      </c>
      <c r="D68" s="138"/>
      <c r="E68" s="139">
        <f>SUM(B70:B78)+SUM(C70:C78)</f>
        <v>81250</v>
      </c>
    </row>
    <row r="69" spans="1:5" ht="6" customHeight="1">
      <c r="A69" s="162"/>
      <c r="B69" s="175"/>
      <c r="C69" s="175"/>
      <c r="D69" s="2"/>
      <c r="E69" s="52"/>
    </row>
    <row r="70" spans="1:5">
      <c r="A70" s="69"/>
      <c r="B70" s="3493">
        <v>5200</v>
      </c>
      <c r="C70" s="3493"/>
      <c r="D70" s="2"/>
      <c r="E70" s="52"/>
    </row>
    <row r="71" spans="1:5">
      <c r="A71" s="69"/>
      <c r="B71" s="3493">
        <v>7800</v>
      </c>
      <c r="C71" s="3493"/>
      <c r="D71" s="2"/>
      <c r="E71" s="52"/>
    </row>
    <row r="72" spans="1:5">
      <c r="A72" s="69"/>
      <c r="B72" s="3493">
        <v>6500</v>
      </c>
      <c r="C72" s="3493"/>
      <c r="D72" s="2"/>
      <c r="E72" s="52"/>
    </row>
    <row r="73" spans="1:5">
      <c r="A73" s="69"/>
      <c r="B73" s="3493">
        <v>5200</v>
      </c>
      <c r="C73" s="4435">
        <v>9750</v>
      </c>
      <c r="D73" s="4706" t="s">
        <v>1381</v>
      </c>
      <c r="E73" s="52"/>
    </row>
    <row r="74" spans="1:5">
      <c r="A74" s="69"/>
      <c r="B74" s="3493">
        <v>1950</v>
      </c>
      <c r="C74" s="4435">
        <v>5200</v>
      </c>
      <c r="D74" s="4706" t="s">
        <v>1382</v>
      </c>
      <c r="E74" s="52"/>
    </row>
    <row r="75" spans="1:5" ht="25.5">
      <c r="A75" s="69"/>
      <c r="B75" s="3493">
        <v>6500</v>
      </c>
      <c r="C75" s="4435">
        <v>26000</v>
      </c>
      <c r="D75" s="4706" t="s">
        <v>1380</v>
      </c>
      <c r="E75" s="52"/>
    </row>
    <row r="76" spans="1:5" ht="25.5">
      <c r="A76" s="69"/>
      <c r="B76" s="3493">
        <v>1300</v>
      </c>
      <c r="C76" s="3493">
        <v>1300</v>
      </c>
      <c r="D76" s="4711" t="s">
        <v>86</v>
      </c>
      <c r="E76" s="52"/>
    </row>
    <row r="77" spans="1:5" ht="25.5">
      <c r="A77" s="69"/>
      <c r="B77" s="3493">
        <v>3250</v>
      </c>
      <c r="C77" s="4435">
        <v>1300</v>
      </c>
      <c r="D77" s="4706" t="s">
        <v>87</v>
      </c>
      <c r="E77" s="52"/>
    </row>
    <row r="78" spans="1:5">
      <c r="A78" s="69"/>
      <c r="B78" s="84"/>
      <c r="C78" s="84"/>
      <c r="D78" s="3"/>
      <c r="E78" s="52"/>
    </row>
    <row r="79" spans="1:5">
      <c r="A79" s="69"/>
      <c r="B79" s="174" t="s">
        <v>15</v>
      </c>
      <c r="C79" s="174" t="s">
        <v>15</v>
      </c>
      <c r="D79" s="138"/>
      <c r="E79" s="139">
        <f>SUM(B81:B87)+SUM(C81:C87)</f>
        <v>400</v>
      </c>
    </row>
    <row r="80" spans="1:5" ht="6.75" customHeight="1">
      <c r="A80" s="69"/>
      <c r="B80" s="180"/>
      <c r="C80" s="180"/>
      <c r="D80" s="2"/>
      <c r="E80" s="52"/>
    </row>
    <row r="81" spans="1:5" s="53" customFormat="1" ht="25.5">
      <c r="A81" s="109"/>
      <c r="B81" s="189">
        <v>200</v>
      </c>
      <c r="C81" s="189">
        <v>200</v>
      </c>
      <c r="D81" s="165" t="s">
        <v>88</v>
      </c>
      <c r="E81" s="52"/>
    </row>
    <row r="82" spans="1:5" s="53" customFormat="1" ht="12.75" customHeight="1">
      <c r="A82" s="109"/>
      <c r="B82" s="190"/>
      <c r="C82" s="190"/>
      <c r="D82" s="163"/>
      <c r="E82" s="52"/>
    </row>
    <row r="83" spans="1:5" s="53" customFormat="1" ht="12.75" customHeight="1">
      <c r="A83" s="109"/>
      <c r="B83" s="190"/>
      <c r="C83" s="190"/>
      <c r="D83" s="163"/>
      <c r="E83" s="52"/>
    </row>
    <row r="84" spans="1:5" s="53" customFormat="1" ht="12.75" customHeight="1">
      <c r="A84" s="109"/>
      <c r="B84" s="190"/>
      <c r="C84" s="190"/>
      <c r="D84" s="163"/>
      <c r="E84" s="52"/>
    </row>
    <row r="85" spans="1:5" s="53" customFormat="1" ht="12.75" customHeight="1">
      <c r="A85" s="109"/>
      <c r="B85" s="190"/>
      <c r="C85" s="190"/>
      <c r="D85" s="163"/>
      <c r="E85" s="52"/>
    </row>
    <row r="86" spans="1:5">
      <c r="A86" s="69"/>
      <c r="B86" s="84"/>
      <c r="C86" s="84"/>
      <c r="D86" s="150"/>
      <c r="E86" s="52"/>
    </row>
    <row r="87" spans="1:5">
      <c r="A87" s="69"/>
      <c r="B87" s="84"/>
      <c r="C87" s="84"/>
      <c r="D87" s="150"/>
      <c r="E87" s="52"/>
    </row>
    <row r="88" spans="1:5">
      <c r="A88" s="69"/>
      <c r="B88" s="174" t="s">
        <v>16</v>
      </c>
      <c r="C88" s="174" t="s">
        <v>16</v>
      </c>
      <c r="D88" s="138"/>
      <c r="E88" s="139">
        <f>SUM(B90:B95)+SUM(C90:C95)</f>
        <v>300</v>
      </c>
    </row>
    <row r="89" spans="1:5" s="53" customFormat="1" ht="6.75" customHeight="1">
      <c r="A89" s="109"/>
      <c r="B89" s="180"/>
      <c r="C89" s="180"/>
      <c r="D89" s="163"/>
      <c r="E89" s="52"/>
    </row>
    <row r="90" spans="1:5" s="53" customFormat="1" ht="25.5">
      <c r="A90" s="109"/>
      <c r="B90" s="189">
        <v>150</v>
      </c>
      <c r="C90" s="189">
        <v>150</v>
      </c>
      <c r="D90" s="165" t="s">
        <v>89</v>
      </c>
      <c r="E90" s="52"/>
    </row>
    <row r="91" spans="1:5" s="53" customFormat="1" ht="12.75" customHeight="1">
      <c r="A91" s="109"/>
      <c r="B91" s="190"/>
      <c r="C91" s="190"/>
      <c r="D91" s="163"/>
      <c r="E91" s="52"/>
    </row>
    <row r="92" spans="1:5" s="53" customFormat="1" ht="12.75" customHeight="1">
      <c r="A92" s="109"/>
      <c r="B92" s="190"/>
      <c r="C92" s="190"/>
      <c r="D92" s="163"/>
      <c r="E92" s="52"/>
    </row>
    <row r="93" spans="1:5" s="53" customFormat="1">
      <c r="A93" s="109"/>
      <c r="B93" s="190"/>
      <c r="C93" s="190"/>
      <c r="D93" s="163"/>
      <c r="E93" s="52"/>
    </row>
    <row r="94" spans="1:5" s="53" customFormat="1">
      <c r="A94" s="109"/>
      <c r="B94" s="190"/>
      <c r="C94" s="190"/>
      <c r="D94" s="163"/>
      <c r="E94" s="52"/>
    </row>
    <row r="95" spans="1:5">
      <c r="A95" s="69"/>
      <c r="B95" s="84"/>
      <c r="C95" s="84"/>
      <c r="D95" s="2"/>
      <c r="E95" s="52"/>
    </row>
    <row r="96" spans="1:5" ht="25.5">
      <c r="A96" s="69"/>
      <c r="B96" s="174" t="s">
        <v>17</v>
      </c>
      <c r="C96" s="174" t="s">
        <v>17</v>
      </c>
      <c r="D96" s="2"/>
      <c r="E96" s="52"/>
    </row>
    <row r="97" spans="1:5" s="53" customFormat="1" ht="6.75" customHeight="1">
      <c r="A97" s="109"/>
      <c r="B97" s="180"/>
      <c r="C97" s="180"/>
      <c r="D97" s="163"/>
      <c r="E97" s="52"/>
    </row>
    <row r="98" spans="1:5" s="53" customFormat="1">
      <c r="A98" s="109"/>
      <c r="B98" s="184"/>
      <c r="C98" s="184"/>
      <c r="D98" s="163"/>
      <c r="E98" s="82"/>
    </row>
    <row r="99" spans="1:5">
      <c r="A99" s="69"/>
      <c r="B99" s="86" t="s">
        <v>54</v>
      </c>
      <c r="D99" s="2"/>
      <c r="E99" s="3"/>
    </row>
    <row r="100" spans="1:5">
      <c r="A100" s="69"/>
      <c r="B100" s="86" t="s">
        <v>55</v>
      </c>
      <c r="D100" s="2"/>
      <c r="E100" s="3"/>
    </row>
    <row r="101" spans="1:5">
      <c r="A101" s="69"/>
      <c r="B101" s="86" t="s">
        <v>56</v>
      </c>
      <c r="D101" s="2"/>
      <c r="E101" s="3"/>
    </row>
  </sheetData>
  <sheetProtection password="9E1F" sheet="1" objects="1" scenarios="1"/>
  <customSheetViews>
    <customSheetView guid="{074EB09C-6289-46D7-9513-012B68BCA7BF}" fitToPage="1">
      <pane xSplit="1" ySplit="1" topLeftCell="B2" activePane="bottomRight" state="frozen"/>
      <selection pane="bottomRight" activeCell="D26" sqref="D26"/>
      <pageMargins left="0.27" right="0.7" top="0.34" bottom="0.32" header="0.3" footer="0.3"/>
      <pageSetup paperSize="17" scale="51" orientation="landscape" r:id="rId1"/>
    </customSheetView>
    <customSheetView guid="{AF9F1D33-B8C2-423F-86A1-47612B8F532C}" fitToPage="1">
      <pane xSplit="1" ySplit="1" topLeftCell="B14" activePane="bottomRight" state="frozenSplit"/>
      <selection pane="bottomRight" activeCell="G13" sqref="G13"/>
      <pageMargins left="0.7" right="0.7" top="0.75" bottom="0.75" header="0.3" footer="0.3"/>
      <pageSetup paperSize="17" scale="50" orientation="landscape"/>
    </customSheetView>
  </customSheetViews>
  <mergeCells count="3">
    <mergeCell ref="B19:C19"/>
    <mergeCell ref="B20:C20"/>
    <mergeCell ref="B16:E16"/>
  </mergeCells>
  <pageMargins left="0.27" right="0.7" top="0.34" bottom="0.32" header="0.3" footer="0.3"/>
  <pageSetup paperSize="17" scale="50" orientation="landscape" r:id="rId2"/>
  <drawing r:id="rId3"/>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sheetPr enableFormatConditionsCalculation="0">
    <pageSetUpPr fitToPage="1"/>
  </sheetPr>
  <dimension ref="A1:O98"/>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8.85546875" defaultRowHeight="12.75"/>
  <cols>
    <col min="1" max="1" width="16.140625" customWidth="1"/>
    <col min="2" max="3" width="22.140625" customWidth="1"/>
    <col min="4" max="4" width="24" customWidth="1"/>
    <col min="5" max="5" width="18.140625" customWidth="1"/>
    <col min="6" max="6" width="17.85546875" customWidth="1"/>
    <col min="7" max="7" width="20.42578125" customWidth="1"/>
    <col min="8" max="8" width="19.7109375" customWidth="1"/>
    <col min="9" max="9" width="18.140625" customWidth="1"/>
    <col min="10" max="11" width="23.7109375" customWidth="1"/>
    <col min="12" max="12" width="18" customWidth="1"/>
    <col min="13" max="13" width="23.7109375" customWidth="1"/>
    <col min="14" max="14" width="19.42578125" customWidth="1"/>
    <col min="15" max="15" width="15.85546875" customWidth="1"/>
  </cols>
  <sheetData>
    <row r="1" spans="1:15" ht="42.75" customHeight="1"/>
    <row r="2" spans="1:15" ht="18.75" thickBot="1">
      <c r="B2" s="1" t="s">
        <v>78</v>
      </c>
      <c r="C2" s="166"/>
      <c r="D2" s="2"/>
      <c r="E2" s="3"/>
    </row>
    <row r="3" spans="1:15" ht="15.75" thickBot="1">
      <c r="B3" s="5" t="s">
        <v>5</v>
      </c>
      <c r="C3" s="167"/>
      <c r="D3" s="6" t="s">
        <v>75</v>
      </c>
      <c r="E3" s="101">
        <v>18230809</v>
      </c>
    </row>
    <row r="4" spans="1:15">
      <c r="B4" s="19"/>
    </row>
    <row r="5" spans="1:15" ht="13.5" thickBot="1">
      <c r="A5" s="69"/>
      <c r="D5" s="2"/>
      <c r="E5" s="104" t="s">
        <v>1139</v>
      </c>
    </row>
    <row r="6" spans="1:15" ht="38.25">
      <c r="B6" s="3462"/>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15">
        <v>418800</v>
      </c>
      <c r="O7" s="26" t="s">
        <v>21</v>
      </c>
    </row>
    <row r="8" spans="1:15" s="53" customFormat="1">
      <c r="A8" s="109"/>
      <c r="D8" s="111" t="s">
        <v>22</v>
      </c>
      <c r="E8" s="28">
        <v>112800</v>
      </c>
      <c r="F8" s="28">
        <v>0</v>
      </c>
      <c r="G8" s="28">
        <v>71064</v>
      </c>
      <c r="H8" s="28">
        <v>0</v>
      </c>
      <c r="I8" s="28">
        <v>1600</v>
      </c>
      <c r="J8" s="28">
        <v>128000</v>
      </c>
      <c r="K8" s="28">
        <v>1600</v>
      </c>
      <c r="L8" s="28">
        <v>0</v>
      </c>
      <c r="M8" s="168">
        <v>0</v>
      </c>
      <c r="N8" s="87">
        <v>315064</v>
      </c>
      <c r="O8" s="30">
        <f>(N8-N7)/N7</f>
        <v>-0.24769818529130849</v>
      </c>
    </row>
    <row r="9" spans="1:15" s="53" customFormat="1">
      <c r="A9" s="109"/>
      <c r="D9" s="53">
        <v>2012</v>
      </c>
      <c r="E9" s="118">
        <f>SUM(B25:B27)</f>
        <v>111800</v>
      </c>
      <c r="F9" s="118">
        <f>SUM(B31:B33)</f>
        <v>0</v>
      </c>
      <c r="G9" s="118">
        <f>(SUM(B25:B27)+SUM(B31:B33))*0.63</f>
        <v>70434</v>
      </c>
      <c r="H9" s="118">
        <f>SUM(B46:B50)+SUM(B54:B59)</f>
        <v>0</v>
      </c>
      <c r="I9" s="119">
        <f>SUM(B62:B66)</f>
        <v>2175</v>
      </c>
      <c r="J9" s="118">
        <f>SUM(B70:B75)</f>
        <v>239250</v>
      </c>
      <c r="K9" s="118">
        <f>SUM(B78:B84)</f>
        <v>0</v>
      </c>
      <c r="L9" s="118">
        <f>SUM(B87:B92)</f>
        <v>0</v>
      </c>
      <c r="M9" s="120"/>
      <c r="N9" s="121">
        <f>SUM(E9:M9)</f>
        <v>423659</v>
      </c>
      <c r="O9" s="30">
        <f>(N9-N8)/N8</f>
        <v>0.34467600233603329</v>
      </c>
    </row>
    <row r="10" spans="1:15" s="3534" customFormat="1">
      <c r="A10" s="109"/>
      <c r="D10" s="4263" t="s">
        <v>1168</v>
      </c>
      <c r="E10" s="118">
        <v>115154</v>
      </c>
      <c r="F10" s="118">
        <v>0</v>
      </c>
      <c r="G10" s="118">
        <v>72547.02</v>
      </c>
      <c r="H10" s="118">
        <v>0</v>
      </c>
      <c r="I10" s="119">
        <v>2175</v>
      </c>
      <c r="J10" s="118">
        <v>56550</v>
      </c>
      <c r="K10" s="118">
        <v>0</v>
      </c>
      <c r="L10" s="118">
        <v>0</v>
      </c>
      <c r="M10" s="120"/>
      <c r="N10" s="121">
        <v>246426.02000000002</v>
      </c>
      <c r="O10" s="1346">
        <v>-0.41833875829381645</v>
      </c>
    </row>
    <row r="11" spans="1:15" s="53" customFormat="1">
      <c r="A11" s="109"/>
      <c r="D11" s="4264" t="s">
        <v>1169</v>
      </c>
      <c r="E11" s="4218">
        <f>SUM(C25:C27)</f>
        <v>115154</v>
      </c>
      <c r="F11" s="4218">
        <f>SUM(C31:C33)</f>
        <v>0</v>
      </c>
      <c r="G11" s="4218">
        <f>(SUM(C25:C27)+SUM(C31:C33))*0.707</f>
        <v>81413.877999999997</v>
      </c>
      <c r="H11" s="4218">
        <f>SUM(C46:C50)+SUM(C54:C59)</f>
        <v>0</v>
      </c>
      <c r="I11" s="4219">
        <f>SUM(C62:C66)</f>
        <v>2175</v>
      </c>
      <c r="J11" s="4218">
        <f>SUM(C70:C75)</f>
        <v>56550</v>
      </c>
      <c r="K11" s="4218">
        <f>SUM(C78:C84)</f>
        <v>0</v>
      </c>
      <c r="L11" s="4218">
        <f>SUM(C87:C92)</f>
        <v>0</v>
      </c>
      <c r="M11" s="4220"/>
      <c r="N11" s="4221">
        <f>SUM(E11:M11)</f>
        <v>255292.878</v>
      </c>
      <c r="O11" s="30">
        <f>(N11-N9)/N9</f>
        <v>-0.3974095251133577</v>
      </c>
    </row>
    <row r="12" spans="1:15" s="19" customFormat="1">
      <c r="A12" s="69"/>
      <c r="D12" s="123" t="s">
        <v>1172</v>
      </c>
      <c r="E12" s="124">
        <f>SUM(E9+E11)</f>
        <v>226954</v>
      </c>
      <c r="F12" s="124">
        <f t="shared" ref="F12:N12" si="0">SUM(F9+F11)</f>
        <v>0</v>
      </c>
      <c r="G12" s="124">
        <f t="shared" si="0"/>
        <v>151847.878</v>
      </c>
      <c r="H12" s="124">
        <f t="shared" si="0"/>
        <v>0</v>
      </c>
      <c r="I12" s="124">
        <f t="shared" si="0"/>
        <v>4350</v>
      </c>
      <c r="J12" s="124">
        <f t="shared" si="0"/>
        <v>295800</v>
      </c>
      <c r="K12" s="124">
        <f t="shared" si="0"/>
        <v>0</v>
      </c>
      <c r="L12" s="124">
        <f t="shared" si="0"/>
        <v>0</v>
      </c>
      <c r="M12" s="124">
        <f t="shared" si="0"/>
        <v>0</v>
      </c>
      <c r="N12" s="124">
        <f t="shared" si="0"/>
        <v>678951.87800000003</v>
      </c>
    </row>
    <row r="13" spans="1:15" ht="18" customHeight="1">
      <c r="A13" s="69"/>
      <c r="D13" s="2"/>
      <c r="E13" s="3"/>
      <c r="M13" s="69" t="s">
        <v>23</v>
      </c>
    </row>
    <row r="14" spans="1:15">
      <c r="A14" s="69"/>
      <c r="D14" s="2"/>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170">
        <v>2012</v>
      </c>
      <c r="C20" s="170">
        <v>2013</v>
      </c>
      <c r="D20" s="171" t="s">
        <v>30</v>
      </c>
      <c r="E20" s="172" t="s">
        <v>31</v>
      </c>
    </row>
    <row r="21" spans="1:7" ht="10.5" customHeight="1">
      <c r="A21" s="69"/>
      <c r="B21" s="170"/>
      <c r="C21" s="170"/>
      <c r="D21" s="171"/>
      <c r="E21" s="173"/>
    </row>
    <row r="22" spans="1:7" ht="16.5" customHeight="1">
      <c r="A22" s="69"/>
      <c r="B22" s="174" t="s">
        <v>9</v>
      </c>
      <c r="C22" s="174" t="s">
        <v>9</v>
      </c>
      <c r="D22" s="138"/>
      <c r="E22" s="139">
        <f>SUM(B25:B27)+SUM(C25:C27)</f>
        <v>226954</v>
      </c>
    </row>
    <row r="23" spans="1:7" ht="7.5" customHeight="1">
      <c r="A23" s="69"/>
      <c r="B23" s="175"/>
      <c r="C23" s="175"/>
      <c r="D23" s="2"/>
      <c r="E23" s="52"/>
    </row>
    <row r="24" spans="1:7">
      <c r="A24" s="69"/>
      <c r="B24" s="176" t="s">
        <v>32</v>
      </c>
      <c r="C24" s="176" t="s">
        <v>32</v>
      </c>
      <c r="D24" s="143" t="s">
        <v>7</v>
      </c>
      <c r="E24" s="52"/>
      <c r="F24" s="144" t="s">
        <v>7</v>
      </c>
    </row>
    <row r="25" spans="1:7">
      <c r="A25" s="69"/>
      <c r="B25" s="177">
        <v>111800</v>
      </c>
      <c r="C25" s="178">
        <v>115154</v>
      </c>
      <c r="D25" s="3" t="s">
        <v>79</v>
      </c>
      <c r="E25" s="52"/>
      <c r="F25" s="146"/>
    </row>
    <row r="26" spans="1:7">
      <c r="A26" s="69"/>
      <c r="B26" s="179"/>
      <c r="C26" s="179"/>
      <c r="D26" s="2"/>
      <c r="E26" s="52"/>
    </row>
    <row r="27" spans="1:7">
      <c r="A27" s="69"/>
      <c r="B27" s="179"/>
      <c r="C27" s="179"/>
      <c r="D27" s="2"/>
      <c r="E27" s="52"/>
    </row>
    <row r="28" spans="1:7" s="53" customFormat="1" ht="21" customHeight="1">
      <c r="A28" s="109"/>
      <c r="B28" s="174" t="s">
        <v>10</v>
      </c>
      <c r="C28" s="174" t="s">
        <v>10</v>
      </c>
      <c r="D28" s="138"/>
      <c r="E28" s="139">
        <f>SUM(B31:B34)+SUM(C31:C34)</f>
        <v>0</v>
      </c>
    </row>
    <row r="29" spans="1:7" ht="8.25" customHeight="1">
      <c r="A29" s="69"/>
      <c r="B29" s="180"/>
      <c r="C29" s="180"/>
      <c r="D29" s="152"/>
      <c r="E29" s="52"/>
    </row>
    <row r="30" spans="1:7" s="53" customFormat="1" ht="13.5" customHeight="1">
      <c r="A30" s="109"/>
      <c r="B30" s="176" t="s">
        <v>32</v>
      </c>
      <c r="C30" s="176" t="s">
        <v>32</v>
      </c>
      <c r="D30" s="152"/>
      <c r="E30" s="52"/>
    </row>
    <row r="31" spans="1:7">
      <c r="A31" s="69"/>
      <c r="B31" s="86"/>
      <c r="C31" s="181"/>
      <c r="D31" s="150"/>
      <c r="E31" s="52"/>
    </row>
    <row r="32" spans="1:7">
      <c r="A32" s="69"/>
      <c r="B32" s="181"/>
      <c r="C32" s="181"/>
      <c r="D32" s="150"/>
      <c r="E32" s="52"/>
    </row>
    <row r="33" spans="1:6">
      <c r="A33" s="69"/>
      <c r="B33" s="19"/>
      <c r="C33" s="19"/>
      <c r="D33" s="150"/>
      <c r="E33" s="52"/>
    </row>
    <row r="34" spans="1:6">
      <c r="A34" s="69"/>
      <c r="B34" s="19"/>
      <c r="C34" s="19"/>
      <c r="D34" s="150"/>
      <c r="E34" s="52"/>
    </row>
    <row r="35" spans="1:6">
      <c r="A35" s="69"/>
      <c r="B35" s="174" t="s">
        <v>11</v>
      </c>
      <c r="C35" s="174" t="s">
        <v>11</v>
      </c>
      <c r="D35" s="138"/>
      <c r="E35" s="139">
        <f>(B25*0.63)+(C25*0.707)</f>
        <v>151847.878</v>
      </c>
    </row>
    <row r="36" spans="1:6" ht="7.5" customHeight="1">
      <c r="A36" s="69"/>
      <c r="B36" s="175"/>
      <c r="C36" s="175"/>
      <c r="D36" s="2"/>
      <c r="E36" s="68"/>
    </row>
    <row r="37" spans="1:6">
      <c r="A37" s="69"/>
      <c r="B37" s="182" t="s">
        <v>37</v>
      </c>
      <c r="C37" s="182" t="s">
        <v>1204</v>
      </c>
      <c r="D37" s="143" t="s">
        <v>7</v>
      </c>
      <c r="E37" s="52"/>
      <c r="F37" s="157"/>
    </row>
    <row r="38" spans="1:6">
      <c r="A38" s="69"/>
      <c r="B38" s="19"/>
      <c r="C38" s="19"/>
      <c r="D38" s="150" t="s">
        <v>7</v>
      </c>
      <c r="E38" s="52"/>
    </row>
    <row r="39" spans="1:6" s="53" customFormat="1">
      <c r="A39" s="109"/>
      <c r="B39" s="174" t="s">
        <v>38</v>
      </c>
      <c r="C39" s="174" t="s">
        <v>38</v>
      </c>
      <c r="D39" s="138"/>
      <c r="E39" s="139">
        <f>SUM(B41:B43)+SUM(C41:C43)</f>
        <v>0</v>
      </c>
    </row>
    <row r="40" spans="1:6" ht="7.5" customHeight="1">
      <c r="A40" s="69"/>
      <c r="B40" s="180"/>
      <c r="C40" s="180"/>
      <c r="D40" s="152"/>
      <c r="E40" s="52"/>
    </row>
    <row r="41" spans="1:6">
      <c r="A41" s="69"/>
      <c r="C41" s="181"/>
      <c r="D41" s="150"/>
      <c r="E41" s="52"/>
    </row>
    <row r="42" spans="1:6" ht="26.25" customHeight="1">
      <c r="A42" s="69"/>
      <c r="B42" s="19"/>
      <c r="C42" s="19"/>
      <c r="D42" s="150"/>
      <c r="E42" s="52"/>
    </row>
    <row r="43" spans="1:6" ht="26.25" customHeight="1">
      <c r="A43" s="69"/>
      <c r="B43" s="19"/>
      <c r="C43" s="19"/>
      <c r="D43" s="150"/>
      <c r="E43" s="52"/>
    </row>
    <row r="44" spans="1:6">
      <c r="A44" s="69"/>
      <c r="B44" s="174" t="s">
        <v>12</v>
      </c>
      <c r="C44" s="174" t="s">
        <v>12</v>
      </c>
      <c r="D44" s="138"/>
      <c r="E44" s="139">
        <f>SUM(B46:B51)+SUM(C46:C51)</f>
        <v>0</v>
      </c>
    </row>
    <row r="45" spans="1:6" ht="6.75" customHeight="1">
      <c r="A45" s="69"/>
      <c r="B45" s="183"/>
      <c r="C45" s="183"/>
      <c r="D45" s="150"/>
      <c r="E45" s="52"/>
    </row>
    <row r="46" spans="1:6">
      <c r="A46" s="69"/>
      <c r="B46" s="19"/>
      <c r="C46" s="19"/>
      <c r="D46" s="150"/>
      <c r="E46" s="52"/>
    </row>
    <row r="47" spans="1:6">
      <c r="A47" s="69"/>
      <c r="B47" s="19"/>
      <c r="C47" s="19"/>
      <c r="D47" s="150"/>
      <c r="E47" s="52"/>
    </row>
    <row r="48" spans="1:6">
      <c r="A48" s="69"/>
      <c r="B48" s="19"/>
      <c r="C48" s="19"/>
      <c r="D48" s="150"/>
      <c r="E48" s="52"/>
    </row>
    <row r="49" spans="1:5">
      <c r="A49" s="69"/>
      <c r="B49" s="19"/>
      <c r="C49" s="19"/>
      <c r="D49" s="150"/>
      <c r="E49" s="52"/>
    </row>
    <row r="50" spans="1:5" ht="27.75" customHeight="1">
      <c r="A50" s="69"/>
      <c r="B50" s="19"/>
      <c r="C50" s="19"/>
      <c r="D50" s="150"/>
      <c r="E50" s="52"/>
    </row>
    <row r="51" spans="1:5" ht="27.75" customHeight="1">
      <c r="A51" s="69"/>
      <c r="B51" s="19"/>
      <c r="C51" s="19"/>
      <c r="D51" s="150"/>
      <c r="E51" s="52"/>
    </row>
    <row r="52" spans="1:5">
      <c r="A52" s="69"/>
      <c r="B52" s="174" t="s">
        <v>39</v>
      </c>
      <c r="C52" s="174" t="s">
        <v>39</v>
      </c>
      <c r="D52" s="138"/>
      <c r="E52" s="139">
        <f>SUM(B54:B59)+SUM(C54:C59)</f>
        <v>0</v>
      </c>
    </row>
    <row r="53" spans="1:5" ht="6.75" customHeight="1">
      <c r="A53" s="69"/>
      <c r="B53" s="180"/>
      <c r="C53" s="180"/>
      <c r="E53" s="73"/>
    </row>
    <row r="54" spans="1:5">
      <c r="A54" s="69"/>
      <c r="B54" s="184"/>
      <c r="C54" s="184"/>
      <c r="E54" s="73"/>
    </row>
    <row r="55" spans="1:5" ht="12.75" customHeight="1">
      <c r="A55" s="69"/>
      <c r="B55" s="184"/>
      <c r="C55" s="184"/>
      <c r="E55" s="73"/>
    </row>
    <row r="56" spans="1:5">
      <c r="A56" s="69"/>
      <c r="B56" s="184"/>
      <c r="C56" s="184"/>
      <c r="E56" s="73"/>
    </row>
    <row r="57" spans="1:5">
      <c r="A57" s="69"/>
      <c r="B57" s="184"/>
      <c r="C57" s="184"/>
      <c r="E57" s="73"/>
    </row>
    <row r="58" spans="1:5">
      <c r="A58" s="69"/>
      <c r="E58" s="73"/>
    </row>
    <row r="59" spans="1:5">
      <c r="A59" s="69"/>
      <c r="D59" s="2"/>
      <c r="E59" s="52"/>
    </row>
    <row r="60" spans="1:5">
      <c r="A60" s="69"/>
      <c r="B60" s="174" t="s">
        <v>13</v>
      </c>
      <c r="C60" s="174" t="s">
        <v>13</v>
      </c>
      <c r="D60" s="138"/>
      <c r="E60" s="139">
        <f>SUM(B62:B67)+SUM(C62:C67)</f>
        <v>4350</v>
      </c>
    </row>
    <row r="61" spans="1:5" ht="6.75" customHeight="1">
      <c r="A61" s="69"/>
      <c r="B61" s="175"/>
      <c r="C61" s="175"/>
      <c r="D61" s="2"/>
      <c r="E61" s="52"/>
    </row>
    <row r="62" spans="1:5">
      <c r="A62" s="69"/>
      <c r="B62" s="84">
        <v>1150</v>
      </c>
      <c r="C62" s="84">
        <v>1150</v>
      </c>
      <c r="D62" s="160" t="s">
        <v>70</v>
      </c>
      <c r="E62" s="52"/>
    </row>
    <row r="63" spans="1:5">
      <c r="A63" s="69"/>
      <c r="B63" s="84">
        <v>1025</v>
      </c>
      <c r="C63" s="84">
        <v>1025</v>
      </c>
      <c r="D63" s="160" t="s">
        <v>41</v>
      </c>
      <c r="E63" s="52"/>
    </row>
    <row r="64" spans="1:5">
      <c r="A64" s="69"/>
      <c r="B64" s="84"/>
      <c r="C64" s="84"/>
      <c r="D64" s="160" t="s">
        <v>42</v>
      </c>
      <c r="E64" s="52"/>
    </row>
    <row r="65" spans="1:5">
      <c r="A65" s="69"/>
      <c r="B65" s="84"/>
      <c r="C65" s="84"/>
      <c r="D65" s="160" t="s">
        <v>61</v>
      </c>
      <c r="E65" s="52"/>
    </row>
    <row r="66" spans="1:5">
      <c r="A66" s="69"/>
      <c r="B66" s="185"/>
      <c r="C66" s="185"/>
      <c r="D66" s="160" t="s">
        <v>44</v>
      </c>
      <c r="E66" s="52"/>
    </row>
    <row r="67" spans="1:5">
      <c r="A67" s="69"/>
      <c r="B67" s="185"/>
      <c r="C67" s="185"/>
      <c r="D67" s="160"/>
      <c r="E67" s="52"/>
    </row>
    <row r="68" spans="1:5">
      <c r="A68" s="69"/>
      <c r="B68" s="174" t="s">
        <v>14</v>
      </c>
      <c r="C68" s="174" t="s">
        <v>14</v>
      </c>
      <c r="D68" s="138"/>
      <c r="E68" s="139">
        <f>SUM(B70:B75)+SUM(C70:C75)</f>
        <v>295800</v>
      </c>
    </row>
    <row r="69" spans="1:5" ht="6" customHeight="1">
      <c r="A69" s="162"/>
      <c r="B69" s="175"/>
      <c r="C69" s="175"/>
      <c r="D69" s="2"/>
      <c r="E69" s="52"/>
    </row>
    <row r="70" spans="1:5" ht="25.5">
      <c r="A70" s="69"/>
      <c r="B70" s="84">
        <v>239250</v>
      </c>
      <c r="C70" s="84">
        <v>56550</v>
      </c>
      <c r="D70" s="2" t="s">
        <v>80</v>
      </c>
      <c r="E70" s="52"/>
    </row>
    <row r="71" spans="1:5">
      <c r="A71" s="69"/>
      <c r="B71" s="84"/>
      <c r="C71" s="84"/>
      <c r="D71" s="2"/>
      <c r="E71" s="52"/>
    </row>
    <row r="72" spans="1:5">
      <c r="A72" s="69"/>
      <c r="B72" s="84"/>
      <c r="C72" s="84"/>
      <c r="D72" s="2"/>
      <c r="E72" s="52"/>
    </row>
    <row r="73" spans="1:5">
      <c r="A73" s="69"/>
      <c r="B73" s="84"/>
      <c r="C73" s="84"/>
      <c r="D73" s="2"/>
      <c r="E73" s="52"/>
    </row>
    <row r="74" spans="1:5">
      <c r="A74" s="69"/>
      <c r="B74" s="84"/>
      <c r="C74" s="84"/>
      <c r="D74" s="2"/>
      <c r="E74" s="52"/>
    </row>
    <row r="75" spans="1:5">
      <c r="A75" s="69"/>
      <c r="B75" s="84" t="s">
        <v>7</v>
      </c>
      <c r="C75" s="84"/>
      <c r="D75" s="2"/>
      <c r="E75" s="52"/>
    </row>
    <row r="76" spans="1:5">
      <c r="A76" s="69"/>
      <c r="B76" s="174" t="s">
        <v>15</v>
      </c>
      <c r="C76" s="174" t="s">
        <v>15</v>
      </c>
      <c r="D76" s="138"/>
      <c r="E76" s="139">
        <f>SUM(B78:B84)+SUM(C78:C84)</f>
        <v>0</v>
      </c>
    </row>
    <row r="77" spans="1:5" ht="6.75" customHeight="1">
      <c r="A77" s="69"/>
      <c r="B77" s="180"/>
      <c r="C77" s="180"/>
      <c r="D77" s="2"/>
      <c r="E77" s="52"/>
    </row>
    <row r="78" spans="1:5" s="53" customFormat="1" ht="12.75" customHeight="1">
      <c r="A78" s="109"/>
      <c r="B78" s="184"/>
      <c r="C78" s="184"/>
      <c r="D78" s="163"/>
      <c r="E78" s="52"/>
    </row>
    <row r="79" spans="1:5" s="53" customFormat="1" ht="12.75" customHeight="1">
      <c r="A79" s="109"/>
      <c r="B79" s="184"/>
      <c r="C79" s="184"/>
      <c r="D79" s="163"/>
      <c r="E79" s="52"/>
    </row>
    <row r="80" spans="1:5" s="53" customFormat="1" ht="12.75" customHeight="1">
      <c r="A80" s="109"/>
      <c r="B80" s="184"/>
      <c r="C80" s="184"/>
      <c r="D80" s="163"/>
      <c r="E80" s="52"/>
    </row>
    <row r="81" spans="1:5" s="53" customFormat="1" ht="12.75" customHeight="1">
      <c r="A81" s="109"/>
      <c r="B81" s="184"/>
      <c r="C81" s="184"/>
      <c r="D81" s="163"/>
      <c r="E81" s="52"/>
    </row>
    <row r="82" spans="1:5" s="53" customFormat="1" ht="12.75" customHeight="1">
      <c r="A82" s="109"/>
      <c r="B82" s="184"/>
      <c r="C82" s="184"/>
      <c r="D82" s="163"/>
      <c r="E82" s="52"/>
    </row>
    <row r="83" spans="1:5">
      <c r="A83" s="69"/>
      <c r="D83" s="150"/>
      <c r="E83" s="52"/>
    </row>
    <row r="84" spans="1:5">
      <c r="A84" s="69"/>
      <c r="D84" s="150"/>
      <c r="E84" s="52"/>
    </row>
    <row r="85" spans="1:5">
      <c r="A85" s="69"/>
      <c r="B85" s="174" t="s">
        <v>16</v>
      </c>
      <c r="C85" s="174" t="s">
        <v>16</v>
      </c>
      <c r="D85" s="138"/>
      <c r="E85" s="139">
        <f>SUM(B87:B92)+SUM(C87:C92)</f>
        <v>0</v>
      </c>
    </row>
    <row r="86" spans="1:5" s="53" customFormat="1" ht="6.75" customHeight="1">
      <c r="A86" s="109"/>
      <c r="B86" s="180"/>
      <c r="C86" s="180"/>
      <c r="D86" s="163"/>
      <c r="E86" s="52"/>
    </row>
    <row r="87" spans="1:5" s="53" customFormat="1" ht="12.75" customHeight="1">
      <c r="A87" s="109"/>
      <c r="B87" s="184"/>
      <c r="C87" s="184"/>
      <c r="D87" s="163"/>
      <c r="E87" s="52"/>
    </row>
    <row r="88" spans="1:5" s="53" customFormat="1" ht="12.75" customHeight="1">
      <c r="A88" s="109"/>
      <c r="B88" s="184"/>
      <c r="C88" s="184"/>
      <c r="D88" s="163"/>
      <c r="E88" s="52"/>
    </row>
    <row r="89" spans="1:5" s="53" customFormat="1" ht="12.75" customHeight="1">
      <c r="A89" s="109"/>
      <c r="B89" s="184"/>
      <c r="C89" s="184"/>
      <c r="D89" s="163"/>
      <c r="E89" s="52"/>
    </row>
    <row r="90" spans="1:5" s="53" customFormat="1">
      <c r="A90" s="109"/>
      <c r="B90" s="184"/>
      <c r="C90" s="184"/>
      <c r="D90" s="163"/>
      <c r="E90" s="52"/>
    </row>
    <row r="91" spans="1:5" s="53" customFormat="1">
      <c r="A91" s="109"/>
      <c r="B91" s="184"/>
      <c r="C91" s="184"/>
      <c r="D91" s="163"/>
      <c r="E91" s="52"/>
    </row>
    <row r="92" spans="1:5">
      <c r="A92" s="69"/>
      <c r="D92" s="2"/>
      <c r="E92" s="52"/>
    </row>
    <row r="93" spans="1:5" ht="25.5">
      <c r="A93" s="69"/>
      <c r="B93" s="174" t="s">
        <v>17</v>
      </c>
      <c r="C93" s="174" t="s">
        <v>17</v>
      </c>
      <c r="D93" s="2"/>
      <c r="E93" s="52"/>
    </row>
    <row r="94" spans="1:5" s="53" customFormat="1" ht="6.75" customHeight="1">
      <c r="A94" s="109"/>
      <c r="B94" s="180"/>
      <c r="C94" s="180"/>
      <c r="D94" s="163"/>
      <c r="E94" s="52"/>
    </row>
    <row r="95" spans="1:5" s="53" customFormat="1">
      <c r="A95" s="109"/>
      <c r="B95" s="184"/>
      <c r="C95" s="184"/>
      <c r="D95" s="163"/>
      <c r="E95" s="82"/>
    </row>
    <row r="96" spans="1:5">
      <c r="A96" s="69"/>
      <c r="B96" s="86" t="s">
        <v>54</v>
      </c>
      <c r="D96" s="2"/>
      <c r="E96" s="3"/>
    </row>
    <row r="97" spans="1:5">
      <c r="A97" s="69"/>
      <c r="B97" s="86" t="s">
        <v>55</v>
      </c>
      <c r="D97" s="2"/>
      <c r="E97" s="3"/>
    </row>
    <row r="98" spans="1:5">
      <c r="A98" s="69"/>
      <c r="B98" s="86" t="s">
        <v>56</v>
      </c>
      <c r="D98" s="2"/>
      <c r="E98" s="3"/>
    </row>
  </sheetData>
  <sheetProtection password="9E1F" sheet="1" objects="1" scenarios="1"/>
  <customSheetViews>
    <customSheetView guid="{074EB09C-6289-46D7-9513-012B68BCA7BF}" fitToPage="1">
      <pane xSplit="1" ySplit="1" topLeftCell="B2" activePane="bottomRight" state="frozen"/>
      <selection pane="bottomRight" activeCell="K69" sqref="K69"/>
      <pageMargins left="0.17" right="0.7" top="0.41" bottom="0.4" header="0.3" footer="0.3"/>
      <pageSetup paperSize="17" scale="53" orientation="landscape" r:id="rId1"/>
    </customSheetView>
    <customSheetView guid="{AF9F1D33-B8C2-423F-86A1-47612B8F532C}" fitToPage="1">
      <pane xSplit="1" ySplit="1" topLeftCell="B14" activePane="bottomRight" state="frozenSplit"/>
      <selection pane="bottomRight" activeCell="G12" sqref="G12"/>
      <pageMargins left="0.7" right="0.7" top="0.75" bottom="0.75" header="0.3" footer="0.3"/>
      <pageSetup paperSize="17" scale="53" orientation="landscape"/>
    </customSheetView>
  </customSheetViews>
  <mergeCells count="3">
    <mergeCell ref="B18:C18"/>
    <mergeCell ref="B19:C19"/>
    <mergeCell ref="B15:E15"/>
  </mergeCells>
  <pageMargins left="0.17" right="0.7" top="0.41" bottom="0.4" header="0.3" footer="0.3"/>
  <pageSetup paperSize="17" scale="54" orientation="landscape" r:id="rId2"/>
  <drawing r:id="rId3"/>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sheetPr enableFormatConditionsCalculation="0">
    <pageSetUpPr fitToPage="1"/>
  </sheetPr>
  <dimension ref="A1:O95"/>
  <sheetViews>
    <sheetView zoomScaleNormal="100" workbookViewId="0">
      <pane xSplit="1" ySplit="1" topLeftCell="B2" activePane="bottomRight" state="frozen"/>
      <selection pane="topRight" activeCell="B1" sqref="B1"/>
      <selection pane="bottomLeft" activeCell="A2" sqref="A2"/>
      <selection pane="bottomRight" activeCell="G22" sqref="G22"/>
    </sheetView>
  </sheetViews>
  <sheetFormatPr defaultColWidth="8.85546875" defaultRowHeight="12.75"/>
  <cols>
    <col min="1" max="1" width="16" customWidth="1"/>
    <col min="2" max="2" width="23.140625" customWidth="1"/>
    <col min="3" max="3" width="21" style="2" customWidth="1"/>
    <col min="4" max="4" width="21" style="3" customWidth="1"/>
    <col min="5" max="9" width="18.85546875" customWidth="1"/>
    <col min="10" max="10" width="17.42578125" customWidth="1"/>
    <col min="11" max="12" width="24.42578125" customWidth="1"/>
    <col min="13" max="13" width="19.42578125" customWidth="1"/>
    <col min="14" max="14" width="13.28515625" customWidth="1"/>
    <col min="15" max="15" width="17.140625" customWidth="1"/>
  </cols>
  <sheetData>
    <row r="1" spans="1:15" ht="40.5" customHeight="1"/>
    <row r="2" spans="1:15" ht="18.75" thickBot="1">
      <c r="B2" s="1" t="s">
        <v>90</v>
      </c>
      <c r="C2" s="166"/>
      <c r="D2" s="2"/>
      <c r="E2" s="3"/>
    </row>
    <row r="3" spans="1:15" ht="15.75" thickBot="1">
      <c r="B3" s="5" t="s">
        <v>5</v>
      </c>
      <c r="C3" s="167"/>
      <c r="D3" s="6" t="s">
        <v>75</v>
      </c>
      <c r="E3" s="101">
        <v>18230469</v>
      </c>
    </row>
    <row r="5" spans="1:15" ht="13.5" thickBot="1">
      <c r="A5" s="69"/>
      <c r="C5"/>
      <c r="D5" s="2"/>
      <c r="E5" s="104" t="s">
        <v>1139</v>
      </c>
    </row>
    <row r="6" spans="1:15" ht="38.25">
      <c r="B6" s="3462"/>
      <c r="C6"/>
      <c r="D6"/>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15">
        <v>869866</v>
      </c>
      <c r="O7" s="26" t="s">
        <v>21</v>
      </c>
    </row>
    <row r="8" spans="1:15" s="53" customFormat="1">
      <c r="A8" s="109"/>
      <c r="D8" s="111" t="s">
        <v>22</v>
      </c>
      <c r="E8" s="28">
        <v>263200</v>
      </c>
      <c r="F8" s="28">
        <v>0</v>
      </c>
      <c r="G8" s="28">
        <v>165816</v>
      </c>
      <c r="H8" s="28">
        <v>0</v>
      </c>
      <c r="I8" s="28">
        <v>3200</v>
      </c>
      <c r="J8" s="28">
        <v>508000</v>
      </c>
      <c r="K8" s="28">
        <v>3200</v>
      </c>
      <c r="L8" s="28">
        <v>1600</v>
      </c>
      <c r="M8" s="28">
        <v>0</v>
      </c>
      <c r="N8" s="87">
        <v>945016</v>
      </c>
      <c r="O8" s="30">
        <f>(N8-N7)/N7</f>
        <v>8.6392616793851004E-2</v>
      </c>
    </row>
    <row r="9" spans="1:15" s="53" customFormat="1">
      <c r="A9" s="109"/>
      <c r="D9" s="53">
        <v>2012</v>
      </c>
      <c r="E9" s="118">
        <f>SUM(B24:B26)</f>
        <v>142312</v>
      </c>
      <c r="F9" s="118">
        <f>SUM(B30:B32)</f>
        <v>0</v>
      </c>
      <c r="G9" s="118">
        <f>(SUM(B24:B26)+SUM(B30:B32))*0.63</f>
        <v>89656.56</v>
      </c>
      <c r="H9" s="118">
        <f>SUM(B45:B49)+SUM(B53:B58)</f>
        <v>0</v>
      </c>
      <c r="I9" s="119">
        <f>SUM(B61:B65)</f>
        <v>3045</v>
      </c>
      <c r="J9" s="118">
        <f>SUM(B69:B72)</f>
        <v>113100</v>
      </c>
      <c r="K9" s="118">
        <f>SUM(B75:B81)</f>
        <v>1305</v>
      </c>
      <c r="L9" s="118">
        <f>SUM(B84:B89)</f>
        <v>870</v>
      </c>
      <c r="M9" s="120"/>
      <c r="N9" s="121">
        <f>SUM(E9:M9)</f>
        <v>350288.56</v>
      </c>
      <c r="O9" s="30">
        <f>(N9-N8)/N8</f>
        <v>-0.62933055101712554</v>
      </c>
    </row>
    <row r="10" spans="1:15" s="3534" customFormat="1">
      <c r="A10" s="109"/>
      <c r="D10" s="4263" t="s">
        <v>1168</v>
      </c>
      <c r="E10" s="118">
        <v>146581</v>
      </c>
      <c r="F10" s="118">
        <v>0</v>
      </c>
      <c r="G10" s="118">
        <v>92346.03</v>
      </c>
      <c r="H10" s="118">
        <v>0</v>
      </c>
      <c r="I10" s="119">
        <v>3045</v>
      </c>
      <c r="J10" s="118">
        <v>0</v>
      </c>
      <c r="K10" s="118">
        <v>1305</v>
      </c>
      <c r="L10" s="118">
        <v>870</v>
      </c>
      <c r="M10" s="120"/>
      <c r="N10" s="121">
        <v>244147.03</v>
      </c>
      <c r="O10" s="1346">
        <v>-0.30301169413011947</v>
      </c>
    </row>
    <row r="11" spans="1:15" s="53" customFormat="1">
      <c r="A11" s="109"/>
      <c r="D11" s="4264" t="s">
        <v>1169</v>
      </c>
      <c r="E11" s="4218">
        <f>SUM(C24:C26)</f>
        <v>85067</v>
      </c>
      <c r="F11" s="4218">
        <f>SUM(C30:C32)</f>
        <v>0</v>
      </c>
      <c r="G11" s="4218">
        <f>(SUM(C24:C26)+SUM(C30:C32))*0.707</f>
        <v>60142.368999999999</v>
      </c>
      <c r="H11" s="4218">
        <f>SUM(C45:C49)+SUM(C53:C58)</f>
        <v>0</v>
      </c>
      <c r="I11" s="4219">
        <f>SUM(C61:C65)</f>
        <v>3045</v>
      </c>
      <c r="J11" s="4218">
        <f>SUM(C69:C72)</f>
        <v>87000</v>
      </c>
      <c r="K11" s="4218">
        <f>SUM(C75:C81)</f>
        <v>1305</v>
      </c>
      <c r="L11" s="4218">
        <f>SUM(C84:C89)</f>
        <v>870</v>
      </c>
      <c r="M11" s="4220"/>
      <c r="N11" s="4221">
        <f>SUM(E11:M11)</f>
        <v>237429.36900000001</v>
      </c>
      <c r="O11" s="30">
        <f>(N11-N9)/N9</f>
        <v>-0.32218920024108122</v>
      </c>
    </row>
    <row r="12" spans="1:15" s="19" customFormat="1">
      <c r="A12" s="69"/>
      <c r="D12" s="123" t="s">
        <v>1172</v>
      </c>
      <c r="E12" s="124">
        <f>SUM(E9+E11)</f>
        <v>227379</v>
      </c>
      <c r="F12" s="124">
        <f t="shared" ref="F12:N12" si="0">SUM(F9+F11)</f>
        <v>0</v>
      </c>
      <c r="G12" s="124">
        <f t="shared" si="0"/>
        <v>149798.929</v>
      </c>
      <c r="H12" s="124">
        <f t="shared" si="0"/>
        <v>0</v>
      </c>
      <c r="I12" s="124">
        <f t="shared" si="0"/>
        <v>6090</v>
      </c>
      <c r="J12" s="124">
        <f t="shared" si="0"/>
        <v>200100</v>
      </c>
      <c r="K12" s="124">
        <f t="shared" si="0"/>
        <v>2610</v>
      </c>
      <c r="L12" s="124">
        <f t="shared" si="0"/>
        <v>1740</v>
      </c>
      <c r="M12" s="124">
        <f t="shared" si="0"/>
        <v>0</v>
      </c>
      <c r="N12" s="124">
        <f t="shared" si="0"/>
        <v>587717.929</v>
      </c>
    </row>
    <row r="13" spans="1:15" ht="18" customHeight="1">
      <c r="A13" s="69"/>
      <c r="C13"/>
      <c r="D13" s="2"/>
      <c r="E13" s="3"/>
      <c r="M13" s="69" t="s">
        <v>23</v>
      </c>
    </row>
    <row r="14" spans="1:15">
      <c r="A14" s="69"/>
      <c r="C14"/>
      <c r="D14" s="2"/>
      <c r="E14" s="3"/>
      <c r="M14" s="69" t="s">
        <v>24</v>
      </c>
    </row>
    <row r="15" spans="1:15" ht="15.75">
      <c r="A15" s="69"/>
      <c r="B15" s="5143" t="s">
        <v>25</v>
      </c>
      <c r="C15" s="5145"/>
      <c r="D15" s="5145"/>
      <c r="E15" s="5144"/>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170" t="s">
        <v>26</v>
      </c>
      <c r="C18"/>
      <c r="D18" s="43" t="s">
        <v>27</v>
      </c>
      <c r="E18" s="44" t="s">
        <v>28</v>
      </c>
    </row>
    <row r="19" spans="1:7" ht="26.25">
      <c r="A19" s="69"/>
      <c r="B19" s="130" t="s">
        <v>29</v>
      </c>
      <c r="C19"/>
      <c r="D19" s="43"/>
      <c r="E19" s="44"/>
    </row>
    <row r="20" spans="1:7" ht="45.75">
      <c r="A20" s="69"/>
      <c r="B20" s="170">
        <v>2012</v>
      </c>
      <c r="C20" s="170">
        <v>2013</v>
      </c>
      <c r="D20" s="69" t="s">
        <v>82</v>
      </c>
      <c r="E20" s="131" t="s">
        <v>31</v>
      </c>
    </row>
    <row r="21" spans="1:7">
      <c r="A21" s="69"/>
      <c r="B21" s="174" t="s">
        <v>9</v>
      </c>
      <c r="C21" s="174" t="s">
        <v>9</v>
      </c>
      <c r="D21" s="138"/>
      <c r="E21" s="139">
        <f>SUM(B24:B26)+SUM(C24:C26)</f>
        <v>227379</v>
      </c>
    </row>
    <row r="22" spans="1:7">
      <c r="A22" s="69"/>
      <c r="B22" s="175"/>
      <c r="C22" s="175"/>
      <c r="D22" s="2"/>
      <c r="E22" s="52"/>
    </row>
    <row r="23" spans="1:7">
      <c r="A23" s="69"/>
      <c r="B23" s="176" t="s">
        <v>32</v>
      </c>
      <c r="C23" s="176" t="s">
        <v>32</v>
      </c>
      <c r="D23" s="143" t="s">
        <v>7</v>
      </c>
      <c r="E23" s="52"/>
      <c r="F23" s="144" t="s">
        <v>7</v>
      </c>
    </row>
    <row r="24" spans="1:7">
      <c r="A24" s="69"/>
      <c r="B24" s="177">
        <v>142312</v>
      </c>
      <c r="C24" s="4434">
        <v>85067</v>
      </c>
      <c r="D24" s="4853" t="s">
        <v>1428</v>
      </c>
      <c r="E24" s="52"/>
      <c r="F24" s="146"/>
    </row>
    <row r="25" spans="1:7">
      <c r="A25" s="69"/>
      <c r="B25" s="179"/>
      <c r="C25" s="179"/>
      <c r="D25" s="2"/>
      <c r="E25" s="52"/>
    </row>
    <row r="26" spans="1:7">
      <c r="A26" s="69"/>
      <c r="B26" s="179"/>
      <c r="C26" s="179"/>
      <c r="D26" s="2"/>
      <c r="E26" s="52"/>
    </row>
    <row r="27" spans="1:7" s="53" customFormat="1">
      <c r="A27" s="109"/>
      <c r="B27" s="174" t="s">
        <v>10</v>
      </c>
      <c r="C27" s="174" t="s">
        <v>10</v>
      </c>
      <c r="D27" s="138"/>
      <c r="E27" s="139">
        <f>SUM(B30:B33)+SUM(C30:C33)</f>
        <v>0</v>
      </c>
    </row>
    <row r="28" spans="1:7">
      <c r="A28" s="69"/>
      <c r="B28" s="180"/>
      <c r="C28" s="180"/>
      <c r="D28" s="152"/>
      <c r="E28" s="52"/>
    </row>
    <row r="29" spans="1:7" s="53" customFormat="1">
      <c r="A29" s="109"/>
      <c r="B29" s="176" t="s">
        <v>32</v>
      </c>
      <c r="C29" s="176" t="s">
        <v>32</v>
      </c>
      <c r="D29" s="152"/>
      <c r="E29" s="52"/>
    </row>
    <row r="30" spans="1:7">
      <c r="A30" s="69"/>
      <c r="B30" s="86"/>
      <c r="C30" s="181"/>
      <c r="D30" s="150"/>
      <c r="E30" s="52"/>
    </row>
    <row r="31" spans="1:7">
      <c r="A31" s="69"/>
      <c r="B31" s="181"/>
      <c r="C31" s="181"/>
      <c r="D31" s="150"/>
      <c r="E31" s="52"/>
    </row>
    <row r="32" spans="1:7">
      <c r="A32" s="69"/>
      <c r="B32" s="19"/>
      <c r="C32" s="19"/>
      <c r="D32" s="150"/>
      <c r="E32" s="52"/>
    </row>
    <row r="33" spans="1:6">
      <c r="A33" s="69"/>
      <c r="B33" s="19"/>
      <c r="C33" s="19"/>
      <c r="D33" s="150"/>
      <c r="E33" s="52"/>
    </row>
    <row r="34" spans="1:6">
      <c r="A34" s="69"/>
      <c r="B34" s="174" t="s">
        <v>11</v>
      </c>
      <c r="C34" s="174" t="s">
        <v>11</v>
      </c>
      <c r="D34" s="138"/>
      <c r="E34" s="139">
        <f>(B24*0.63)+(C24*0.707)</f>
        <v>149798.929</v>
      </c>
    </row>
    <row r="35" spans="1:6">
      <c r="A35" s="69"/>
      <c r="B35" s="175"/>
      <c r="C35" s="175"/>
      <c r="D35" s="2"/>
      <c r="E35" s="68"/>
    </row>
    <row r="36" spans="1:6">
      <c r="A36" s="187"/>
      <c r="B36" s="182" t="s">
        <v>37</v>
      </c>
      <c r="C36" s="182" t="s">
        <v>1204</v>
      </c>
      <c r="D36" s="143" t="s">
        <v>7</v>
      </c>
      <c r="E36" s="52"/>
      <c r="F36" s="157"/>
    </row>
    <row r="37" spans="1:6">
      <c r="A37" s="69"/>
      <c r="B37" s="19"/>
      <c r="C37" s="19"/>
      <c r="D37" s="150" t="s">
        <v>7</v>
      </c>
      <c r="E37" s="52"/>
    </row>
    <row r="38" spans="1:6" s="53" customFormat="1">
      <c r="A38" s="109"/>
      <c r="B38" s="174" t="s">
        <v>38</v>
      </c>
      <c r="C38" s="174" t="s">
        <v>38</v>
      </c>
      <c r="D38" s="138"/>
      <c r="E38" s="139">
        <f>SUM(B40:B42)+SUM(C40:C42)</f>
        <v>0</v>
      </c>
    </row>
    <row r="39" spans="1:6">
      <c r="A39" s="69"/>
      <c r="B39" s="180"/>
      <c r="C39" s="180"/>
      <c r="D39" s="152"/>
      <c r="E39" s="52"/>
    </row>
    <row r="40" spans="1:6">
      <c r="A40" s="69"/>
      <c r="C40" s="181"/>
      <c r="D40" s="150"/>
      <c r="E40" s="52"/>
    </row>
    <row r="41" spans="1:6">
      <c r="A41" s="69"/>
      <c r="B41" s="19"/>
      <c r="C41" s="19"/>
      <c r="D41" s="150"/>
      <c r="E41" s="52"/>
    </row>
    <row r="42" spans="1:6">
      <c r="A42" s="69"/>
      <c r="B42" s="19"/>
      <c r="C42" s="19"/>
      <c r="D42" s="150"/>
      <c r="E42" s="52"/>
    </row>
    <row r="43" spans="1:6">
      <c r="A43" s="69"/>
      <c r="B43" s="174" t="s">
        <v>12</v>
      </c>
      <c r="C43" s="174" t="s">
        <v>12</v>
      </c>
      <c r="D43" s="138"/>
      <c r="E43" s="139">
        <f>SUM(B45:B50)+SUM(C45:C50)</f>
        <v>0</v>
      </c>
    </row>
    <row r="44" spans="1:6">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c r="A49" s="69"/>
      <c r="B49" s="19"/>
      <c r="C49" s="19"/>
      <c r="D49" s="150"/>
      <c r="E49" s="52"/>
    </row>
    <row r="50" spans="1:5">
      <c r="A50" s="69"/>
      <c r="B50" s="19"/>
      <c r="C50" s="19"/>
      <c r="D50" s="150"/>
      <c r="E50" s="52"/>
    </row>
    <row r="51" spans="1:5" ht="25.5">
      <c r="A51" s="69"/>
      <c r="B51" s="174" t="s">
        <v>39</v>
      </c>
      <c r="C51" s="174" t="s">
        <v>39</v>
      </c>
      <c r="D51" s="138"/>
      <c r="E51" s="139">
        <f>SUM(B53:B58)+SUM(C53:C58)</f>
        <v>0</v>
      </c>
    </row>
    <row r="52" spans="1:5">
      <c r="A52" s="69"/>
      <c r="B52" s="180"/>
      <c r="C52" s="180"/>
      <c r="D52"/>
      <c r="E52" s="73"/>
    </row>
    <row r="53" spans="1:5">
      <c r="A53" s="69"/>
      <c r="B53" s="184"/>
      <c r="C53" s="184"/>
      <c r="D53"/>
      <c r="E53" s="73"/>
    </row>
    <row r="54" spans="1:5">
      <c r="A54" s="69"/>
      <c r="B54" s="184"/>
      <c r="C54" s="184"/>
      <c r="D54"/>
      <c r="E54" s="73"/>
    </row>
    <row r="55" spans="1:5">
      <c r="A55" s="69"/>
      <c r="B55" s="184"/>
      <c r="C55" s="184"/>
      <c r="D55"/>
      <c r="E55" s="73"/>
    </row>
    <row r="56" spans="1:5">
      <c r="A56" s="69"/>
      <c r="B56" s="184"/>
      <c r="C56" s="184"/>
      <c r="D56"/>
      <c r="E56" s="73"/>
    </row>
    <row r="57" spans="1:5">
      <c r="A57" s="69"/>
      <c r="C57"/>
      <c r="D57"/>
      <c r="E57" s="73"/>
    </row>
    <row r="58" spans="1:5">
      <c r="A58" s="69"/>
      <c r="C58"/>
      <c r="D58" s="2"/>
      <c r="E58" s="52"/>
    </row>
    <row r="59" spans="1:5">
      <c r="A59" s="69"/>
      <c r="B59" s="174" t="s">
        <v>13</v>
      </c>
      <c r="C59" s="174" t="s">
        <v>13</v>
      </c>
      <c r="D59" s="138"/>
      <c r="E59" s="139">
        <f>SUM(B61:B66)+SUM(C61:C66)</f>
        <v>6090</v>
      </c>
    </row>
    <row r="60" spans="1:5">
      <c r="A60" s="69"/>
      <c r="B60" s="175"/>
      <c r="C60" s="175"/>
      <c r="D60" s="2"/>
      <c r="E60" s="52"/>
    </row>
    <row r="61" spans="1:5">
      <c r="A61" s="69"/>
      <c r="B61" s="3491">
        <v>1100</v>
      </c>
      <c r="C61" s="3491">
        <v>1100</v>
      </c>
      <c r="D61" s="160" t="s">
        <v>70</v>
      </c>
      <c r="E61" s="52"/>
    </row>
    <row r="62" spans="1:5">
      <c r="A62" s="69"/>
      <c r="B62" s="3491">
        <v>1100</v>
      </c>
      <c r="C62" s="3491">
        <v>1100</v>
      </c>
      <c r="D62" s="160" t="s">
        <v>41</v>
      </c>
      <c r="E62" s="52"/>
    </row>
    <row r="63" spans="1:5">
      <c r="A63" s="69"/>
      <c r="B63" s="3491">
        <v>295</v>
      </c>
      <c r="C63" s="3491">
        <v>295</v>
      </c>
      <c r="D63" s="160" t="s">
        <v>42</v>
      </c>
      <c r="E63" s="52"/>
    </row>
    <row r="64" spans="1:5">
      <c r="A64" s="69"/>
      <c r="B64" s="3491">
        <v>550</v>
      </c>
      <c r="C64" s="3491">
        <v>550</v>
      </c>
      <c r="D64" s="160" t="s">
        <v>61</v>
      </c>
      <c r="E64" s="52"/>
    </row>
    <row r="65" spans="1:5">
      <c r="A65" s="69"/>
      <c r="B65" s="185"/>
      <c r="C65" s="185"/>
      <c r="D65" s="160" t="s">
        <v>44</v>
      </c>
      <c r="E65" s="52"/>
    </row>
    <row r="66" spans="1:5">
      <c r="A66" s="69"/>
      <c r="B66" s="185"/>
      <c r="C66" s="185"/>
      <c r="D66" s="160"/>
      <c r="E66" s="52"/>
    </row>
    <row r="67" spans="1:5">
      <c r="A67" s="69"/>
      <c r="B67" s="174" t="s">
        <v>14</v>
      </c>
      <c r="C67" s="174" t="s">
        <v>14</v>
      </c>
      <c r="D67" s="138"/>
      <c r="E67" s="139">
        <f>SUM(B69:B72)+SUM(C69:C72)</f>
        <v>200100</v>
      </c>
    </row>
    <row r="68" spans="1:5">
      <c r="A68" s="162"/>
      <c r="B68" s="175"/>
      <c r="C68" s="175"/>
      <c r="D68" s="2"/>
      <c r="E68" s="52"/>
    </row>
    <row r="69" spans="1:5">
      <c r="A69" s="69"/>
      <c r="B69" s="84">
        <v>87000</v>
      </c>
      <c r="C69" s="4435">
        <v>87000</v>
      </c>
      <c r="D69" s="2" t="s">
        <v>91</v>
      </c>
      <c r="E69" s="52"/>
    </row>
    <row r="70" spans="1:5">
      <c r="A70" s="69"/>
      <c r="B70" s="84">
        <v>26100</v>
      </c>
      <c r="C70" s="84">
        <v>0</v>
      </c>
      <c r="D70" s="2" t="s">
        <v>92</v>
      </c>
      <c r="E70" s="52"/>
    </row>
    <row r="71" spans="1:5">
      <c r="A71" s="69"/>
      <c r="E71" s="52"/>
    </row>
    <row r="72" spans="1:5">
      <c r="A72" s="69"/>
      <c r="B72" s="84"/>
      <c r="C72" s="84"/>
      <c r="D72" s="2"/>
      <c r="E72" s="52"/>
    </row>
    <row r="73" spans="1:5">
      <c r="A73" s="69"/>
      <c r="B73" s="174" t="s">
        <v>15</v>
      </c>
      <c r="C73" s="174" t="s">
        <v>15</v>
      </c>
      <c r="D73" s="138"/>
      <c r="E73" s="139">
        <f>SUM(B75:B81)+SUM(C75:C81)</f>
        <v>2610</v>
      </c>
    </row>
    <row r="74" spans="1:5">
      <c r="A74" s="69"/>
      <c r="B74" s="180"/>
      <c r="C74" s="180"/>
      <c r="D74" s="2"/>
      <c r="E74" s="52"/>
    </row>
    <row r="75" spans="1:5" s="53" customFormat="1" ht="25.5">
      <c r="A75" s="109"/>
      <c r="B75" s="189">
        <v>1305</v>
      </c>
      <c r="C75" s="189">
        <v>1305</v>
      </c>
      <c r="D75" s="165" t="s">
        <v>88</v>
      </c>
      <c r="E75" s="52"/>
    </row>
    <row r="76" spans="1:5" s="53" customFormat="1">
      <c r="A76" s="109"/>
      <c r="B76" s="190"/>
      <c r="C76" s="190"/>
      <c r="D76" s="163"/>
      <c r="E76" s="52"/>
    </row>
    <row r="77" spans="1:5" s="53" customFormat="1">
      <c r="A77" s="109"/>
      <c r="B77" s="190"/>
      <c r="C77" s="190"/>
      <c r="D77" s="163"/>
      <c r="E77" s="52"/>
    </row>
    <row r="78" spans="1:5" s="53" customFormat="1">
      <c r="A78" s="109"/>
      <c r="B78" s="190"/>
      <c r="C78" s="190"/>
      <c r="D78" s="163"/>
      <c r="E78" s="52"/>
    </row>
    <row r="79" spans="1:5" s="53" customFormat="1">
      <c r="A79" s="109"/>
      <c r="B79" s="190"/>
      <c r="C79" s="190"/>
      <c r="D79" s="163"/>
      <c r="E79" s="52"/>
    </row>
    <row r="80" spans="1:5">
      <c r="A80" s="69"/>
      <c r="B80" s="84"/>
      <c r="C80" s="84"/>
      <c r="D80" s="150"/>
      <c r="E80" s="52"/>
    </row>
    <row r="81" spans="1:5">
      <c r="A81" s="69"/>
      <c r="B81" s="84"/>
      <c r="C81" s="84"/>
      <c r="D81" s="150"/>
      <c r="E81" s="52"/>
    </row>
    <row r="82" spans="1:5">
      <c r="A82" s="69"/>
      <c r="B82" s="174" t="s">
        <v>16</v>
      </c>
      <c r="C82" s="174" t="s">
        <v>16</v>
      </c>
      <c r="D82" s="138"/>
      <c r="E82" s="139">
        <f>SUM(B84:B89)+SUM(C84:C89)</f>
        <v>1740</v>
      </c>
    </row>
    <row r="83" spans="1:5" s="53" customFormat="1">
      <c r="A83" s="109"/>
      <c r="B83" s="180"/>
      <c r="C83" s="180"/>
      <c r="D83" s="163"/>
      <c r="E83" s="52"/>
    </row>
    <row r="84" spans="1:5" s="53" customFormat="1" ht="25.5">
      <c r="A84" s="109"/>
      <c r="B84" s="189">
        <v>870</v>
      </c>
      <c r="C84" s="189">
        <v>870</v>
      </c>
      <c r="D84" s="165" t="s">
        <v>89</v>
      </c>
      <c r="E84" s="52"/>
    </row>
    <row r="85" spans="1:5" s="53" customFormat="1">
      <c r="A85" s="109"/>
      <c r="B85" s="190"/>
      <c r="C85" s="190"/>
      <c r="D85" s="163"/>
      <c r="E85" s="52"/>
    </row>
    <row r="86" spans="1:5" s="53" customFormat="1">
      <c r="A86" s="109"/>
      <c r="B86" s="190"/>
      <c r="C86" s="190"/>
      <c r="D86" s="163"/>
      <c r="E86" s="52"/>
    </row>
    <row r="87" spans="1:5" s="53" customFormat="1">
      <c r="A87" s="109"/>
      <c r="B87" s="190"/>
      <c r="C87" s="190"/>
      <c r="D87" s="163"/>
      <c r="E87" s="52"/>
    </row>
    <row r="88" spans="1:5" s="53" customFormat="1">
      <c r="A88" s="109"/>
      <c r="B88" s="190"/>
      <c r="C88" s="190"/>
      <c r="D88" s="163"/>
      <c r="E88" s="52"/>
    </row>
    <row r="89" spans="1:5">
      <c r="A89" s="69"/>
      <c r="B89" s="84"/>
      <c r="C89" s="84"/>
      <c r="D89" s="2"/>
      <c r="E89" s="52"/>
    </row>
    <row r="90" spans="1:5" ht="25.5">
      <c r="A90" s="69"/>
      <c r="B90" s="174" t="s">
        <v>17</v>
      </c>
      <c r="C90" s="174" t="s">
        <v>17</v>
      </c>
      <c r="D90" s="2"/>
      <c r="E90" s="52"/>
    </row>
    <row r="91" spans="1:5" s="53" customFormat="1">
      <c r="A91" s="109"/>
      <c r="B91" s="180"/>
      <c r="C91" s="180"/>
      <c r="D91" s="163"/>
      <c r="E91" s="52"/>
    </row>
    <row r="92" spans="1:5" s="53" customFormat="1">
      <c r="A92" s="109"/>
      <c r="B92" s="184"/>
      <c r="C92" s="184"/>
      <c r="D92" s="163"/>
      <c r="E92" s="82"/>
    </row>
    <row r="93" spans="1:5">
      <c r="A93" s="69"/>
      <c r="B93" s="86" t="s">
        <v>54</v>
      </c>
      <c r="C93"/>
      <c r="D93" s="2"/>
      <c r="E93" s="3"/>
    </row>
    <row r="94" spans="1:5">
      <c r="A94" s="69"/>
      <c r="B94" s="86" t="s">
        <v>55</v>
      </c>
      <c r="C94"/>
      <c r="D94" s="2"/>
      <c r="E94" s="3"/>
    </row>
    <row r="95" spans="1:5">
      <c r="A95" s="69"/>
      <c r="B95" s="86" t="s">
        <v>56</v>
      </c>
      <c r="C95"/>
      <c r="D95" s="2"/>
      <c r="E95" s="3"/>
    </row>
  </sheetData>
  <sheetProtection password="9E1F" sheet="1" objects="1" scenarios="1"/>
  <customSheetViews>
    <customSheetView guid="{074EB09C-6289-46D7-9513-012B68BCA7BF}" fitToPage="1">
      <pane xSplit="1" ySplit="1" topLeftCell="B2" activePane="bottomRight" state="frozen"/>
      <selection pane="bottomRight" activeCell="D25" sqref="D25"/>
      <pageMargins left="0.17" right="0.37" top="0.38" bottom="0.37" header="0.3" footer="0.3"/>
      <pageSetup paperSize="17" scale="54" orientation="landscape" r:id="rId1"/>
    </customSheetView>
    <customSheetView guid="{AF9F1D33-B8C2-423F-86A1-47612B8F532C}" fitToPage="1">
      <pane xSplit="1" ySplit="1" topLeftCell="B14" activePane="bottomRight" state="frozenSplit"/>
      <selection pane="bottomRight" activeCell="G12" sqref="G12"/>
      <pageMargins left="0.7" right="0.7" top="0.75" bottom="0.75" header="0.3" footer="0.3"/>
      <pageSetup paperSize="17" scale="54" orientation="landscape"/>
    </customSheetView>
  </customSheetViews>
  <mergeCells count="1">
    <mergeCell ref="B15:E15"/>
  </mergeCells>
  <pageMargins left="0.17" right="0.37" top="0.38" bottom="0.37" header="0.3" footer="0.3"/>
  <pageSetup paperSize="17" scale="53" orientation="landscape" r:id="rId2"/>
  <drawing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enableFormatConditionsCalculation="0">
    <tabColor theme="3" tint="0.59999389629810485"/>
    <pageSetUpPr fitToPage="1"/>
  </sheetPr>
  <dimension ref="A1:Y106"/>
  <sheetViews>
    <sheetView zoomScaleNormal="100" zoomScalePageLayoutView="8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42578125" style="3064" customWidth="1"/>
    <col min="2" max="2" width="19.140625" customWidth="1"/>
    <col min="3" max="3" width="32.42578125" customWidth="1"/>
    <col min="4" max="4" width="19.7109375" style="19" bestFit="1" customWidth="1"/>
    <col min="5" max="5" width="18.42578125" bestFit="1" customWidth="1"/>
    <col min="6" max="6" width="20.140625" bestFit="1" customWidth="1"/>
    <col min="7" max="7" width="13.42578125" customWidth="1"/>
    <col min="8" max="8" width="15.42578125" bestFit="1" customWidth="1"/>
    <col min="9" max="9" width="14.42578125" bestFit="1" customWidth="1"/>
    <col min="10" max="10" width="15.28515625" customWidth="1"/>
    <col min="11" max="11" width="15.85546875" customWidth="1"/>
    <col min="12" max="12" width="17.28515625" bestFit="1" customWidth="1"/>
    <col min="13" max="13" width="12.7109375" customWidth="1"/>
    <col min="14" max="14" width="13.7109375" customWidth="1"/>
    <col min="15" max="15" width="14.140625" bestFit="1" customWidth="1"/>
    <col min="16" max="16" width="18.42578125" bestFit="1" customWidth="1"/>
    <col min="17" max="17" width="20.42578125" bestFit="1" customWidth="1"/>
    <col min="18" max="18" width="24.42578125" customWidth="1"/>
    <col min="19" max="20" width="15.42578125" bestFit="1" customWidth="1"/>
    <col min="21" max="21" width="16.42578125" bestFit="1" customWidth="1"/>
    <col min="22" max="22" width="13.140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8.42578125" bestFit="1" customWidth="1"/>
    <col min="262" max="262" width="20.140625" bestFit="1" customWidth="1"/>
    <col min="263" max="263" width="13.42578125" customWidth="1"/>
    <col min="264" max="264" width="15.42578125" bestFit="1" customWidth="1"/>
    <col min="265" max="265" width="14.42578125" bestFit="1" customWidth="1"/>
    <col min="266" max="266" width="15.28515625" customWidth="1"/>
    <col min="267" max="267" width="15.85546875" customWidth="1"/>
    <col min="268" max="268" width="17.28515625" bestFit="1" customWidth="1"/>
    <col min="269" max="269" width="12.7109375" customWidth="1"/>
    <col min="270" max="270" width="13.7109375" customWidth="1"/>
    <col min="271" max="271" width="14.140625" bestFit="1" customWidth="1"/>
    <col min="272" max="272" width="18.42578125" bestFit="1" customWidth="1"/>
    <col min="273" max="273" width="20.42578125" bestFit="1" customWidth="1"/>
    <col min="274" max="274" width="32.140625" customWidth="1"/>
    <col min="275" max="276" width="15.42578125" bestFit="1" customWidth="1"/>
    <col min="277" max="277" width="16.42578125" bestFit="1" customWidth="1"/>
    <col min="278" max="278" width="13.140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8.42578125" bestFit="1" customWidth="1"/>
    <col min="518" max="518" width="20.140625" bestFit="1" customWidth="1"/>
    <col min="519" max="519" width="13.42578125" customWidth="1"/>
    <col min="520" max="520" width="15.42578125" bestFit="1" customWidth="1"/>
    <col min="521" max="521" width="14.42578125" bestFit="1" customWidth="1"/>
    <col min="522" max="522" width="15.28515625" customWidth="1"/>
    <col min="523" max="523" width="15.85546875" customWidth="1"/>
    <col min="524" max="524" width="17.28515625" bestFit="1" customWidth="1"/>
    <col min="525" max="525" width="12.7109375" customWidth="1"/>
    <col min="526" max="526" width="13.7109375" customWidth="1"/>
    <col min="527" max="527" width="14.140625" bestFit="1" customWidth="1"/>
    <col min="528" max="528" width="18.42578125" bestFit="1" customWidth="1"/>
    <col min="529" max="529" width="20.42578125" bestFit="1" customWidth="1"/>
    <col min="530" max="530" width="32.140625" customWidth="1"/>
    <col min="531" max="532" width="15.42578125" bestFit="1" customWidth="1"/>
    <col min="533" max="533" width="16.42578125" bestFit="1" customWidth="1"/>
    <col min="534" max="534" width="13.140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8.42578125" bestFit="1" customWidth="1"/>
    <col min="774" max="774" width="20.140625" bestFit="1" customWidth="1"/>
    <col min="775" max="775" width="13.42578125" customWidth="1"/>
    <col min="776" max="776" width="15.42578125" bestFit="1" customWidth="1"/>
    <col min="777" max="777" width="14.42578125" bestFit="1" customWidth="1"/>
    <col min="778" max="778" width="15.28515625" customWidth="1"/>
    <col min="779" max="779" width="15.85546875" customWidth="1"/>
    <col min="780" max="780" width="17.28515625" bestFit="1" customWidth="1"/>
    <col min="781" max="781" width="12.7109375" customWidth="1"/>
    <col min="782" max="782" width="13.7109375" customWidth="1"/>
    <col min="783" max="783" width="14.140625" bestFit="1" customWidth="1"/>
    <col min="784" max="784" width="18.42578125" bestFit="1" customWidth="1"/>
    <col min="785" max="785" width="20.42578125" bestFit="1" customWidth="1"/>
    <col min="786" max="786" width="32.140625" customWidth="1"/>
    <col min="787" max="788" width="15.42578125" bestFit="1" customWidth="1"/>
    <col min="789" max="789" width="16.42578125" bestFit="1" customWidth="1"/>
    <col min="790" max="790" width="13.140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8.42578125" bestFit="1" customWidth="1"/>
    <col min="1030" max="1030" width="20.140625" bestFit="1" customWidth="1"/>
    <col min="1031" max="1031" width="13.42578125" customWidth="1"/>
    <col min="1032" max="1032" width="15.42578125" bestFit="1" customWidth="1"/>
    <col min="1033" max="1033" width="14.42578125" bestFit="1" customWidth="1"/>
    <col min="1034" max="1034" width="15.28515625" customWidth="1"/>
    <col min="1035" max="1035" width="15.85546875" customWidth="1"/>
    <col min="1036" max="1036" width="17.28515625" bestFit="1" customWidth="1"/>
    <col min="1037" max="1037" width="12.7109375" customWidth="1"/>
    <col min="1038" max="1038" width="13.7109375" customWidth="1"/>
    <col min="1039" max="1039" width="14.140625" bestFit="1" customWidth="1"/>
    <col min="1040" max="1040" width="18.42578125" bestFit="1" customWidth="1"/>
    <col min="1041" max="1041" width="20.42578125" bestFit="1" customWidth="1"/>
    <col min="1042" max="1042" width="32.140625" customWidth="1"/>
    <col min="1043" max="1044" width="15.42578125" bestFit="1" customWidth="1"/>
    <col min="1045" max="1045" width="16.42578125" bestFit="1" customWidth="1"/>
    <col min="1046" max="1046" width="13.140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8.42578125" bestFit="1" customWidth="1"/>
    <col min="1286" max="1286" width="20.140625" bestFit="1" customWidth="1"/>
    <col min="1287" max="1287" width="13.42578125" customWidth="1"/>
    <col min="1288" max="1288" width="15.42578125" bestFit="1" customWidth="1"/>
    <col min="1289" max="1289" width="14.42578125" bestFit="1" customWidth="1"/>
    <col min="1290" max="1290" width="15.28515625" customWidth="1"/>
    <col min="1291" max="1291" width="15.85546875" customWidth="1"/>
    <col min="1292" max="1292" width="17.28515625" bestFit="1" customWidth="1"/>
    <col min="1293" max="1293" width="12.7109375" customWidth="1"/>
    <col min="1294" max="1294" width="13.7109375" customWidth="1"/>
    <col min="1295" max="1295" width="14.140625" bestFit="1" customWidth="1"/>
    <col min="1296" max="1296" width="18.42578125" bestFit="1" customWidth="1"/>
    <col min="1297" max="1297" width="20.42578125" bestFit="1" customWidth="1"/>
    <col min="1298" max="1298" width="32.140625" customWidth="1"/>
    <col min="1299" max="1300" width="15.42578125" bestFit="1" customWidth="1"/>
    <col min="1301" max="1301" width="16.42578125" bestFit="1" customWidth="1"/>
    <col min="1302" max="1302" width="13.140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8.42578125" bestFit="1" customWidth="1"/>
    <col min="1542" max="1542" width="20.140625" bestFit="1" customWidth="1"/>
    <col min="1543" max="1543" width="13.42578125" customWidth="1"/>
    <col min="1544" max="1544" width="15.42578125" bestFit="1" customWidth="1"/>
    <col min="1545" max="1545" width="14.42578125" bestFit="1" customWidth="1"/>
    <col min="1546" max="1546" width="15.28515625" customWidth="1"/>
    <col min="1547" max="1547" width="15.85546875" customWidth="1"/>
    <col min="1548" max="1548" width="17.28515625" bestFit="1" customWidth="1"/>
    <col min="1549" max="1549" width="12.7109375" customWidth="1"/>
    <col min="1550" max="1550" width="13.7109375" customWidth="1"/>
    <col min="1551" max="1551" width="14.140625" bestFit="1" customWidth="1"/>
    <col min="1552" max="1552" width="18.42578125" bestFit="1" customWidth="1"/>
    <col min="1553" max="1553" width="20.42578125" bestFit="1" customWidth="1"/>
    <col min="1554" max="1554" width="32.140625" customWidth="1"/>
    <col min="1555" max="1556" width="15.42578125" bestFit="1" customWidth="1"/>
    <col min="1557" max="1557" width="16.42578125" bestFit="1" customWidth="1"/>
    <col min="1558" max="1558" width="13.140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8.42578125" bestFit="1" customWidth="1"/>
    <col min="1798" max="1798" width="20.140625" bestFit="1" customWidth="1"/>
    <col min="1799" max="1799" width="13.42578125" customWidth="1"/>
    <col min="1800" max="1800" width="15.42578125" bestFit="1" customWidth="1"/>
    <col min="1801" max="1801" width="14.42578125" bestFit="1" customWidth="1"/>
    <col min="1802" max="1802" width="15.28515625" customWidth="1"/>
    <col min="1803" max="1803" width="15.85546875" customWidth="1"/>
    <col min="1804" max="1804" width="17.28515625" bestFit="1" customWidth="1"/>
    <col min="1805" max="1805" width="12.7109375" customWidth="1"/>
    <col min="1806" max="1806" width="13.7109375" customWidth="1"/>
    <col min="1807" max="1807" width="14.140625" bestFit="1" customWidth="1"/>
    <col min="1808" max="1808" width="18.42578125" bestFit="1" customWidth="1"/>
    <col min="1809" max="1809" width="20.42578125" bestFit="1" customWidth="1"/>
    <col min="1810" max="1810" width="32.140625" customWidth="1"/>
    <col min="1811" max="1812" width="15.42578125" bestFit="1" customWidth="1"/>
    <col min="1813" max="1813" width="16.42578125" bestFit="1" customWidth="1"/>
    <col min="1814" max="1814" width="13.140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8.42578125" bestFit="1" customWidth="1"/>
    <col min="2054" max="2054" width="20.140625" bestFit="1" customWidth="1"/>
    <col min="2055" max="2055" width="13.42578125" customWidth="1"/>
    <col min="2056" max="2056" width="15.42578125" bestFit="1" customWidth="1"/>
    <col min="2057" max="2057" width="14.42578125" bestFit="1" customWidth="1"/>
    <col min="2058" max="2058" width="15.28515625" customWidth="1"/>
    <col min="2059" max="2059" width="15.85546875" customWidth="1"/>
    <col min="2060" max="2060" width="17.28515625" bestFit="1" customWidth="1"/>
    <col min="2061" max="2061" width="12.7109375" customWidth="1"/>
    <col min="2062" max="2062" width="13.7109375" customWidth="1"/>
    <col min="2063" max="2063" width="14.140625" bestFit="1" customWidth="1"/>
    <col min="2064" max="2064" width="18.42578125" bestFit="1" customWidth="1"/>
    <col min="2065" max="2065" width="20.42578125" bestFit="1" customWidth="1"/>
    <col min="2066" max="2066" width="32.140625" customWidth="1"/>
    <col min="2067" max="2068" width="15.42578125" bestFit="1" customWidth="1"/>
    <col min="2069" max="2069" width="16.42578125" bestFit="1" customWidth="1"/>
    <col min="2070" max="2070" width="13.140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8.42578125" bestFit="1" customWidth="1"/>
    <col min="2310" max="2310" width="20.140625" bestFit="1" customWidth="1"/>
    <col min="2311" max="2311" width="13.42578125" customWidth="1"/>
    <col min="2312" max="2312" width="15.42578125" bestFit="1" customWidth="1"/>
    <col min="2313" max="2313" width="14.42578125" bestFit="1" customWidth="1"/>
    <col min="2314" max="2314" width="15.28515625" customWidth="1"/>
    <col min="2315" max="2315" width="15.85546875" customWidth="1"/>
    <col min="2316" max="2316" width="17.28515625" bestFit="1" customWidth="1"/>
    <col min="2317" max="2317" width="12.7109375" customWidth="1"/>
    <col min="2318" max="2318" width="13.7109375" customWidth="1"/>
    <col min="2319" max="2319" width="14.140625" bestFit="1" customWidth="1"/>
    <col min="2320" max="2320" width="18.42578125" bestFit="1" customWidth="1"/>
    <col min="2321" max="2321" width="20.42578125" bestFit="1" customWidth="1"/>
    <col min="2322" max="2322" width="32.140625" customWidth="1"/>
    <col min="2323" max="2324" width="15.42578125" bestFit="1" customWidth="1"/>
    <col min="2325" max="2325" width="16.42578125" bestFit="1" customWidth="1"/>
    <col min="2326" max="2326" width="13.140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8.42578125" bestFit="1" customWidth="1"/>
    <col min="2566" max="2566" width="20.140625" bestFit="1" customWidth="1"/>
    <col min="2567" max="2567" width="13.42578125" customWidth="1"/>
    <col min="2568" max="2568" width="15.42578125" bestFit="1" customWidth="1"/>
    <col min="2569" max="2569" width="14.42578125" bestFit="1" customWidth="1"/>
    <col min="2570" max="2570" width="15.28515625" customWidth="1"/>
    <col min="2571" max="2571" width="15.85546875" customWidth="1"/>
    <col min="2572" max="2572" width="17.28515625" bestFit="1" customWidth="1"/>
    <col min="2573" max="2573" width="12.7109375" customWidth="1"/>
    <col min="2574" max="2574" width="13.7109375" customWidth="1"/>
    <col min="2575" max="2575" width="14.140625" bestFit="1" customWidth="1"/>
    <col min="2576" max="2576" width="18.42578125" bestFit="1" customWidth="1"/>
    <col min="2577" max="2577" width="20.42578125" bestFit="1" customWidth="1"/>
    <col min="2578" max="2578" width="32.140625" customWidth="1"/>
    <col min="2579" max="2580" width="15.42578125" bestFit="1" customWidth="1"/>
    <col min="2581" max="2581" width="16.42578125" bestFit="1" customWidth="1"/>
    <col min="2582" max="2582" width="13.140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8.42578125" bestFit="1" customWidth="1"/>
    <col min="2822" max="2822" width="20.140625" bestFit="1" customWidth="1"/>
    <col min="2823" max="2823" width="13.42578125" customWidth="1"/>
    <col min="2824" max="2824" width="15.42578125" bestFit="1" customWidth="1"/>
    <col min="2825" max="2825" width="14.42578125" bestFit="1" customWidth="1"/>
    <col min="2826" max="2826" width="15.28515625" customWidth="1"/>
    <col min="2827" max="2827" width="15.85546875" customWidth="1"/>
    <col min="2828" max="2828" width="17.28515625" bestFit="1" customWidth="1"/>
    <col min="2829" max="2829" width="12.7109375" customWidth="1"/>
    <col min="2830" max="2830" width="13.7109375" customWidth="1"/>
    <col min="2831" max="2831" width="14.140625" bestFit="1" customWidth="1"/>
    <col min="2832" max="2832" width="18.42578125" bestFit="1" customWidth="1"/>
    <col min="2833" max="2833" width="20.42578125" bestFit="1" customWidth="1"/>
    <col min="2834" max="2834" width="32.140625" customWidth="1"/>
    <col min="2835" max="2836" width="15.42578125" bestFit="1" customWidth="1"/>
    <col min="2837" max="2837" width="16.42578125" bestFit="1" customWidth="1"/>
    <col min="2838" max="2838" width="13.140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8.42578125" bestFit="1" customWidth="1"/>
    <col min="3078" max="3078" width="20.140625" bestFit="1" customWidth="1"/>
    <col min="3079" max="3079" width="13.42578125" customWidth="1"/>
    <col min="3080" max="3080" width="15.42578125" bestFit="1" customWidth="1"/>
    <col min="3081" max="3081" width="14.42578125" bestFit="1" customWidth="1"/>
    <col min="3082" max="3082" width="15.28515625" customWidth="1"/>
    <col min="3083" max="3083" width="15.85546875" customWidth="1"/>
    <col min="3084" max="3084" width="17.28515625" bestFit="1" customWidth="1"/>
    <col min="3085" max="3085" width="12.7109375" customWidth="1"/>
    <col min="3086" max="3086" width="13.7109375" customWidth="1"/>
    <col min="3087" max="3087" width="14.140625" bestFit="1" customWidth="1"/>
    <col min="3088" max="3088" width="18.42578125" bestFit="1" customWidth="1"/>
    <col min="3089" max="3089" width="20.42578125" bestFit="1" customWidth="1"/>
    <col min="3090" max="3090" width="32.140625" customWidth="1"/>
    <col min="3091" max="3092" width="15.42578125" bestFit="1" customWidth="1"/>
    <col min="3093" max="3093" width="16.42578125" bestFit="1" customWidth="1"/>
    <col min="3094" max="3094" width="13.140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8.42578125" bestFit="1" customWidth="1"/>
    <col min="3334" max="3334" width="20.140625" bestFit="1" customWidth="1"/>
    <col min="3335" max="3335" width="13.42578125" customWidth="1"/>
    <col min="3336" max="3336" width="15.42578125" bestFit="1" customWidth="1"/>
    <col min="3337" max="3337" width="14.42578125" bestFit="1" customWidth="1"/>
    <col min="3338" max="3338" width="15.28515625" customWidth="1"/>
    <col min="3339" max="3339" width="15.85546875" customWidth="1"/>
    <col min="3340" max="3340" width="17.28515625" bestFit="1" customWidth="1"/>
    <col min="3341" max="3341" width="12.7109375" customWidth="1"/>
    <col min="3342" max="3342" width="13.7109375" customWidth="1"/>
    <col min="3343" max="3343" width="14.140625" bestFit="1" customWidth="1"/>
    <col min="3344" max="3344" width="18.42578125" bestFit="1" customWidth="1"/>
    <col min="3345" max="3345" width="20.42578125" bestFit="1" customWidth="1"/>
    <col min="3346" max="3346" width="32.140625" customWidth="1"/>
    <col min="3347" max="3348" width="15.42578125" bestFit="1" customWidth="1"/>
    <col min="3349" max="3349" width="16.42578125" bestFit="1" customWidth="1"/>
    <col min="3350" max="3350" width="13.140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8.42578125" bestFit="1" customWidth="1"/>
    <col min="3590" max="3590" width="20.140625" bestFit="1" customWidth="1"/>
    <col min="3591" max="3591" width="13.42578125" customWidth="1"/>
    <col min="3592" max="3592" width="15.42578125" bestFit="1" customWidth="1"/>
    <col min="3593" max="3593" width="14.42578125" bestFit="1" customWidth="1"/>
    <col min="3594" max="3594" width="15.28515625" customWidth="1"/>
    <col min="3595" max="3595" width="15.85546875" customWidth="1"/>
    <col min="3596" max="3596" width="17.28515625" bestFit="1" customWidth="1"/>
    <col min="3597" max="3597" width="12.7109375" customWidth="1"/>
    <col min="3598" max="3598" width="13.7109375" customWidth="1"/>
    <col min="3599" max="3599" width="14.140625" bestFit="1" customWidth="1"/>
    <col min="3600" max="3600" width="18.42578125" bestFit="1" customWidth="1"/>
    <col min="3601" max="3601" width="20.42578125" bestFit="1" customWidth="1"/>
    <col min="3602" max="3602" width="32.140625" customWidth="1"/>
    <col min="3603" max="3604" width="15.42578125" bestFit="1" customWidth="1"/>
    <col min="3605" max="3605" width="16.42578125" bestFit="1" customWidth="1"/>
    <col min="3606" max="3606" width="13.140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8.42578125" bestFit="1" customWidth="1"/>
    <col min="3846" max="3846" width="20.140625" bestFit="1" customWidth="1"/>
    <col min="3847" max="3847" width="13.42578125" customWidth="1"/>
    <col min="3848" max="3848" width="15.42578125" bestFit="1" customWidth="1"/>
    <col min="3849" max="3849" width="14.42578125" bestFit="1" customWidth="1"/>
    <col min="3850" max="3850" width="15.28515625" customWidth="1"/>
    <col min="3851" max="3851" width="15.85546875" customWidth="1"/>
    <col min="3852" max="3852" width="17.28515625" bestFit="1" customWidth="1"/>
    <col min="3853" max="3853" width="12.7109375" customWidth="1"/>
    <col min="3854" max="3854" width="13.7109375" customWidth="1"/>
    <col min="3855" max="3855" width="14.140625" bestFit="1" customWidth="1"/>
    <col min="3856" max="3856" width="18.42578125" bestFit="1" customWidth="1"/>
    <col min="3857" max="3857" width="20.42578125" bestFit="1" customWidth="1"/>
    <col min="3858" max="3858" width="32.140625" customWidth="1"/>
    <col min="3859" max="3860" width="15.42578125" bestFit="1" customWidth="1"/>
    <col min="3861" max="3861" width="16.42578125" bestFit="1" customWidth="1"/>
    <col min="3862" max="3862" width="13.140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8.42578125" bestFit="1" customWidth="1"/>
    <col min="4102" max="4102" width="20.140625" bestFit="1" customWidth="1"/>
    <col min="4103" max="4103" width="13.42578125" customWidth="1"/>
    <col min="4104" max="4104" width="15.42578125" bestFit="1" customWidth="1"/>
    <col min="4105" max="4105" width="14.42578125" bestFit="1" customWidth="1"/>
    <col min="4106" max="4106" width="15.28515625" customWidth="1"/>
    <col min="4107" max="4107" width="15.85546875" customWidth="1"/>
    <col min="4108" max="4108" width="17.28515625" bestFit="1" customWidth="1"/>
    <col min="4109" max="4109" width="12.7109375" customWidth="1"/>
    <col min="4110" max="4110" width="13.7109375" customWidth="1"/>
    <col min="4111" max="4111" width="14.140625" bestFit="1" customWidth="1"/>
    <col min="4112" max="4112" width="18.42578125" bestFit="1" customWidth="1"/>
    <col min="4113" max="4113" width="20.42578125" bestFit="1" customWidth="1"/>
    <col min="4114" max="4114" width="32.140625" customWidth="1"/>
    <col min="4115" max="4116" width="15.42578125" bestFit="1" customWidth="1"/>
    <col min="4117" max="4117" width="16.42578125" bestFit="1" customWidth="1"/>
    <col min="4118" max="4118" width="13.140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8.42578125" bestFit="1" customWidth="1"/>
    <col min="4358" max="4358" width="20.140625" bestFit="1" customWidth="1"/>
    <col min="4359" max="4359" width="13.42578125" customWidth="1"/>
    <col min="4360" max="4360" width="15.42578125" bestFit="1" customWidth="1"/>
    <col min="4361" max="4361" width="14.42578125" bestFit="1" customWidth="1"/>
    <col min="4362" max="4362" width="15.28515625" customWidth="1"/>
    <col min="4363" max="4363" width="15.85546875" customWidth="1"/>
    <col min="4364" max="4364" width="17.28515625" bestFit="1" customWidth="1"/>
    <col min="4365" max="4365" width="12.7109375" customWidth="1"/>
    <col min="4366" max="4366" width="13.7109375" customWidth="1"/>
    <col min="4367" max="4367" width="14.140625" bestFit="1" customWidth="1"/>
    <col min="4368" max="4368" width="18.42578125" bestFit="1" customWidth="1"/>
    <col min="4369" max="4369" width="20.42578125" bestFit="1" customWidth="1"/>
    <col min="4370" max="4370" width="32.140625" customWidth="1"/>
    <col min="4371" max="4372" width="15.42578125" bestFit="1" customWidth="1"/>
    <col min="4373" max="4373" width="16.42578125" bestFit="1" customWidth="1"/>
    <col min="4374" max="4374" width="13.140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8.42578125" bestFit="1" customWidth="1"/>
    <col min="4614" max="4614" width="20.140625" bestFit="1" customWidth="1"/>
    <col min="4615" max="4615" width="13.42578125" customWidth="1"/>
    <col min="4616" max="4616" width="15.42578125" bestFit="1" customWidth="1"/>
    <col min="4617" max="4617" width="14.42578125" bestFit="1" customWidth="1"/>
    <col min="4618" max="4618" width="15.28515625" customWidth="1"/>
    <col min="4619" max="4619" width="15.85546875" customWidth="1"/>
    <col min="4620" max="4620" width="17.28515625" bestFit="1" customWidth="1"/>
    <col min="4621" max="4621" width="12.7109375" customWidth="1"/>
    <col min="4622" max="4622" width="13.7109375" customWidth="1"/>
    <col min="4623" max="4623" width="14.140625" bestFit="1" customWidth="1"/>
    <col min="4624" max="4624" width="18.42578125" bestFit="1" customWidth="1"/>
    <col min="4625" max="4625" width="20.42578125" bestFit="1" customWidth="1"/>
    <col min="4626" max="4626" width="32.140625" customWidth="1"/>
    <col min="4627" max="4628" width="15.42578125" bestFit="1" customWidth="1"/>
    <col min="4629" max="4629" width="16.42578125" bestFit="1" customWidth="1"/>
    <col min="4630" max="4630" width="13.140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8.42578125" bestFit="1" customWidth="1"/>
    <col min="4870" max="4870" width="20.140625" bestFit="1" customWidth="1"/>
    <col min="4871" max="4871" width="13.42578125" customWidth="1"/>
    <col min="4872" max="4872" width="15.42578125" bestFit="1" customWidth="1"/>
    <col min="4873" max="4873" width="14.42578125" bestFit="1" customWidth="1"/>
    <col min="4874" max="4874" width="15.28515625" customWidth="1"/>
    <col min="4875" max="4875" width="15.85546875" customWidth="1"/>
    <col min="4876" max="4876" width="17.28515625" bestFit="1" customWidth="1"/>
    <col min="4877" max="4877" width="12.7109375" customWidth="1"/>
    <col min="4878" max="4878" width="13.7109375" customWidth="1"/>
    <col min="4879" max="4879" width="14.140625" bestFit="1" customWidth="1"/>
    <col min="4880" max="4880" width="18.42578125" bestFit="1" customWidth="1"/>
    <col min="4881" max="4881" width="20.42578125" bestFit="1" customWidth="1"/>
    <col min="4882" max="4882" width="32.140625" customWidth="1"/>
    <col min="4883" max="4884" width="15.42578125" bestFit="1" customWidth="1"/>
    <col min="4885" max="4885" width="16.42578125" bestFit="1" customWidth="1"/>
    <col min="4886" max="4886" width="13.140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8.42578125" bestFit="1" customWidth="1"/>
    <col min="5126" max="5126" width="20.140625" bestFit="1" customWidth="1"/>
    <col min="5127" max="5127" width="13.42578125" customWidth="1"/>
    <col min="5128" max="5128" width="15.42578125" bestFit="1" customWidth="1"/>
    <col min="5129" max="5129" width="14.42578125" bestFit="1" customWidth="1"/>
    <col min="5130" max="5130" width="15.28515625" customWidth="1"/>
    <col min="5131" max="5131" width="15.85546875" customWidth="1"/>
    <col min="5132" max="5132" width="17.28515625" bestFit="1" customWidth="1"/>
    <col min="5133" max="5133" width="12.7109375" customWidth="1"/>
    <col min="5134" max="5134" width="13.7109375" customWidth="1"/>
    <col min="5135" max="5135" width="14.140625" bestFit="1" customWidth="1"/>
    <col min="5136" max="5136" width="18.42578125" bestFit="1" customWidth="1"/>
    <col min="5137" max="5137" width="20.42578125" bestFit="1" customWidth="1"/>
    <col min="5138" max="5138" width="32.140625" customWidth="1"/>
    <col min="5139" max="5140" width="15.42578125" bestFit="1" customWidth="1"/>
    <col min="5141" max="5141" width="16.42578125" bestFit="1" customWidth="1"/>
    <col min="5142" max="5142" width="13.140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8.42578125" bestFit="1" customWidth="1"/>
    <col min="5382" max="5382" width="20.140625" bestFit="1" customWidth="1"/>
    <col min="5383" max="5383" width="13.42578125" customWidth="1"/>
    <col min="5384" max="5384" width="15.42578125" bestFit="1" customWidth="1"/>
    <col min="5385" max="5385" width="14.42578125" bestFit="1" customWidth="1"/>
    <col min="5386" max="5386" width="15.28515625" customWidth="1"/>
    <col min="5387" max="5387" width="15.85546875" customWidth="1"/>
    <col min="5388" max="5388" width="17.28515625" bestFit="1" customWidth="1"/>
    <col min="5389" max="5389" width="12.7109375" customWidth="1"/>
    <col min="5390" max="5390" width="13.7109375" customWidth="1"/>
    <col min="5391" max="5391" width="14.140625" bestFit="1" customWidth="1"/>
    <col min="5392" max="5392" width="18.42578125" bestFit="1" customWidth="1"/>
    <col min="5393" max="5393" width="20.42578125" bestFit="1" customWidth="1"/>
    <col min="5394" max="5394" width="32.140625" customWidth="1"/>
    <col min="5395" max="5396" width="15.42578125" bestFit="1" customWidth="1"/>
    <col min="5397" max="5397" width="16.42578125" bestFit="1" customWidth="1"/>
    <col min="5398" max="5398" width="13.140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8.42578125" bestFit="1" customWidth="1"/>
    <col min="5638" max="5638" width="20.140625" bestFit="1" customWidth="1"/>
    <col min="5639" max="5639" width="13.42578125" customWidth="1"/>
    <col min="5640" max="5640" width="15.42578125" bestFit="1" customWidth="1"/>
    <col min="5641" max="5641" width="14.42578125" bestFit="1" customWidth="1"/>
    <col min="5642" max="5642" width="15.28515625" customWidth="1"/>
    <col min="5643" max="5643" width="15.85546875" customWidth="1"/>
    <col min="5644" max="5644" width="17.28515625" bestFit="1" customWidth="1"/>
    <col min="5645" max="5645" width="12.7109375" customWidth="1"/>
    <col min="5646" max="5646" width="13.7109375" customWidth="1"/>
    <col min="5647" max="5647" width="14.140625" bestFit="1" customWidth="1"/>
    <col min="5648" max="5648" width="18.42578125" bestFit="1" customWidth="1"/>
    <col min="5649" max="5649" width="20.42578125" bestFit="1" customWidth="1"/>
    <col min="5650" max="5650" width="32.140625" customWidth="1"/>
    <col min="5651" max="5652" width="15.42578125" bestFit="1" customWidth="1"/>
    <col min="5653" max="5653" width="16.42578125" bestFit="1" customWidth="1"/>
    <col min="5654" max="5654" width="13.140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8.42578125" bestFit="1" customWidth="1"/>
    <col min="5894" max="5894" width="20.140625" bestFit="1" customWidth="1"/>
    <col min="5895" max="5895" width="13.42578125" customWidth="1"/>
    <col min="5896" max="5896" width="15.42578125" bestFit="1" customWidth="1"/>
    <col min="5897" max="5897" width="14.42578125" bestFit="1" customWidth="1"/>
    <col min="5898" max="5898" width="15.28515625" customWidth="1"/>
    <col min="5899" max="5899" width="15.85546875" customWidth="1"/>
    <col min="5900" max="5900" width="17.28515625" bestFit="1" customWidth="1"/>
    <col min="5901" max="5901" width="12.7109375" customWidth="1"/>
    <col min="5902" max="5902" width="13.7109375" customWidth="1"/>
    <col min="5903" max="5903" width="14.140625" bestFit="1" customWidth="1"/>
    <col min="5904" max="5904" width="18.42578125" bestFit="1" customWidth="1"/>
    <col min="5905" max="5905" width="20.42578125" bestFit="1" customWidth="1"/>
    <col min="5906" max="5906" width="32.140625" customWidth="1"/>
    <col min="5907" max="5908" width="15.42578125" bestFit="1" customWidth="1"/>
    <col min="5909" max="5909" width="16.42578125" bestFit="1" customWidth="1"/>
    <col min="5910" max="5910" width="13.140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8.42578125" bestFit="1" customWidth="1"/>
    <col min="6150" max="6150" width="20.140625" bestFit="1" customWidth="1"/>
    <col min="6151" max="6151" width="13.42578125" customWidth="1"/>
    <col min="6152" max="6152" width="15.42578125" bestFit="1" customWidth="1"/>
    <col min="6153" max="6153" width="14.42578125" bestFit="1" customWidth="1"/>
    <col min="6154" max="6154" width="15.28515625" customWidth="1"/>
    <col min="6155" max="6155" width="15.85546875" customWidth="1"/>
    <col min="6156" max="6156" width="17.28515625" bestFit="1" customWidth="1"/>
    <col min="6157" max="6157" width="12.7109375" customWidth="1"/>
    <col min="6158" max="6158" width="13.7109375" customWidth="1"/>
    <col min="6159" max="6159" width="14.140625" bestFit="1" customWidth="1"/>
    <col min="6160" max="6160" width="18.42578125" bestFit="1" customWidth="1"/>
    <col min="6161" max="6161" width="20.42578125" bestFit="1" customWidth="1"/>
    <col min="6162" max="6162" width="32.140625" customWidth="1"/>
    <col min="6163" max="6164" width="15.42578125" bestFit="1" customWidth="1"/>
    <col min="6165" max="6165" width="16.42578125" bestFit="1" customWidth="1"/>
    <col min="6166" max="6166" width="13.140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8.42578125" bestFit="1" customWidth="1"/>
    <col min="6406" max="6406" width="20.140625" bestFit="1" customWidth="1"/>
    <col min="6407" max="6407" width="13.42578125" customWidth="1"/>
    <col min="6408" max="6408" width="15.42578125" bestFit="1" customWidth="1"/>
    <col min="6409" max="6409" width="14.42578125" bestFit="1" customWidth="1"/>
    <col min="6410" max="6410" width="15.28515625" customWidth="1"/>
    <col min="6411" max="6411" width="15.85546875" customWidth="1"/>
    <col min="6412" max="6412" width="17.28515625" bestFit="1" customWidth="1"/>
    <col min="6413" max="6413" width="12.7109375" customWidth="1"/>
    <col min="6414" max="6414" width="13.7109375" customWidth="1"/>
    <col min="6415" max="6415" width="14.140625" bestFit="1" customWidth="1"/>
    <col min="6416" max="6416" width="18.42578125" bestFit="1" customWidth="1"/>
    <col min="6417" max="6417" width="20.42578125" bestFit="1" customWidth="1"/>
    <col min="6418" max="6418" width="32.140625" customWidth="1"/>
    <col min="6419" max="6420" width="15.42578125" bestFit="1" customWidth="1"/>
    <col min="6421" max="6421" width="16.42578125" bestFit="1" customWidth="1"/>
    <col min="6422" max="6422" width="13.140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8.42578125" bestFit="1" customWidth="1"/>
    <col min="6662" max="6662" width="20.140625" bestFit="1" customWidth="1"/>
    <col min="6663" max="6663" width="13.42578125" customWidth="1"/>
    <col min="6664" max="6664" width="15.42578125" bestFit="1" customWidth="1"/>
    <col min="6665" max="6665" width="14.42578125" bestFit="1" customWidth="1"/>
    <col min="6666" max="6666" width="15.28515625" customWidth="1"/>
    <col min="6667" max="6667" width="15.85546875" customWidth="1"/>
    <col min="6668" max="6668" width="17.28515625" bestFit="1" customWidth="1"/>
    <col min="6669" max="6669" width="12.7109375" customWidth="1"/>
    <col min="6670" max="6670" width="13.7109375" customWidth="1"/>
    <col min="6671" max="6671" width="14.140625" bestFit="1" customWidth="1"/>
    <col min="6672" max="6672" width="18.42578125" bestFit="1" customWidth="1"/>
    <col min="6673" max="6673" width="20.42578125" bestFit="1" customWidth="1"/>
    <col min="6674" max="6674" width="32.140625" customWidth="1"/>
    <col min="6675" max="6676" width="15.42578125" bestFit="1" customWidth="1"/>
    <col min="6677" max="6677" width="16.42578125" bestFit="1" customWidth="1"/>
    <col min="6678" max="6678" width="13.140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8.42578125" bestFit="1" customWidth="1"/>
    <col min="6918" max="6918" width="20.140625" bestFit="1" customWidth="1"/>
    <col min="6919" max="6919" width="13.42578125" customWidth="1"/>
    <col min="6920" max="6920" width="15.42578125" bestFit="1" customWidth="1"/>
    <col min="6921" max="6921" width="14.42578125" bestFit="1" customWidth="1"/>
    <col min="6922" max="6922" width="15.28515625" customWidth="1"/>
    <col min="6923" max="6923" width="15.85546875" customWidth="1"/>
    <col min="6924" max="6924" width="17.28515625" bestFit="1" customWidth="1"/>
    <col min="6925" max="6925" width="12.7109375" customWidth="1"/>
    <col min="6926" max="6926" width="13.7109375" customWidth="1"/>
    <col min="6927" max="6927" width="14.140625" bestFit="1" customWidth="1"/>
    <col min="6928" max="6928" width="18.42578125" bestFit="1" customWidth="1"/>
    <col min="6929" max="6929" width="20.42578125" bestFit="1" customWidth="1"/>
    <col min="6930" max="6930" width="32.140625" customWidth="1"/>
    <col min="6931" max="6932" width="15.42578125" bestFit="1" customWidth="1"/>
    <col min="6933" max="6933" width="16.42578125" bestFit="1" customWidth="1"/>
    <col min="6934" max="6934" width="13.140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8.42578125" bestFit="1" customWidth="1"/>
    <col min="7174" max="7174" width="20.140625" bestFit="1" customWidth="1"/>
    <col min="7175" max="7175" width="13.42578125" customWidth="1"/>
    <col min="7176" max="7176" width="15.42578125" bestFit="1" customWidth="1"/>
    <col min="7177" max="7177" width="14.42578125" bestFit="1" customWidth="1"/>
    <col min="7178" max="7178" width="15.28515625" customWidth="1"/>
    <col min="7179" max="7179" width="15.85546875" customWidth="1"/>
    <col min="7180" max="7180" width="17.28515625" bestFit="1" customWidth="1"/>
    <col min="7181" max="7181" width="12.7109375" customWidth="1"/>
    <col min="7182" max="7182" width="13.7109375" customWidth="1"/>
    <col min="7183" max="7183" width="14.140625" bestFit="1" customWidth="1"/>
    <col min="7184" max="7184" width="18.42578125" bestFit="1" customWidth="1"/>
    <col min="7185" max="7185" width="20.42578125" bestFit="1" customWidth="1"/>
    <col min="7186" max="7186" width="32.140625" customWidth="1"/>
    <col min="7187" max="7188" width="15.42578125" bestFit="1" customWidth="1"/>
    <col min="7189" max="7189" width="16.42578125" bestFit="1" customWidth="1"/>
    <col min="7190" max="7190" width="13.140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8.42578125" bestFit="1" customWidth="1"/>
    <col min="7430" max="7430" width="20.140625" bestFit="1" customWidth="1"/>
    <col min="7431" max="7431" width="13.42578125" customWidth="1"/>
    <col min="7432" max="7432" width="15.42578125" bestFit="1" customWidth="1"/>
    <col min="7433" max="7433" width="14.42578125" bestFit="1" customWidth="1"/>
    <col min="7434" max="7434" width="15.28515625" customWidth="1"/>
    <col min="7435" max="7435" width="15.85546875" customWidth="1"/>
    <col min="7436" max="7436" width="17.28515625" bestFit="1" customWidth="1"/>
    <col min="7437" max="7437" width="12.7109375" customWidth="1"/>
    <col min="7438" max="7438" width="13.7109375" customWidth="1"/>
    <col min="7439" max="7439" width="14.140625" bestFit="1" customWidth="1"/>
    <col min="7440" max="7440" width="18.42578125" bestFit="1" customWidth="1"/>
    <col min="7441" max="7441" width="20.42578125" bestFit="1" customWidth="1"/>
    <col min="7442" max="7442" width="32.140625" customWidth="1"/>
    <col min="7443" max="7444" width="15.42578125" bestFit="1" customWidth="1"/>
    <col min="7445" max="7445" width="16.42578125" bestFit="1" customWidth="1"/>
    <col min="7446" max="7446" width="13.140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8.42578125" bestFit="1" customWidth="1"/>
    <col min="7686" max="7686" width="20.140625" bestFit="1" customWidth="1"/>
    <col min="7687" max="7687" width="13.42578125" customWidth="1"/>
    <col min="7688" max="7688" width="15.42578125" bestFit="1" customWidth="1"/>
    <col min="7689" max="7689" width="14.42578125" bestFit="1" customWidth="1"/>
    <col min="7690" max="7690" width="15.28515625" customWidth="1"/>
    <col min="7691" max="7691" width="15.85546875" customWidth="1"/>
    <col min="7692" max="7692" width="17.28515625" bestFit="1" customWidth="1"/>
    <col min="7693" max="7693" width="12.7109375" customWidth="1"/>
    <col min="7694" max="7694" width="13.7109375" customWidth="1"/>
    <col min="7695" max="7695" width="14.140625" bestFit="1" customWidth="1"/>
    <col min="7696" max="7696" width="18.42578125" bestFit="1" customWidth="1"/>
    <col min="7697" max="7697" width="20.42578125" bestFit="1" customWidth="1"/>
    <col min="7698" max="7698" width="32.140625" customWidth="1"/>
    <col min="7699" max="7700" width="15.42578125" bestFit="1" customWidth="1"/>
    <col min="7701" max="7701" width="16.42578125" bestFit="1" customWidth="1"/>
    <col min="7702" max="7702" width="13.140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8.42578125" bestFit="1" customWidth="1"/>
    <col min="7942" max="7942" width="20.140625" bestFit="1" customWidth="1"/>
    <col min="7943" max="7943" width="13.42578125" customWidth="1"/>
    <col min="7944" max="7944" width="15.42578125" bestFit="1" customWidth="1"/>
    <col min="7945" max="7945" width="14.42578125" bestFit="1" customWidth="1"/>
    <col min="7946" max="7946" width="15.28515625" customWidth="1"/>
    <col min="7947" max="7947" width="15.85546875" customWidth="1"/>
    <col min="7948" max="7948" width="17.28515625" bestFit="1" customWidth="1"/>
    <col min="7949" max="7949" width="12.7109375" customWidth="1"/>
    <col min="7950" max="7950" width="13.7109375" customWidth="1"/>
    <col min="7951" max="7951" width="14.140625" bestFit="1" customWidth="1"/>
    <col min="7952" max="7952" width="18.42578125" bestFit="1" customWidth="1"/>
    <col min="7953" max="7953" width="20.42578125" bestFit="1" customWidth="1"/>
    <col min="7954" max="7954" width="32.140625" customWidth="1"/>
    <col min="7955" max="7956" width="15.42578125" bestFit="1" customWidth="1"/>
    <col min="7957" max="7957" width="16.42578125" bestFit="1" customWidth="1"/>
    <col min="7958" max="7958" width="13.140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8.42578125" bestFit="1" customWidth="1"/>
    <col min="8198" max="8198" width="20.140625" bestFit="1" customWidth="1"/>
    <col min="8199" max="8199" width="13.42578125" customWidth="1"/>
    <col min="8200" max="8200" width="15.42578125" bestFit="1" customWidth="1"/>
    <col min="8201" max="8201" width="14.42578125" bestFit="1" customWidth="1"/>
    <col min="8202" max="8202" width="15.28515625" customWidth="1"/>
    <col min="8203" max="8203" width="15.85546875" customWidth="1"/>
    <col min="8204" max="8204" width="17.28515625" bestFit="1" customWidth="1"/>
    <col min="8205" max="8205" width="12.7109375" customWidth="1"/>
    <col min="8206" max="8206" width="13.7109375" customWidth="1"/>
    <col min="8207" max="8207" width="14.140625" bestFit="1" customWidth="1"/>
    <col min="8208" max="8208" width="18.42578125" bestFit="1" customWidth="1"/>
    <col min="8209" max="8209" width="20.42578125" bestFit="1" customWidth="1"/>
    <col min="8210" max="8210" width="32.140625" customWidth="1"/>
    <col min="8211" max="8212" width="15.42578125" bestFit="1" customWidth="1"/>
    <col min="8213" max="8213" width="16.42578125" bestFit="1" customWidth="1"/>
    <col min="8214" max="8214" width="13.140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8.42578125" bestFit="1" customWidth="1"/>
    <col min="8454" max="8454" width="20.140625" bestFit="1" customWidth="1"/>
    <col min="8455" max="8455" width="13.42578125" customWidth="1"/>
    <col min="8456" max="8456" width="15.42578125" bestFit="1" customWidth="1"/>
    <col min="8457" max="8457" width="14.42578125" bestFit="1" customWidth="1"/>
    <col min="8458" max="8458" width="15.28515625" customWidth="1"/>
    <col min="8459" max="8459" width="15.85546875" customWidth="1"/>
    <col min="8460" max="8460" width="17.28515625" bestFit="1" customWidth="1"/>
    <col min="8461" max="8461" width="12.7109375" customWidth="1"/>
    <col min="8462" max="8462" width="13.7109375" customWidth="1"/>
    <col min="8463" max="8463" width="14.140625" bestFit="1" customWidth="1"/>
    <col min="8464" max="8464" width="18.42578125" bestFit="1" customWidth="1"/>
    <col min="8465" max="8465" width="20.42578125" bestFit="1" customWidth="1"/>
    <col min="8466" max="8466" width="32.140625" customWidth="1"/>
    <col min="8467" max="8468" width="15.42578125" bestFit="1" customWidth="1"/>
    <col min="8469" max="8469" width="16.42578125" bestFit="1" customWidth="1"/>
    <col min="8470" max="8470" width="13.140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8.42578125" bestFit="1" customWidth="1"/>
    <col min="8710" max="8710" width="20.140625" bestFit="1" customWidth="1"/>
    <col min="8711" max="8711" width="13.42578125" customWidth="1"/>
    <col min="8712" max="8712" width="15.42578125" bestFit="1" customWidth="1"/>
    <col min="8713" max="8713" width="14.42578125" bestFit="1" customWidth="1"/>
    <col min="8714" max="8714" width="15.28515625" customWidth="1"/>
    <col min="8715" max="8715" width="15.85546875" customWidth="1"/>
    <col min="8716" max="8716" width="17.28515625" bestFit="1" customWidth="1"/>
    <col min="8717" max="8717" width="12.7109375" customWidth="1"/>
    <col min="8718" max="8718" width="13.7109375" customWidth="1"/>
    <col min="8719" max="8719" width="14.140625" bestFit="1" customWidth="1"/>
    <col min="8720" max="8720" width="18.42578125" bestFit="1" customWidth="1"/>
    <col min="8721" max="8721" width="20.42578125" bestFit="1" customWidth="1"/>
    <col min="8722" max="8722" width="32.140625" customWidth="1"/>
    <col min="8723" max="8724" width="15.42578125" bestFit="1" customWidth="1"/>
    <col min="8725" max="8725" width="16.42578125" bestFit="1" customWidth="1"/>
    <col min="8726" max="8726" width="13.140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8.42578125" bestFit="1" customWidth="1"/>
    <col min="8966" max="8966" width="20.140625" bestFit="1" customWidth="1"/>
    <col min="8967" max="8967" width="13.42578125" customWidth="1"/>
    <col min="8968" max="8968" width="15.42578125" bestFit="1" customWidth="1"/>
    <col min="8969" max="8969" width="14.42578125" bestFit="1" customWidth="1"/>
    <col min="8970" max="8970" width="15.28515625" customWidth="1"/>
    <col min="8971" max="8971" width="15.85546875" customWidth="1"/>
    <col min="8972" max="8972" width="17.28515625" bestFit="1" customWidth="1"/>
    <col min="8973" max="8973" width="12.7109375" customWidth="1"/>
    <col min="8974" max="8974" width="13.7109375" customWidth="1"/>
    <col min="8975" max="8975" width="14.140625" bestFit="1" customWidth="1"/>
    <col min="8976" max="8976" width="18.42578125" bestFit="1" customWidth="1"/>
    <col min="8977" max="8977" width="20.42578125" bestFit="1" customWidth="1"/>
    <col min="8978" max="8978" width="32.140625" customWidth="1"/>
    <col min="8979" max="8980" width="15.42578125" bestFit="1" customWidth="1"/>
    <col min="8981" max="8981" width="16.42578125" bestFit="1" customWidth="1"/>
    <col min="8982" max="8982" width="13.140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8.42578125" bestFit="1" customWidth="1"/>
    <col min="9222" max="9222" width="20.140625" bestFit="1" customWidth="1"/>
    <col min="9223" max="9223" width="13.42578125" customWidth="1"/>
    <col min="9224" max="9224" width="15.42578125" bestFit="1" customWidth="1"/>
    <col min="9225" max="9225" width="14.42578125" bestFit="1" customWidth="1"/>
    <col min="9226" max="9226" width="15.28515625" customWidth="1"/>
    <col min="9227" max="9227" width="15.85546875" customWidth="1"/>
    <col min="9228" max="9228" width="17.28515625" bestFit="1" customWidth="1"/>
    <col min="9229" max="9229" width="12.7109375" customWidth="1"/>
    <col min="9230" max="9230" width="13.7109375" customWidth="1"/>
    <col min="9231" max="9231" width="14.140625" bestFit="1" customWidth="1"/>
    <col min="9232" max="9232" width="18.42578125" bestFit="1" customWidth="1"/>
    <col min="9233" max="9233" width="20.42578125" bestFit="1" customWidth="1"/>
    <col min="9234" max="9234" width="32.140625" customWidth="1"/>
    <col min="9235" max="9236" width="15.42578125" bestFit="1" customWidth="1"/>
    <col min="9237" max="9237" width="16.42578125" bestFit="1" customWidth="1"/>
    <col min="9238" max="9238" width="13.140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8.42578125" bestFit="1" customWidth="1"/>
    <col min="9478" max="9478" width="20.140625" bestFit="1" customWidth="1"/>
    <col min="9479" max="9479" width="13.42578125" customWidth="1"/>
    <col min="9480" max="9480" width="15.42578125" bestFit="1" customWidth="1"/>
    <col min="9481" max="9481" width="14.42578125" bestFit="1" customWidth="1"/>
    <col min="9482" max="9482" width="15.28515625" customWidth="1"/>
    <col min="9483" max="9483" width="15.85546875" customWidth="1"/>
    <col min="9484" max="9484" width="17.28515625" bestFit="1" customWidth="1"/>
    <col min="9485" max="9485" width="12.7109375" customWidth="1"/>
    <col min="9486" max="9486" width="13.7109375" customWidth="1"/>
    <col min="9487" max="9487" width="14.140625" bestFit="1" customWidth="1"/>
    <col min="9488" max="9488" width="18.42578125" bestFit="1" customWidth="1"/>
    <col min="9489" max="9489" width="20.42578125" bestFit="1" customWidth="1"/>
    <col min="9490" max="9490" width="32.140625" customWidth="1"/>
    <col min="9491" max="9492" width="15.42578125" bestFit="1" customWidth="1"/>
    <col min="9493" max="9493" width="16.42578125" bestFit="1" customWidth="1"/>
    <col min="9494" max="9494" width="13.140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8.42578125" bestFit="1" customWidth="1"/>
    <col min="9734" max="9734" width="20.140625" bestFit="1" customWidth="1"/>
    <col min="9735" max="9735" width="13.42578125" customWidth="1"/>
    <col min="9736" max="9736" width="15.42578125" bestFit="1" customWidth="1"/>
    <col min="9737" max="9737" width="14.42578125" bestFit="1" customWidth="1"/>
    <col min="9738" max="9738" width="15.28515625" customWidth="1"/>
    <col min="9739" max="9739" width="15.85546875" customWidth="1"/>
    <col min="9740" max="9740" width="17.28515625" bestFit="1" customWidth="1"/>
    <col min="9741" max="9741" width="12.7109375" customWidth="1"/>
    <col min="9742" max="9742" width="13.7109375" customWidth="1"/>
    <col min="9743" max="9743" width="14.140625" bestFit="1" customWidth="1"/>
    <col min="9744" max="9744" width="18.42578125" bestFit="1" customWidth="1"/>
    <col min="9745" max="9745" width="20.42578125" bestFit="1" customWidth="1"/>
    <col min="9746" max="9746" width="32.140625" customWidth="1"/>
    <col min="9747" max="9748" width="15.42578125" bestFit="1" customWidth="1"/>
    <col min="9749" max="9749" width="16.42578125" bestFit="1" customWidth="1"/>
    <col min="9750" max="9750" width="13.140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8.42578125" bestFit="1" customWidth="1"/>
    <col min="9990" max="9990" width="20.140625" bestFit="1" customWidth="1"/>
    <col min="9991" max="9991" width="13.42578125" customWidth="1"/>
    <col min="9992" max="9992" width="15.42578125" bestFit="1" customWidth="1"/>
    <col min="9993" max="9993" width="14.42578125" bestFit="1" customWidth="1"/>
    <col min="9994" max="9994" width="15.28515625" customWidth="1"/>
    <col min="9995" max="9995" width="15.85546875" customWidth="1"/>
    <col min="9996" max="9996" width="17.28515625" bestFit="1" customWidth="1"/>
    <col min="9997" max="9997" width="12.7109375" customWidth="1"/>
    <col min="9998" max="9998" width="13.7109375" customWidth="1"/>
    <col min="9999" max="9999" width="14.140625" bestFit="1" customWidth="1"/>
    <col min="10000" max="10000" width="18.42578125" bestFit="1" customWidth="1"/>
    <col min="10001" max="10001" width="20.42578125" bestFit="1" customWidth="1"/>
    <col min="10002" max="10002" width="32.140625" customWidth="1"/>
    <col min="10003" max="10004" width="15.42578125" bestFit="1" customWidth="1"/>
    <col min="10005" max="10005" width="16.42578125" bestFit="1" customWidth="1"/>
    <col min="10006" max="10006" width="13.140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8.42578125" bestFit="1" customWidth="1"/>
    <col min="10246" max="10246" width="20.140625" bestFit="1" customWidth="1"/>
    <col min="10247" max="10247" width="13.42578125" customWidth="1"/>
    <col min="10248" max="10248" width="15.42578125" bestFit="1" customWidth="1"/>
    <col min="10249" max="10249" width="14.42578125" bestFit="1" customWidth="1"/>
    <col min="10250" max="10250" width="15.28515625" customWidth="1"/>
    <col min="10251" max="10251" width="15.85546875" customWidth="1"/>
    <col min="10252" max="10252" width="17.28515625" bestFit="1" customWidth="1"/>
    <col min="10253" max="10253" width="12.7109375" customWidth="1"/>
    <col min="10254" max="10254" width="13.7109375" customWidth="1"/>
    <col min="10255" max="10255" width="14.140625" bestFit="1" customWidth="1"/>
    <col min="10256" max="10256" width="18.42578125" bestFit="1" customWidth="1"/>
    <col min="10257" max="10257" width="20.42578125" bestFit="1" customWidth="1"/>
    <col min="10258" max="10258" width="32.140625" customWidth="1"/>
    <col min="10259" max="10260" width="15.42578125" bestFit="1" customWidth="1"/>
    <col min="10261" max="10261" width="16.42578125" bestFit="1" customWidth="1"/>
    <col min="10262" max="10262" width="13.140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8.42578125" bestFit="1" customWidth="1"/>
    <col min="10502" max="10502" width="20.140625" bestFit="1" customWidth="1"/>
    <col min="10503" max="10503" width="13.42578125" customWidth="1"/>
    <col min="10504" max="10504" width="15.42578125" bestFit="1" customWidth="1"/>
    <col min="10505" max="10505" width="14.42578125" bestFit="1" customWidth="1"/>
    <col min="10506" max="10506" width="15.28515625" customWidth="1"/>
    <col min="10507" max="10507" width="15.85546875" customWidth="1"/>
    <col min="10508" max="10508" width="17.28515625" bestFit="1" customWidth="1"/>
    <col min="10509" max="10509" width="12.7109375" customWidth="1"/>
    <col min="10510" max="10510" width="13.7109375" customWidth="1"/>
    <col min="10511" max="10511" width="14.140625" bestFit="1" customWidth="1"/>
    <col min="10512" max="10512" width="18.42578125" bestFit="1" customWidth="1"/>
    <col min="10513" max="10513" width="20.42578125" bestFit="1" customWidth="1"/>
    <col min="10514" max="10514" width="32.140625" customWidth="1"/>
    <col min="10515" max="10516" width="15.42578125" bestFit="1" customWidth="1"/>
    <col min="10517" max="10517" width="16.42578125" bestFit="1" customWidth="1"/>
    <col min="10518" max="10518" width="13.140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8.42578125" bestFit="1" customWidth="1"/>
    <col min="10758" max="10758" width="20.140625" bestFit="1" customWidth="1"/>
    <col min="10759" max="10759" width="13.42578125" customWidth="1"/>
    <col min="10760" max="10760" width="15.42578125" bestFit="1" customWidth="1"/>
    <col min="10761" max="10761" width="14.42578125" bestFit="1" customWidth="1"/>
    <col min="10762" max="10762" width="15.28515625" customWidth="1"/>
    <col min="10763" max="10763" width="15.85546875" customWidth="1"/>
    <col min="10764" max="10764" width="17.28515625" bestFit="1" customWidth="1"/>
    <col min="10765" max="10765" width="12.7109375" customWidth="1"/>
    <col min="10766" max="10766" width="13.7109375" customWidth="1"/>
    <col min="10767" max="10767" width="14.140625" bestFit="1" customWidth="1"/>
    <col min="10768" max="10768" width="18.42578125" bestFit="1" customWidth="1"/>
    <col min="10769" max="10769" width="20.42578125" bestFit="1" customWidth="1"/>
    <col min="10770" max="10770" width="32.140625" customWidth="1"/>
    <col min="10771" max="10772" width="15.42578125" bestFit="1" customWidth="1"/>
    <col min="10773" max="10773" width="16.42578125" bestFit="1" customWidth="1"/>
    <col min="10774" max="10774" width="13.140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8.42578125" bestFit="1" customWidth="1"/>
    <col min="11014" max="11014" width="20.140625" bestFit="1" customWidth="1"/>
    <col min="11015" max="11015" width="13.42578125" customWidth="1"/>
    <col min="11016" max="11016" width="15.42578125" bestFit="1" customWidth="1"/>
    <col min="11017" max="11017" width="14.42578125" bestFit="1" customWidth="1"/>
    <col min="11018" max="11018" width="15.28515625" customWidth="1"/>
    <col min="11019" max="11019" width="15.85546875" customWidth="1"/>
    <col min="11020" max="11020" width="17.28515625" bestFit="1" customWidth="1"/>
    <col min="11021" max="11021" width="12.7109375" customWidth="1"/>
    <col min="11022" max="11022" width="13.7109375" customWidth="1"/>
    <col min="11023" max="11023" width="14.140625" bestFit="1" customWidth="1"/>
    <col min="11024" max="11024" width="18.42578125" bestFit="1" customWidth="1"/>
    <col min="11025" max="11025" width="20.42578125" bestFit="1" customWidth="1"/>
    <col min="11026" max="11026" width="32.140625" customWidth="1"/>
    <col min="11027" max="11028" width="15.42578125" bestFit="1" customWidth="1"/>
    <col min="11029" max="11029" width="16.42578125" bestFit="1" customWidth="1"/>
    <col min="11030" max="11030" width="13.140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8.42578125" bestFit="1" customWidth="1"/>
    <col min="11270" max="11270" width="20.140625" bestFit="1" customWidth="1"/>
    <col min="11271" max="11271" width="13.42578125" customWidth="1"/>
    <col min="11272" max="11272" width="15.42578125" bestFit="1" customWidth="1"/>
    <col min="11273" max="11273" width="14.42578125" bestFit="1" customWidth="1"/>
    <col min="11274" max="11274" width="15.28515625" customWidth="1"/>
    <col min="11275" max="11275" width="15.85546875" customWidth="1"/>
    <col min="11276" max="11276" width="17.28515625" bestFit="1" customWidth="1"/>
    <col min="11277" max="11277" width="12.7109375" customWidth="1"/>
    <col min="11278" max="11278" width="13.7109375" customWidth="1"/>
    <col min="11279" max="11279" width="14.140625" bestFit="1" customWidth="1"/>
    <col min="11280" max="11280" width="18.42578125" bestFit="1" customWidth="1"/>
    <col min="11281" max="11281" width="20.42578125" bestFit="1" customWidth="1"/>
    <col min="11282" max="11282" width="32.140625" customWidth="1"/>
    <col min="11283" max="11284" width="15.42578125" bestFit="1" customWidth="1"/>
    <col min="11285" max="11285" width="16.42578125" bestFit="1" customWidth="1"/>
    <col min="11286" max="11286" width="13.140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8.42578125" bestFit="1" customWidth="1"/>
    <col min="11526" max="11526" width="20.140625" bestFit="1" customWidth="1"/>
    <col min="11527" max="11527" width="13.42578125" customWidth="1"/>
    <col min="11528" max="11528" width="15.42578125" bestFit="1" customWidth="1"/>
    <col min="11529" max="11529" width="14.42578125" bestFit="1" customWidth="1"/>
    <col min="11530" max="11530" width="15.28515625" customWidth="1"/>
    <col min="11531" max="11531" width="15.85546875" customWidth="1"/>
    <col min="11532" max="11532" width="17.28515625" bestFit="1" customWidth="1"/>
    <col min="11533" max="11533" width="12.7109375" customWidth="1"/>
    <col min="11534" max="11534" width="13.7109375" customWidth="1"/>
    <col min="11535" max="11535" width="14.140625" bestFit="1" customWidth="1"/>
    <col min="11536" max="11536" width="18.42578125" bestFit="1" customWidth="1"/>
    <col min="11537" max="11537" width="20.42578125" bestFit="1" customWidth="1"/>
    <col min="11538" max="11538" width="32.140625" customWidth="1"/>
    <col min="11539" max="11540" width="15.42578125" bestFit="1" customWidth="1"/>
    <col min="11541" max="11541" width="16.42578125" bestFit="1" customWidth="1"/>
    <col min="11542" max="11542" width="13.140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8.42578125" bestFit="1" customWidth="1"/>
    <col min="11782" max="11782" width="20.140625" bestFit="1" customWidth="1"/>
    <col min="11783" max="11783" width="13.42578125" customWidth="1"/>
    <col min="11784" max="11784" width="15.42578125" bestFit="1" customWidth="1"/>
    <col min="11785" max="11785" width="14.42578125" bestFit="1" customWidth="1"/>
    <col min="11786" max="11786" width="15.28515625" customWidth="1"/>
    <col min="11787" max="11787" width="15.85546875" customWidth="1"/>
    <col min="11788" max="11788" width="17.28515625" bestFit="1" customWidth="1"/>
    <col min="11789" max="11789" width="12.7109375" customWidth="1"/>
    <col min="11790" max="11790" width="13.7109375" customWidth="1"/>
    <col min="11791" max="11791" width="14.140625" bestFit="1" customWidth="1"/>
    <col min="11792" max="11792" width="18.42578125" bestFit="1" customWidth="1"/>
    <col min="11793" max="11793" width="20.42578125" bestFit="1" customWidth="1"/>
    <col min="11794" max="11794" width="32.140625" customWidth="1"/>
    <col min="11795" max="11796" width="15.42578125" bestFit="1" customWidth="1"/>
    <col min="11797" max="11797" width="16.42578125" bestFit="1" customWidth="1"/>
    <col min="11798" max="11798" width="13.140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8.42578125" bestFit="1" customWidth="1"/>
    <col min="12038" max="12038" width="20.140625" bestFit="1" customWidth="1"/>
    <col min="12039" max="12039" width="13.42578125" customWidth="1"/>
    <col min="12040" max="12040" width="15.42578125" bestFit="1" customWidth="1"/>
    <col min="12041" max="12041" width="14.42578125" bestFit="1" customWidth="1"/>
    <col min="12042" max="12042" width="15.28515625" customWidth="1"/>
    <col min="12043" max="12043" width="15.85546875" customWidth="1"/>
    <col min="12044" max="12044" width="17.28515625" bestFit="1" customWidth="1"/>
    <col min="12045" max="12045" width="12.7109375" customWidth="1"/>
    <col min="12046" max="12046" width="13.7109375" customWidth="1"/>
    <col min="12047" max="12047" width="14.140625" bestFit="1" customWidth="1"/>
    <col min="12048" max="12048" width="18.42578125" bestFit="1" customWidth="1"/>
    <col min="12049" max="12049" width="20.42578125" bestFit="1" customWidth="1"/>
    <col min="12050" max="12050" width="32.140625" customWidth="1"/>
    <col min="12051" max="12052" width="15.42578125" bestFit="1" customWidth="1"/>
    <col min="12053" max="12053" width="16.42578125" bestFit="1" customWidth="1"/>
    <col min="12054" max="12054" width="13.140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8.42578125" bestFit="1" customWidth="1"/>
    <col min="12294" max="12294" width="20.140625" bestFit="1" customWidth="1"/>
    <col min="12295" max="12295" width="13.42578125" customWidth="1"/>
    <col min="12296" max="12296" width="15.42578125" bestFit="1" customWidth="1"/>
    <col min="12297" max="12297" width="14.42578125" bestFit="1" customWidth="1"/>
    <col min="12298" max="12298" width="15.28515625" customWidth="1"/>
    <col min="12299" max="12299" width="15.85546875" customWidth="1"/>
    <col min="12300" max="12300" width="17.28515625" bestFit="1" customWidth="1"/>
    <col min="12301" max="12301" width="12.7109375" customWidth="1"/>
    <col min="12302" max="12302" width="13.7109375" customWidth="1"/>
    <col min="12303" max="12303" width="14.140625" bestFit="1" customWidth="1"/>
    <col min="12304" max="12304" width="18.42578125" bestFit="1" customWidth="1"/>
    <col min="12305" max="12305" width="20.42578125" bestFit="1" customWidth="1"/>
    <col min="12306" max="12306" width="32.140625" customWidth="1"/>
    <col min="12307" max="12308" width="15.42578125" bestFit="1" customWidth="1"/>
    <col min="12309" max="12309" width="16.42578125" bestFit="1" customWidth="1"/>
    <col min="12310" max="12310" width="13.140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8.42578125" bestFit="1" customWidth="1"/>
    <col min="12550" max="12550" width="20.140625" bestFit="1" customWidth="1"/>
    <col min="12551" max="12551" width="13.42578125" customWidth="1"/>
    <col min="12552" max="12552" width="15.42578125" bestFit="1" customWidth="1"/>
    <col min="12553" max="12553" width="14.42578125" bestFit="1" customWidth="1"/>
    <col min="12554" max="12554" width="15.28515625" customWidth="1"/>
    <col min="12555" max="12555" width="15.85546875" customWidth="1"/>
    <col min="12556" max="12556" width="17.28515625" bestFit="1" customWidth="1"/>
    <col min="12557" max="12557" width="12.7109375" customWidth="1"/>
    <col min="12558" max="12558" width="13.7109375" customWidth="1"/>
    <col min="12559" max="12559" width="14.140625" bestFit="1" customWidth="1"/>
    <col min="12560" max="12560" width="18.42578125" bestFit="1" customWidth="1"/>
    <col min="12561" max="12561" width="20.42578125" bestFit="1" customWidth="1"/>
    <col min="12562" max="12562" width="32.140625" customWidth="1"/>
    <col min="12563" max="12564" width="15.42578125" bestFit="1" customWidth="1"/>
    <col min="12565" max="12565" width="16.42578125" bestFit="1" customWidth="1"/>
    <col min="12566" max="12566" width="13.140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8.42578125" bestFit="1" customWidth="1"/>
    <col min="12806" max="12806" width="20.140625" bestFit="1" customWidth="1"/>
    <col min="12807" max="12807" width="13.42578125" customWidth="1"/>
    <col min="12808" max="12808" width="15.42578125" bestFit="1" customWidth="1"/>
    <col min="12809" max="12809" width="14.42578125" bestFit="1" customWidth="1"/>
    <col min="12810" max="12810" width="15.28515625" customWidth="1"/>
    <col min="12811" max="12811" width="15.85546875" customWidth="1"/>
    <col min="12812" max="12812" width="17.28515625" bestFit="1" customWidth="1"/>
    <col min="12813" max="12813" width="12.7109375" customWidth="1"/>
    <col min="12814" max="12814" width="13.7109375" customWidth="1"/>
    <col min="12815" max="12815" width="14.140625" bestFit="1" customWidth="1"/>
    <col min="12816" max="12816" width="18.42578125" bestFit="1" customWidth="1"/>
    <col min="12817" max="12817" width="20.42578125" bestFit="1" customWidth="1"/>
    <col min="12818" max="12818" width="32.140625" customWidth="1"/>
    <col min="12819" max="12820" width="15.42578125" bestFit="1" customWidth="1"/>
    <col min="12821" max="12821" width="16.42578125" bestFit="1" customWidth="1"/>
    <col min="12822" max="12822" width="13.140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8.42578125" bestFit="1" customWidth="1"/>
    <col min="13062" max="13062" width="20.140625" bestFit="1" customWidth="1"/>
    <col min="13063" max="13063" width="13.42578125" customWidth="1"/>
    <col min="13064" max="13064" width="15.42578125" bestFit="1" customWidth="1"/>
    <col min="13065" max="13065" width="14.42578125" bestFit="1" customWidth="1"/>
    <col min="13066" max="13066" width="15.28515625" customWidth="1"/>
    <col min="13067" max="13067" width="15.85546875" customWidth="1"/>
    <col min="13068" max="13068" width="17.28515625" bestFit="1" customWidth="1"/>
    <col min="13069" max="13069" width="12.7109375" customWidth="1"/>
    <col min="13070" max="13070" width="13.7109375" customWidth="1"/>
    <col min="13071" max="13071" width="14.140625" bestFit="1" customWidth="1"/>
    <col min="13072" max="13072" width="18.42578125" bestFit="1" customWidth="1"/>
    <col min="13073" max="13073" width="20.42578125" bestFit="1" customWidth="1"/>
    <col min="13074" max="13074" width="32.140625" customWidth="1"/>
    <col min="13075" max="13076" width="15.42578125" bestFit="1" customWidth="1"/>
    <col min="13077" max="13077" width="16.42578125" bestFit="1" customWidth="1"/>
    <col min="13078" max="13078" width="13.140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8.42578125" bestFit="1" customWidth="1"/>
    <col min="13318" max="13318" width="20.140625" bestFit="1" customWidth="1"/>
    <col min="13319" max="13319" width="13.42578125" customWidth="1"/>
    <col min="13320" max="13320" width="15.42578125" bestFit="1" customWidth="1"/>
    <col min="13321" max="13321" width="14.42578125" bestFit="1" customWidth="1"/>
    <col min="13322" max="13322" width="15.28515625" customWidth="1"/>
    <col min="13323" max="13323" width="15.85546875" customWidth="1"/>
    <col min="13324" max="13324" width="17.28515625" bestFit="1" customWidth="1"/>
    <col min="13325" max="13325" width="12.7109375" customWidth="1"/>
    <col min="13326" max="13326" width="13.7109375" customWidth="1"/>
    <col min="13327" max="13327" width="14.140625" bestFit="1" customWidth="1"/>
    <col min="13328" max="13328" width="18.42578125" bestFit="1" customWidth="1"/>
    <col min="13329" max="13329" width="20.42578125" bestFit="1" customWidth="1"/>
    <col min="13330" max="13330" width="32.140625" customWidth="1"/>
    <col min="13331" max="13332" width="15.42578125" bestFit="1" customWidth="1"/>
    <col min="13333" max="13333" width="16.42578125" bestFit="1" customWidth="1"/>
    <col min="13334" max="13334" width="13.140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8.42578125" bestFit="1" customWidth="1"/>
    <col min="13574" max="13574" width="20.140625" bestFit="1" customWidth="1"/>
    <col min="13575" max="13575" width="13.42578125" customWidth="1"/>
    <col min="13576" max="13576" width="15.42578125" bestFit="1" customWidth="1"/>
    <col min="13577" max="13577" width="14.42578125" bestFit="1" customWidth="1"/>
    <col min="13578" max="13578" width="15.28515625" customWidth="1"/>
    <col min="13579" max="13579" width="15.85546875" customWidth="1"/>
    <col min="13580" max="13580" width="17.28515625" bestFit="1" customWidth="1"/>
    <col min="13581" max="13581" width="12.7109375" customWidth="1"/>
    <col min="13582" max="13582" width="13.7109375" customWidth="1"/>
    <col min="13583" max="13583" width="14.140625" bestFit="1" customWidth="1"/>
    <col min="13584" max="13584" width="18.42578125" bestFit="1" customWidth="1"/>
    <col min="13585" max="13585" width="20.42578125" bestFit="1" customWidth="1"/>
    <col min="13586" max="13586" width="32.140625" customWidth="1"/>
    <col min="13587" max="13588" width="15.42578125" bestFit="1" customWidth="1"/>
    <col min="13589" max="13589" width="16.42578125" bestFit="1" customWidth="1"/>
    <col min="13590" max="13590" width="13.140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8.42578125" bestFit="1" customWidth="1"/>
    <col min="13830" max="13830" width="20.140625" bestFit="1" customWidth="1"/>
    <col min="13831" max="13831" width="13.42578125" customWidth="1"/>
    <col min="13832" max="13832" width="15.42578125" bestFit="1" customWidth="1"/>
    <col min="13833" max="13833" width="14.42578125" bestFit="1" customWidth="1"/>
    <col min="13834" max="13834" width="15.28515625" customWidth="1"/>
    <col min="13835" max="13835" width="15.85546875" customWidth="1"/>
    <col min="13836" max="13836" width="17.28515625" bestFit="1" customWidth="1"/>
    <col min="13837" max="13837" width="12.7109375" customWidth="1"/>
    <col min="13838" max="13838" width="13.7109375" customWidth="1"/>
    <col min="13839" max="13839" width="14.140625" bestFit="1" customWidth="1"/>
    <col min="13840" max="13840" width="18.42578125" bestFit="1" customWidth="1"/>
    <col min="13841" max="13841" width="20.42578125" bestFit="1" customWidth="1"/>
    <col min="13842" max="13842" width="32.140625" customWidth="1"/>
    <col min="13843" max="13844" width="15.42578125" bestFit="1" customWidth="1"/>
    <col min="13845" max="13845" width="16.42578125" bestFit="1" customWidth="1"/>
    <col min="13846" max="13846" width="13.140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8.42578125" bestFit="1" customWidth="1"/>
    <col min="14086" max="14086" width="20.140625" bestFit="1" customWidth="1"/>
    <col min="14087" max="14087" width="13.42578125" customWidth="1"/>
    <col min="14088" max="14088" width="15.42578125" bestFit="1" customWidth="1"/>
    <col min="14089" max="14089" width="14.42578125" bestFit="1" customWidth="1"/>
    <col min="14090" max="14090" width="15.28515625" customWidth="1"/>
    <col min="14091" max="14091" width="15.85546875" customWidth="1"/>
    <col min="14092" max="14092" width="17.28515625" bestFit="1" customWidth="1"/>
    <col min="14093" max="14093" width="12.7109375" customWidth="1"/>
    <col min="14094" max="14094" width="13.7109375" customWidth="1"/>
    <col min="14095" max="14095" width="14.140625" bestFit="1" customWidth="1"/>
    <col min="14096" max="14096" width="18.42578125" bestFit="1" customWidth="1"/>
    <col min="14097" max="14097" width="20.42578125" bestFit="1" customWidth="1"/>
    <col min="14098" max="14098" width="32.140625" customWidth="1"/>
    <col min="14099" max="14100" width="15.42578125" bestFit="1" customWidth="1"/>
    <col min="14101" max="14101" width="16.42578125" bestFit="1" customWidth="1"/>
    <col min="14102" max="14102" width="13.140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8.42578125" bestFit="1" customWidth="1"/>
    <col min="14342" max="14342" width="20.140625" bestFit="1" customWidth="1"/>
    <col min="14343" max="14343" width="13.42578125" customWidth="1"/>
    <col min="14344" max="14344" width="15.42578125" bestFit="1" customWidth="1"/>
    <col min="14345" max="14345" width="14.42578125" bestFit="1" customWidth="1"/>
    <col min="14346" max="14346" width="15.28515625" customWidth="1"/>
    <col min="14347" max="14347" width="15.85546875" customWidth="1"/>
    <col min="14348" max="14348" width="17.28515625" bestFit="1" customWidth="1"/>
    <col min="14349" max="14349" width="12.7109375" customWidth="1"/>
    <col min="14350" max="14350" width="13.7109375" customWidth="1"/>
    <col min="14351" max="14351" width="14.140625" bestFit="1" customWidth="1"/>
    <col min="14352" max="14352" width="18.42578125" bestFit="1" customWidth="1"/>
    <col min="14353" max="14353" width="20.42578125" bestFit="1" customWidth="1"/>
    <col min="14354" max="14354" width="32.140625" customWidth="1"/>
    <col min="14355" max="14356" width="15.42578125" bestFit="1" customWidth="1"/>
    <col min="14357" max="14357" width="16.42578125" bestFit="1" customWidth="1"/>
    <col min="14358" max="14358" width="13.140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8.42578125" bestFit="1" customWidth="1"/>
    <col min="14598" max="14598" width="20.140625" bestFit="1" customWidth="1"/>
    <col min="14599" max="14599" width="13.42578125" customWidth="1"/>
    <col min="14600" max="14600" width="15.42578125" bestFit="1" customWidth="1"/>
    <col min="14601" max="14601" width="14.42578125" bestFit="1" customWidth="1"/>
    <col min="14602" max="14602" width="15.28515625" customWidth="1"/>
    <col min="14603" max="14603" width="15.85546875" customWidth="1"/>
    <col min="14604" max="14604" width="17.28515625" bestFit="1" customWidth="1"/>
    <col min="14605" max="14605" width="12.7109375" customWidth="1"/>
    <col min="14606" max="14606" width="13.7109375" customWidth="1"/>
    <col min="14607" max="14607" width="14.140625" bestFit="1" customWidth="1"/>
    <col min="14608" max="14608" width="18.42578125" bestFit="1" customWidth="1"/>
    <col min="14609" max="14609" width="20.42578125" bestFit="1" customWidth="1"/>
    <col min="14610" max="14610" width="32.140625" customWidth="1"/>
    <col min="14611" max="14612" width="15.42578125" bestFit="1" customWidth="1"/>
    <col min="14613" max="14613" width="16.42578125" bestFit="1" customWidth="1"/>
    <col min="14614" max="14614" width="13.140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8.42578125" bestFit="1" customWidth="1"/>
    <col min="14854" max="14854" width="20.140625" bestFit="1" customWidth="1"/>
    <col min="14855" max="14855" width="13.42578125" customWidth="1"/>
    <col min="14856" max="14856" width="15.42578125" bestFit="1" customWidth="1"/>
    <col min="14857" max="14857" width="14.42578125" bestFit="1" customWidth="1"/>
    <col min="14858" max="14858" width="15.28515625" customWidth="1"/>
    <col min="14859" max="14859" width="15.85546875" customWidth="1"/>
    <col min="14860" max="14860" width="17.28515625" bestFit="1" customWidth="1"/>
    <col min="14861" max="14861" width="12.7109375" customWidth="1"/>
    <col min="14862" max="14862" width="13.7109375" customWidth="1"/>
    <col min="14863" max="14863" width="14.140625" bestFit="1" customWidth="1"/>
    <col min="14864" max="14864" width="18.42578125" bestFit="1" customWidth="1"/>
    <col min="14865" max="14865" width="20.42578125" bestFit="1" customWidth="1"/>
    <col min="14866" max="14866" width="32.140625" customWidth="1"/>
    <col min="14867" max="14868" width="15.42578125" bestFit="1" customWidth="1"/>
    <col min="14869" max="14869" width="16.42578125" bestFit="1" customWidth="1"/>
    <col min="14870" max="14870" width="13.140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8.42578125" bestFit="1" customWidth="1"/>
    <col min="15110" max="15110" width="20.140625" bestFit="1" customWidth="1"/>
    <col min="15111" max="15111" width="13.42578125" customWidth="1"/>
    <col min="15112" max="15112" width="15.42578125" bestFit="1" customWidth="1"/>
    <col min="15113" max="15113" width="14.42578125" bestFit="1" customWidth="1"/>
    <col min="15114" max="15114" width="15.28515625" customWidth="1"/>
    <col min="15115" max="15115" width="15.85546875" customWidth="1"/>
    <col min="15116" max="15116" width="17.28515625" bestFit="1" customWidth="1"/>
    <col min="15117" max="15117" width="12.7109375" customWidth="1"/>
    <col min="15118" max="15118" width="13.7109375" customWidth="1"/>
    <col min="15119" max="15119" width="14.140625" bestFit="1" customWidth="1"/>
    <col min="15120" max="15120" width="18.42578125" bestFit="1" customWidth="1"/>
    <col min="15121" max="15121" width="20.42578125" bestFit="1" customWidth="1"/>
    <col min="15122" max="15122" width="32.140625" customWidth="1"/>
    <col min="15123" max="15124" width="15.42578125" bestFit="1" customWidth="1"/>
    <col min="15125" max="15125" width="16.42578125" bestFit="1" customWidth="1"/>
    <col min="15126" max="15126" width="13.140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8.42578125" bestFit="1" customWidth="1"/>
    <col min="15366" max="15366" width="20.140625" bestFit="1" customWidth="1"/>
    <col min="15367" max="15367" width="13.42578125" customWidth="1"/>
    <col min="15368" max="15368" width="15.42578125" bestFit="1" customWidth="1"/>
    <col min="15369" max="15369" width="14.42578125" bestFit="1" customWidth="1"/>
    <col min="15370" max="15370" width="15.28515625" customWidth="1"/>
    <col min="15371" max="15371" width="15.85546875" customWidth="1"/>
    <col min="15372" max="15372" width="17.28515625" bestFit="1" customWidth="1"/>
    <col min="15373" max="15373" width="12.7109375" customWidth="1"/>
    <col min="15374" max="15374" width="13.7109375" customWidth="1"/>
    <col min="15375" max="15375" width="14.140625" bestFit="1" customWidth="1"/>
    <col min="15376" max="15376" width="18.42578125" bestFit="1" customWidth="1"/>
    <col min="15377" max="15377" width="20.42578125" bestFit="1" customWidth="1"/>
    <col min="15378" max="15378" width="32.140625" customWidth="1"/>
    <col min="15379" max="15380" width="15.42578125" bestFit="1" customWidth="1"/>
    <col min="15381" max="15381" width="16.42578125" bestFit="1" customWidth="1"/>
    <col min="15382" max="15382" width="13.140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8.42578125" bestFit="1" customWidth="1"/>
    <col min="15622" max="15622" width="20.140625" bestFit="1" customWidth="1"/>
    <col min="15623" max="15623" width="13.42578125" customWidth="1"/>
    <col min="15624" max="15624" width="15.42578125" bestFit="1" customWidth="1"/>
    <col min="15625" max="15625" width="14.42578125" bestFit="1" customWidth="1"/>
    <col min="15626" max="15626" width="15.28515625" customWidth="1"/>
    <col min="15627" max="15627" width="15.85546875" customWidth="1"/>
    <col min="15628" max="15628" width="17.28515625" bestFit="1" customWidth="1"/>
    <col min="15629" max="15629" width="12.7109375" customWidth="1"/>
    <col min="15630" max="15630" width="13.7109375" customWidth="1"/>
    <col min="15631" max="15631" width="14.140625" bestFit="1" customWidth="1"/>
    <col min="15632" max="15632" width="18.42578125" bestFit="1" customWidth="1"/>
    <col min="15633" max="15633" width="20.42578125" bestFit="1" customWidth="1"/>
    <col min="15634" max="15634" width="32.140625" customWidth="1"/>
    <col min="15635" max="15636" width="15.42578125" bestFit="1" customWidth="1"/>
    <col min="15637" max="15637" width="16.42578125" bestFit="1" customWidth="1"/>
    <col min="15638" max="15638" width="13.140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8.42578125" bestFit="1" customWidth="1"/>
    <col min="15878" max="15878" width="20.140625" bestFit="1" customWidth="1"/>
    <col min="15879" max="15879" width="13.42578125" customWidth="1"/>
    <col min="15880" max="15880" width="15.42578125" bestFit="1" customWidth="1"/>
    <col min="15881" max="15881" width="14.42578125" bestFit="1" customWidth="1"/>
    <col min="15882" max="15882" width="15.28515625" customWidth="1"/>
    <col min="15883" max="15883" width="15.85546875" customWidth="1"/>
    <col min="15884" max="15884" width="17.28515625" bestFit="1" customWidth="1"/>
    <col min="15885" max="15885" width="12.7109375" customWidth="1"/>
    <col min="15886" max="15886" width="13.7109375" customWidth="1"/>
    <col min="15887" max="15887" width="14.140625" bestFit="1" customWidth="1"/>
    <col min="15888" max="15888" width="18.42578125" bestFit="1" customWidth="1"/>
    <col min="15889" max="15889" width="20.42578125" bestFit="1" customWidth="1"/>
    <col min="15890" max="15890" width="32.140625" customWidth="1"/>
    <col min="15891" max="15892" width="15.42578125" bestFit="1" customWidth="1"/>
    <col min="15893" max="15893" width="16.42578125" bestFit="1" customWidth="1"/>
    <col min="15894" max="15894" width="13.140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8.42578125" bestFit="1" customWidth="1"/>
    <col min="16134" max="16134" width="20.140625" bestFit="1" customWidth="1"/>
    <col min="16135" max="16135" width="13.42578125" customWidth="1"/>
    <col min="16136" max="16136" width="15.42578125" bestFit="1" customWidth="1"/>
    <col min="16137" max="16137" width="14.42578125" bestFit="1" customWidth="1"/>
    <col min="16138" max="16138" width="15.28515625" customWidth="1"/>
    <col min="16139" max="16139" width="15.85546875" customWidth="1"/>
    <col min="16140" max="16140" width="17.28515625" bestFit="1" customWidth="1"/>
    <col min="16141" max="16141" width="12.7109375" customWidth="1"/>
    <col min="16142" max="16142" width="13.7109375" customWidth="1"/>
    <col min="16143" max="16143" width="14.140625" bestFit="1" customWidth="1"/>
    <col min="16144" max="16144" width="18.42578125" bestFit="1" customWidth="1"/>
    <col min="16145" max="16145" width="20.42578125" bestFit="1" customWidth="1"/>
    <col min="16146" max="16146" width="32.140625" customWidth="1"/>
    <col min="16147" max="16148" width="15.42578125" bestFit="1" customWidth="1"/>
    <col min="16149" max="16149" width="16.42578125" bestFit="1" customWidth="1"/>
    <col min="16150" max="16150" width="13.140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3.5" customHeight="1" thickBot="1">
      <c r="B1" s="3461"/>
      <c r="F1" s="198"/>
      <c r="G1" s="198">
        <f>C3</f>
        <v>18230625</v>
      </c>
      <c r="H1" s="198" t="str">
        <f>C4</f>
        <v>HomePrint - Electric</v>
      </c>
      <c r="I1" s="198"/>
    </row>
    <row r="2" spans="2:22" ht="16.5" customHeight="1" thickBot="1">
      <c r="B2" s="198" t="s">
        <v>109</v>
      </c>
      <c r="C2" s="199" t="s">
        <v>227</v>
      </c>
      <c r="G2" s="200" t="s">
        <v>8</v>
      </c>
      <c r="Q2" s="5133"/>
      <c r="R2" s="5133"/>
      <c r="S2" s="5124" t="s">
        <v>110</v>
      </c>
      <c r="T2" s="5125"/>
      <c r="U2" s="5126"/>
      <c r="V2" s="5118" t="s">
        <v>111</v>
      </c>
    </row>
    <row r="3" spans="2:22" ht="16.5" thickBot="1">
      <c r="B3" s="199" t="s">
        <v>6</v>
      </c>
      <c r="C3" s="199">
        <v>18230625</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228</v>
      </c>
      <c r="F4" s="198">
        <v>2011</v>
      </c>
      <c r="G4" s="206">
        <f>B13</f>
        <v>139521.48000000001</v>
      </c>
      <c r="H4" s="207">
        <f>B18</f>
        <v>23060.28</v>
      </c>
      <c r="I4" s="207">
        <f>B23</f>
        <v>102426.5</v>
      </c>
      <c r="J4" s="207">
        <f>B28</f>
        <v>66000</v>
      </c>
      <c r="K4" s="207">
        <f>B33</f>
        <v>16200</v>
      </c>
      <c r="L4" s="207">
        <f>B38</f>
        <v>0</v>
      </c>
      <c r="M4" s="207">
        <f>B43</f>
        <v>0</v>
      </c>
      <c r="N4" s="207">
        <f>B48</f>
        <v>26804.59</v>
      </c>
      <c r="O4" s="208">
        <f>B53</f>
        <v>958817.54</v>
      </c>
      <c r="P4" s="207">
        <f>B54</f>
        <v>0</v>
      </c>
      <c r="Q4" s="209">
        <f>B55</f>
        <v>1332830.3900000001</v>
      </c>
      <c r="R4" s="210">
        <f>T55</f>
        <v>0</v>
      </c>
      <c r="S4" s="211">
        <f>O4/Q4</f>
        <v>0.71938451223339828</v>
      </c>
      <c r="T4" s="211">
        <f>(J4+(H4*1.63))/Q4</f>
        <v>7.7720509058920834E-2</v>
      </c>
      <c r="U4" s="211">
        <f>L4/Q4</f>
        <v>0</v>
      </c>
      <c r="V4" s="212" t="e">
        <f>Q4/R4</f>
        <v>#DIV/0!</v>
      </c>
    </row>
    <row r="5" spans="2:22" ht="16.5" thickBot="1">
      <c r="B5" s="198" t="s">
        <v>33</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217" t="e">
        <f>O5/Q5</f>
        <v>#DIV/0!</v>
      </c>
      <c r="T5" s="217" t="e">
        <f>(J5+(H5*1.63))/Q5</f>
        <v>#DIV/0!</v>
      </c>
      <c r="U5" s="217" t="e">
        <f>L5/Q5</f>
        <v>#DIV/0!</v>
      </c>
      <c r="V5" s="218" t="e">
        <f>Q5/R5</f>
        <v>#DIV/0!</v>
      </c>
    </row>
    <row r="6" spans="2:22" s="3532" customFormat="1" ht="16.5" thickBot="1">
      <c r="B6" s="3536"/>
      <c r="D6" s="3533"/>
      <c r="F6" s="4249" t="s">
        <v>1168</v>
      </c>
      <c r="G6" s="4241">
        <v>200380.25</v>
      </c>
      <c r="H6" s="4242">
        <v>36900</v>
      </c>
      <c r="I6" s="4242">
        <v>149486.5575</v>
      </c>
      <c r="J6" s="4242">
        <v>66000</v>
      </c>
      <c r="K6" s="4242">
        <v>16200</v>
      </c>
      <c r="L6" s="4242">
        <v>0</v>
      </c>
      <c r="M6" s="4242">
        <v>0</v>
      </c>
      <c r="N6" s="4242">
        <v>40000</v>
      </c>
      <c r="O6" s="4242">
        <v>1292000</v>
      </c>
      <c r="P6" s="4242">
        <v>0</v>
      </c>
      <c r="Q6" s="4243">
        <v>1800966.8075000001</v>
      </c>
      <c r="R6" s="219">
        <v>4050000</v>
      </c>
      <c r="S6" s="217"/>
      <c r="T6" s="217"/>
      <c r="U6" s="217"/>
      <c r="V6" s="3498"/>
    </row>
    <row r="7" spans="2:22" ht="16.5" thickBot="1">
      <c r="C7" s="198" t="s">
        <v>229</v>
      </c>
      <c r="F7" s="4191" t="s">
        <v>1169</v>
      </c>
      <c r="G7" s="4192">
        <f>E13</f>
        <v>180000</v>
      </c>
      <c r="H7" s="4193">
        <f>E18</f>
        <v>61500</v>
      </c>
      <c r="I7" s="4193">
        <f>E23</f>
        <v>170740.5</v>
      </c>
      <c r="J7" s="4193">
        <f>E28</f>
        <v>193000</v>
      </c>
      <c r="K7" s="4193">
        <f>E33</f>
        <v>3000</v>
      </c>
      <c r="L7" s="4193">
        <f>E38</f>
        <v>0</v>
      </c>
      <c r="M7" s="4193">
        <f>E43</f>
        <v>0</v>
      </c>
      <c r="N7" s="4193">
        <f>E48</f>
        <v>2000</v>
      </c>
      <c r="O7" s="4193">
        <f>E53</f>
        <v>1228500</v>
      </c>
      <c r="P7" s="4193">
        <f>E54</f>
        <v>0</v>
      </c>
      <c r="Q7" s="4194">
        <f>SUM(G7:P7)</f>
        <v>1838740.5</v>
      </c>
      <c r="R7" s="4247">
        <f>Q55</f>
        <v>4081000</v>
      </c>
      <c r="S7" s="217">
        <f>O7/Q7</f>
        <v>0.66812037913996025</v>
      </c>
      <c r="T7" s="217">
        <f>(J7+(H7*1.63))/Q7</f>
        <v>0.15948144939430006</v>
      </c>
      <c r="U7" s="217">
        <f>L7/Q7</f>
        <v>0</v>
      </c>
      <c r="V7" s="218">
        <f>Q7/R7</f>
        <v>0.45056125949522174</v>
      </c>
    </row>
    <row r="8" spans="2:22" ht="16.5" thickBot="1">
      <c r="C8" s="220" t="s">
        <v>230</v>
      </c>
      <c r="F8" s="221" t="s">
        <v>1170</v>
      </c>
      <c r="G8" s="222">
        <f>SUM(G5+G7)</f>
        <v>180000</v>
      </c>
      <c r="H8" s="222">
        <f t="shared" ref="H8:R8" si="0">SUM(H5+H7)</f>
        <v>61500</v>
      </c>
      <c r="I8" s="222">
        <f t="shared" si="0"/>
        <v>170740.5</v>
      </c>
      <c r="J8" s="222">
        <f t="shared" si="0"/>
        <v>193000</v>
      </c>
      <c r="K8" s="222">
        <f t="shared" si="0"/>
        <v>3000</v>
      </c>
      <c r="L8" s="222">
        <f t="shared" si="0"/>
        <v>0</v>
      </c>
      <c r="M8" s="222">
        <f t="shared" si="0"/>
        <v>0</v>
      </c>
      <c r="N8" s="222">
        <f t="shared" si="0"/>
        <v>2000</v>
      </c>
      <c r="O8" s="222">
        <f t="shared" si="0"/>
        <v>1228500</v>
      </c>
      <c r="P8" s="222">
        <f t="shared" si="0"/>
        <v>0</v>
      </c>
      <c r="Q8" s="222">
        <f t="shared" si="0"/>
        <v>1838740.5</v>
      </c>
      <c r="R8" s="4246">
        <f t="shared" si="0"/>
        <v>4081000</v>
      </c>
      <c r="S8" s="217">
        <f>O8/Q8</f>
        <v>0.66812037913996025</v>
      </c>
      <c r="T8" s="217">
        <f>(J8+(H8*1.63))/Q8</f>
        <v>0.15948144939430006</v>
      </c>
      <c r="U8" s="217">
        <f>L8/Q8</f>
        <v>0</v>
      </c>
      <c r="V8" s="218">
        <f>Q8/R8</f>
        <v>0.45056125949522174</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35">
        <v>139521.48000000001</v>
      </c>
      <c r="C13" s="236" t="s">
        <v>138</v>
      </c>
      <c r="D13" s="237">
        <f>SUM(D14:D17)</f>
        <v>0</v>
      </c>
      <c r="E13" s="237">
        <f>SUM(E14:E17)</f>
        <v>180000</v>
      </c>
      <c r="F13" s="238">
        <f>D13+E13</f>
        <v>180000</v>
      </c>
      <c r="H13" s="132"/>
      <c r="I13" s="239" t="str">
        <f t="shared" ref="I13:I54" si="1">C63</f>
        <v>CFL bulbs -DI</v>
      </c>
      <c r="J13" s="240"/>
      <c r="K13" s="241"/>
      <c r="L13" s="242">
        <f t="shared" ref="L13:L54" si="2">D63</f>
        <v>23</v>
      </c>
      <c r="M13" s="243">
        <v>0</v>
      </c>
      <c r="N13" s="4439">
        <f>N14*18</f>
        <v>126000</v>
      </c>
      <c r="O13" s="244">
        <f>M13+N13</f>
        <v>126000</v>
      </c>
      <c r="P13" s="245">
        <f t="shared" ref="P13:R28" si="3">M13*$D63</f>
        <v>0</v>
      </c>
      <c r="Q13" s="245">
        <f t="shared" si="3"/>
        <v>2898000</v>
      </c>
      <c r="R13" s="246">
        <f t="shared" si="3"/>
        <v>2898000</v>
      </c>
      <c r="T13" s="4891"/>
    </row>
    <row r="14" spans="2:22">
      <c r="B14" s="247"/>
      <c r="C14" s="248" t="s">
        <v>139</v>
      </c>
      <c r="D14" s="249">
        <v>0</v>
      </c>
      <c r="E14" s="4447">
        <v>180000</v>
      </c>
      <c r="F14" s="249">
        <f>SUM(D14:E14)</f>
        <v>180000</v>
      </c>
      <c r="H14" s="132"/>
      <c r="I14" s="250" t="str">
        <f t="shared" si="1"/>
        <v>HomePrint Assessment</v>
      </c>
      <c r="J14" s="251"/>
      <c r="K14" s="252"/>
      <c r="L14" s="242">
        <f t="shared" si="2"/>
        <v>0</v>
      </c>
      <c r="M14" s="243">
        <v>0</v>
      </c>
      <c r="N14" s="4440">
        <v>7000</v>
      </c>
      <c r="O14" s="244">
        <f t="shared" ref="O14:O54" si="4">M14+N14</f>
        <v>7000</v>
      </c>
      <c r="P14" s="245">
        <f t="shared" si="3"/>
        <v>0</v>
      </c>
      <c r="Q14" s="245">
        <f t="shared" si="3"/>
        <v>0</v>
      </c>
      <c r="R14" s="246">
        <f t="shared" si="3"/>
        <v>0</v>
      </c>
      <c r="T14" s="4891"/>
    </row>
    <row r="15" spans="2:22">
      <c r="B15" s="254"/>
      <c r="C15" s="255" t="s">
        <v>140</v>
      </c>
      <c r="D15" s="256">
        <v>0</v>
      </c>
      <c r="E15" s="256"/>
      <c r="F15" s="249">
        <f t="shared" ref="F15:F25" si="5">SUM(D15:E15)</f>
        <v>0</v>
      </c>
      <c r="H15" s="132"/>
      <c r="I15" s="250" t="str">
        <f t="shared" si="1"/>
        <v>showerhead - leave behind</v>
      </c>
      <c r="J15" s="251"/>
      <c r="K15" s="252"/>
      <c r="L15" s="242">
        <f t="shared" si="2"/>
        <v>260</v>
      </c>
      <c r="M15" s="257">
        <v>0</v>
      </c>
      <c r="N15" s="4439">
        <f>N14*0.65</f>
        <v>4550</v>
      </c>
      <c r="O15" s="244">
        <f t="shared" si="4"/>
        <v>4550</v>
      </c>
      <c r="P15" s="245">
        <f t="shared" si="3"/>
        <v>0</v>
      </c>
      <c r="Q15" s="245">
        <f t="shared" si="3"/>
        <v>1183000</v>
      </c>
      <c r="R15" s="246">
        <f t="shared" si="3"/>
        <v>1183000</v>
      </c>
      <c r="T15" s="4891"/>
    </row>
    <row r="16" spans="2:22">
      <c r="B16" s="254"/>
      <c r="C16" s="255" t="s">
        <v>141</v>
      </c>
      <c r="D16" s="258">
        <v>0</v>
      </c>
      <c r="E16" s="258"/>
      <c r="F16" s="249">
        <f t="shared" si="5"/>
        <v>0</v>
      </c>
      <c r="H16" s="132"/>
      <c r="I16" s="250" t="str">
        <f t="shared" si="1"/>
        <v>Measure 4</v>
      </c>
      <c r="J16" s="251"/>
      <c r="K16" s="252"/>
      <c r="L16" s="242">
        <f t="shared" si="2"/>
        <v>0</v>
      </c>
      <c r="M16" s="257">
        <v>0</v>
      </c>
      <c r="N16" s="257">
        <v>0</v>
      </c>
      <c r="O16" s="244">
        <f t="shared" si="4"/>
        <v>0</v>
      </c>
      <c r="P16" s="245">
        <f t="shared" si="3"/>
        <v>0</v>
      </c>
      <c r="Q16" s="245">
        <f t="shared" si="3"/>
        <v>0</v>
      </c>
      <c r="R16" s="246">
        <f t="shared" si="3"/>
        <v>0</v>
      </c>
      <c r="T16" s="4891"/>
    </row>
    <row r="17" spans="2:20" ht="13.5" thickBot="1">
      <c r="B17" s="254"/>
      <c r="C17" s="255" t="s">
        <v>142</v>
      </c>
      <c r="D17" s="258">
        <v>0</v>
      </c>
      <c r="E17" s="258"/>
      <c r="F17" s="249">
        <f t="shared" si="5"/>
        <v>0</v>
      </c>
      <c r="H17" s="132"/>
      <c r="I17" s="250" t="str">
        <f t="shared" si="1"/>
        <v>Measure 5</v>
      </c>
      <c r="J17" s="251"/>
      <c r="K17" s="252"/>
      <c r="L17" s="242">
        <f t="shared" si="2"/>
        <v>0</v>
      </c>
      <c r="M17" s="257">
        <v>0</v>
      </c>
      <c r="N17" s="257">
        <v>0</v>
      </c>
      <c r="O17" s="244">
        <f t="shared" si="4"/>
        <v>0</v>
      </c>
      <c r="P17" s="245">
        <f t="shared" si="3"/>
        <v>0</v>
      </c>
      <c r="Q17" s="245">
        <f t="shared" si="3"/>
        <v>0</v>
      </c>
      <c r="R17" s="246">
        <f t="shared" si="3"/>
        <v>0</v>
      </c>
      <c r="T17" s="4891"/>
    </row>
    <row r="18" spans="2:20" ht="13.5" thickBot="1">
      <c r="B18" s="235">
        <v>23060.28</v>
      </c>
      <c r="C18" s="236" t="s">
        <v>143</v>
      </c>
      <c r="D18" s="237">
        <f>SUM(D19:D22)</f>
        <v>0</v>
      </c>
      <c r="E18" s="237">
        <f>SUM(E19:E22)</f>
        <v>61500</v>
      </c>
      <c r="F18" s="238">
        <f>D18+E18</f>
        <v>61500</v>
      </c>
      <c r="H18" s="132"/>
      <c r="I18" s="250" t="str">
        <f t="shared" si="1"/>
        <v>Measure 6</v>
      </c>
      <c r="J18" s="251"/>
      <c r="K18" s="252"/>
      <c r="L18" s="242">
        <f t="shared" si="2"/>
        <v>0</v>
      </c>
      <c r="M18" s="257">
        <v>0</v>
      </c>
      <c r="N18" s="257">
        <v>0</v>
      </c>
      <c r="O18" s="244">
        <f t="shared" si="4"/>
        <v>0</v>
      </c>
      <c r="P18" s="245">
        <f t="shared" si="3"/>
        <v>0</v>
      </c>
      <c r="Q18" s="245">
        <f t="shared" si="3"/>
        <v>0</v>
      </c>
      <c r="R18" s="246">
        <f t="shared" si="3"/>
        <v>0</v>
      </c>
      <c r="T18" s="4891"/>
    </row>
    <row r="19" spans="2:20">
      <c r="B19" s="247"/>
      <c r="C19" s="248" t="s">
        <v>139</v>
      </c>
      <c r="D19" s="249">
        <v>0</v>
      </c>
      <c r="E19" s="4447">
        <v>61500</v>
      </c>
      <c r="F19" s="249">
        <f t="shared" si="5"/>
        <v>61500</v>
      </c>
      <c r="H19" s="132"/>
      <c r="I19" s="250" t="str">
        <f t="shared" si="1"/>
        <v>Measure 7</v>
      </c>
      <c r="J19" s="251"/>
      <c r="K19" s="252"/>
      <c r="L19" s="242">
        <f t="shared" si="2"/>
        <v>0</v>
      </c>
      <c r="M19" s="257">
        <v>0</v>
      </c>
      <c r="N19" s="257">
        <v>0</v>
      </c>
      <c r="O19" s="244">
        <f t="shared" si="4"/>
        <v>0</v>
      </c>
      <c r="P19" s="245">
        <f t="shared" si="3"/>
        <v>0</v>
      </c>
      <c r="Q19" s="245">
        <f t="shared" si="3"/>
        <v>0</v>
      </c>
      <c r="R19" s="246">
        <f t="shared" si="3"/>
        <v>0</v>
      </c>
      <c r="T19" s="4891"/>
    </row>
    <row r="20" spans="2:20">
      <c r="B20" s="254"/>
      <c r="C20" s="255" t="s">
        <v>140</v>
      </c>
      <c r="D20" s="256">
        <v>0</v>
      </c>
      <c r="E20" s="256"/>
      <c r="F20" s="249">
        <f t="shared" si="5"/>
        <v>0</v>
      </c>
      <c r="H20" s="132"/>
      <c r="I20" s="250" t="str">
        <f t="shared" si="1"/>
        <v>Measure 8</v>
      </c>
      <c r="J20" s="251"/>
      <c r="K20" s="252"/>
      <c r="L20" s="242">
        <f t="shared" si="2"/>
        <v>0</v>
      </c>
      <c r="M20" s="257">
        <v>0</v>
      </c>
      <c r="N20" s="257">
        <v>0</v>
      </c>
      <c r="O20" s="244">
        <f t="shared" si="4"/>
        <v>0</v>
      </c>
      <c r="P20" s="245">
        <f t="shared" si="3"/>
        <v>0</v>
      </c>
      <c r="Q20" s="245">
        <f t="shared" si="3"/>
        <v>0</v>
      </c>
      <c r="R20" s="246">
        <f t="shared" si="3"/>
        <v>0</v>
      </c>
      <c r="T20" s="4891"/>
    </row>
    <row r="21" spans="2:20">
      <c r="B21" s="254"/>
      <c r="C21" s="255" t="s">
        <v>141</v>
      </c>
      <c r="D21" s="258">
        <v>0</v>
      </c>
      <c r="E21" s="258"/>
      <c r="F21" s="249">
        <f t="shared" si="5"/>
        <v>0</v>
      </c>
      <c r="H21" s="132"/>
      <c r="I21" s="250" t="str">
        <f t="shared" si="1"/>
        <v>Measure 9</v>
      </c>
      <c r="J21" s="251"/>
      <c r="K21" s="252"/>
      <c r="L21" s="242">
        <f t="shared" si="2"/>
        <v>0</v>
      </c>
      <c r="M21" s="257">
        <v>0</v>
      </c>
      <c r="N21" s="257">
        <v>0</v>
      </c>
      <c r="O21" s="244">
        <f t="shared" si="4"/>
        <v>0</v>
      </c>
      <c r="P21" s="245">
        <f t="shared" si="3"/>
        <v>0</v>
      </c>
      <c r="Q21" s="245">
        <f t="shared" si="3"/>
        <v>0</v>
      </c>
      <c r="R21" s="246">
        <f t="shared" si="3"/>
        <v>0</v>
      </c>
      <c r="T21" s="4891"/>
    </row>
    <row r="22" spans="2:20" ht="13.5" thickBot="1">
      <c r="B22" s="254"/>
      <c r="C22" s="255" t="s">
        <v>142</v>
      </c>
      <c r="D22" s="258">
        <v>0</v>
      </c>
      <c r="E22" s="258"/>
      <c r="F22" s="249">
        <f t="shared" si="5"/>
        <v>0</v>
      </c>
      <c r="H22" s="132"/>
      <c r="I22" s="250" t="str">
        <f t="shared" si="1"/>
        <v>Measure 10</v>
      </c>
      <c r="J22" s="251"/>
      <c r="K22" s="252"/>
      <c r="L22" s="242">
        <f t="shared" si="2"/>
        <v>0</v>
      </c>
      <c r="M22" s="257">
        <v>0</v>
      </c>
      <c r="N22" s="257">
        <v>0</v>
      </c>
      <c r="O22" s="244">
        <f t="shared" si="4"/>
        <v>0</v>
      </c>
      <c r="P22" s="245">
        <f t="shared" si="3"/>
        <v>0</v>
      </c>
      <c r="Q22" s="245">
        <f t="shared" si="3"/>
        <v>0</v>
      </c>
      <c r="R22" s="246">
        <f t="shared" si="3"/>
        <v>0</v>
      </c>
      <c r="T22" s="4891"/>
    </row>
    <row r="23" spans="2:20" ht="13.5" thickBot="1">
      <c r="B23" s="235">
        <v>102426.5</v>
      </c>
      <c r="C23" s="236" t="s">
        <v>144</v>
      </c>
      <c r="D23" s="237">
        <f>SUM(D24:D27)</f>
        <v>0</v>
      </c>
      <c r="E23" s="237">
        <f>SUM(E24:E27)</f>
        <v>170740.5</v>
      </c>
      <c r="F23" s="238">
        <f>D23+E23</f>
        <v>170740.5</v>
      </c>
      <c r="G23" s="53"/>
      <c r="H23" s="132"/>
      <c r="I23" s="250" t="str">
        <f t="shared" si="1"/>
        <v>Measure 11</v>
      </c>
      <c r="J23" s="251"/>
      <c r="K23" s="252"/>
      <c r="L23" s="242">
        <f t="shared" si="2"/>
        <v>0</v>
      </c>
      <c r="M23" s="257">
        <v>0</v>
      </c>
      <c r="N23" s="257">
        <v>0</v>
      </c>
      <c r="O23" s="244">
        <f t="shared" si="4"/>
        <v>0</v>
      </c>
      <c r="P23" s="245">
        <f t="shared" si="3"/>
        <v>0</v>
      </c>
      <c r="Q23" s="245">
        <f t="shared" si="3"/>
        <v>0</v>
      </c>
      <c r="R23" s="246">
        <f t="shared" si="3"/>
        <v>0</v>
      </c>
      <c r="T23" s="4891"/>
    </row>
    <row r="24" spans="2:20">
      <c r="B24" s="259"/>
      <c r="C24" s="3566" t="s">
        <v>1434</v>
      </c>
      <c r="D24" s="249">
        <v>0</v>
      </c>
      <c r="E24" s="249">
        <f>0.707*E13</f>
        <v>127260</v>
      </c>
      <c r="F24" s="249">
        <f t="shared" si="5"/>
        <v>127260</v>
      </c>
      <c r="H24" s="132"/>
      <c r="I24" s="250" t="str">
        <f t="shared" si="1"/>
        <v>Measure 12</v>
      </c>
      <c r="J24" s="251"/>
      <c r="K24" s="252"/>
      <c r="L24" s="242">
        <f t="shared" si="2"/>
        <v>0</v>
      </c>
      <c r="M24" s="257">
        <v>0</v>
      </c>
      <c r="N24" s="257">
        <v>0</v>
      </c>
      <c r="O24" s="244">
        <f t="shared" si="4"/>
        <v>0</v>
      </c>
      <c r="P24" s="245">
        <f t="shared" si="3"/>
        <v>0</v>
      </c>
      <c r="Q24" s="245">
        <f t="shared" si="3"/>
        <v>0</v>
      </c>
      <c r="R24" s="246">
        <f t="shared" si="3"/>
        <v>0</v>
      </c>
      <c r="T24" s="4891"/>
    </row>
    <row r="25" spans="2:20">
      <c r="B25" s="247"/>
      <c r="C25" s="3566" t="s">
        <v>1435</v>
      </c>
      <c r="D25" s="256">
        <v>0</v>
      </c>
      <c r="E25" s="256">
        <f>0.707*E18</f>
        <v>43480.5</v>
      </c>
      <c r="F25" s="249">
        <f t="shared" si="5"/>
        <v>43480.5</v>
      </c>
      <c r="H25" s="132"/>
      <c r="I25" s="250" t="str">
        <f t="shared" si="1"/>
        <v>Measure 13</v>
      </c>
      <c r="J25" s="251"/>
      <c r="K25" s="252"/>
      <c r="L25" s="242">
        <f t="shared" si="2"/>
        <v>0</v>
      </c>
      <c r="M25" s="257">
        <v>0</v>
      </c>
      <c r="N25" s="257">
        <v>0</v>
      </c>
      <c r="O25" s="244">
        <f t="shared" si="4"/>
        <v>0</v>
      </c>
      <c r="P25" s="245">
        <f t="shared" si="3"/>
        <v>0</v>
      </c>
      <c r="Q25" s="245">
        <f t="shared" si="3"/>
        <v>0</v>
      </c>
      <c r="R25" s="246">
        <f t="shared" si="3"/>
        <v>0</v>
      </c>
      <c r="T25" s="4891"/>
    </row>
    <row r="26" spans="2:20">
      <c r="B26" s="254"/>
      <c r="C26" s="255"/>
      <c r="D26" s="258"/>
      <c r="E26" s="258"/>
      <c r="F26" s="258"/>
      <c r="H26" s="132"/>
      <c r="I26" s="250" t="str">
        <f t="shared" si="1"/>
        <v>Measure 14</v>
      </c>
      <c r="J26" s="251"/>
      <c r="K26" s="252"/>
      <c r="L26" s="242">
        <f t="shared" si="2"/>
        <v>0</v>
      </c>
      <c r="M26" s="257">
        <v>0</v>
      </c>
      <c r="N26" s="257">
        <v>0</v>
      </c>
      <c r="O26" s="244">
        <f t="shared" si="4"/>
        <v>0</v>
      </c>
      <c r="P26" s="245">
        <f t="shared" si="3"/>
        <v>0</v>
      </c>
      <c r="Q26" s="245">
        <f t="shared" si="3"/>
        <v>0</v>
      </c>
      <c r="R26" s="246">
        <f t="shared" si="3"/>
        <v>0</v>
      </c>
      <c r="T26" s="4891"/>
    </row>
    <row r="27" spans="2:20" ht="13.5" thickBot="1">
      <c r="B27" s="254"/>
      <c r="C27" s="255"/>
      <c r="D27" s="258"/>
      <c r="E27" s="258"/>
      <c r="F27" s="258"/>
      <c r="H27" s="132"/>
      <c r="I27" s="250" t="str">
        <f t="shared" si="1"/>
        <v>Measure 15</v>
      </c>
      <c r="J27" s="251"/>
      <c r="K27" s="252"/>
      <c r="L27" s="242">
        <f t="shared" si="2"/>
        <v>0</v>
      </c>
      <c r="M27" s="257">
        <v>0</v>
      </c>
      <c r="N27" s="257">
        <v>0</v>
      </c>
      <c r="O27" s="244">
        <f t="shared" si="4"/>
        <v>0</v>
      </c>
      <c r="P27" s="245">
        <f t="shared" si="3"/>
        <v>0</v>
      </c>
      <c r="Q27" s="245">
        <f t="shared" si="3"/>
        <v>0</v>
      </c>
      <c r="R27" s="246">
        <f t="shared" si="3"/>
        <v>0</v>
      </c>
      <c r="T27" s="4891"/>
    </row>
    <row r="28" spans="2:20" ht="13.5" thickBot="1">
      <c r="B28" s="235">
        <v>66000</v>
      </c>
      <c r="C28" s="236" t="s">
        <v>145</v>
      </c>
      <c r="D28" s="237">
        <f>SUM(D29:D32)</f>
        <v>0</v>
      </c>
      <c r="E28" s="237">
        <f>SUM(E29:E32)</f>
        <v>193000</v>
      </c>
      <c r="F28" s="238">
        <f>D28+E28</f>
        <v>193000</v>
      </c>
      <c r="H28" s="132"/>
      <c r="I28" s="250" t="str">
        <f t="shared" si="1"/>
        <v>Measure 16</v>
      </c>
      <c r="J28" s="251"/>
      <c r="K28" s="252"/>
      <c r="L28" s="242">
        <f t="shared" si="2"/>
        <v>0</v>
      </c>
      <c r="M28" s="257">
        <v>0</v>
      </c>
      <c r="N28" s="257">
        <v>0</v>
      </c>
      <c r="O28" s="244">
        <f t="shared" si="4"/>
        <v>0</v>
      </c>
      <c r="P28" s="245">
        <f t="shared" si="3"/>
        <v>0</v>
      </c>
      <c r="Q28" s="245">
        <f t="shared" si="3"/>
        <v>0</v>
      </c>
      <c r="R28" s="246">
        <f t="shared" si="3"/>
        <v>0</v>
      </c>
      <c r="T28" s="4891"/>
    </row>
    <row r="29" spans="2:20">
      <c r="B29" s="247"/>
      <c r="C29" s="248" t="s">
        <v>139</v>
      </c>
      <c r="D29" s="249">
        <v>0</v>
      </c>
      <c r="E29" s="4447">
        <v>175000</v>
      </c>
      <c r="F29" s="249">
        <f t="shared" ref="F29:F37" si="6">SUM(D29:E29)</f>
        <v>175000</v>
      </c>
      <c r="H29" s="132"/>
      <c r="I29" s="250" t="str">
        <f t="shared" si="1"/>
        <v>Measure 17</v>
      </c>
      <c r="J29" s="251"/>
      <c r="K29" s="252"/>
      <c r="L29" s="242">
        <f t="shared" si="2"/>
        <v>0</v>
      </c>
      <c r="M29" s="257">
        <v>0</v>
      </c>
      <c r="N29" s="257">
        <v>0</v>
      </c>
      <c r="O29" s="244">
        <f t="shared" si="4"/>
        <v>0</v>
      </c>
      <c r="P29" s="245">
        <f t="shared" ref="P29:R44" si="7">M29*$D79</f>
        <v>0</v>
      </c>
      <c r="Q29" s="245">
        <f t="shared" si="7"/>
        <v>0</v>
      </c>
      <c r="R29" s="246">
        <f t="shared" si="7"/>
        <v>0</v>
      </c>
      <c r="T29" s="4891"/>
    </row>
    <row r="30" spans="2:20">
      <c r="B30" s="254"/>
      <c r="C30" s="4448" t="s">
        <v>1212</v>
      </c>
      <c r="D30" s="256">
        <v>0</v>
      </c>
      <c r="E30" s="4449">
        <v>18000</v>
      </c>
      <c r="F30" s="249">
        <f t="shared" si="6"/>
        <v>18000</v>
      </c>
      <c r="H30" s="132"/>
      <c r="I30" s="250" t="str">
        <f t="shared" si="1"/>
        <v>Measure 18</v>
      </c>
      <c r="J30" s="251"/>
      <c r="K30" s="252"/>
      <c r="L30" s="242">
        <f t="shared" si="2"/>
        <v>0</v>
      </c>
      <c r="M30" s="257">
        <v>0</v>
      </c>
      <c r="N30" s="257">
        <v>0</v>
      </c>
      <c r="O30" s="244">
        <f t="shared" si="4"/>
        <v>0</v>
      </c>
      <c r="P30" s="245">
        <f t="shared" si="7"/>
        <v>0</v>
      </c>
      <c r="Q30" s="245">
        <f t="shared" si="7"/>
        <v>0</v>
      </c>
      <c r="R30" s="246">
        <f t="shared" si="7"/>
        <v>0</v>
      </c>
      <c r="T30" s="4891"/>
    </row>
    <row r="31" spans="2:20">
      <c r="B31" s="254"/>
      <c r="C31" s="255" t="s">
        <v>141</v>
      </c>
      <c r="D31" s="256">
        <v>0</v>
      </c>
      <c r="E31" s="256"/>
      <c r="F31" s="249">
        <f t="shared" si="6"/>
        <v>0</v>
      </c>
      <c r="H31" s="132"/>
      <c r="I31" s="250" t="str">
        <f t="shared" si="1"/>
        <v>Measure 19</v>
      </c>
      <c r="J31" s="251"/>
      <c r="K31" s="252"/>
      <c r="L31" s="242">
        <f t="shared" si="2"/>
        <v>0</v>
      </c>
      <c r="M31" s="257">
        <v>0</v>
      </c>
      <c r="N31" s="257">
        <v>0</v>
      </c>
      <c r="O31" s="244">
        <f t="shared" si="4"/>
        <v>0</v>
      </c>
      <c r="P31" s="245">
        <f t="shared" si="7"/>
        <v>0</v>
      </c>
      <c r="Q31" s="245">
        <f t="shared" si="7"/>
        <v>0</v>
      </c>
      <c r="R31" s="246">
        <f t="shared" si="7"/>
        <v>0</v>
      </c>
      <c r="T31" s="4891"/>
    </row>
    <row r="32" spans="2:20" ht="13.5" thickBot="1">
      <c r="B32" s="254"/>
      <c r="C32" s="255" t="s">
        <v>142</v>
      </c>
      <c r="D32" s="256">
        <v>0</v>
      </c>
      <c r="E32" s="256"/>
      <c r="F32" s="249">
        <f t="shared" si="6"/>
        <v>0</v>
      </c>
      <c r="H32" s="132"/>
      <c r="I32" s="250" t="str">
        <f t="shared" si="1"/>
        <v>Measure 20</v>
      </c>
      <c r="J32" s="251"/>
      <c r="K32" s="252"/>
      <c r="L32" s="242">
        <f t="shared" si="2"/>
        <v>0</v>
      </c>
      <c r="M32" s="257">
        <v>0</v>
      </c>
      <c r="N32" s="257">
        <v>0</v>
      </c>
      <c r="O32" s="244">
        <f t="shared" si="4"/>
        <v>0</v>
      </c>
      <c r="P32" s="245">
        <f t="shared" si="7"/>
        <v>0</v>
      </c>
      <c r="Q32" s="245">
        <f t="shared" si="7"/>
        <v>0</v>
      </c>
      <c r="R32" s="246">
        <f t="shared" si="7"/>
        <v>0</v>
      </c>
      <c r="T32" s="4891"/>
    </row>
    <row r="33" spans="2:20" ht="13.5" thickBot="1">
      <c r="B33" s="235">
        <v>16200</v>
      </c>
      <c r="C33" s="236" t="s">
        <v>146</v>
      </c>
      <c r="D33" s="237">
        <f>SUM(D34:D37)</f>
        <v>0</v>
      </c>
      <c r="E33" s="237">
        <f>SUM(E34:E37)</f>
        <v>3000</v>
      </c>
      <c r="F33" s="238">
        <f>D33+E33</f>
        <v>3000</v>
      </c>
      <c r="H33" s="132"/>
      <c r="I33" s="250" t="str">
        <f t="shared" si="1"/>
        <v>Measure 21</v>
      </c>
      <c r="J33" s="251"/>
      <c r="K33" s="252"/>
      <c r="L33" s="242">
        <f t="shared" si="2"/>
        <v>0</v>
      </c>
      <c r="M33" s="257">
        <v>0</v>
      </c>
      <c r="N33" s="257">
        <v>0</v>
      </c>
      <c r="O33" s="244">
        <f t="shared" si="4"/>
        <v>0</v>
      </c>
      <c r="P33" s="245">
        <f t="shared" si="7"/>
        <v>0</v>
      </c>
      <c r="Q33" s="245">
        <f t="shared" si="7"/>
        <v>0</v>
      </c>
      <c r="R33" s="246">
        <f t="shared" si="7"/>
        <v>0</v>
      </c>
      <c r="T33" s="4891"/>
    </row>
    <row r="34" spans="2:20">
      <c r="B34" s="254"/>
      <c r="C34" s="255" t="s">
        <v>139</v>
      </c>
      <c r="D34" s="256">
        <v>0</v>
      </c>
      <c r="E34" s="4449">
        <v>3000</v>
      </c>
      <c r="F34" s="249">
        <f t="shared" si="6"/>
        <v>3000</v>
      </c>
      <c r="H34" s="132"/>
      <c r="I34" s="250" t="str">
        <f t="shared" si="1"/>
        <v>Measure 22</v>
      </c>
      <c r="J34" s="251"/>
      <c r="K34" s="252"/>
      <c r="L34" s="242">
        <f t="shared" si="2"/>
        <v>0</v>
      </c>
      <c r="M34" s="257">
        <v>0</v>
      </c>
      <c r="N34" s="257">
        <v>0</v>
      </c>
      <c r="O34" s="244">
        <f t="shared" si="4"/>
        <v>0</v>
      </c>
      <c r="P34" s="245">
        <f t="shared" si="7"/>
        <v>0</v>
      </c>
      <c r="Q34" s="245">
        <f t="shared" si="7"/>
        <v>0</v>
      </c>
      <c r="R34" s="246">
        <f t="shared" si="7"/>
        <v>0</v>
      </c>
      <c r="T34" s="4891"/>
    </row>
    <row r="35" spans="2:20">
      <c r="B35" s="254"/>
      <c r="C35" s="255" t="s">
        <v>140</v>
      </c>
      <c r="D35" s="256">
        <v>0</v>
      </c>
      <c r="E35" s="256"/>
      <c r="F35" s="249">
        <f t="shared" si="6"/>
        <v>0</v>
      </c>
      <c r="H35" s="132"/>
      <c r="I35" s="250" t="str">
        <f t="shared" si="1"/>
        <v>Measure 23</v>
      </c>
      <c r="J35" s="251"/>
      <c r="K35" s="252"/>
      <c r="L35" s="242">
        <f t="shared" si="2"/>
        <v>0</v>
      </c>
      <c r="M35" s="257">
        <v>0</v>
      </c>
      <c r="N35" s="257">
        <v>0</v>
      </c>
      <c r="O35" s="244">
        <f t="shared" si="4"/>
        <v>0</v>
      </c>
      <c r="P35" s="245">
        <f t="shared" si="7"/>
        <v>0</v>
      </c>
      <c r="Q35" s="245">
        <f t="shared" si="7"/>
        <v>0</v>
      </c>
      <c r="R35" s="246">
        <f t="shared" si="7"/>
        <v>0</v>
      </c>
      <c r="T35" s="4891"/>
    </row>
    <row r="36" spans="2:20">
      <c r="B36" s="254"/>
      <c r="C36" s="255" t="s">
        <v>141</v>
      </c>
      <c r="D36" s="256">
        <v>0</v>
      </c>
      <c r="E36" s="256"/>
      <c r="F36" s="249">
        <f t="shared" si="6"/>
        <v>0</v>
      </c>
      <c r="H36" s="132"/>
      <c r="I36" s="250" t="str">
        <f t="shared" si="1"/>
        <v>Measure 24</v>
      </c>
      <c r="J36" s="251"/>
      <c r="K36" s="252"/>
      <c r="L36" s="242">
        <f t="shared" si="2"/>
        <v>0</v>
      </c>
      <c r="M36" s="257">
        <v>0</v>
      </c>
      <c r="N36" s="257">
        <v>0</v>
      </c>
      <c r="O36" s="244">
        <f t="shared" si="4"/>
        <v>0</v>
      </c>
      <c r="P36" s="245">
        <f t="shared" si="7"/>
        <v>0</v>
      </c>
      <c r="Q36" s="245">
        <f t="shared" si="7"/>
        <v>0</v>
      </c>
      <c r="R36" s="246">
        <f t="shared" si="7"/>
        <v>0</v>
      </c>
      <c r="T36" s="4891"/>
    </row>
    <row r="37" spans="2:20" ht="13.5" thickBot="1">
      <c r="B37" s="254"/>
      <c r="C37" s="255" t="s">
        <v>142</v>
      </c>
      <c r="D37" s="256">
        <v>0</v>
      </c>
      <c r="E37" s="256"/>
      <c r="F37" s="249">
        <f t="shared" si="6"/>
        <v>0</v>
      </c>
      <c r="H37" s="132"/>
      <c r="I37" s="250" t="str">
        <f t="shared" si="1"/>
        <v>Measure 25</v>
      </c>
      <c r="J37" s="251"/>
      <c r="K37" s="252"/>
      <c r="L37" s="242">
        <f t="shared" si="2"/>
        <v>0</v>
      </c>
      <c r="M37" s="257">
        <v>0</v>
      </c>
      <c r="N37" s="257">
        <v>0</v>
      </c>
      <c r="O37" s="244">
        <f t="shared" si="4"/>
        <v>0</v>
      </c>
      <c r="P37" s="245">
        <f t="shared" si="7"/>
        <v>0</v>
      </c>
      <c r="Q37" s="245">
        <f t="shared" si="7"/>
        <v>0</v>
      </c>
      <c r="R37" s="246">
        <f t="shared" si="7"/>
        <v>0</v>
      </c>
      <c r="T37" s="4891"/>
    </row>
    <row r="38" spans="2:20" ht="13.5" thickBot="1">
      <c r="B38" s="235">
        <v>0</v>
      </c>
      <c r="C38" s="236" t="s">
        <v>147</v>
      </c>
      <c r="D38" s="237">
        <f>SUM(D39:D42)</f>
        <v>0</v>
      </c>
      <c r="E38" s="237">
        <f>SUM(E39:E42)</f>
        <v>0</v>
      </c>
      <c r="F38" s="238">
        <f>D38+E38</f>
        <v>0</v>
      </c>
      <c r="H38" s="132"/>
      <c r="I38" s="250" t="str">
        <f t="shared" si="1"/>
        <v>Measure 26</v>
      </c>
      <c r="J38" s="251"/>
      <c r="K38" s="260"/>
      <c r="L38" s="242">
        <f t="shared" si="2"/>
        <v>0</v>
      </c>
      <c r="M38" s="257">
        <v>0</v>
      </c>
      <c r="N38" s="257">
        <v>0</v>
      </c>
      <c r="O38" s="244">
        <f t="shared" si="4"/>
        <v>0</v>
      </c>
      <c r="P38" s="245">
        <f t="shared" si="7"/>
        <v>0</v>
      </c>
      <c r="Q38" s="245">
        <f t="shared" si="7"/>
        <v>0</v>
      </c>
      <c r="R38" s="246">
        <f t="shared" si="7"/>
        <v>0</v>
      </c>
      <c r="T38" s="4891"/>
    </row>
    <row r="39" spans="2:20">
      <c r="B39" s="254"/>
      <c r="C39" s="255" t="s">
        <v>139</v>
      </c>
      <c r="D39" s="256">
        <v>0</v>
      </c>
      <c r="E39" s="256"/>
      <c r="F39" s="249">
        <f t="shared" ref="F39:F52" si="8">SUM(D39:E39)</f>
        <v>0</v>
      </c>
      <c r="H39" s="132"/>
      <c r="I39" s="250" t="str">
        <f t="shared" si="1"/>
        <v>Measure 27</v>
      </c>
      <c r="J39" s="251"/>
      <c r="K39" s="260"/>
      <c r="L39" s="242">
        <f t="shared" si="2"/>
        <v>0</v>
      </c>
      <c r="M39" s="257">
        <v>0</v>
      </c>
      <c r="N39" s="257">
        <v>0</v>
      </c>
      <c r="O39" s="244">
        <f t="shared" si="4"/>
        <v>0</v>
      </c>
      <c r="P39" s="245">
        <f t="shared" si="7"/>
        <v>0</v>
      </c>
      <c r="Q39" s="245">
        <f t="shared" si="7"/>
        <v>0</v>
      </c>
      <c r="R39" s="246">
        <f t="shared" si="7"/>
        <v>0</v>
      </c>
      <c r="T39" s="4891"/>
    </row>
    <row r="40" spans="2:20">
      <c r="B40" s="254"/>
      <c r="C40" s="255" t="s">
        <v>140</v>
      </c>
      <c r="D40" s="256">
        <v>0</v>
      </c>
      <c r="E40" s="256"/>
      <c r="F40" s="249">
        <f t="shared" si="8"/>
        <v>0</v>
      </c>
      <c r="H40" s="132"/>
      <c r="I40" s="250" t="str">
        <f t="shared" si="1"/>
        <v>Measure 28</v>
      </c>
      <c r="J40" s="251"/>
      <c r="K40" s="260"/>
      <c r="L40" s="242">
        <f t="shared" si="2"/>
        <v>0</v>
      </c>
      <c r="M40" s="257">
        <v>0</v>
      </c>
      <c r="N40" s="257">
        <v>0</v>
      </c>
      <c r="O40" s="244">
        <f t="shared" si="4"/>
        <v>0</v>
      </c>
      <c r="P40" s="245">
        <f t="shared" si="7"/>
        <v>0</v>
      </c>
      <c r="Q40" s="245">
        <f t="shared" si="7"/>
        <v>0</v>
      </c>
      <c r="R40" s="246">
        <f t="shared" si="7"/>
        <v>0</v>
      </c>
      <c r="T40" s="4891"/>
    </row>
    <row r="41" spans="2:20">
      <c r="B41" s="254"/>
      <c r="C41" s="255" t="s">
        <v>141</v>
      </c>
      <c r="D41" s="256">
        <v>0</v>
      </c>
      <c r="E41" s="256"/>
      <c r="F41" s="249">
        <f t="shared" si="8"/>
        <v>0</v>
      </c>
      <c r="H41" s="132"/>
      <c r="I41" s="250" t="str">
        <f t="shared" si="1"/>
        <v>Measure 29</v>
      </c>
      <c r="J41" s="251"/>
      <c r="K41" s="260"/>
      <c r="L41" s="242">
        <f t="shared" si="2"/>
        <v>0</v>
      </c>
      <c r="M41" s="257">
        <v>0</v>
      </c>
      <c r="N41" s="257">
        <v>0</v>
      </c>
      <c r="O41" s="244">
        <f t="shared" si="4"/>
        <v>0</v>
      </c>
      <c r="P41" s="245">
        <f t="shared" si="7"/>
        <v>0</v>
      </c>
      <c r="Q41" s="245">
        <f t="shared" si="7"/>
        <v>0</v>
      </c>
      <c r="R41" s="246">
        <f t="shared" si="7"/>
        <v>0</v>
      </c>
      <c r="T41" s="4891"/>
    </row>
    <row r="42" spans="2:20" ht="13.5" thickBot="1">
      <c r="B42" s="254"/>
      <c r="C42" s="255" t="s">
        <v>142</v>
      </c>
      <c r="D42" s="256">
        <v>0</v>
      </c>
      <c r="E42" s="256"/>
      <c r="F42" s="249">
        <f t="shared" si="8"/>
        <v>0</v>
      </c>
      <c r="H42" s="132"/>
      <c r="I42" s="250" t="str">
        <f t="shared" si="1"/>
        <v>Measure 30</v>
      </c>
      <c r="J42" s="251"/>
      <c r="K42" s="260"/>
      <c r="L42" s="242">
        <f t="shared" si="2"/>
        <v>0</v>
      </c>
      <c r="M42" s="257">
        <v>0</v>
      </c>
      <c r="N42" s="257">
        <v>0</v>
      </c>
      <c r="O42" s="244">
        <f t="shared" si="4"/>
        <v>0</v>
      </c>
      <c r="P42" s="245">
        <f t="shared" si="7"/>
        <v>0</v>
      </c>
      <c r="Q42" s="245">
        <f t="shared" si="7"/>
        <v>0</v>
      </c>
      <c r="R42" s="246">
        <f t="shared" si="7"/>
        <v>0</v>
      </c>
      <c r="T42" s="4891"/>
    </row>
    <row r="43" spans="2:20" ht="13.5" thickBot="1">
      <c r="B43" s="235">
        <v>0</v>
      </c>
      <c r="C43" s="236" t="s">
        <v>148</v>
      </c>
      <c r="D43" s="237">
        <f>SUM(D44:D47)</f>
        <v>0</v>
      </c>
      <c r="E43" s="237">
        <f>SUM(E44:E47)</f>
        <v>0</v>
      </c>
      <c r="F43" s="238">
        <f>D43+E43</f>
        <v>0</v>
      </c>
      <c r="H43" s="132"/>
      <c r="I43" s="250" t="str">
        <f t="shared" si="1"/>
        <v>Measure 31</v>
      </c>
      <c r="J43" s="251"/>
      <c r="K43" s="260"/>
      <c r="L43" s="242">
        <f t="shared" si="2"/>
        <v>0</v>
      </c>
      <c r="M43" s="257">
        <v>0</v>
      </c>
      <c r="N43" s="257">
        <v>0</v>
      </c>
      <c r="O43" s="244">
        <f t="shared" si="4"/>
        <v>0</v>
      </c>
      <c r="P43" s="245">
        <f t="shared" si="7"/>
        <v>0</v>
      </c>
      <c r="Q43" s="245">
        <f t="shared" si="7"/>
        <v>0</v>
      </c>
      <c r="R43" s="246">
        <f t="shared" si="7"/>
        <v>0</v>
      </c>
      <c r="T43" s="4891"/>
    </row>
    <row r="44" spans="2:20">
      <c r="B44" s="254"/>
      <c r="C44" s="255" t="s">
        <v>139</v>
      </c>
      <c r="D44" s="256">
        <v>0</v>
      </c>
      <c r="E44" s="256"/>
      <c r="F44" s="249">
        <f t="shared" si="8"/>
        <v>0</v>
      </c>
      <c r="H44" s="132"/>
      <c r="I44" s="250" t="str">
        <f t="shared" si="1"/>
        <v>Measure 32</v>
      </c>
      <c r="J44" s="251"/>
      <c r="K44" s="260"/>
      <c r="L44" s="242">
        <f t="shared" si="2"/>
        <v>0</v>
      </c>
      <c r="M44" s="257">
        <v>0</v>
      </c>
      <c r="N44" s="257">
        <v>0</v>
      </c>
      <c r="O44" s="244">
        <f t="shared" si="4"/>
        <v>0</v>
      </c>
      <c r="P44" s="245">
        <f t="shared" si="7"/>
        <v>0</v>
      </c>
      <c r="Q44" s="245">
        <f t="shared" si="7"/>
        <v>0</v>
      </c>
      <c r="R44" s="246">
        <f t="shared" si="7"/>
        <v>0</v>
      </c>
      <c r="T44" s="4891"/>
    </row>
    <row r="45" spans="2:20">
      <c r="B45" s="254"/>
      <c r="C45" s="255" t="s">
        <v>140</v>
      </c>
      <c r="D45" s="256">
        <v>0</v>
      </c>
      <c r="E45" s="256"/>
      <c r="F45" s="249">
        <f t="shared" si="8"/>
        <v>0</v>
      </c>
      <c r="H45" s="132"/>
      <c r="I45" s="250" t="str">
        <f t="shared" si="1"/>
        <v>Measure 33</v>
      </c>
      <c r="J45" s="251"/>
      <c r="K45" s="260"/>
      <c r="L45" s="242">
        <f t="shared" si="2"/>
        <v>0</v>
      </c>
      <c r="M45" s="257">
        <v>0</v>
      </c>
      <c r="N45" s="257">
        <v>0</v>
      </c>
      <c r="O45" s="244">
        <f t="shared" si="4"/>
        <v>0</v>
      </c>
      <c r="P45" s="245">
        <f t="shared" ref="P45:R54" si="9">M45*$D95</f>
        <v>0</v>
      </c>
      <c r="Q45" s="245">
        <f t="shared" si="9"/>
        <v>0</v>
      </c>
      <c r="R45" s="246">
        <f t="shared" si="9"/>
        <v>0</v>
      </c>
      <c r="T45" s="4891"/>
    </row>
    <row r="46" spans="2:20">
      <c r="B46" s="254"/>
      <c r="C46" s="255" t="s">
        <v>141</v>
      </c>
      <c r="D46" s="256">
        <v>0</v>
      </c>
      <c r="E46" s="256"/>
      <c r="F46" s="249">
        <f t="shared" si="8"/>
        <v>0</v>
      </c>
      <c r="H46" s="132"/>
      <c r="I46" s="250" t="str">
        <f t="shared" si="1"/>
        <v>Measure 34</v>
      </c>
      <c r="J46" s="251"/>
      <c r="K46" s="260"/>
      <c r="L46" s="242">
        <f t="shared" si="2"/>
        <v>0</v>
      </c>
      <c r="M46" s="257">
        <v>0</v>
      </c>
      <c r="N46" s="257">
        <v>0</v>
      </c>
      <c r="O46" s="244">
        <f t="shared" si="4"/>
        <v>0</v>
      </c>
      <c r="P46" s="245">
        <f t="shared" si="9"/>
        <v>0</v>
      </c>
      <c r="Q46" s="245">
        <f t="shared" si="9"/>
        <v>0</v>
      </c>
      <c r="R46" s="246">
        <f t="shared" si="9"/>
        <v>0</v>
      </c>
      <c r="T46" s="4891"/>
    </row>
    <row r="47" spans="2:20" ht="13.5" thickBot="1">
      <c r="B47" s="254"/>
      <c r="C47" s="255" t="s">
        <v>142</v>
      </c>
      <c r="D47" s="256">
        <v>0</v>
      </c>
      <c r="E47" s="256"/>
      <c r="F47" s="249">
        <f t="shared" si="8"/>
        <v>0</v>
      </c>
      <c r="H47" s="132"/>
      <c r="I47" s="250" t="str">
        <f t="shared" si="1"/>
        <v>Measure 35</v>
      </c>
      <c r="J47" s="251"/>
      <c r="K47" s="260"/>
      <c r="L47" s="242">
        <f t="shared" si="2"/>
        <v>0</v>
      </c>
      <c r="M47" s="257">
        <v>0</v>
      </c>
      <c r="N47" s="257">
        <v>0</v>
      </c>
      <c r="O47" s="244">
        <f t="shared" si="4"/>
        <v>0</v>
      </c>
      <c r="P47" s="245">
        <f t="shared" si="9"/>
        <v>0</v>
      </c>
      <c r="Q47" s="245">
        <f t="shared" si="9"/>
        <v>0</v>
      </c>
      <c r="R47" s="246">
        <f t="shared" si="9"/>
        <v>0</v>
      </c>
      <c r="T47" s="4891"/>
    </row>
    <row r="48" spans="2:20" ht="13.5" thickBot="1">
      <c r="B48" s="235">
        <v>26804.59</v>
      </c>
      <c r="C48" s="236" t="s">
        <v>149</v>
      </c>
      <c r="D48" s="237">
        <f>SUM(D49:D52)</f>
        <v>0</v>
      </c>
      <c r="E48" s="237">
        <f>SUM(E49:E52)</f>
        <v>2000</v>
      </c>
      <c r="F48" s="238">
        <f>D48+E48</f>
        <v>2000</v>
      </c>
      <c r="H48" s="132"/>
      <c r="I48" s="250" t="str">
        <f t="shared" si="1"/>
        <v>Measure 36</v>
      </c>
      <c r="J48" s="251"/>
      <c r="K48" s="260"/>
      <c r="L48" s="242">
        <f t="shared" si="2"/>
        <v>0</v>
      </c>
      <c r="M48" s="257">
        <v>0</v>
      </c>
      <c r="N48" s="257">
        <v>0</v>
      </c>
      <c r="O48" s="244">
        <f t="shared" si="4"/>
        <v>0</v>
      </c>
      <c r="P48" s="245">
        <f t="shared" si="9"/>
        <v>0</v>
      </c>
      <c r="Q48" s="245">
        <f t="shared" si="9"/>
        <v>0</v>
      </c>
      <c r="R48" s="246">
        <f t="shared" si="9"/>
        <v>0</v>
      </c>
      <c r="T48" s="4891"/>
    </row>
    <row r="49" spans="2:25">
      <c r="B49" s="254"/>
      <c r="C49" s="255" t="s">
        <v>139</v>
      </c>
      <c r="D49" s="256">
        <f>M14*5</f>
        <v>0</v>
      </c>
      <c r="E49" s="4449">
        <v>2000</v>
      </c>
      <c r="F49" s="249">
        <f t="shared" si="8"/>
        <v>2000</v>
      </c>
      <c r="H49" s="132"/>
      <c r="I49" s="250" t="str">
        <f t="shared" si="1"/>
        <v>Measure 37</v>
      </c>
      <c r="J49" s="251"/>
      <c r="K49" s="260"/>
      <c r="L49" s="242">
        <f t="shared" si="2"/>
        <v>0</v>
      </c>
      <c r="M49" s="257">
        <v>0</v>
      </c>
      <c r="N49" s="257">
        <v>0</v>
      </c>
      <c r="O49" s="244">
        <f t="shared" si="4"/>
        <v>0</v>
      </c>
      <c r="P49" s="245">
        <f t="shared" si="9"/>
        <v>0</v>
      </c>
      <c r="Q49" s="245">
        <f t="shared" si="9"/>
        <v>0</v>
      </c>
      <c r="R49" s="246">
        <f t="shared" si="9"/>
        <v>0</v>
      </c>
      <c r="T49" s="4891"/>
    </row>
    <row r="50" spans="2:25">
      <c r="B50" s="254"/>
      <c r="C50" s="255" t="s">
        <v>140</v>
      </c>
      <c r="D50" s="256">
        <v>0</v>
      </c>
      <c r="E50" s="256"/>
      <c r="F50" s="249">
        <f t="shared" si="8"/>
        <v>0</v>
      </c>
      <c r="I50" s="250" t="str">
        <f t="shared" si="1"/>
        <v>Measure 38</v>
      </c>
      <c r="J50" s="251"/>
      <c r="K50" s="252"/>
      <c r="L50" s="242">
        <f t="shared" si="2"/>
        <v>0</v>
      </c>
      <c r="M50" s="257">
        <v>0</v>
      </c>
      <c r="N50" s="257">
        <v>0</v>
      </c>
      <c r="O50" s="244">
        <f t="shared" si="4"/>
        <v>0</v>
      </c>
      <c r="P50" s="245">
        <f t="shared" si="9"/>
        <v>0</v>
      </c>
      <c r="Q50" s="245">
        <f t="shared" si="9"/>
        <v>0</v>
      </c>
      <c r="R50" s="246">
        <f t="shared" si="9"/>
        <v>0</v>
      </c>
      <c r="T50" s="4891"/>
    </row>
    <row r="51" spans="2:25">
      <c r="B51" s="254"/>
      <c r="C51" s="255" t="s">
        <v>141</v>
      </c>
      <c r="D51" s="256">
        <v>0</v>
      </c>
      <c r="E51" s="256"/>
      <c r="F51" s="249">
        <f t="shared" si="8"/>
        <v>0</v>
      </c>
      <c r="I51" s="250" t="str">
        <f t="shared" si="1"/>
        <v>Measure 39</v>
      </c>
      <c r="J51" s="251"/>
      <c r="K51" s="252"/>
      <c r="L51" s="242">
        <f t="shared" si="2"/>
        <v>0</v>
      </c>
      <c r="M51" s="257">
        <v>0</v>
      </c>
      <c r="N51" s="257">
        <v>0</v>
      </c>
      <c r="O51" s="244">
        <f t="shared" si="4"/>
        <v>0</v>
      </c>
      <c r="P51" s="245">
        <f t="shared" si="9"/>
        <v>0</v>
      </c>
      <c r="Q51" s="245">
        <f t="shared" si="9"/>
        <v>0</v>
      </c>
      <c r="R51" s="246">
        <f t="shared" si="9"/>
        <v>0</v>
      </c>
      <c r="T51" s="4891"/>
    </row>
    <row r="52" spans="2:25" ht="13.5" thickBot="1">
      <c r="B52" s="254"/>
      <c r="C52" s="255" t="s">
        <v>142</v>
      </c>
      <c r="D52" s="256">
        <v>0</v>
      </c>
      <c r="E52" s="256"/>
      <c r="F52" s="249">
        <f t="shared" si="8"/>
        <v>0</v>
      </c>
      <c r="I52" s="250" t="str">
        <f t="shared" si="1"/>
        <v>Measure 40</v>
      </c>
      <c r="J52" s="251"/>
      <c r="K52" s="252"/>
      <c r="L52" s="242">
        <f t="shared" si="2"/>
        <v>0</v>
      </c>
      <c r="M52" s="257">
        <v>0</v>
      </c>
      <c r="N52" s="257">
        <v>0</v>
      </c>
      <c r="O52" s="244">
        <f t="shared" si="4"/>
        <v>0</v>
      </c>
      <c r="P52" s="245">
        <f t="shared" si="9"/>
        <v>0</v>
      </c>
      <c r="Q52" s="245">
        <f t="shared" si="9"/>
        <v>0</v>
      </c>
      <c r="R52" s="246">
        <f t="shared" si="9"/>
        <v>0</v>
      </c>
      <c r="T52" s="4891"/>
    </row>
    <row r="53" spans="2:25" ht="13.5" thickBot="1">
      <c r="B53" s="235">
        <v>958817.54</v>
      </c>
      <c r="C53" s="236" t="s">
        <v>150</v>
      </c>
      <c r="D53" s="237">
        <f>T105</f>
        <v>0</v>
      </c>
      <c r="E53" s="237">
        <f>U105</f>
        <v>1228500</v>
      </c>
      <c r="F53" s="238">
        <f>V105</f>
        <v>1228500</v>
      </c>
      <c r="G53" s="261" t="s">
        <v>151</v>
      </c>
      <c r="I53" s="250" t="str">
        <f t="shared" si="1"/>
        <v>Measure 41</v>
      </c>
      <c r="J53" s="251"/>
      <c r="K53" s="252"/>
      <c r="L53" s="242">
        <f t="shared" si="2"/>
        <v>0</v>
      </c>
      <c r="M53" s="257">
        <v>0</v>
      </c>
      <c r="N53" s="257">
        <v>0</v>
      </c>
      <c r="O53" s="244">
        <f t="shared" si="4"/>
        <v>0</v>
      </c>
      <c r="P53" s="245">
        <f t="shared" si="9"/>
        <v>0</v>
      </c>
      <c r="Q53" s="245">
        <f t="shared" si="9"/>
        <v>0</v>
      </c>
      <c r="R53" s="246">
        <f t="shared" si="9"/>
        <v>0</v>
      </c>
      <c r="T53" s="4891"/>
    </row>
    <row r="54" spans="2:25" ht="13.5" thickBot="1">
      <c r="B54" s="262">
        <v>0</v>
      </c>
      <c r="C54" s="236" t="s">
        <v>152</v>
      </c>
      <c r="D54" s="237">
        <v>0</v>
      </c>
      <c r="E54" s="237">
        <v>0</v>
      </c>
      <c r="F54" s="238">
        <v>0</v>
      </c>
      <c r="I54" s="250" t="str">
        <f t="shared" si="1"/>
        <v>Measure 42</v>
      </c>
      <c r="J54" s="251"/>
      <c r="K54" s="252"/>
      <c r="L54" s="242">
        <f t="shared" si="2"/>
        <v>0</v>
      </c>
      <c r="M54" s="257">
        <v>0</v>
      </c>
      <c r="N54" s="257">
        <v>0</v>
      </c>
      <c r="O54" s="244">
        <f t="shared" si="4"/>
        <v>0</v>
      </c>
      <c r="P54" s="245">
        <f t="shared" si="9"/>
        <v>0</v>
      </c>
      <c r="Q54" s="245">
        <f t="shared" si="9"/>
        <v>0</v>
      </c>
      <c r="R54" s="246">
        <f t="shared" si="9"/>
        <v>0</v>
      </c>
      <c r="T54" s="4891"/>
    </row>
    <row r="55" spans="2:25">
      <c r="B55" s="263">
        <f>B13+B18+B23+B28+B33+B38+B43+B48+B53+B54</f>
        <v>1332830.3900000001</v>
      </c>
      <c r="C55" s="264" t="s">
        <v>153</v>
      </c>
      <c r="D55" s="263">
        <f>D13+D18+D23+D28+D33+D38+D43+D48+D53+D54</f>
        <v>0</v>
      </c>
      <c r="E55" s="263">
        <f>E13+E18+E23+E28+E33+E38+E43+E48+E53+E54</f>
        <v>1838740.5</v>
      </c>
      <c r="F55" s="263">
        <f>F13+F18+F23+F28+F33+F38+F43+F48+F53+F54</f>
        <v>1838740.5</v>
      </c>
      <c r="P55" s="265">
        <f>SUM(P13:P54)</f>
        <v>0</v>
      </c>
      <c r="Q55" s="265">
        <f>SUM(Q13:Q54)</f>
        <v>4081000</v>
      </c>
      <c r="R55" s="265">
        <f>SUM(R13:R54)</f>
        <v>4081000</v>
      </c>
      <c r="T55" s="4892"/>
    </row>
    <row r="56" spans="2:25">
      <c r="C56" s="264"/>
      <c r="D56" s="263"/>
      <c r="E56" s="263"/>
      <c r="F56" s="263"/>
    </row>
    <row r="57" spans="2:25">
      <c r="C57" s="264" t="s">
        <v>154</v>
      </c>
      <c r="D57" s="263">
        <f>D55-D53</f>
        <v>0</v>
      </c>
      <c r="E57" s="263">
        <f>E55-E53</f>
        <v>610240.5</v>
      </c>
      <c r="F57" s="263">
        <f>F55-F53</f>
        <v>610240.5</v>
      </c>
    </row>
    <row r="58" spans="2:25">
      <c r="C58" s="264" t="s">
        <v>155</v>
      </c>
      <c r="D58" s="266">
        <f>D53</f>
        <v>0</v>
      </c>
      <c r="E58" s="266">
        <f>E53</f>
        <v>1228500</v>
      </c>
      <c r="F58" s="266">
        <f>F53</f>
        <v>1228500</v>
      </c>
      <c r="G58" s="267">
        <f>F58/(F57+F58)</f>
        <v>0.66812037913996025</v>
      </c>
      <c r="H58" s="268" t="s">
        <v>156</v>
      </c>
    </row>
    <row r="59" spans="2:25" ht="13.5" thickBot="1"/>
    <row r="60" spans="2:25" ht="16.5" thickBot="1">
      <c r="B60" s="269" t="s">
        <v>157</v>
      </c>
      <c r="C60" s="270"/>
      <c r="D60" s="5130" t="s">
        <v>158</v>
      </c>
      <c r="E60" s="5131"/>
      <c r="F60" s="5131"/>
      <c r="G60" s="5131"/>
      <c r="H60" s="5131"/>
      <c r="K60" s="271"/>
    </row>
    <row r="61" spans="2:25"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5"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row>
    <row r="63" spans="2:25">
      <c r="B63" s="314">
        <v>554</v>
      </c>
      <c r="C63" s="314" t="s">
        <v>180</v>
      </c>
      <c r="D63" s="314">
        <v>23</v>
      </c>
      <c r="E63" s="314" t="s">
        <v>181</v>
      </c>
      <c r="F63" s="314" t="s">
        <v>182</v>
      </c>
      <c r="G63" s="313">
        <v>3</v>
      </c>
      <c r="H63" s="313">
        <v>3</v>
      </c>
      <c r="I63" s="4443">
        <f>R13/R55</f>
        <v>0.7101200686106347</v>
      </c>
      <c r="J63" s="314">
        <v>5</v>
      </c>
      <c r="K63" s="314" t="s">
        <v>183</v>
      </c>
      <c r="L63" s="314"/>
      <c r="M63" s="278">
        <f>Q63/O63</f>
        <v>1.5646496920662734</v>
      </c>
      <c r="N63" s="278">
        <f>R63/P63</f>
        <v>1.7211146612729007</v>
      </c>
      <c r="O63" s="3548">
        <f t="shared" ref="O63:O65" si="10">(($I63*$F$57)+$V63)/$S63</f>
        <v>750549.51501293993</v>
      </c>
      <c r="P63" s="3548">
        <f t="shared" ref="P63:P65" si="11">(($I63*$F$57)+($G63*$O13))/$S63</f>
        <v>750549.51501293993</v>
      </c>
      <c r="Q63" s="3548">
        <f>IF(K63=0, 0, (HLOOKUP(K63,'[2]E-CESTDWO'!$A$5:$O$35,J63+1,FALSE)*R13))</f>
        <v>1174347.0675454873</v>
      </c>
      <c r="R63" s="214">
        <f>IF(K63=0, 0, (HLOOKUP(K63,'[1]E-CESTD'!$A$5:$O$35,J63+1,FALSE)*R13))</f>
        <v>1291781.774300036</v>
      </c>
      <c r="S63" s="279">
        <v>1.081</v>
      </c>
      <c r="T63" s="280">
        <f t="shared" ref="T63:T104" si="12">M13*$H63</f>
        <v>0</v>
      </c>
      <c r="U63" s="280">
        <f t="shared" ref="U63:U104" si="13">N13*$H63</f>
        <v>378000</v>
      </c>
      <c r="V63" s="280">
        <f t="shared" ref="V63:V104" si="14">O13*$H63</f>
        <v>378000</v>
      </c>
      <c r="W63" s="281">
        <f t="shared" ref="W63:W81" si="15">V63/(V63+(I63*F$57))</f>
        <v>0.46589361357578141</v>
      </c>
      <c r="X63" s="281">
        <f t="shared" ref="X63:X81" si="16">(I63*((F$18*1.63)+F$28))/(V63+(I63*F$57))</f>
        <v>0.2566595093032501</v>
      </c>
      <c r="Y63" s="281">
        <f t="shared" ref="Y63:Y81" si="17">(I63*F$38)/(V63+(I63*F$57))</f>
        <v>0</v>
      </c>
    </row>
    <row r="64" spans="2:25">
      <c r="B64" s="3263"/>
      <c r="C64" s="3263" t="s">
        <v>184</v>
      </c>
      <c r="D64" s="3263"/>
      <c r="E64" s="3263"/>
      <c r="F64" s="3263"/>
      <c r="G64" s="313">
        <v>115</v>
      </c>
      <c r="H64" s="313">
        <v>115</v>
      </c>
      <c r="I64" s="4443">
        <v>0</v>
      </c>
      <c r="J64" s="314"/>
      <c r="K64" s="314"/>
      <c r="L64" s="314"/>
      <c r="M64" s="278">
        <f t="shared" ref="M64:N104" si="18">Q64/O64</f>
        <v>0</v>
      </c>
      <c r="N64" s="278">
        <f t="shared" si="18"/>
        <v>0</v>
      </c>
      <c r="O64" s="3548">
        <f t="shared" si="10"/>
        <v>744680.85106382985</v>
      </c>
      <c r="P64" s="3548">
        <f t="shared" si="11"/>
        <v>744680.85106382985</v>
      </c>
      <c r="Q64" s="3548">
        <f>IF(K64=0, 0, (HLOOKUP(K64,'[2]E-CESTDWO'!$A$5:$O$35,J64+1,FALSE)*R14))</f>
        <v>0</v>
      </c>
      <c r="R64" s="214">
        <f>IF(K64=0, 0, (HLOOKUP(K64,'[1]E-CESTD'!$A$5:$O$35,J64+1,FALSE)*R14))</f>
        <v>0</v>
      </c>
      <c r="S64" s="279">
        <v>1.081</v>
      </c>
      <c r="T64" s="280">
        <f t="shared" si="12"/>
        <v>0</v>
      </c>
      <c r="U64" s="280">
        <f t="shared" si="13"/>
        <v>805000</v>
      </c>
      <c r="V64" s="280">
        <f t="shared" si="14"/>
        <v>805000</v>
      </c>
      <c r="W64" s="281">
        <f t="shared" si="15"/>
        <v>1</v>
      </c>
      <c r="X64" s="281">
        <f t="shared" si="16"/>
        <v>0</v>
      </c>
      <c r="Y64" s="281">
        <f t="shared" si="17"/>
        <v>0</v>
      </c>
    </row>
    <row r="65" spans="2:25">
      <c r="B65" s="282"/>
      <c r="C65" s="282" t="s">
        <v>185</v>
      </c>
      <c r="D65" s="4445">
        <v>260</v>
      </c>
      <c r="E65" s="282" t="s">
        <v>181</v>
      </c>
      <c r="F65" s="282" t="s">
        <v>186</v>
      </c>
      <c r="G65" s="283">
        <v>10</v>
      </c>
      <c r="H65" s="283">
        <v>10</v>
      </c>
      <c r="I65" s="4443">
        <f>R15/R55</f>
        <v>0.28987993138936535</v>
      </c>
      <c r="J65" s="4444">
        <v>10</v>
      </c>
      <c r="K65" s="257" t="s">
        <v>187</v>
      </c>
      <c r="L65" s="4446">
        <f>N15*165.39</f>
        <v>752524.49999999988</v>
      </c>
      <c r="M65" s="278">
        <f t="shared" si="18"/>
        <v>4.0380997262493352</v>
      </c>
      <c r="N65" s="278">
        <f t="shared" si="18"/>
        <v>4.4419096988742686</v>
      </c>
      <c r="O65" s="3548">
        <f t="shared" si="10"/>
        <v>205732.16861333212</v>
      </c>
      <c r="P65" s="3548">
        <f t="shared" si="11"/>
        <v>205732.16861333212</v>
      </c>
      <c r="Q65" s="3548">
        <f>IF(K65=0, 0, (HLOOKUP(K65,'[2]E-CESTDWO'!$A$5:$O$35,J65+1,FALSE)*R15))</f>
        <v>830767.01375817845</v>
      </c>
      <c r="R65" s="214">
        <f>IF(K65=0, 0, (HLOOKUP(K65,'[1]E-CESTD'!$A$5:$O$35,J65+1,FALSE)*R15))</f>
        <v>913843.71513399633</v>
      </c>
      <c r="S65" s="279">
        <v>1.081</v>
      </c>
      <c r="T65" s="280">
        <f t="shared" si="12"/>
        <v>0</v>
      </c>
      <c r="U65" s="280">
        <f t="shared" si="13"/>
        <v>45500</v>
      </c>
      <c r="V65" s="280">
        <f t="shared" si="14"/>
        <v>45500</v>
      </c>
      <c r="W65" s="281">
        <f t="shared" si="15"/>
        <v>0.20458957431381655</v>
      </c>
      <c r="X65" s="281">
        <f t="shared" si="16"/>
        <v>0.38222656523181414</v>
      </c>
      <c r="Y65" s="281">
        <f t="shared" si="17"/>
        <v>0</v>
      </c>
    </row>
    <row r="66" spans="2:25">
      <c r="B66" s="282"/>
      <c r="C66" s="282" t="s">
        <v>188</v>
      </c>
      <c r="D66" s="282">
        <v>0</v>
      </c>
      <c r="E66" s="282" t="s">
        <v>181</v>
      </c>
      <c r="F66" s="282" t="s">
        <v>186</v>
      </c>
      <c r="G66" s="283"/>
      <c r="H66" s="283"/>
      <c r="I66" s="284">
        <v>0</v>
      </c>
      <c r="J66" s="257"/>
      <c r="K66" s="257"/>
      <c r="L66" s="3574"/>
      <c r="M66" s="278" t="e">
        <f t="shared" si="18"/>
        <v>#DIV/0!</v>
      </c>
      <c r="N66" s="278" t="e">
        <f t="shared" si="18"/>
        <v>#DIV/0!</v>
      </c>
      <c r="O66" s="214">
        <f t="shared" ref="O66:O104" si="19">(($I66*$F$57)+$V66)/$S66</f>
        <v>0</v>
      </c>
      <c r="P66" s="214">
        <f t="shared" ref="P66:P104" si="20">(($I66*$F$57)+($G66*$O16))/$S66</f>
        <v>0</v>
      </c>
      <c r="Q66" s="214">
        <f>IF(K66=0, 0, (HLOOKUP(K66,'[1]E-CESTDWO'!$A$5:$O$35,J66+1,FALSE)*R16))</f>
        <v>0</v>
      </c>
      <c r="R66" s="214">
        <f>IF(K66=0, 0, (HLOOKUP(K66,'[1]E-CESTD'!$A$5:$O$35,J66+1,FALSE)*R16))</f>
        <v>0</v>
      </c>
      <c r="S66" s="279">
        <v>1.081</v>
      </c>
      <c r="T66" s="280">
        <f t="shared" si="12"/>
        <v>0</v>
      </c>
      <c r="U66" s="280">
        <f t="shared" si="13"/>
        <v>0</v>
      </c>
      <c r="V66" s="280">
        <f t="shared" si="14"/>
        <v>0</v>
      </c>
      <c r="W66" s="281" t="e">
        <f t="shared" si="15"/>
        <v>#DIV/0!</v>
      </c>
      <c r="X66" s="281" t="e">
        <f t="shared" si="16"/>
        <v>#DIV/0!</v>
      </c>
      <c r="Y66" s="281" t="e">
        <f t="shared" si="17"/>
        <v>#DIV/0!</v>
      </c>
    </row>
    <row r="67" spans="2:25">
      <c r="B67" s="282"/>
      <c r="C67" s="282" t="s">
        <v>189</v>
      </c>
      <c r="D67" s="282">
        <v>0</v>
      </c>
      <c r="E67" s="282" t="s">
        <v>181</v>
      </c>
      <c r="F67" s="282" t="s">
        <v>186</v>
      </c>
      <c r="G67" s="283"/>
      <c r="H67" s="283"/>
      <c r="I67" s="284">
        <v>0</v>
      </c>
      <c r="J67" s="257"/>
      <c r="K67" s="257"/>
      <c r="L67" s="3574"/>
      <c r="M67" s="278" t="e">
        <f t="shared" si="18"/>
        <v>#DIV/0!</v>
      </c>
      <c r="N67" s="278" t="e">
        <f t="shared" si="18"/>
        <v>#DIV/0!</v>
      </c>
      <c r="O67" s="214">
        <f t="shared" si="19"/>
        <v>0</v>
      </c>
      <c r="P67" s="214">
        <f t="shared" si="20"/>
        <v>0</v>
      </c>
      <c r="Q67" s="214">
        <f>IF(K67=0, 0, (HLOOKUP(K67,'[1]E-CESTDWO'!$A$5:$O$35,J67+1,FALSE)*R17))</f>
        <v>0</v>
      </c>
      <c r="R67" s="214">
        <f>IF(K67=0, 0, (HLOOKUP(K67,'[1]E-CESTD'!$A$5:$O$35,J67+1,FALSE)*R17))</f>
        <v>0</v>
      </c>
      <c r="S67" s="279">
        <v>1.081</v>
      </c>
      <c r="T67" s="280">
        <f t="shared" si="12"/>
        <v>0</v>
      </c>
      <c r="U67" s="280">
        <f t="shared" si="13"/>
        <v>0</v>
      </c>
      <c r="V67" s="280">
        <f t="shared" si="14"/>
        <v>0</v>
      </c>
      <c r="W67" s="281" t="e">
        <f t="shared" si="15"/>
        <v>#DIV/0!</v>
      </c>
      <c r="X67" s="281" t="e">
        <f t="shared" si="16"/>
        <v>#DIV/0!</v>
      </c>
      <c r="Y67" s="281" t="e">
        <f t="shared" si="17"/>
        <v>#DIV/0!</v>
      </c>
    </row>
    <row r="68" spans="2:25">
      <c r="B68" s="282"/>
      <c r="C68" s="282" t="s">
        <v>190</v>
      </c>
      <c r="D68" s="282">
        <v>0</v>
      </c>
      <c r="E68" s="282" t="s">
        <v>181</v>
      </c>
      <c r="F68" s="282" t="s">
        <v>186</v>
      </c>
      <c r="G68" s="283"/>
      <c r="H68" s="283"/>
      <c r="I68" s="284">
        <v>0</v>
      </c>
      <c r="J68" s="257"/>
      <c r="K68" s="257"/>
      <c r="L68" s="3574"/>
      <c r="M68" s="278" t="e">
        <f t="shared" si="18"/>
        <v>#DIV/0!</v>
      </c>
      <c r="N68" s="278" t="e">
        <f t="shared" si="18"/>
        <v>#DIV/0!</v>
      </c>
      <c r="O68" s="214">
        <f t="shared" si="19"/>
        <v>0</v>
      </c>
      <c r="P68" s="214">
        <f t="shared" si="20"/>
        <v>0</v>
      </c>
      <c r="Q68" s="214">
        <f>IF(K68=0, 0, (HLOOKUP(K68,'[1]E-CESTDWO'!$A$5:$O$35,J68+1,FALSE)*R18))</f>
        <v>0</v>
      </c>
      <c r="R68" s="214">
        <f>IF(K68=0, 0, (HLOOKUP(K68,'[1]E-CESTD'!$A$5:$O$35,J68+1,FALSE)*R18))</f>
        <v>0</v>
      </c>
      <c r="S68" s="279">
        <v>1.081</v>
      </c>
      <c r="T68" s="280">
        <f t="shared" si="12"/>
        <v>0</v>
      </c>
      <c r="U68" s="280">
        <f t="shared" si="13"/>
        <v>0</v>
      </c>
      <c r="V68" s="280">
        <f t="shared" si="14"/>
        <v>0</v>
      </c>
      <c r="W68" s="281" t="e">
        <f t="shared" si="15"/>
        <v>#DIV/0!</v>
      </c>
      <c r="X68" s="281" t="e">
        <f t="shared" si="16"/>
        <v>#DIV/0!</v>
      </c>
      <c r="Y68" s="281" t="e">
        <f t="shared" si="17"/>
        <v>#DIV/0!</v>
      </c>
    </row>
    <row r="69" spans="2:25">
      <c r="B69" s="282"/>
      <c r="C69" s="282" t="s">
        <v>191</v>
      </c>
      <c r="D69" s="282">
        <v>0</v>
      </c>
      <c r="E69" s="282" t="s">
        <v>181</v>
      </c>
      <c r="F69" s="282" t="s">
        <v>186</v>
      </c>
      <c r="G69" s="283"/>
      <c r="H69" s="283"/>
      <c r="I69" s="284">
        <v>0</v>
      </c>
      <c r="J69" s="257"/>
      <c r="K69" s="257"/>
      <c r="L69" s="3574"/>
      <c r="M69" s="278" t="e">
        <f t="shared" si="18"/>
        <v>#DIV/0!</v>
      </c>
      <c r="N69" s="278" t="e">
        <f t="shared" si="18"/>
        <v>#DIV/0!</v>
      </c>
      <c r="O69" s="214">
        <f t="shared" si="19"/>
        <v>0</v>
      </c>
      <c r="P69" s="214">
        <f t="shared" si="20"/>
        <v>0</v>
      </c>
      <c r="Q69" s="214">
        <f>IF(K69=0, 0, (HLOOKUP(K69,'[1]E-CESTDWO'!$A$5:$O$35,J69+1,FALSE)*R19))</f>
        <v>0</v>
      </c>
      <c r="R69" s="214">
        <f>IF(K69=0, 0, (HLOOKUP(K69,'[1]E-CESTD'!$A$5:$O$35,J69+1,FALSE)*R19))</f>
        <v>0</v>
      </c>
      <c r="S69" s="279">
        <v>1.081</v>
      </c>
      <c r="T69" s="280">
        <f t="shared" si="12"/>
        <v>0</v>
      </c>
      <c r="U69" s="280">
        <f t="shared" si="13"/>
        <v>0</v>
      </c>
      <c r="V69" s="280">
        <f t="shared" si="14"/>
        <v>0</v>
      </c>
      <c r="W69" s="281" t="e">
        <f t="shared" si="15"/>
        <v>#DIV/0!</v>
      </c>
      <c r="X69" s="281" t="e">
        <f t="shared" si="16"/>
        <v>#DIV/0!</v>
      </c>
      <c r="Y69" s="281" t="e">
        <f t="shared" si="17"/>
        <v>#DIV/0!</v>
      </c>
    </row>
    <row r="70" spans="2:25">
      <c r="B70" s="282"/>
      <c r="C70" s="282" t="s">
        <v>192</v>
      </c>
      <c r="D70" s="282">
        <v>0</v>
      </c>
      <c r="E70" s="282" t="s">
        <v>181</v>
      </c>
      <c r="F70" s="282" t="s">
        <v>186</v>
      </c>
      <c r="G70" s="283"/>
      <c r="H70" s="283"/>
      <c r="I70" s="284">
        <v>0</v>
      </c>
      <c r="J70" s="257"/>
      <c r="K70" s="257"/>
      <c r="L70" s="3574"/>
      <c r="M70" s="278" t="e">
        <f t="shared" si="18"/>
        <v>#DIV/0!</v>
      </c>
      <c r="N70" s="278" t="e">
        <f t="shared" si="18"/>
        <v>#DIV/0!</v>
      </c>
      <c r="O70" s="214">
        <f t="shared" si="19"/>
        <v>0</v>
      </c>
      <c r="P70" s="214">
        <f t="shared" si="20"/>
        <v>0</v>
      </c>
      <c r="Q70" s="214">
        <f>IF(K70=0, 0, (HLOOKUP(K70,'[1]E-CESTDWO'!$A$5:$O$35,J70+1,FALSE)*R20))</f>
        <v>0</v>
      </c>
      <c r="R70" s="214">
        <f>IF(K70=0, 0, (HLOOKUP(K70,'[1]E-CESTD'!$A$5:$O$35,J70+1,FALSE)*R20))</f>
        <v>0</v>
      </c>
      <c r="S70" s="279">
        <v>1.081</v>
      </c>
      <c r="T70" s="280">
        <f t="shared" si="12"/>
        <v>0</v>
      </c>
      <c r="U70" s="280">
        <f t="shared" si="13"/>
        <v>0</v>
      </c>
      <c r="V70" s="280">
        <f t="shared" si="14"/>
        <v>0</v>
      </c>
      <c r="W70" s="281" t="e">
        <f t="shared" si="15"/>
        <v>#DIV/0!</v>
      </c>
      <c r="X70" s="281" t="e">
        <f t="shared" si="16"/>
        <v>#DIV/0!</v>
      </c>
      <c r="Y70" s="281" t="e">
        <f t="shared" si="17"/>
        <v>#DIV/0!</v>
      </c>
    </row>
    <row r="71" spans="2:25">
      <c r="B71" s="282"/>
      <c r="C71" s="282" t="s">
        <v>193</v>
      </c>
      <c r="D71" s="282">
        <v>0</v>
      </c>
      <c r="E71" s="282" t="s">
        <v>181</v>
      </c>
      <c r="F71" s="282" t="s">
        <v>186</v>
      </c>
      <c r="G71" s="283"/>
      <c r="H71" s="283"/>
      <c r="I71" s="284">
        <v>0</v>
      </c>
      <c r="J71" s="257"/>
      <c r="K71" s="257"/>
      <c r="L71" s="3574"/>
      <c r="M71" s="278" t="e">
        <f t="shared" si="18"/>
        <v>#DIV/0!</v>
      </c>
      <c r="N71" s="278" t="e">
        <f t="shared" si="18"/>
        <v>#DIV/0!</v>
      </c>
      <c r="O71" s="214">
        <f t="shared" si="19"/>
        <v>0</v>
      </c>
      <c r="P71" s="214">
        <f t="shared" si="20"/>
        <v>0</v>
      </c>
      <c r="Q71" s="214">
        <f>IF(K71=0, 0, (HLOOKUP(K71,'[1]E-CESTDWO'!$A$5:$O$35,J71+1,FALSE)*R21))</f>
        <v>0</v>
      </c>
      <c r="R71" s="214">
        <f>IF(K71=0, 0, (HLOOKUP(K71,'[1]E-CESTD'!$A$5:$O$35,J71+1,FALSE)*R21))</f>
        <v>0</v>
      </c>
      <c r="S71" s="279">
        <v>1.081</v>
      </c>
      <c r="T71" s="280">
        <f t="shared" si="12"/>
        <v>0</v>
      </c>
      <c r="U71" s="280">
        <f t="shared" si="13"/>
        <v>0</v>
      </c>
      <c r="V71" s="280">
        <f t="shared" si="14"/>
        <v>0</v>
      </c>
      <c r="W71" s="281" t="e">
        <f t="shared" si="15"/>
        <v>#DIV/0!</v>
      </c>
      <c r="X71" s="281" t="e">
        <f t="shared" si="16"/>
        <v>#DIV/0!</v>
      </c>
      <c r="Y71" s="281" t="e">
        <f t="shared" si="17"/>
        <v>#DIV/0!</v>
      </c>
    </row>
    <row r="72" spans="2:25">
      <c r="B72" s="282"/>
      <c r="C72" s="282" t="s">
        <v>194</v>
      </c>
      <c r="D72" s="282">
        <v>0</v>
      </c>
      <c r="E72" s="282" t="s">
        <v>181</v>
      </c>
      <c r="F72" s="282" t="s">
        <v>186</v>
      </c>
      <c r="G72" s="283"/>
      <c r="H72" s="283"/>
      <c r="I72" s="284">
        <v>0</v>
      </c>
      <c r="J72" s="257"/>
      <c r="K72" s="257"/>
      <c r="L72" s="3574"/>
      <c r="M72" s="278" t="e">
        <f t="shared" si="18"/>
        <v>#DIV/0!</v>
      </c>
      <c r="N72" s="278" t="e">
        <f t="shared" si="18"/>
        <v>#DIV/0!</v>
      </c>
      <c r="O72" s="214">
        <f t="shared" si="19"/>
        <v>0</v>
      </c>
      <c r="P72" s="214">
        <f t="shared" si="20"/>
        <v>0</v>
      </c>
      <c r="Q72" s="214">
        <f>IF(K72=0, 0, (HLOOKUP(K72,'[1]E-CESTDWO'!$A$5:$O$35,J72+1,FALSE)*R22))</f>
        <v>0</v>
      </c>
      <c r="R72" s="214">
        <f>IF(K72=0, 0, (HLOOKUP(K72,'[1]E-CESTD'!$A$5:$O$35,J72+1,FALSE)*R22))</f>
        <v>0</v>
      </c>
      <c r="S72" s="279">
        <v>1.081</v>
      </c>
      <c r="T72" s="280">
        <f t="shared" si="12"/>
        <v>0</v>
      </c>
      <c r="U72" s="280">
        <f t="shared" si="13"/>
        <v>0</v>
      </c>
      <c r="V72" s="280">
        <f t="shared" si="14"/>
        <v>0</v>
      </c>
      <c r="W72" s="281" t="e">
        <f t="shared" si="15"/>
        <v>#DIV/0!</v>
      </c>
      <c r="X72" s="281" t="e">
        <f t="shared" si="16"/>
        <v>#DIV/0!</v>
      </c>
      <c r="Y72" s="281" t="e">
        <f t="shared" si="17"/>
        <v>#DIV/0!</v>
      </c>
    </row>
    <row r="73" spans="2:25">
      <c r="B73" s="282"/>
      <c r="C73" s="282" t="s">
        <v>195</v>
      </c>
      <c r="D73" s="282">
        <v>0</v>
      </c>
      <c r="E73" s="282" t="s">
        <v>181</v>
      </c>
      <c r="F73" s="282" t="s">
        <v>186</v>
      </c>
      <c r="G73" s="283"/>
      <c r="H73" s="283"/>
      <c r="I73" s="284">
        <v>0</v>
      </c>
      <c r="J73" s="257"/>
      <c r="K73" s="257"/>
      <c r="L73" s="3574"/>
      <c r="M73" s="278" t="e">
        <f t="shared" si="18"/>
        <v>#DIV/0!</v>
      </c>
      <c r="N73" s="278" t="e">
        <f t="shared" si="18"/>
        <v>#DIV/0!</v>
      </c>
      <c r="O73" s="214">
        <f t="shared" si="19"/>
        <v>0</v>
      </c>
      <c r="P73" s="214">
        <f t="shared" si="20"/>
        <v>0</v>
      </c>
      <c r="Q73" s="214">
        <f>IF(K73=0, 0, (HLOOKUP(K73,'[1]E-CESTDWO'!$A$5:$O$35,J73+1,FALSE)*R23))</f>
        <v>0</v>
      </c>
      <c r="R73" s="214">
        <f>IF(K73=0, 0, (HLOOKUP(K73,'[1]E-CESTD'!$A$5:$O$35,J73+1,FALSE)*R23))</f>
        <v>0</v>
      </c>
      <c r="S73" s="279">
        <v>1.081</v>
      </c>
      <c r="T73" s="280">
        <f t="shared" si="12"/>
        <v>0</v>
      </c>
      <c r="U73" s="280">
        <f t="shared" si="13"/>
        <v>0</v>
      </c>
      <c r="V73" s="280">
        <f t="shared" si="14"/>
        <v>0</v>
      </c>
      <c r="W73" s="281" t="e">
        <f t="shared" si="15"/>
        <v>#DIV/0!</v>
      </c>
      <c r="X73" s="281" t="e">
        <f t="shared" si="16"/>
        <v>#DIV/0!</v>
      </c>
      <c r="Y73" s="281" t="e">
        <f t="shared" si="17"/>
        <v>#DIV/0!</v>
      </c>
    </row>
    <row r="74" spans="2:25">
      <c r="B74" s="282"/>
      <c r="C74" s="282" t="s">
        <v>196</v>
      </c>
      <c r="D74" s="282">
        <v>0</v>
      </c>
      <c r="E74" s="282" t="s">
        <v>181</v>
      </c>
      <c r="F74" s="282" t="s">
        <v>186</v>
      </c>
      <c r="G74" s="283"/>
      <c r="H74" s="283"/>
      <c r="I74" s="284">
        <v>0</v>
      </c>
      <c r="J74" s="257"/>
      <c r="K74" s="257"/>
      <c r="L74" s="3574"/>
      <c r="M74" s="278" t="e">
        <f t="shared" si="18"/>
        <v>#DIV/0!</v>
      </c>
      <c r="N74" s="278" t="e">
        <f t="shared" si="18"/>
        <v>#DIV/0!</v>
      </c>
      <c r="O74" s="214">
        <f t="shared" si="19"/>
        <v>0</v>
      </c>
      <c r="P74" s="214">
        <f t="shared" si="20"/>
        <v>0</v>
      </c>
      <c r="Q74" s="214">
        <f>IF(K74=0, 0, (HLOOKUP(K74,'[1]E-CESTDWO'!$A$5:$O$35,J74+1,FALSE)*R24))</f>
        <v>0</v>
      </c>
      <c r="R74" s="214">
        <f>IF(K74=0, 0, (HLOOKUP(K74,'[1]E-CESTD'!$A$5:$O$35,J74+1,FALSE)*R24))</f>
        <v>0</v>
      </c>
      <c r="S74" s="279">
        <v>1.081</v>
      </c>
      <c r="T74" s="280">
        <f t="shared" si="12"/>
        <v>0</v>
      </c>
      <c r="U74" s="280">
        <f t="shared" si="13"/>
        <v>0</v>
      </c>
      <c r="V74" s="280">
        <f t="shared" si="14"/>
        <v>0</v>
      </c>
      <c r="W74" s="281" t="e">
        <f t="shared" si="15"/>
        <v>#DIV/0!</v>
      </c>
      <c r="X74" s="281" t="e">
        <f t="shared" si="16"/>
        <v>#DIV/0!</v>
      </c>
      <c r="Y74" s="281" t="e">
        <f t="shared" si="17"/>
        <v>#DIV/0!</v>
      </c>
    </row>
    <row r="75" spans="2:25">
      <c r="B75" s="282"/>
      <c r="C75" s="282" t="s">
        <v>197</v>
      </c>
      <c r="D75" s="282">
        <v>0</v>
      </c>
      <c r="E75" s="282" t="s">
        <v>181</v>
      </c>
      <c r="F75" s="282" t="s">
        <v>186</v>
      </c>
      <c r="G75" s="283"/>
      <c r="H75" s="283"/>
      <c r="I75" s="284">
        <v>0</v>
      </c>
      <c r="J75" s="257"/>
      <c r="K75" s="257"/>
      <c r="L75" s="3574"/>
      <c r="M75" s="278" t="e">
        <f t="shared" si="18"/>
        <v>#DIV/0!</v>
      </c>
      <c r="N75" s="278" t="e">
        <f t="shared" si="18"/>
        <v>#DIV/0!</v>
      </c>
      <c r="O75" s="214">
        <f t="shared" si="19"/>
        <v>0</v>
      </c>
      <c r="P75" s="214">
        <f t="shared" si="20"/>
        <v>0</v>
      </c>
      <c r="Q75" s="214">
        <f>IF(K75=0, 0, (HLOOKUP(K75,'[1]E-CESTDWO'!$A$5:$O$35,J75+1,FALSE)*R25))</f>
        <v>0</v>
      </c>
      <c r="R75" s="214">
        <f>IF(K75=0, 0, (HLOOKUP(K75,'[1]E-CESTD'!$A$5:$O$35,J75+1,FALSE)*R25))</f>
        <v>0</v>
      </c>
      <c r="S75" s="279">
        <v>1.081</v>
      </c>
      <c r="T75" s="280">
        <f t="shared" si="12"/>
        <v>0</v>
      </c>
      <c r="U75" s="280">
        <f t="shared" si="13"/>
        <v>0</v>
      </c>
      <c r="V75" s="280">
        <f t="shared" si="14"/>
        <v>0</v>
      </c>
      <c r="W75" s="281" t="e">
        <f t="shared" si="15"/>
        <v>#DIV/0!</v>
      </c>
      <c r="X75" s="281" t="e">
        <f t="shared" si="16"/>
        <v>#DIV/0!</v>
      </c>
      <c r="Y75" s="281" t="e">
        <f t="shared" si="17"/>
        <v>#DIV/0!</v>
      </c>
    </row>
    <row r="76" spans="2:25">
      <c r="B76" s="282"/>
      <c r="C76" s="282" t="s">
        <v>198</v>
      </c>
      <c r="D76" s="282">
        <v>0</v>
      </c>
      <c r="E76" s="282" t="s">
        <v>181</v>
      </c>
      <c r="F76" s="282" t="s">
        <v>186</v>
      </c>
      <c r="G76" s="283"/>
      <c r="H76" s="283"/>
      <c r="I76" s="284">
        <v>0</v>
      </c>
      <c r="J76" s="257"/>
      <c r="K76" s="257"/>
      <c r="L76" s="3574"/>
      <c r="M76" s="278" t="e">
        <f t="shared" si="18"/>
        <v>#DIV/0!</v>
      </c>
      <c r="N76" s="278" t="e">
        <f t="shared" si="18"/>
        <v>#DIV/0!</v>
      </c>
      <c r="O76" s="214">
        <f t="shared" si="19"/>
        <v>0</v>
      </c>
      <c r="P76" s="214">
        <f t="shared" si="20"/>
        <v>0</v>
      </c>
      <c r="Q76" s="214">
        <f>IF(K76=0, 0, (HLOOKUP(K76,'[1]E-CESTDWO'!$A$5:$O$35,J76+1,FALSE)*R26))</f>
        <v>0</v>
      </c>
      <c r="R76" s="214">
        <f>IF(K76=0, 0, (HLOOKUP(K76,'[1]E-CESTD'!$A$5:$O$35,J76+1,FALSE)*R26))</f>
        <v>0</v>
      </c>
      <c r="S76" s="279">
        <v>1.081</v>
      </c>
      <c r="T76" s="280">
        <f t="shared" si="12"/>
        <v>0</v>
      </c>
      <c r="U76" s="280">
        <f t="shared" si="13"/>
        <v>0</v>
      </c>
      <c r="V76" s="280">
        <f t="shared" si="14"/>
        <v>0</v>
      </c>
      <c r="W76" s="281" t="e">
        <f t="shared" si="15"/>
        <v>#DIV/0!</v>
      </c>
      <c r="X76" s="281" t="e">
        <f t="shared" si="16"/>
        <v>#DIV/0!</v>
      </c>
      <c r="Y76" s="281" t="e">
        <f t="shared" si="17"/>
        <v>#DIV/0!</v>
      </c>
    </row>
    <row r="77" spans="2:25">
      <c r="B77" s="282"/>
      <c r="C77" s="282" t="s">
        <v>199</v>
      </c>
      <c r="D77" s="282">
        <v>0</v>
      </c>
      <c r="E77" s="282" t="s">
        <v>181</v>
      </c>
      <c r="F77" s="282" t="s">
        <v>186</v>
      </c>
      <c r="G77" s="283"/>
      <c r="H77" s="283"/>
      <c r="I77" s="284">
        <v>0</v>
      </c>
      <c r="J77" s="257"/>
      <c r="K77" s="257"/>
      <c r="L77" s="3574"/>
      <c r="M77" s="278" t="e">
        <f t="shared" si="18"/>
        <v>#DIV/0!</v>
      </c>
      <c r="N77" s="278" t="e">
        <f t="shared" si="18"/>
        <v>#DIV/0!</v>
      </c>
      <c r="O77" s="214">
        <f t="shared" si="19"/>
        <v>0</v>
      </c>
      <c r="P77" s="214">
        <f t="shared" si="20"/>
        <v>0</v>
      </c>
      <c r="Q77" s="214">
        <f>IF(K77=0, 0, (HLOOKUP(K77,'[1]E-CESTDWO'!$A$5:$O$35,J77+1,FALSE)*R27))</f>
        <v>0</v>
      </c>
      <c r="R77" s="214">
        <f>IF(K77=0, 0, (HLOOKUP(K77,'[1]E-CESTD'!$A$5:$O$35,J77+1,FALSE)*R27))</f>
        <v>0</v>
      </c>
      <c r="S77" s="279">
        <v>1.081</v>
      </c>
      <c r="T77" s="280">
        <f t="shared" si="12"/>
        <v>0</v>
      </c>
      <c r="U77" s="280">
        <f t="shared" si="13"/>
        <v>0</v>
      </c>
      <c r="V77" s="280">
        <f t="shared" si="14"/>
        <v>0</v>
      </c>
      <c r="W77" s="281" t="e">
        <f t="shared" si="15"/>
        <v>#DIV/0!</v>
      </c>
      <c r="X77" s="281" t="e">
        <f t="shared" si="16"/>
        <v>#DIV/0!</v>
      </c>
      <c r="Y77" s="281" t="e">
        <f t="shared" si="17"/>
        <v>#DIV/0!</v>
      </c>
    </row>
    <row r="78" spans="2:25">
      <c r="B78" s="282"/>
      <c r="C78" s="282" t="s">
        <v>200</v>
      </c>
      <c r="D78" s="282">
        <v>0</v>
      </c>
      <c r="E78" s="282" t="s">
        <v>181</v>
      </c>
      <c r="F78" s="282" t="s">
        <v>186</v>
      </c>
      <c r="G78" s="283"/>
      <c r="H78" s="283"/>
      <c r="I78" s="284">
        <v>0</v>
      </c>
      <c r="J78" s="257"/>
      <c r="K78" s="257"/>
      <c r="L78" s="3574"/>
      <c r="M78" s="278" t="e">
        <f t="shared" si="18"/>
        <v>#DIV/0!</v>
      </c>
      <c r="N78" s="278" t="e">
        <f t="shared" si="18"/>
        <v>#DIV/0!</v>
      </c>
      <c r="O78" s="214">
        <f t="shared" si="19"/>
        <v>0</v>
      </c>
      <c r="P78" s="214">
        <f t="shared" si="20"/>
        <v>0</v>
      </c>
      <c r="Q78" s="214">
        <f>IF(K78=0, 0, (HLOOKUP(K78,'[1]E-CESTDWO'!$A$5:$O$35,J78+1,FALSE)*R28))</f>
        <v>0</v>
      </c>
      <c r="R78" s="214">
        <f>IF(K78=0, 0, (HLOOKUP(K78,'[1]E-CESTD'!$A$5:$O$35,J78+1,FALSE)*R28))</f>
        <v>0</v>
      </c>
      <c r="S78" s="279">
        <v>1.081</v>
      </c>
      <c r="T78" s="280">
        <f t="shared" si="12"/>
        <v>0</v>
      </c>
      <c r="U78" s="280">
        <f t="shared" si="13"/>
        <v>0</v>
      </c>
      <c r="V78" s="280">
        <f t="shared" si="14"/>
        <v>0</v>
      </c>
      <c r="W78" s="281" t="e">
        <f t="shared" si="15"/>
        <v>#DIV/0!</v>
      </c>
      <c r="X78" s="281" t="e">
        <f t="shared" si="16"/>
        <v>#DIV/0!</v>
      </c>
      <c r="Y78" s="281" t="e">
        <f t="shared" si="17"/>
        <v>#DIV/0!</v>
      </c>
    </row>
    <row r="79" spans="2:25">
      <c r="B79" s="282"/>
      <c r="C79" s="282" t="s">
        <v>201</v>
      </c>
      <c r="D79" s="282">
        <v>0</v>
      </c>
      <c r="E79" s="282" t="s">
        <v>181</v>
      </c>
      <c r="F79" s="282" t="s">
        <v>186</v>
      </c>
      <c r="G79" s="283"/>
      <c r="H79" s="283"/>
      <c r="I79" s="284">
        <v>0</v>
      </c>
      <c r="J79" s="257"/>
      <c r="K79" s="257"/>
      <c r="L79" s="3574"/>
      <c r="M79" s="278" t="e">
        <f t="shared" si="18"/>
        <v>#DIV/0!</v>
      </c>
      <c r="N79" s="278" t="e">
        <f t="shared" si="18"/>
        <v>#DIV/0!</v>
      </c>
      <c r="O79" s="214">
        <f t="shared" si="19"/>
        <v>0</v>
      </c>
      <c r="P79" s="214">
        <f t="shared" si="20"/>
        <v>0</v>
      </c>
      <c r="Q79" s="214">
        <f>IF(K79=0, 0, (HLOOKUP(K79,'[1]E-CESTDWO'!$A$5:$O$35,J79+1,FALSE)*R29))</f>
        <v>0</v>
      </c>
      <c r="R79" s="214">
        <f>IF(K79=0, 0, (HLOOKUP(K79,'[1]E-CESTD'!$A$5:$O$35,J79+1,FALSE)*R29))</f>
        <v>0</v>
      </c>
      <c r="S79" s="279">
        <v>1.081</v>
      </c>
      <c r="T79" s="280">
        <f t="shared" si="12"/>
        <v>0</v>
      </c>
      <c r="U79" s="280">
        <f t="shared" si="13"/>
        <v>0</v>
      </c>
      <c r="V79" s="280">
        <f t="shared" si="14"/>
        <v>0</v>
      </c>
      <c r="W79" s="281" t="e">
        <f t="shared" si="15"/>
        <v>#DIV/0!</v>
      </c>
      <c r="X79" s="281" t="e">
        <f t="shared" si="16"/>
        <v>#DIV/0!</v>
      </c>
      <c r="Y79" s="281" t="e">
        <f t="shared" si="17"/>
        <v>#DIV/0!</v>
      </c>
    </row>
    <row r="80" spans="2:25">
      <c r="B80" s="282"/>
      <c r="C80" s="282" t="s">
        <v>202</v>
      </c>
      <c r="D80" s="282">
        <v>0</v>
      </c>
      <c r="E80" s="282" t="s">
        <v>181</v>
      </c>
      <c r="F80" s="282" t="s">
        <v>186</v>
      </c>
      <c r="G80" s="283"/>
      <c r="H80" s="283"/>
      <c r="I80" s="284">
        <v>0</v>
      </c>
      <c r="J80" s="257"/>
      <c r="K80" s="257"/>
      <c r="L80" s="3574"/>
      <c r="M80" s="278" t="e">
        <f t="shared" si="18"/>
        <v>#DIV/0!</v>
      </c>
      <c r="N80" s="278" t="e">
        <f t="shared" si="18"/>
        <v>#DIV/0!</v>
      </c>
      <c r="O80" s="214">
        <f t="shared" si="19"/>
        <v>0</v>
      </c>
      <c r="P80" s="214">
        <f t="shared" si="20"/>
        <v>0</v>
      </c>
      <c r="Q80" s="214">
        <f>IF(K80=0, 0, (HLOOKUP(K80,'[1]E-CESTDWO'!$A$5:$O$35,J80+1,FALSE)*R30))</f>
        <v>0</v>
      </c>
      <c r="R80" s="214">
        <f>IF(K80=0, 0, (HLOOKUP(K80,'[1]E-CESTD'!$A$5:$O$35,J80+1,FALSE)*R30))</f>
        <v>0</v>
      </c>
      <c r="S80" s="279">
        <v>1.081</v>
      </c>
      <c r="T80" s="280">
        <f t="shared" si="12"/>
        <v>0</v>
      </c>
      <c r="U80" s="280">
        <f t="shared" si="13"/>
        <v>0</v>
      </c>
      <c r="V80" s="280">
        <f t="shared" si="14"/>
        <v>0</v>
      </c>
      <c r="W80" s="281" t="e">
        <f t="shared" si="15"/>
        <v>#DIV/0!</v>
      </c>
      <c r="X80" s="281" t="e">
        <f t="shared" si="16"/>
        <v>#DIV/0!</v>
      </c>
      <c r="Y80" s="281" t="e">
        <f t="shared" si="17"/>
        <v>#DIV/0!</v>
      </c>
    </row>
    <row r="81" spans="2:25">
      <c r="B81" s="282"/>
      <c r="C81" s="282" t="s">
        <v>203</v>
      </c>
      <c r="D81" s="282">
        <v>0</v>
      </c>
      <c r="E81" s="282" t="s">
        <v>181</v>
      </c>
      <c r="F81" s="282" t="s">
        <v>186</v>
      </c>
      <c r="G81" s="283"/>
      <c r="H81" s="283"/>
      <c r="I81" s="284">
        <v>0</v>
      </c>
      <c r="J81" s="257"/>
      <c r="K81" s="257"/>
      <c r="L81" s="3574"/>
      <c r="M81" s="278" t="e">
        <f t="shared" si="18"/>
        <v>#DIV/0!</v>
      </c>
      <c r="N81" s="278" t="e">
        <f t="shared" si="18"/>
        <v>#DIV/0!</v>
      </c>
      <c r="O81" s="214">
        <f t="shared" si="19"/>
        <v>0</v>
      </c>
      <c r="P81" s="214">
        <f t="shared" si="20"/>
        <v>0</v>
      </c>
      <c r="Q81" s="214">
        <f>IF(K81=0, 0, (HLOOKUP(K81,'[1]E-CESTDWO'!$A$5:$O$35,J81+1,FALSE)*R31))</f>
        <v>0</v>
      </c>
      <c r="R81" s="214">
        <f>IF(K81=0, 0, (HLOOKUP(K81,'[1]E-CESTD'!$A$5:$O$35,J81+1,FALSE)*R31))</f>
        <v>0</v>
      </c>
      <c r="S81" s="279">
        <v>1.081</v>
      </c>
      <c r="T81" s="280">
        <f t="shared" si="12"/>
        <v>0</v>
      </c>
      <c r="U81" s="280">
        <f t="shared" si="13"/>
        <v>0</v>
      </c>
      <c r="V81" s="280">
        <f t="shared" si="14"/>
        <v>0</v>
      </c>
      <c r="W81" s="281" t="e">
        <f t="shared" si="15"/>
        <v>#DIV/0!</v>
      </c>
      <c r="X81" s="281" t="e">
        <f t="shared" si="16"/>
        <v>#DIV/0!</v>
      </c>
      <c r="Y81" s="281" t="e">
        <f t="shared" si="17"/>
        <v>#DIV/0!</v>
      </c>
    </row>
    <row r="82" spans="2:25">
      <c r="B82" s="282"/>
      <c r="C82" s="282" t="s">
        <v>204</v>
      </c>
      <c r="D82" s="282">
        <v>0</v>
      </c>
      <c r="E82" s="282" t="s">
        <v>181</v>
      </c>
      <c r="F82" s="282" t="s">
        <v>186</v>
      </c>
      <c r="G82" s="283"/>
      <c r="H82" s="283"/>
      <c r="I82" s="284">
        <v>0</v>
      </c>
      <c r="J82" s="257"/>
      <c r="K82" s="257"/>
      <c r="L82" s="3574"/>
      <c r="M82" s="278" t="e">
        <f t="shared" si="18"/>
        <v>#DIV/0!</v>
      </c>
      <c r="N82" s="278" t="e">
        <f t="shared" si="18"/>
        <v>#DIV/0!</v>
      </c>
      <c r="O82" s="214">
        <f t="shared" si="19"/>
        <v>0</v>
      </c>
      <c r="P82" s="214">
        <f t="shared" si="20"/>
        <v>0</v>
      </c>
      <c r="Q82" s="214">
        <f>IF(K82=0, 0, (HLOOKUP(K82,'[1]E-CESTDWO'!$A$5:$O$35,J82+1,FALSE)*R32))</f>
        <v>0</v>
      </c>
      <c r="R82" s="214">
        <f>IF(K82=0, 0, (HLOOKUP(K82,'[1]E-CESTD'!$A$5:$O$35,J82+1,FALSE)*R32))</f>
        <v>0</v>
      </c>
      <c r="S82" s="279">
        <v>1.081</v>
      </c>
      <c r="T82" s="280">
        <f t="shared" si="12"/>
        <v>0</v>
      </c>
      <c r="U82" s="280">
        <f t="shared" si="13"/>
        <v>0</v>
      </c>
      <c r="V82" s="280">
        <f t="shared" si="14"/>
        <v>0</v>
      </c>
    </row>
    <row r="83" spans="2:25">
      <c r="B83" s="282"/>
      <c r="C83" s="282" t="s">
        <v>205</v>
      </c>
      <c r="D83" s="285">
        <v>0</v>
      </c>
      <c r="E83" s="282" t="s">
        <v>181</v>
      </c>
      <c r="F83" s="282" t="s">
        <v>186</v>
      </c>
      <c r="G83" s="283"/>
      <c r="H83" s="283"/>
      <c r="I83" s="284">
        <v>0</v>
      </c>
      <c r="J83" s="257"/>
      <c r="K83" s="257"/>
      <c r="L83" s="3574"/>
      <c r="M83" s="278" t="e">
        <f t="shared" si="18"/>
        <v>#DIV/0!</v>
      </c>
      <c r="N83" s="278" t="e">
        <f t="shared" si="18"/>
        <v>#DIV/0!</v>
      </c>
      <c r="O83" s="214">
        <f t="shared" si="19"/>
        <v>0</v>
      </c>
      <c r="P83" s="214">
        <f t="shared" si="20"/>
        <v>0</v>
      </c>
      <c r="Q83" s="214">
        <f>IF(K83=0, 0, (HLOOKUP(K83,'[1]E-CESTDWO'!$A$5:$O$35,J83+1,FALSE)*R33))</f>
        <v>0</v>
      </c>
      <c r="R83" s="214">
        <f>IF(K83=0, 0, (HLOOKUP(K83,'[1]E-CESTD'!$A$5:$O$35,J83+1,FALSE)*R33))</f>
        <v>0</v>
      </c>
      <c r="S83" s="279">
        <v>1.081</v>
      </c>
      <c r="T83" s="280">
        <f t="shared" si="12"/>
        <v>0</v>
      </c>
      <c r="U83" s="280">
        <f t="shared" si="13"/>
        <v>0</v>
      </c>
      <c r="V83" s="280">
        <f t="shared" si="14"/>
        <v>0</v>
      </c>
    </row>
    <row r="84" spans="2:25">
      <c r="B84" s="282"/>
      <c r="C84" s="282" t="s">
        <v>206</v>
      </c>
      <c r="D84" s="285">
        <v>0</v>
      </c>
      <c r="E84" s="282" t="s">
        <v>181</v>
      </c>
      <c r="F84" s="282" t="s">
        <v>186</v>
      </c>
      <c r="G84" s="283"/>
      <c r="H84" s="283"/>
      <c r="I84" s="284">
        <v>0</v>
      </c>
      <c r="J84" s="257"/>
      <c r="K84" s="257"/>
      <c r="L84" s="3574"/>
      <c r="M84" s="278" t="e">
        <f t="shared" si="18"/>
        <v>#DIV/0!</v>
      </c>
      <c r="N84" s="278" t="e">
        <f t="shared" si="18"/>
        <v>#DIV/0!</v>
      </c>
      <c r="O84" s="214">
        <f t="shared" si="19"/>
        <v>0</v>
      </c>
      <c r="P84" s="214">
        <f t="shared" si="20"/>
        <v>0</v>
      </c>
      <c r="Q84" s="214">
        <f>IF(K84=0, 0, (HLOOKUP(K84,'[1]E-CESTDWO'!$A$5:$O$35,J84+1,FALSE)*R34))</f>
        <v>0</v>
      </c>
      <c r="R84" s="214">
        <f>IF(K84=0, 0, (HLOOKUP(K84,'[1]E-CESTD'!$A$5:$O$35,J84+1,FALSE)*R34))</f>
        <v>0</v>
      </c>
      <c r="S84" s="279">
        <v>1.081</v>
      </c>
      <c r="T84" s="280">
        <f t="shared" si="12"/>
        <v>0</v>
      </c>
      <c r="U84" s="280">
        <f t="shared" si="13"/>
        <v>0</v>
      </c>
      <c r="V84" s="280">
        <f t="shared" si="14"/>
        <v>0</v>
      </c>
    </row>
    <row r="85" spans="2:25">
      <c r="B85" s="282"/>
      <c r="C85" s="282" t="s">
        <v>207</v>
      </c>
      <c r="D85" s="285">
        <v>0</v>
      </c>
      <c r="E85" s="282" t="s">
        <v>181</v>
      </c>
      <c r="F85" s="282" t="s">
        <v>186</v>
      </c>
      <c r="G85" s="283"/>
      <c r="H85" s="283"/>
      <c r="I85" s="284">
        <v>0</v>
      </c>
      <c r="J85" s="257"/>
      <c r="K85" s="257"/>
      <c r="L85" s="3574"/>
      <c r="M85" s="278" t="e">
        <f t="shared" si="18"/>
        <v>#DIV/0!</v>
      </c>
      <c r="N85" s="278" t="e">
        <f t="shared" si="18"/>
        <v>#DIV/0!</v>
      </c>
      <c r="O85" s="214">
        <f t="shared" si="19"/>
        <v>0</v>
      </c>
      <c r="P85" s="214">
        <f t="shared" si="20"/>
        <v>0</v>
      </c>
      <c r="Q85" s="214">
        <f>IF(K85=0, 0, (HLOOKUP(K85,'[1]E-CESTDWO'!$A$5:$O$35,J85+1,FALSE)*R35))</f>
        <v>0</v>
      </c>
      <c r="R85" s="214">
        <f>IF(K85=0, 0, (HLOOKUP(K85,'[1]E-CESTD'!$A$5:$O$35,J85+1,FALSE)*R35))</f>
        <v>0</v>
      </c>
      <c r="S85" s="279">
        <v>1.081</v>
      </c>
      <c r="T85" s="280">
        <f t="shared" si="12"/>
        <v>0</v>
      </c>
      <c r="U85" s="280">
        <f t="shared" si="13"/>
        <v>0</v>
      </c>
      <c r="V85" s="280">
        <f t="shared" si="14"/>
        <v>0</v>
      </c>
    </row>
    <row r="86" spans="2:25">
      <c r="B86" s="282"/>
      <c r="C86" s="282" t="s">
        <v>208</v>
      </c>
      <c r="D86" s="285">
        <v>0</v>
      </c>
      <c r="E86" s="282" t="s">
        <v>181</v>
      </c>
      <c r="F86" s="282" t="s">
        <v>186</v>
      </c>
      <c r="G86" s="283"/>
      <c r="H86" s="283"/>
      <c r="I86" s="284">
        <v>0</v>
      </c>
      <c r="J86" s="257"/>
      <c r="K86" s="257"/>
      <c r="L86" s="3574"/>
      <c r="M86" s="278" t="e">
        <f t="shared" si="18"/>
        <v>#DIV/0!</v>
      </c>
      <c r="N86" s="278" t="e">
        <f t="shared" si="18"/>
        <v>#DIV/0!</v>
      </c>
      <c r="O86" s="214">
        <f t="shared" si="19"/>
        <v>0</v>
      </c>
      <c r="P86" s="214">
        <f t="shared" si="20"/>
        <v>0</v>
      </c>
      <c r="Q86" s="214">
        <f>IF(K86=0, 0, (HLOOKUP(K86,'[1]E-CESTDWO'!$A$5:$O$35,J86+1,FALSE)*R36))</f>
        <v>0</v>
      </c>
      <c r="R86" s="214">
        <f>IF(K86=0, 0, (HLOOKUP(K86,'[1]E-CESTD'!$A$5:$O$35,J86+1,FALSE)*R36))</f>
        <v>0</v>
      </c>
      <c r="S86" s="279">
        <v>1.081</v>
      </c>
      <c r="T86" s="280">
        <f t="shared" si="12"/>
        <v>0</v>
      </c>
      <c r="U86" s="280">
        <f t="shared" si="13"/>
        <v>0</v>
      </c>
      <c r="V86" s="280">
        <f t="shared" si="14"/>
        <v>0</v>
      </c>
    </row>
    <row r="87" spans="2:25">
      <c r="B87" s="282"/>
      <c r="C87" s="282" t="s">
        <v>209</v>
      </c>
      <c r="D87" s="285">
        <v>0</v>
      </c>
      <c r="E87" s="282" t="s">
        <v>181</v>
      </c>
      <c r="F87" s="282" t="s">
        <v>186</v>
      </c>
      <c r="G87" s="283"/>
      <c r="H87" s="283"/>
      <c r="I87" s="284">
        <v>0</v>
      </c>
      <c r="J87" s="257"/>
      <c r="K87" s="257"/>
      <c r="L87" s="3574"/>
      <c r="M87" s="278" t="e">
        <f t="shared" si="18"/>
        <v>#DIV/0!</v>
      </c>
      <c r="N87" s="278" t="e">
        <f t="shared" si="18"/>
        <v>#DIV/0!</v>
      </c>
      <c r="O87" s="214">
        <f t="shared" si="19"/>
        <v>0</v>
      </c>
      <c r="P87" s="214">
        <f t="shared" si="20"/>
        <v>0</v>
      </c>
      <c r="Q87" s="214">
        <f>IF(K87=0, 0, (HLOOKUP(K87,'[1]E-CESTDWO'!$A$5:$O$35,J87+1,FALSE)*R37))</f>
        <v>0</v>
      </c>
      <c r="R87" s="214">
        <f>IF(K87=0, 0, (HLOOKUP(K87,'[1]E-CESTD'!$A$5:$O$35,J87+1,FALSE)*R37))</f>
        <v>0</v>
      </c>
      <c r="S87" s="279">
        <v>1.081</v>
      </c>
      <c r="T87" s="280">
        <f t="shared" si="12"/>
        <v>0</v>
      </c>
      <c r="U87" s="280">
        <f t="shared" si="13"/>
        <v>0</v>
      </c>
      <c r="V87" s="280">
        <f t="shared" si="14"/>
        <v>0</v>
      </c>
    </row>
    <row r="88" spans="2:25">
      <c r="B88" s="282"/>
      <c r="C88" s="282" t="s">
        <v>210</v>
      </c>
      <c r="D88" s="285">
        <v>0</v>
      </c>
      <c r="E88" s="282" t="s">
        <v>181</v>
      </c>
      <c r="F88" s="282" t="s">
        <v>186</v>
      </c>
      <c r="G88" s="283"/>
      <c r="H88" s="283"/>
      <c r="I88" s="284">
        <v>0</v>
      </c>
      <c r="J88" s="257"/>
      <c r="K88" s="257"/>
      <c r="L88" s="3574"/>
      <c r="M88" s="278" t="e">
        <f t="shared" si="18"/>
        <v>#DIV/0!</v>
      </c>
      <c r="N88" s="278" t="e">
        <f t="shared" si="18"/>
        <v>#DIV/0!</v>
      </c>
      <c r="O88" s="214">
        <f t="shared" si="19"/>
        <v>0</v>
      </c>
      <c r="P88" s="214">
        <f t="shared" si="20"/>
        <v>0</v>
      </c>
      <c r="Q88" s="214">
        <f>IF(K88=0, 0, (HLOOKUP(K88,'[1]E-CESTDWO'!$A$5:$O$35,J88+1,FALSE)*R38))</f>
        <v>0</v>
      </c>
      <c r="R88" s="214">
        <f>IF(K88=0, 0, (HLOOKUP(K88,'[1]E-CESTD'!$A$5:$O$35,J88+1,FALSE)*R38))</f>
        <v>0</v>
      </c>
      <c r="S88" s="279">
        <v>1.081</v>
      </c>
      <c r="T88" s="280">
        <f t="shared" si="12"/>
        <v>0</v>
      </c>
      <c r="U88" s="280">
        <f t="shared" si="13"/>
        <v>0</v>
      </c>
      <c r="V88" s="280">
        <f t="shared" si="14"/>
        <v>0</v>
      </c>
    </row>
    <row r="89" spans="2:25">
      <c r="B89" s="282"/>
      <c r="C89" s="282" t="s">
        <v>211</v>
      </c>
      <c r="D89" s="285">
        <v>0</v>
      </c>
      <c r="E89" s="282" t="s">
        <v>181</v>
      </c>
      <c r="F89" s="282" t="s">
        <v>186</v>
      </c>
      <c r="G89" s="283"/>
      <c r="H89" s="283"/>
      <c r="I89" s="284">
        <v>0</v>
      </c>
      <c r="J89" s="257"/>
      <c r="K89" s="257"/>
      <c r="L89" s="3574"/>
      <c r="M89" s="278" t="e">
        <f t="shared" si="18"/>
        <v>#DIV/0!</v>
      </c>
      <c r="N89" s="278" t="e">
        <f t="shared" si="18"/>
        <v>#DIV/0!</v>
      </c>
      <c r="O89" s="214">
        <f t="shared" si="19"/>
        <v>0</v>
      </c>
      <c r="P89" s="214">
        <f t="shared" si="20"/>
        <v>0</v>
      </c>
      <c r="Q89" s="214">
        <f>IF(K89=0, 0, (HLOOKUP(K89,'[1]E-CESTDWO'!$A$5:$O$35,J89+1,FALSE)*R39))</f>
        <v>0</v>
      </c>
      <c r="R89" s="214">
        <f>IF(K89=0, 0, (HLOOKUP(K89,'[1]E-CESTD'!$A$5:$O$35,J89+1,FALSE)*R39))</f>
        <v>0</v>
      </c>
      <c r="S89" s="279">
        <v>1.081</v>
      </c>
      <c r="T89" s="280">
        <f t="shared" si="12"/>
        <v>0</v>
      </c>
      <c r="U89" s="280">
        <f t="shared" si="13"/>
        <v>0</v>
      </c>
      <c r="V89" s="280">
        <f t="shared" si="14"/>
        <v>0</v>
      </c>
    </row>
    <row r="90" spans="2:25">
      <c r="B90" s="282"/>
      <c r="C90" s="282" t="s">
        <v>212</v>
      </c>
      <c r="D90" s="285">
        <v>0</v>
      </c>
      <c r="E90" s="282" t="s">
        <v>181</v>
      </c>
      <c r="F90" s="282" t="s">
        <v>186</v>
      </c>
      <c r="G90" s="283"/>
      <c r="H90" s="283"/>
      <c r="I90" s="284">
        <v>0</v>
      </c>
      <c r="J90" s="257"/>
      <c r="K90" s="257"/>
      <c r="L90" s="3574"/>
      <c r="M90" s="278" t="e">
        <f t="shared" si="18"/>
        <v>#DIV/0!</v>
      </c>
      <c r="N90" s="278" t="e">
        <f t="shared" si="18"/>
        <v>#DIV/0!</v>
      </c>
      <c r="O90" s="214">
        <f t="shared" si="19"/>
        <v>0</v>
      </c>
      <c r="P90" s="214">
        <f t="shared" si="20"/>
        <v>0</v>
      </c>
      <c r="Q90" s="214">
        <f>IF(K90=0, 0, (HLOOKUP(K90,'[1]E-CESTDWO'!$A$5:$O$35,J90+1,FALSE)*R40))</f>
        <v>0</v>
      </c>
      <c r="R90" s="214">
        <f>IF(K90=0, 0, (HLOOKUP(K90,'[1]E-CESTD'!$A$5:$O$35,J90+1,FALSE)*R40))</f>
        <v>0</v>
      </c>
      <c r="S90" s="279">
        <v>1.081</v>
      </c>
      <c r="T90" s="280">
        <f t="shared" si="12"/>
        <v>0</v>
      </c>
      <c r="U90" s="280">
        <f t="shared" si="13"/>
        <v>0</v>
      </c>
      <c r="V90" s="280">
        <f t="shared" si="14"/>
        <v>0</v>
      </c>
    </row>
    <row r="91" spans="2:25">
      <c r="B91" s="282"/>
      <c r="C91" s="282" t="s">
        <v>213</v>
      </c>
      <c r="D91" s="285">
        <v>0</v>
      </c>
      <c r="E91" s="282" t="s">
        <v>181</v>
      </c>
      <c r="F91" s="282" t="s">
        <v>186</v>
      </c>
      <c r="G91" s="283"/>
      <c r="H91" s="283"/>
      <c r="I91" s="284">
        <v>0</v>
      </c>
      <c r="J91" s="257"/>
      <c r="K91" s="257"/>
      <c r="L91" s="3574"/>
      <c r="M91" s="278" t="e">
        <f t="shared" si="18"/>
        <v>#DIV/0!</v>
      </c>
      <c r="N91" s="278" t="e">
        <f t="shared" si="18"/>
        <v>#DIV/0!</v>
      </c>
      <c r="O91" s="214">
        <f t="shared" si="19"/>
        <v>0</v>
      </c>
      <c r="P91" s="214">
        <f t="shared" si="20"/>
        <v>0</v>
      </c>
      <c r="Q91" s="214">
        <f>IF(K91=0, 0, (HLOOKUP(K91,'[1]E-CESTDWO'!$A$5:$O$35,J91+1,FALSE)*R41))</f>
        <v>0</v>
      </c>
      <c r="R91" s="214">
        <f>IF(K91=0, 0, (HLOOKUP(K91,'[1]E-CESTD'!$A$5:$O$35,J91+1,FALSE)*R41))</f>
        <v>0</v>
      </c>
      <c r="S91" s="279">
        <v>1.081</v>
      </c>
      <c r="T91" s="280">
        <f t="shared" si="12"/>
        <v>0</v>
      </c>
      <c r="U91" s="280">
        <f t="shared" si="13"/>
        <v>0</v>
      </c>
      <c r="V91" s="280">
        <f t="shared" si="14"/>
        <v>0</v>
      </c>
    </row>
    <row r="92" spans="2:25">
      <c r="B92" s="282"/>
      <c r="C92" s="282" t="s">
        <v>214</v>
      </c>
      <c r="D92" s="285">
        <v>0</v>
      </c>
      <c r="E92" s="282" t="s">
        <v>181</v>
      </c>
      <c r="F92" s="282" t="s">
        <v>186</v>
      </c>
      <c r="G92" s="283"/>
      <c r="H92" s="283"/>
      <c r="I92" s="284">
        <v>0</v>
      </c>
      <c r="J92" s="257"/>
      <c r="K92" s="257"/>
      <c r="L92" s="3574"/>
      <c r="M92" s="278" t="e">
        <f t="shared" si="18"/>
        <v>#DIV/0!</v>
      </c>
      <c r="N92" s="278" t="e">
        <f t="shared" si="18"/>
        <v>#DIV/0!</v>
      </c>
      <c r="O92" s="214">
        <f t="shared" si="19"/>
        <v>0</v>
      </c>
      <c r="P92" s="214">
        <f t="shared" si="20"/>
        <v>0</v>
      </c>
      <c r="Q92" s="214">
        <f>IF(K92=0, 0, (HLOOKUP(K92,'[1]E-CESTDWO'!$A$5:$O$35,J92+1,FALSE)*R42))</f>
        <v>0</v>
      </c>
      <c r="R92" s="214">
        <f>IF(K92=0, 0, (HLOOKUP(K92,'[1]E-CESTD'!$A$5:$O$35,J92+1,FALSE)*R42))</f>
        <v>0</v>
      </c>
      <c r="S92" s="279">
        <v>1.081</v>
      </c>
      <c r="T92" s="280">
        <f t="shared" si="12"/>
        <v>0</v>
      </c>
      <c r="U92" s="280">
        <f t="shared" si="13"/>
        <v>0</v>
      </c>
      <c r="V92" s="280">
        <f t="shared" si="14"/>
        <v>0</v>
      </c>
    </row>
    <row r="93" spans="2:25">
      <c r="B93" s="282"/>
      <c r="C93" s="282" t="s">
        <v>215</v>
      </c>
      <c r="D93" s="285">
        <v>0</v>
      </c>
      <c r="E93" s="282" t="s">
        <v>181</v>
      </c>
      <c r="F93" s="282" t="s">
        <v>186</v>
      </c>
      <c r="G93" s="283"/>
      <c r="H93" s="283"/>
      <c r="I93" s="284">
        <v>0</v>
      </c>
      <c r="J93" s="257"/>
      <c r="K93" s="257"/>
      <c r="L93" s="3574"/>
      <c r="M93" s="278" t="e">
        <f t="shared" si="18"/>
        <v>#DIV/0!</v>
      </c>
      <c r="N93" s="278" t="e">
        <f t="shared" si="18"/>
        <v>#DIV/0!</v>
      </c>
      <c r="O93" s="214">
        <f t="shared" si="19"/>
        <v>0</v>
      </c>
      <c r="P93" s="214">
        <f t="shared" si="20"/>
        <v>0</v>
      </c>
      <c r="Q93" s="214">
        <f>IF(K93=0, 0, (HLOOKUP(K93,'[1]E-CESTDWO'!$A$5:$O$35,J93+1,FALSE)*R43))</f>
        <v>0</v>
      </c>
      <c r="R93" s="214">
        <f>IF(K93=0, 0, (HLOOKUP(K93,'[1]E-CESTD'!$A$5:$O$35,J93+1,FALSE)*R43))</f>
        <v>0</v>
      </c>
      <c r="S93" s="279">
        <v>1.081</v>
      </c>
      <c r="T93" s="280">
        <f t="shared" si="12"/>
        <v>0</v>
      </c>
      <c r="U93" s="280">
        <f t="shared" si="13"/>
        <v>0</v>
      </c>
      <c r="V93" s="280">
        <f t="shared" si="14"/>
        <v>0</v>
      </c>
    </row>
    <row r="94" spans="2:25">
      <c r="B94" s="282"/>
      <c r="C94" s="282" t="s">
        <v>216</v>
      </c>
      <c r="D94" s="285">
        <v>0</v>
      </c>
      <c r="E94" s="282" t="s">
        <v>181</v>
      </c>
      <c r="F94" s="282" t="s">
        <v>186</v>
      </c>
      <c r="G94" s="283"/>
      <c r="H94" s="283"/>
      <c r="I94" s="284">
        <v>0</v>
      </c>
      <c r="J94" s="257"/>
      <c r="K94" s="257"/>
      <c r="L94" s="3574"/>
      <c r="M94" s="278" t="e">
        <f t="shared" si="18"/>
        <v>#DIV/0!</v>
      </c>
      <c r="N94" s="278" t="e">
        <f t="shared" si="18"/>
        <v>#DIV/0!</v>
      </c>
      <c r="O94" s="214">
        <f t="shared" si="19"/>
        <v>0</v>
      </c>
      <c r="P94" s="214">
        <f t="shared" si="20"/>
        <v>0</v>
      </c>
      <c r="Q94" s="214">
        <f>IF(K94=0, 0, (HLOOKUP(K94,'[1]E-CESTDWO'!$A$5:$O$35,J94+1,FALSE)*R44))</f>
        <v>0</v>
      </c>
      <c r="R94" s="214">
        <f>IF(K94=0, 0, (HLOOKUP(K94,'[1]E-CESTD'!$A$5:$O$35,J94+1,FALSE)*R44))</f>
        <v>0</v>
      </c>
      <c r="S94" s="279">
        <v>1.081</v>
      </c>
      <c r="T94" s="280">
        <f t="shared" si="12"/>
        <v>0</v>
      </c>
      <c r="U94" s="280">
        <f t="shared" si="13"/>
        <v>0</v>
      </c>
      <c r="V94" s="280">
        <f t="shared" si="14"/>
        <v>0</v>
      </c>
    </row>
    <row r="95" spans="2:25">
      <c r="B95" s="282"/>
      <c r="C95" s="282" t="s">
        <v>217</v>
      </c>
      <c r="D95" s="285">
        <v>0</v>
      </c>
      <c r="E95" s="282" t="s">
        <v>181</v>
      </c>
      <c r="F95" s="282" t="s">
        <v>186</v>
      </c>
      <c r="G95" s="283"/>
      <c r="H95" s="283"/>
      <c r="I95" s="284">
        <v>0</v>
      </c>
      <c r="J95" s="257"/>
      <c r="K95" s="257"/>
      <c r="L95" s="3574"/>
      <c r="M95" s="278" t="e">
        <f t="shared" si="18"/>
        <v>#DIV/0!</v>
      </c>
      <c r="N95" s="278" t="e">
        <f t="shared" si="18"/>
        <v>#DIV/0!</v>
      </c>
      <c r="O95" s="214">
        <f t="shared" si="19"/>
        <v>0</v>
      </c>
      <c r="P95" s="214">
        <f t="shared" si="20"/>
        <v>0</v>
      </c>
      <c r="Q95" s="214">
        <f>IF(K95=0, 0, (HLOOKUP(K95,'[1]E-CESTDWO'!$A$5:$O$35,J95+1,FALSE)*R45))</f>
        <v>0</v>
      </c>
      <c r="R95" s="214">
        <f>IF(K95=0, 0, (HLOOKUP(K95,'[1]E-CESTD'!$A$5:$O$35,J95+1,FALSE)*R45))</f>
        <v>0</v>
      </c>
      <c r="S95" s="279">
        <v>1.081</v>
      </c>
      <c r="T95" s="280">
        <f t="shared" si="12"/>
        <v>0</v>
      </c>
      <c r="U95" s="280">
        <f t="shared" si="13"/>
        <v>0</v>
      </c>
      <c r="V95" s="280">
        <f t="shared" si="14"/>
        <v>0</v>
      </c>
    </row>
    <row r="96" spans="2:25">
      <c r="B96" s="282"/>
      <c r="C96" s="282" t="s">
        <v>218</v>
      </c>
      <c r="D96" s="285">
        <v>0</v>
      </c>
      <c r="E96" s="282" t="s">
        <v>181</v>
      </c>
      <c r="F96" s="282" t="s">
        <v>186</v>
      </c>
      <c r="G96" s="283"/>
      <c r="H96" s="283"/>
      <c r="I96" s="284">
        <v>0</v>
      </c>
      <c r="J96" s="257"/>
      <c r="K96" s="257"/>
      <c r="L96" s="3574"/>
      <c r="M96" s="278" t="e">
        <f t="shared" si="18"/>
        <v>#DIV/0!</v>
      </c>
      <c r="N96" s="278" t="e">
        <f t="shared" si="18"/>
        <v>#DIV/0!</v>
      </c>
      <c r="O96" s="214">
        <f t="shared" si="19"/>
        <v>0</v>
      </c>
      <c r="P96" s="214">
        <f t="shared" si="20"/>
        <v>0</v>
      </c>
      <c r="Q96" s="214">
        <f>IF(K96=0, 0, (HLOOKUP(K96,'[1]E-CESTDWO'!$A$5:$O$35,J96+1,FALSE)*R46))</f>
        <v>0</v>
      </c>
      <c r="R96" s="214">
        <f>IF(K96=0, 0, (HLOOKUP(K96,'[1]E-CESTD'!$A$5:$O$35,J96+1,FALSE)*R46))</f>
        <v>0</v>
      </c>
      <c r="S96" s="279">
        <v>1.081</v>
      </c>
      <c r="T96" s="280">
        <f t="shared" si="12"/>
        <v>0</v>
      </c>
      <c r="U96" s="280">
        <f t="shared" si="13"/>
        <v>0</v>
      </c>
      <c r="V96" s="280">
        <f t="shared" si="14"/>
        <v>0</v>
      </c>
    </row>
    <row r="97" spans="2:22">
      <c r="B97" s="282"/>
      <c r="C97" s="282" t="s">
        <v>219</v>
      </c>
      <c r="D97" s="285">
        <v>0</v>
      </c>
      <c r="E97" s="282" t="s">
        <v>181</v>
      </c>
      <c r="F97" s="282" t="s">
        <v>186</v>
      </c>
      <c r="G97" s="283"/>
      <c r="H97" s="283"/>
      <c r="I97" s="284">
        <v>0</v>
      </c>
      <c r="J97" s="257"/>
      <c r="K97" s="257"/>
      <c r="L97" s="3574"/>
      <c r="M97" s="278" t="e">
        <f t="shared" si="18"/>
        <v>#DIV/0!</v>
      </c>
      <c r="N97" s="278" t="e">
        <f t="shared" si="18"/>
        <v>#DIV/0!</v>
      </c>
      <c r="O97" s="214">
        <f t="shared" si="19"/>
        <v>0</v>
      </c>
      <c r="P97" s="214">
        <f t="shared" si="20"/>
        <v>0</v>
      </c>
      <c r="Q97" s="214">
        <f>IF(K97=0, 0, (HLOOKUP(K97,'[1]E-CESTDWO'!$A$5:$O$35,J97+1,FALSE)*R47))</f>
        <v>0</v>
      </c>
      <c r="R97" s="214">
        <f>IF(K97=0, 0, (HLOOKUP(K97,'[1]E-CESTD'!$A$5:$O$35,J97+1,FALSE)*R47))</f>
        <v>0</v>
      </c>
      <c r="S97" s="279">
        <v>1.081</v>
      </c>
      <c r="T97" s="280">
        <f t="shared" si="12"/>
        <v>0</v>
      </c>
      <c r="U97" s="280">
        <f t="shared" si="13"/>
        <v>0</v>
      </c>
      <c r="V97" s="280">
        <f t="shared" si="14"/>
        <v>0</v>
      </c>
    </row>
    <row r="98" spans="2:22">
      <c r="B98" s="282"/>
      <c r="C98" s="282" t="s">
        <v>220</v>
      </c>
      <c r="D98" s="285">
        <v>0</v>
      </c>
      <c r="E98" s="282" t="s">
        <v>181</v>
      </c>
      <c r="F98" s="282" t="s">
        <v>186</v>
      </c>
      <c r="G98" s="283"/>
      <c r="H98" s="283"/>
      <c r="I98" s="284">
        <v>0</v>
      </c>
      <c r="J98" s="257"/>
      <c r="K98" s="257"/>
      <c r="L98" s="3574"/>
      <c r="M98" s="278" t="e">
        <f t="shared" si="18"/>
        <v>#DIV/0!</v>
      </c>
      <c r="N98" s="278" t="e">
        <f t="shared" si="18"/>
        <v>#DIV/0!</v>
      </c>
      <c r="O98" s="214">
        <f t="shared" si="19"/>
        <v>0</v>
      </c>
      <c r="P98" s="214">
        <f t="shared" si="20"/>
        <v>0</v>
      </c>
      <c r="Q98" s="214">
        <f>IF(K98=0, 0, (HLOOKUP(K98,'[1]E-CESTDWO'!$A$5:$O$35,J98+1,FALSE)*R48))</f>
        <v>0</v>
      </c>
      <c r="R98" s="214">
        <f>IF(K98=0, 0, (HLOOKUP(K98,'[1]E-CESTD'!$A$5:$O$35,J98+1,FALSE)*R48))</f>
        <v>0</v>
      </c>
      <c r="S98" s="279">
        <v>1.081</v>
      </c>
      <c r="T98" s="280">
        <f t="shared" si="12"/>
        <v>0</v>
      </c>
      <c r="U98" s="280">
        <f t="shared" si="13"/>
        <v>0</v>
      </c>
      <c r="V98" s="280">
        <f t="shared" si="14"/>
        <v>0</v>
      </c>
    </row>
    <row r="99" spans="2:22">
      <c r="B99" s="282"/>
      <c r="C99" s="282" t="s">
        <v>221</v>
      </c>
      <c r="D99" s="285">
        <v>0</v>
      </c>
      <c r="E99" s="282" t="s">
        <v>181</v>
      </c>
      <c r="F99" s="282" t="s">
        <v>186</v>
      </c>
      <c r="G99" s="283"/>
      <c r="H99" s="283"/>
      <c r="I99" s="284">
        <v>0</v>
      </c>
      <c r="J99" s="257"/>
      <c r="K99" s="257"/>
      <c r="L99" s="3574"/>
      <c r="M99" s="278" t="e">
        <f t="shared" si="18"/>
        <v>#DIV/0!</v>
      </c>
      <c r="N99" s="278" t="e">
        <f t="shared" si="18"/>
        <v>#DIV/0!</v>
      </c>
      <c r="O99" s="214">
        <f t="shared" si="19"/>
        <v>0</v>
      </c>
      <c r="P99" s="214">
        <f t="shared" si="20"/>
        <v>0</v>
      </c>
      <c r="Q99" s="214">
        <f>IF(K99=0, 0, (HLOOKUP(K99,'[1]E-CESTDWO'!$A$5:$O$35,J99+1,FALSE)*R49))</f>
        <v>0</v>
      </c>
      <c r="R99" s="214">
        <f>IF(K99=0, 0, (HLOOKUP(K99,'[1]E-CESTD'!$A$5:$O$35,J99+1,FALSE)*R49))</f>
        <v>0</v>
      </c>
      <c r="S99" s="279">
        <v>1.081</v>
      </c>
      <c r="T99" s="280">
        <f t="shared" si="12"/>
        <v>0</v>
      </c>
      <c r="U99" s="280">
        <f t="shared" si="13"/>
        <v>0</v>
      </c>
      <c r="V99" s="280">
        <f t="shared" si="14"/>
        <v>0</v>
      </c>
    </row>
    <row r="100" spans="2:22">
      <c r="B100" s="282"/>
      <c r="C100" s="282" t="s">
        <v>222</v>
      </c>
      <c r="D100" s="285">
        <v>0</v>
      </c>
      <c r="E100" s="282" t="s">
        <v>181</v>
      </c>
      <c r="F100" s="282" t="s">
        <v>186</v>
      </c>
      <c r="G100" s="283"/>
      <c r="H100" s="283"/>
      <c r="I100" s="284">
        <v>0</v>
      </c>
      <c r="J100" s="257"/>
      <c r="K100" s="257"/>
      <c r="L100" s="3574"/>
      <c r="M100" s="278" t="e">
        <f t="shared" si="18"/>
        <v>#DIV/0!</v>
      </c>
      <c r="N100" s="278" t="e">
        <f t="shared" si="18"/>
        <v>#DIV/0!</v>
      </c>
      <c r="O100" s="214">
        <f t="shared" si="19"/>
        <v>0</v>
      </c>
      <c r="P100" s="214">
        <f t="shared" si="20"/>
        <v>0</v>
      </c>
      <c r="Q100" s="214">
        <f>IF(K100=0, 0, (HLOOKUP(K100,'[1]E-CESTDWO'!$A$5:$O$35,J100+1,FALSE)*R50))</f>
        <v>0</v>
      </c>
      <c r="R100" s="214">
        <f>IF(K100=0, 0, (HLOOKUP(K100,'[1]E-CESTD'!$A$5:$O$35,J100+1,FALSE)*R50))</f>
        <v>0</v>
      </c>
      <c r="S100" s="279">
        <v>1.081</v>
      </c>
      <c r="T100" s="280">
        <f t="shared" si="12"/>
        <v>0</v>
      </c>
      <c r="U100" s="280">
        <f t="shared" si="13"/>
        <v>0</v>
      </c>
      <c r="V100" s="280">
        <f t="shared" si="14"/>
        <v>0</v>
      </c>
    </row>
    <row r="101" spans="2:22">
      <c r="B101" s="282"/>
      <c r="C101" s="282" t="s">
        <v>223</v>
      </c>
      <c r="D101" s="285">
        <v>0</v>
      </c>
      <c r="E101" s="282" t="s">
        <v>181</v>
      </c>
      <c r="F101" s="282" t="s">
        <v>186</v>
      </c>
      <c r="G101" s="283"/>
      <c r="H101" s="283"/>
      <c r="I101" s="284">
        <v>0</v>
      </c>
      <c r="J101" s="257"/>
      <c r="K101" s="257"/>
      <c r="L101" s="3574"/>
      <c r="M101" s="278" t="e">
        <f t="shared" si="18"/>
        <v>#DIV/0!</v>
      </c>
      <c r="N101" s="278" t="e">
        <f t="shared" si="18"/>
        <v>#DIV/0!</v>
      </c>
      <c r="O101" s="214">
        <f t="shared" si="19"/>
        <v>0</v>
      </c>
      <c r="P101" s="214">
        <f t="shared" si="20"/>
        <v>0</v>
      </c>
      <c r="Q101" s="214">
        <f>IF(K101=0, 0, (HLOOKUP(K101,'[1]E-CESTDWO'!$A$5:$O$35,J101+1,FALSE)*R51))</f>
        <v>0</v>
      </c>
      <c r="R101" s="214">
        <f>IF(K101=0, 0, (HLOOKUP(K101,'[1]E-CESTD'!$A$5:$O$35,J101+1,FALSE)*R51))</f>
        <v>0</v>
      </c>
      <c r="S101" s="279">
        <v>1.081</v>
      </c>
      <c r="T101" s="280">
        <f t="shared" si="12"/>
        <v>0</v>
      </c>
      <c r="U101" s="280">
        <f t="shared" si="13"/>
        <v>0</v>
      </c>
      <c r="V101" s="280">
        <f t="shared" si="14"/>
        <v>0</v>
      </c>
    </row>
    <row r="102" spans="2:22">
      <c r="B102" s="282"/>
      <c r="C102" s="282" t="s">
        <v>224</v>
      </c>
      <c r="D102" s="285">
        <v>0</v>
      </c>
      <c r="E102" s="282" t="s">
        <v>181</v>
      </c>
      <c r="F102" s="282" t="s">
        <v>186</v>
      </c>
      <c r="G102" s="283"/>
      <c r="H102" s="283"/>
      <c r="I102" s="284">
        <v>0</v>
      </c>
      <c r="J102" s="257"/>
      <c r="K102" s="257"/>
      <c r="L102" s="3574"/>
      <c r="M102" s="278" t="e">
        <f t="shared" si="18"/>
        <v>#DIV/0!</v>
      </c>
      <c r="N102" s="278" t="e">
        <f t="shared" si="18"/>
        <v>#DIV/0!</v>
      </c>
      <c r="O102" s="214">
        <f t="shared" si="19"/>
        <v>0</v>
      </c>
      <c r="P102" s="214">
        <f t="shared" si="20"/>
        <v>0</v>
      </c>
      <c r="Q102" s="214">
        <f>IF(K102=0, 0, (HLOOKUP(K102,'[1]E-CESTDWO'!$A$5:$O$35,J102+1,FALSE)*R52))</f>
        <v>0</v>
      </c>
      <c r="R102" s="214">
        <f>IF(K102=0, 0, (HLOOKUP(K102,'[1]E-CESTD'!$A$5:$O$35,J102+1,FALSE)*R52))</f>
        <v>0</v>
      </c>
      <c r="S102" s="279">
        <v>1.081</v>
      </c>
      <c r="T102" s="280">
        <f t="shared" si="12"/>
        <v>0</v>
      </c>
      <c r="U102" s="280">
        <f t="shared" si="13"/>
        <v>0</v>
      </c>
      <c r="V102" s="280">
        <f t="shared" si="14"/>
        <v>0</v>
      </c>
    </row>
    <row r="103" spans="2:22">
      <c r="B103" s="282"/>
      <c r="C103" s="282" t="s">
        <v>225</v>
      </c>
      <c r="D103" s="285">
        <v>0</v>
      </c>
      <c r="E103" s="282" t="s">
        <v>181</v>
      </c>
      <c r="F103" s="282" t="s">
        <v>186</v>
      </c>
      <c r="G103" s="283"/>
      <c r="H103" s="283"/>
      <c r="I103" s="284">
        <v>0</v>
      </c>
      <c r="J103" s="257"/>
      <c r="K103" s="257"/>
      <c r="L103" s="3574"/>
      <c r="M103" s="278" t="e">
        <f t="shared" si="18"/>
        <v>#DIV/0!</v>
      </c>
      <c r="N103" s="278" t="e">
        <f t="shared" si="18"/>
        <v>#DIV/0!</v>
      </c>
      <c r="O103" s="214">
        <f t="shared" si="19"/>
        <v>0</v>
      </c>
      <c r="P103" s="214">
        <f t="shared" si="20"/>
        <v>0</v>
      </c>
      <c r="Q103" s="214">
        <f>IF(K103=0, 0, (HLOOKUP(K103,'[1]E-CESTDWO'!$A$5:$O$35,J103+1,FALSE)*R53))</f>
        <v>0</v>
      </c>
      <c r="R103" s="214">
        <f>IF(K103=0, 0, (HLOOKUP(K103,'[1]E-CESTD'!$A$5:$O$35,J103+1,FALSE)*R53))</f>
        <v>0</v>
      </c>
      <c r="S103" s="279">
        <v>1.081</v>
      </c>
      <c r="T103" s="280">
        <f t="shared" si="12"/>
        <v>0</v>
      </c>
      <c r="U103" s="280">
        <f t="shared" si="13"/>
        <v>0</v>
      </c>
      <c r="V103" s="280">
        <f t="shared" si="14"/>
        <v>0</v>
      </c>
    </row>
    <row r="104" spans="2:22" ht="13.5" thickBot="1">
      <c r="B104" s="282"/>
      <c r="C104" s="282" t="s">
        <v>226</v>
      </c>
      <c r="D104" s="285">
        <v>0</v>
      </c>
      <c r="E104" s="282" t="s">
        <v>181</v>
      </c>
      <c r="F104" s="282" t="s">
        <v>186</v>
      </c>
      <c r="G104" s="283"/>
      <c r="H104" s="283"/>
      <c r="I104" s="284">
        <v>0</v>
      </c>
      <c r="J104" s="257"/>
      <c r="K104" s="257"/>
      <c r="L104" s="3574"/>
      <c r="M104" s="278" t="e">
        <f t="shared" si="18"/>
        <v>#DIV/0!</v>
      </c>
      <c r="N104" s="278" t="e">
        <f t="shared" si="18"/>
        <v>#DIV/0!</v>
      </c>
      <c r="O104" s="214">
        <f t="shared" si="19"/>
        <v>0</v>
      </c>
      <c r="P104" s="214">
        <f t="shared" si="20"/>
        <v>0</v>
      </c>
      <c r="Q104" s="214">
        <f>IF(K104=0, 0, (HLOOKUP(K104,'[1]E-CESTDWO'!$A$5:$O$35,J104+1,FALSE)*R54))</f>
        <v>0</v>
      </c>
      <c r="R104" s="214">
        <f>IF(K104=0, 0, (HLOOKUP(K104,'[1]E-CESTD'!$A$5:$O$35,J104+1,FALSE)*R54))</f>
        <v>0</v>
      </c>
      <c r="S104" s="279">
        <v>1.081</v>
      </c>
      <c r="T104" s="280">
        <f t="shared" si="12"/>
        <v>0</v>
      </c>
      <c r="U104" s="280">
        <f t="shared" si="13"/>
        <v>0</v>
      </c>
      <c r="V104" s="280">
        <f t="shared" si="14"/>
        <v>0</v>
      </c>
    </row>
    <row r="105" spans="2:22" ht="13.5" thickBot="1">
      <c r="G105" s="286">
        <f>SUMPRODUCT(G63:G104,O13:O54)</f>
        <v>1228500</v>
      </c>
      <c r="H105" s="287">
        <f>V105</f>
        <v>1228500</v>
      </c>
      <c r="I105" s="288">
        <f>SUM(I63:I104)</f>
        <v>1</v>
      </c>
      <c r="J105" s="289">
        <f>ROUND(SUMPRODUCT(J63:J104,R13:R54)/R55,0)</f>
        <v>6</v>
      </c>
      <c r="K105" s="264"/>
      <c r="L105" s="3580"/>
      <c r="M105" s="290">
        <f>Q105/O105</f>
        <v>1.1788114320042784</v>
      </c>
      <c r="N105" s="291">
        <f>R105/P105</f>
        <v>1.296692575204706</v>
      </c>
      <c r="O105" s="292">
        <f>SUM(O63:O104)</f>
        <v>1700962.5346901019</v>
      </c>
      <c r="P105" s="292">
        <f>SUM(P63:P104)</f>
        <v>1700962.5346901019</v>
      </c>
      <c r="Q105" s="292">
        <f>SUM(Q63:Q104)</f>
        <v>2005114.0813036659</v>
      </c>
      <c r="R105" s="292">
        <f>SUM(R63:R104)</f>
        <v>2205625.4894340322</v>
      </c>
      <c r="S105" s="293"/>
      <c r="T105" s="294">
        <f>SUM(T63:T104)</f>
        <v>0</v>
      </c>
      <c r="U105" s="294">
        <f>SUM(U63:U104)</f>
        <v>1228500</v>
      </c>
      <c r="V105" s="294">
        <f>SUM(V63:V104)</f>
        <v>1228500</v>
      </c>
    </row>
    <row r="106" spans="2:22">
      <c r="L106" s="3532"/>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4" right="0.28999999999999998" top="0.38" bottom="0.33" header="0.3" footer="0.3"/>
      <pageSetup paperSize="17" scale="51" orientation="landscape" r:id="rId1"/>
    </customSheetView>
    <customSheetView guid="{AF9F1D33-B8C2-423F-86A1-47612B8F532C}" scale="80" fitToPage="1">
      <pane xSplit="1" ySplit="1" topLeftCell="M2" activePane="bottomRight" state="frozenSplit"/>
      <selection pane="bottomRight" activeCell="F56" sqref="F56"/>
      <pageMargins left="0.7" right="0.7" top="0.75" bottom="0.75" header="0.3" footer="0.3"/>
      <pageSetup paperSize="17" scale="51"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4" right="0.28999999999999998" top="0.38" bottom="0.33" header="0.3" footer="0.3"/>
  <pageSetup paperSize="17" scale="50" orientation="landscape" r:id="rId2"/>
  <drawing r:id="rId3"/>
  <legacyDrawing r:id="rId4"/>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8.85546875" defaultRowHeight="12.75"/>
  <cols>
    <col min="1" max="1" width="16.140625" customWidth="1"/>
    <col min="2" max="3" width="23.7109375" customWidth="1"/>
    <col min="4" max="4" width="28.28515625" customWidth="1"/>
    <col min="5" max="5" width="20.28515625" customWidth="1"/>
    <col min="6" max="6" width="18.42578125" customWidth="1"/>
    <col min="7" max="8" width="23.7109375" customWidth="1"/>
    <col min="9" max="9" width="18.140625" customWidth="1"/>
    <col min="10" max="11" width="23.7109375" customWidth="1"/>
    <col min="12" max="12" width="18" customWidth="1"/>
    <col min="13" max="13" width="23.7109375" customWidth="1"/>
    <col min="14" max="14" width="15" customWidth="1"/>
    <col min="15" max="15" width="17.85546875" customWidth="1"/>
  </cols>
  <sheetData>
    <row r="1" spans="1:15" ht="44.25" customHeight="1"/>
    <row r="2" spans="1:15" ht="18.75" thickBot="1">
      <c r="B2" s="1" t="s">
        <v>81</v>
      </c>
      <c r="C2" s="166"/>
      <c r="D2" s="2"/>
      <c r="E2" s="3"/>
    </row>
    <row r="3" spans="1:15" ht="15.75" thickBot="1">
      <c r="B3" s="5" t="s">
        <v>5</v>
      </c>
      <c r="C3" s="167"/>
      <c r="D3" s="6" t="s">
        <v>75</v>
      </c>
      <c r="E3" s="101">
        <v>18230802</v>
      </c>
    </row>
    <row r="5" spans="1:15" ht="13.5" thickBot="1">
      <c r="A5" s="69"/>
      <c r="D5" s="2"/>
      <c r="E5" s="104" t="s">
        <v>1139</v>
      </c>
    </row>
    <row r="6" spans="1:15" ht="38.25">
      <c r="B6" s="3462"/>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15">
        <v>729403</v>
      </c>
      <c r="O7" s="26" t="s">
        <v>21</v>
      </c>
    </row>
    <row r="8" spans="1:15" s="53" customFormat="1">
      <c r="A8" s="109"/>
      <c r="D8" s="111" t="s">
        <v>22</v>
      </c>
      <c r="E8" s="28">
        <v>166750</v>
      </c>
      <c r="F8" s="28">
        <v>0</v>
      </c>
      <c r="G8" s="28">
        <v>105052.5</v>
      </c>
      <c r="H8" s="28">
        <v>0</v>
      </c>
      <c r="I8" s="28">
        <v>14000</v>
      </c>
      <c r="J8" s="28">
        <v>1282000</v>
      </c>
      <c r="K8" s="28">
        <v>3500</v>
      </c>
      <c r="L8" s="28">
        <v>260000</v>
      </c>
      <c r="M8" s="168">
        <v>0</v>
      </c>
      <c r="N8" s="29">
        <v>1831302.5</v>
      </c>
      <c r="O8" s="30">
        <f>(N8-N7)/N7</f>
        <v>1.5106868219626188</v>
      </c>
    </row>
    <row r="9" spans="1:15" s="53" customFormat="1">
      <c r="A9" s="109"/>
      <c r="D9" s="53">
        <v>2012</v>
      </c>
      <c r="E9" s="118">
        <f>SUM(B24:B26)</f>
        <v>224250</v>
      </c>
      <c r="F9" s="118">
        <f>SUM(B30:B32)</f>
        <v>0</v>
      </c>
      <c r="G9" s="118">
        <f>(SUM(B24:B26)+SUM(B30:B32))*0.63</f>
        <v>141277.5</v>
      </c>
      <c r="H9" s="118">
        <f>SUM(B45:B49)+SUM(B53:B58)</f>
        <v>0</v>
      </c>
      <c r="I9" s="119">
        <f>SUM(B61:B65)</f>
        <v>15500</v>
      </c>
      <c r="J9" s="118">
        <f>SUM(B69:B74)</f>
        <v>1380000</v>
      </c>
      <c r="K9" s="118">
        <f>SUM(B77:B83)</f>
        <v>0</v>
      </c>
      <c r="L9" s="118">
        <f>SUM(B86:B91)</f>
        <v>260000</v>
      </c>
      <c r="M9" s="120"/>
      <c r="N9" s="186">
        <f>SUM(E9:M9)</f>
        <v>2021027.5</v>
      </c>
      <c r="O9" s="30">
        <f>(N9-N8)/N8</f>
        <v>0.10360112542848601</v>
      </c>
    </row>
    <row r="10" spans="1:15" s="5017" customFormat="1">
      <c r="A10" s="5023"/>
      <c r="D10" s="5011" t="s">
        <v>1168</v>
      </c>
      <c r="E10" s="5007">
        <v>231000</v>
      </c>
      <c r="F10" s="5007">
        <v>0</v>
      </c>
      <c r="G10" s="5007">
        <v>145530</v>
      </c>
      <c r="H10" s="5007">
        <v>0</v>
      </c>
      <c r="I10" s="5016">
        <v>18200</v>
      </c>
      <c r="J10" s="5007">
        <v>1100000</v>
      </c>
      <c r="K10" s="5007">
        <v>0</v>
      </c>
      <c r="L10" s="5007">
        <v>260000</v>
      </c>
      <c r="M10" s="5001"/>
      <c r="N10" s="115">
        <v>1754730</v>
      </c>
      <c r="O10" s="1346">
        <v>-0.13176342231859783</v>
      </c>
    </row>
    <row r="11" spans="1:15" s="53" customFormat="1">
      <c r="A11" s="109"/>
      <c r="D11" s="4264" t="s">
        <v>1169</v>
      </c>
      <c r="E11" s="4218">
        <f>SUM(C24:C26)</f>
        <v>340269</v>
      </c>
      <c r="F11" s="4218">
        <f>SUM(C30:C32)</f>
        <v>0</v>
      </c>
      <c r="G11" s="4218">
        <f>(SUM(C24:C26)+SUM(C30:C32))*0.707</f>
        <v>240570.18299999999</v>
      </c>
      <c r="H11" s="4218">
        <f>SUM(C45:C49)+SUM(C53:C58)</f>
        <v>0</v>
      </c>
      <c r="I11" s="4219">
        <f>SUM(C61:C65)</f>
        <v>18200</v>
      </c>
      <c r="J11" s="4218">
        <f>SUM(C69:C74)</f>
        <v>1300000</v>
      </c>
      <c r="K11" s="4218">
        <f>SUM(C77:C83)</f>
        <v>0</v>
      </c>
      <c r="L11" s="4218">
        <f>SUM(C86:C91)</f>
        <v>260000</v>
      </c>
      <c r="M11" s="4220"/>
      <c r="N11" s="4221">
        <f>SUM(E11:M11)</f>
        <v>2159039.1830000002</v>
      </c>
      <c r="O11" s="30">
        <f>(N11-N9)/N9</f>
        <v>6.82878798037138E-2</v>
      </c>
    </row>
    <row r="12" spans="1:15" s="19" customFormat="1">
      <c r="A12" s="69"/>
      <c r="D12" s="123" t="s">
        <v>1172</v>
      </c>
      <c r="E12" s="124">
        <f>SUM(E9+E11)</f>
        <v>564519</v>
      </c>
      <c r="F12" s="124">
        <f t="shared" ref="F12:N12" si="0">SUM(F9+F11)</f>
        <v>0</v>
      </c>
      <c r="G12" s="124">
        <f t="shared" si="0"/>
        <v>381847.68299999996</v>
      </c>
      <c r="H12" s="124">
        <f t="shared" si="0"/>
        <v>0</v>
      </c>
      <c r="I12" s="124">
        <f t="shared" si="0"/>
        <v>33700</v>
      </c>
      <c r="J12" s="124">
        <f t="shared" si="0"/>
        <v>2680000</v>
      </c>
      <c r="K12" s="124">
        <f t="shared" si="0"/>
        <v>0</v>
      </c>
      <c r="L12" s="124">
        <f t="shared" si="0"/>
        <v>520000</v>
      </c>
      <c r="M12" s="124">
        <f t="shared" si="0"/>
        <v>0</v>
      </c>
      <c r="N12" s="124">
        <f t="shared" si="0"/>
        <v>4180066.6830000002</v>
      </c>
    </row>
    <row r="13" spans="1:15" ht="18" customHeight="1">
      <c r="A13" s="69"/>
      <c r="D13" s="2"/>
      <c r="E13" s="3"/>
      <c r="M13" s="69" t="s">
        <v>23</v>
      </c>
    </row>
    <row r="14" spans="1:15">
      <c r="A14" s="69"/>
      <c r="D14" s="2"/>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170">
        <v>2012</v>
      </c>
      <c r="C20" s="170">
        <v>2013</v>
      </c>
      <c r="D20" s="69" t="s">
        <v>82</v>
      </c>
      <c r="E20" s="131" t="s">
        <v>31</v>
      </c>
    </row>
    <row r="21" spans="1:7">
      <c r="A21" s="69"/>
      <c r="B21" s="174" t="s">
        <v>9</v>
      </c>
      <c r="C21" s="174" t="s">
        <v>9</v>
      </c>
      <c r="D21" s="138"/>
      <c r="E21" s="139">
        <f>SUM(B24:B26)+SUM(C24:C26)</f>
        <v>564519</v>
      </c>
    </row>
    <row r="22" spans="1:7" ht="7.5" customHeight="1">
      <c r="A22" s="69"/>
      <c r="B22" s="175"/>
      <c r="C22" s="175"/>
      <c r="D22" s="2"/>
      <c r="E22" s="52"/>
    </row>
    <row r="23" spans="1:7">
      <c r="A23" s="69"/>
      <c r="B23" s="176" t="s">
        <v>32</v>
      </c>
      <c r="C23" s="176" t="s">
        <v>32</v>
      </c>
      <c r="D23" s="143" t="s">
        <v>7</v>
      </c>
      <c r="E23" s="52"/>
      <c r="F23" s="144" t="s">
        <v>7</v>
      </c>
    </row>
    <row r="24" spans="1:7">
      <c r="A24" s="69"/>
      <c r="B24" s="3494"/>
      <c r="C24" s="3508"/>
      <c r="D24" s="3"/>
      <c r="E24" s="52"/>
      <c r="F24" s="146"/>
    </row>
    <row r="25" spans="1:7">
      <c r="A25" s="69"/>
      <c r="B25" s="3495">
        <v>224250</v>
      </c>
      <c r="C25" s="4705">
        <v>340269</v>
      </c>
      <c r="D25" s="4694" t="s">
        <v>1347</v>
      </c>
      <c r="E25" s="52"/>
    </row>
    <row r="26" spans="1:7">
      <c r="A26" s="69"/>
      <c r="B26" s="3495"/>
      <c r="C26" s="3495"/>
      <c r="D26" s="2"/>
      <c r="E26" s="52"/>
    </row>
    <row r="27" spans="1:7" s="53" customFormat="1" ht="21" customHeight="1">
      <c r="A27" s="109"/>
      <c r="B27" s="174" t="s">
        <v>10</v>
      </c>
      <c r="C27" s="174" t="s">
        <v>10</v>
      </c>
      <c r="D27" s="138"/>
      <c r="E27" s="139">
        <f>SUM(B30:B33)+SUM(C30:C33)</f>
        <v>0</v>
      </c>
    </row>
    <row r="28" spans="1:7" ht="8.25" customHeight="1">
      <c r="A28" s="69"/>
      <c r="B28" s="180"/>
      <c r="C28" s="180"/>
      <c r="D28" s="152"/>
      <c r="E28" s="52"/>
    </row>
    <row r="29" spans="1:7" s="53" customFormat="1" ht="13.5" customHeight="1">
      <c r="A29" s="109"/>
      <c r="B29" s="176" t="s">
        <v>32</v>
      </c>
      <c r="C29" s="176" t="s">
        <v>32</v>
      </c>
      <c r="D29" s="152"/>
      <c r="E29" s="52"/>
    </row>
    <row r="30" spans="1:7">
      <c r="A30" s="69"/>
      <c r="B30" s="86"/>
      <c r="C30" s="181"/>
      <c r="D30" s="150"/>
      <c r="E30" s="52"/>
    </row>
    <row r="31" spans="1:7">
      <c r="A31" s="69"/>
      <c r="B31" s="181"/>
      <c r="C31" s="181"/>
      <c r="D31" s="150"/>
      <c r="E31" s="52"/>
    </row>
    <row r="32" spans="1:7">
      <c r="A32" s="69"/>
      <c r="B32" s="19"/>
      <c r="C32" s="19"/>
      <c r="D32" s="150"/>
      <c r="E32" s="52"/>
    </row>
    <row r="33" spans="1:6">
      <c r="A33" s="69"/>
      <c r="B33" s="19"/>
      <c r="C33" s="19"/>
      <c r="D33" s="150"/>
      <c r="E33" s="52"/>
    </row>
    <row r="34" spans="1:6">
      <c r="A34" s="69"/>
      <c r="B34" s="174" t="s">
        <v>11</v>
      </c>
      <c r="C34" s="174" t="s">
        <v>11</v>
      </c>
      <c r="D34" s="138"/>
      <c r="E34" s="139">
        <f>(B25*0.63)+(C25*0.707)</f>
        <v>381847.68299999996</v>
      </c>
    </row>
    <row r="35" spans="1:6" ht="7.5" customHeight="1">
      <c r="A35" s="69"/>
      <c r="B35" s="175"/>
      <c r="C35" s="175"/>
      <c r="D35" s="2"/>
      <c r="E35" s="68"/>
    </row>
    <row r="36" spans="1:6">
      <c r="A36" s="187"/>
      <c r="B36" s="182" t="s">
        <v>37</v>
      </c>
      <c r="C36" s="182" t="s">
        <v>1204</v>
      </c>
      <c r="D36" s="143" t="s">
        <v>7</v>
      </c>
      <c r="E36" s="52"/>
      <c r="F36" s="157"/>
    </row>
    <row r="37" spans="1:6" ht="9.75" customHeight="1">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26.2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15.75" customHeight="1">
      <c r="A50" s="69"/>
      <c r="B50" s="19"/>
      <c r="C50" s="19"/>
      <c r="D50" s="150"/>
      <c r="E50" s="52"/>
    </row>
    <row r="51" spans="1:5">
      <c r="A51" s="69"/>
      <c r="B51" s="174" t="s">
        <v>39</v>
      </c>
      <c r="C51" s="174" t="s">
        <v>39</v>
      </c>
      <c r="D51" s="138"/>
      <c r="E51" s="139">
        <f>SUM(B53:B58)+SUM(C53:C58)</f>
        <v>0</v>
      </c>
    </row>
    <row r="52" spans="1:5" ht="6.75" customHeight="1">
      <c r="A52" s="69"/>
      <c r="B52" s="180"/>
      <c r="C52" s="180"/>
      <c r="E52" s="73"/>
    </row>
    <row r="53" spans="1:5">
      <c r="A53" s="69"/>
      <c r="B53" s="184"/>
      <c r="C53" s="184"/>
      <c r="E53" s="73"/>
    </row>
    <row r="54" spans="1:5" ht="12.75" customHeight="1">
      <c r="A54" s="69"/>
      <c r="B54" s="184"/>
      <c r="C54" s="184"/>
      <c r="E54" s="73"/>
    </row>
    <row r="55" spans="1:5">
      <c r="A55" s="69"/>
      <c r="B55" s="184"/>
      <c r="C55" s="184"/>
      <c r="E55" s="73"/>
    </row>
    <row r="56" spans="1:5">
      <c r="A56" s="69"/>
      <c r="B56" s="184"/>
      <c r="C56" s="184"/>
      <c r="E56" s="73"/>
    </row>
    <row r="57" spans="1:5">
      <c r="A57" s="69"/>
      <c r="E57" s="73"/>
    </row>
    <row r="58" spans="1:5">
      <c r="A58" s="69"/>
      <c r="D58" s="2"/>
      <c r="E58" s="52"/>
    </row>
    <row r="59" spans="1:5">
      <c r="A59" s="69"/>
      <c r="B59" s="174" t="s">
        <v>13</v>
      </c>
      <c r="C59" s="174" t="s">
        <v>13</v>
      </c>
      <c r="D59" s="138"/>
      <c r="E59" s="139">
        <f>SUM(B61:B66)+SUM(C61:C66)</f>
        <v>33700</v>
      </c>
    </row>
    <row r="60" spans="1:5" ht="6.75" customHeight="1">
      <c r="A60" s="69"/>
      <c r="B60" s="175"/>
      <c r="C60" s="175"/>
      <c r="D60" s="2"/>
      <c r="E60" s="52"/>
    </row>
    <row r="61" spans="1:5">
      <c r="A61" s="69"/>
      <c r="B61" s="3495">
        <v>10000</v>
      </c>
      <c r="C61" s="3495">
        <v>11000</v>
      </c>
      <c r="D61" s="160" t="s">
        <v>70</v>
      </c>
      <c r="E61" s="52"/>
    </row>
    <row r="62" spans="1:5">
      <c r="A62" s="69"/>
      <c r="B62" s="3495">
        <v>1000</v>
      </c>
      <c r="C62" s="3495">
        <v>1200</v>
      </c>
      <c r="D62" s="160" t="s">
        <v>41</v>
      </c>
      <c r="E62" s="52"/>
    </row>
    <row r="63" spans="1:5">
      <c r="A63" s="69"/>
      <c r="B63" s="3495">
        <v>1500</v>
      </c>
      <c r="C63" s="3495">
        <v>2000</v>
      </c>
      <c r="D63" s="160" t="s">
        <v>42</v>
      </c>
      <c r="E63" s="52"/>
    </row>
    <row r="64" spans="1:5">
      <c r="A64" s="69"/>
      <c r="B64" s="3495">
        <v>3000</v>
      </c>
      <c r="C64" s="3495">
        <v>4000</v>
      </c>
      <c r="D64" s="160" t="s">
        <v>61</v>
      </c>
      <c r="E64" s="52"/>
    </row>
    <row r="65" spans="1:5">
      <c r="A65" s="69"/>
      <c r="B65" s="3505"/>
      <c r="C65" s="3505"/>
      <c r="D65" s="160" t="s">
        <v>44</v>
      </c>
      <c r="E65" s="52"/>
    </row>
    <row r="66" spans="1:5">
      <c r="A66" s="69"/>
      <c r="B66" s="3505"/>
      <c r="C66" s="3505"/>
      <c r="D66" s="160"/>
      <c r="E66" s="52"/>
    </row>
    <row r="67" spans="1:5">
      <c r="A67" s="69"/>
      <c r="B67" s="174" t="s">
        <v>14</v>
      </c>
      <c r="C67" s="174" t="s">
        <v>14</v>
      </c>
      <c r="D67" s="138"/>
      <c r="E67" s="139">
        <f>SUM(B69:B74)+SUM(C69:C74)</f>
        <v>2680000</v>
      </c>
    </row>
    <row r="68" spans="1:5" ht="6" customHeight="1">
      <c r="A68" s="162"/>
      <c r="B68" s="175"/>
      <c r="C68" s="175"/>
      <c r="D68" s="2"/>
      <c r="E68" s="52"/>
    </row>
    <row r="69" spans="1:5">
      <c r="A69" s="69"/>
      <c r="B69" s="3495" t="s">
        <v>7</v>
      </c>
      <c r="C69" s="3495"/>
      <c r="D69" s="2"/>
      <c r="E69" s="52"/>
    </row>
    <row r="70" spans="1:5">
      <c r="A70" s="69"/>
      <c r="B70" s="3495">
        <v>1380000</v>
      </c>
      <c r="C70" s="4705">
        <v>1000000</v>
      </c>
      <c r="D70" s="4706" t="s">
        <v>1348</v>
      </c>
      <c r="E70" s="52"/>
    </row>
    <row r="71" spans="1:5">
      <c r="A71" s="69"/>
      <c r="B71" s="3495"/>
      <c r="C71" s="4705">
        <v>300000</v>
      </c>
      <c r="D71" s="4706" t="s">
        <v>1349</v>
      </c>
      <c r="E71" s="52"/>
    </row>
    <row r="72" spans="1:5">
      <c r="A72" s="69"/>
      <c r="B72" s="3495"/>
      <c r="C72" s="3495"/>
      <c r="D72" s="2"/>
      <c r="E72" s="52"/>
    </row>
    <row r="73" spans="1:5">
      <c r="A73" s="69"/>
      <c r="B73" s="3495"/>
      <c r="C73" s="3495"/>
      <c r="D73" s="2"/>
      <c r="E73" s="52"/>
    </row>
    <row r="74" spans="1:5">
      <c r="A74" s="69"/>
      <c r="B74" s="3495" t="s">
        <v>7</v>
      </c>
      <c r="C74" s="3495"/>
      <c r="D74" s="2"/>
      <c r="E74" s="52"/>
    </row>
    <row r="75" spans="1:5">
      <c r="A75" s="69"/>
      <c r="B75" s="174" t="s">
        <v>15</v>
      </c>
      <c r="C75" s="174" t="s">
        <v>15</v>
      </c>
      <c r="D75" s="138"/>
      <c r="E75" s="139">
        <f>SUM(B77:B83)+SUM(C77:C83)</f>
        <v>0</v>
      </c>
    </row>
    <row r="76" spans="1:5" ht="6.75" customHeight="1">
      <c r="A76" s="69"/>
      <c r="B76" s="180"/>
      <c r="C76" s="180"/>
      <c r="D76" s="2"/>
      <c r="E76" s="52"/>
    </row>
    <row r="77" spans="1:5" s="53" customFormat="1" ht="12.75" customHeight="1">
      <c r="A77" s="109"/>
      <c r="B77" s="184"/>
      <c r="C77" s="184"/>
      <c r="D77" s="163"/>
      <c r="E77" s="52"/>
    </row>
    <row r="78" spans="1:5" s="53" customFormat="1" ht="12.75" customHeight="1">
      <c r="A78" s="109"/>
      <c r="B78" s="184"/>
      <c r="C78" s="184"/>
      <c r="D78" s="163"/>
      <c r="E78" s="52"/>
    </row>
    <row r="79" spans="1:5" s="53" customFormat="1" ht="12.75" customHeight="1">
      <c r="A79" s="109"/>
      <c r="B79" s="184"/>
      <c r="C79" s="184"/>
      <c r="D79" s="163"/>
      <c r="E79" s="52"/>
    </row>
    <row r="80" spans="1:5" s="53" customFormat="1" ht="12.75" customHeight="1">
      <c r="A80" s="109"/>
      <c r="B80" s="184"/>
      <c r="C80" s="184"/>
      <c r="D80" s="163"/>
      <c r="E80" s="52"/>
    </row>
    <row r="81" spans="1:5" s="53" customFormat="1" ht="12.75" customHeight="1">
      <c r="A81" s="109"/>
      <c r="B81" s="184"/>
      <c r="C81" s="184"/>
      <c r="D81" s="163"/>
      <c r="E81" s="52"/>
    </row>
    <row r="82" spans="1:5">
      <c r="A82" s="69"/>
      <c r="D82" s="150"/>
      <c r="E82" s="52"/>
    </row>
    <row r="83" spans="1:5">
      <c r="A83" s="69"/>
      <c r="D83" s="150"/>
      <c r="E83" s="52"/>
    </row>
    <row r="84" spans="1:5">
      <c r="A84" s="69"/>
      <c r="B84" s="174" t="s">
        <v>16</v>
      </c>
      <c r="C84" s="174" t="s">
        <v>16</v>
      </c>
      <c r="D84" s="138"/>
      <c r="E84" s="139">
        <f>SUM(B86:B91)+SUM(C86:C91)</f>
        <v>520000</v>
      </c>
    </row>
    <row r="85" spans="1:5" s="53" customFormat="1" ht="6.75" customHeight="1">
      <c r="A85" s="109"/>
      <c r="B85" s="180"/>
      <c r="C85" s="180"/>
      <c r="D85" s="163"/>
      <c r="E85" s="52"/>
    </row>
    <row r="86" spans="1:5" s="53" customFormat="1" ht="12.75" customHeight="1">
      <c r="A86" s="109"/>
      <c r="B86" s="3506"/>
      <c r="C86" s="3506"/>
      <c r="D86" s="163"/>
      <c r="E86" s="52"/>
    </row>
    <row r="87" spans="1:5" s="53" customFormat="1" ht="12.75" customHeight="1">
      <c r="A87" s="109"/>
      <c r="B87" s="3507">
        <v>260000</v>
      </c>
      <c r="C87" s="3507">
        <v>260000</v>
      </c>
      <c r="D87" s="163" t="s">
        <v>83</v>
      </c>
      <c r="E87" s="52"/>
    </row>
    <row r="88" spans="1:5" s="53" customFormat="1" ht="12.75" customHeight="1">
      <c r="A88" s="109"/>
      <c r="B88" s="3506"/>
      <c r="C88" s="3506"/>
      <c r="D88" s="163"/>
      <c r="E88" s="52"/>
    </row>
    <row r="89" spans="1:5" s="53" customFormat="1">
      <c r="A89" s="109"/>
      <c r="B89" s="3506"/>
      <c r="C89" s="3506"/>
      <c r="D89" s="163"/>
      <c r="E89" s="52"/>
    </row>
    <row r="90" spans="1:5" s="53" customFormat="1">
      <c r="A90" s="109"/>
      <c r="B90" s="3506"/>
      <c r="C90" s="3506"/>
      <c r="D90" s="163"/>
      <c r="E90" s="52"/>
    </row>
    <row r="91" spans="1:5">
      <c r="A91" s="69"/>
      <c r="B91" s="3495"/>
      <c r="C91" s="3495"/>
      <c r="D91" s="2"/>
      <c r="E91" s="52"/>
    </row>
    <row r="92" spans="1:5" ht="25.5">
      <c r="A92" s="69"/>
      <c r="B92" s="174" t="s">
        <v>17</v>
      </c>
      <c r="C92" s="174" t="s">
        <v>17</v>
      </c>
      <c r="D92" s="2"/>
      <c r="E92" s="52"/>
    </row>
    <row r="93" spans="1:5" s="53" customFormat="1" ht="6.75" customHeight="1">
      <c r="A93" s="109"/>
      <c r="B93" s="180"/>
      <c r="C93" s="180"/>
      <c r="D93" s="163"/>
      <c r="E93" s="52"/>
    </row>
    <row r="94" spans="1:5" s="53" customFormat="1">
      <c r="A94" s="109"/>
      <c r="B94" s="184"/>
      <c r="C94" s="184"/>
      <c r="D94" s="163"/>
      <c r="E94" s="82"/>
    </row>
    <row r="95" spans="1:5">
      <c r="A95" s="69"/>
      <c r="B95" s="86" t="s">
        <v>54</v>
      </c>
      <c r="D95" s="2"/>
      <c r="E95" s="3"/>
    </row>
    <row r="96" spans="1:5">
      <c r="A96" s="69"/>
      <c r="B96" s="86" t="s">
        <v>55</v>
      </c>
      <c r="D96" s="2"/>
      <c r="E96" s="3"/>
    </row>
    <row r="97" spans="1:5">
      <c r="A97" s="69"/>
      <c r="B97" s="86" t="s">
        <v>56</v>
      </c>
      <c r="D97" s="2"/>
      <c r="E97" s="3"/>
    </row>
  </sheetData>
  <sheetProtection password="9E1F" sheet="1" objects="1" scenarios="1"/>
  <customSheetViews>
    <customSheetView guid="{074EB09C-6289-46D7-9513-012B68BCA7BF}" scale="90" fitToPage="1">
      <pane xSplit="1" ySplit="1" topLeftCell="B2" activePane="bottomRight" state="frozen"/>
      <selection pane="bottomRight" activeCell="K69" sqref="K69"/>
      <pageMargins left="0.24" right="0.37" top="0.38" bottom="0.35" header="0.3" footer="0.3"/>
      <pageSetup paperSize="17" scale="55" orientation="landscape" r:id="rId1"/>
    </customSheetView>
    <customSheetView guid="{AF9F1D33-B8C2-423F-86A1-47612B8F532C}" fitToPage="1">
      <pane xSplit="1" ySplit="1" topLeftCell="B8" activePane="bottomRight" state="frozenSplit"/>
      <selection pane="bottomRight" activeCell="G12" sqref="G12"/>
      <pageMargins left="0.7" right="0.7" top="0.75" bottom="0.75" header="0.3" footer="0.3"/>
      <pageSetup paperSize="17" scale="55" orientation="landscape"/>
    </customSheetView>
  </customSheetViews>
  <mergeCells count="3">
    <mergeCell ref="B18:C18"/>
    <mergeCell ref="B19:C19"/>
    <mergeCell ref="B15:E15"/>
  </mergeCells>
  <pageMargins left="0.24" right="0.37" top="0.38" bottom="0.35" header="0.3" footer="0.3"/>
  <pageSetup paperSize="17" scale="54" orientation="landscape" r:id="rId2"/>
  <drawing r:id="rId3"/>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G22" sqref="G22"/>
    </sheetView>
  </sheetViews>
  <sheetFormatPr defaultColWidth="8.85546875" defaultRowHeight="12.75"/>
  <cols>
    <col min="1" max="1" width="16.140625" style="3532" customWidth="1"/>
    <col min="2" max="3" width="23.7109375" style="3532" customWidth="1"/>
    <col min="4" max="4" width="28.28515625" style="3532" customWidth="1"/>
    <col min="5" max="5" width="20.28515625" style="3532" customWidth="1"/>
    <col min="6" max="6" width="18.42578125" style="3532" customWidth="1"/>
    <col min="7" max="8" width="23.7109375" style="3532" customWidth="1"/>
    <col min="9" max="9" width="18.140625" style="3532" customWidth="1"/>
    <col min="10" max="11" width="23.7109375" style="3532" customWidth="1"/>
    <col min="12" max="12" width="18" style="3532" customWidth="1"/>
    <col min="13" max="13" width="23.7109375" style="3532" customWidth="1"/>
    <col min="14" max="14" width="15" style="3532" customWidth="1"/>
    <col min="15" max="15" width="17.85546875" style="3532" customWidth="1"/>
    <col min="16" max="16384" width="8.85546875" style="3532"/>
  </cols>
  <sheetData>
    <row r="1" spans="1:15" ht="44.25" customHeight="1"/>
    <row r="2" spans="1:15" ht="18.75" thickBot="1">
      <c r="B2" s="1" t="s">
        <v>1184</v>
      </c>
      <c r="C2" s="2113"/>
      <c r="D2" s="4054"/>
      <c r="E2" s="3"/>
    </row>
    <row r="3" spans="1:15" ht="15.75" thickBot="1">
      <c r="B3" s="5" t="s">
        <v>5</v>
      </c>
      <c r="C3" s="167"/>
      <c r="D3" s="6" t="s">
        <v>75</v>
      </c>
      <c r="E3" s="101">
        <v>18230418</v>
      </c>
    </row>
    <row r="5" spans="1:15" ht="13.5" thickBot="1">
      <c r="A5" s="69"/>
      <c r="D5" s="4054"/>
      <c r="E5" s="104" t="s">
        <v>1139</v>
      </c>
    </row>
    <row r="6" spans="1:15" ht="38.25">
      <c r="B6" s="3462"/>
      <c r="E6" s="105" t="s">
        <v>9</v>
      </c>
      <c r="F6" s="105" t="s">
        <v>10</v>
      </c>
      <c r="G6" s="105" t="s">
        <v>11</v>
      </c>
      <c r="H6" s="106" t="s">
        <v>12</v>
      </c>
      <c r="I6" s="107" t="s">
        <v>13</v>
      </c>
      <c r="J6" s="105" t="s">
        <v>14</v>
      </c>
      <c r="K6" s="105" t="s">
        <v>15</v>
      </c>
      <c r="L6" s="105" t="s">
        <v>16</v>
      </c>
      <c r="M6" s="105" t="s">
        <v>17</v>
      </c>
      <c r="N6" s="108" t="s">
        <v>18</v>
      </c>
      <c r="O6" s="2217" t="s">
        <v>19</v>
      </c>
    </row>
    <row r="7" spans="1:15" s="3534" customFormat="1">
      <c r="A7" s="109"/>
      <c r="D7" s="111" t="s">
        <v>20</v>
      </c>
      <c r="E7" s="112"/>
      <c r="F7" s="112"/>
      <c r="G7" s="112"/>
      <c r="H7" s="113"/>
      <c r="I7" s="114"/>
      <c r="J7" s="112"/>
      <c r="K7" s="112"/>
      <c r="L7" s="112"/>
      <c r="M7" s="112"/>
      <c r="N7" s="115">
        <v>729403</v>
      </c>
      <c r="O7" s="1345" t="s">
        <v>21</v>
      </c>
    </row>
    <row r="8" spans="1:15" s="3534" customFormat="1">
      <c r="A8" s="109"/>
      <c r="D8" s="111" t="s">
        <v>22</v>
      </c>
      <c r="E8" s="1334"/>
      <c r="F8" s="1334"/>
      <c r="G8" s="1334"/>
      <c r="H8" s="1334"/>
      <c r="I8" s="1334"/>
      <c r="J8" s="1334"/>
      <c r="K8" s="1334"/>
      <c r="L8" s="1334"/>
      <c r="M8" s="168"/>
      <c r="N8" s="29"/>
      <c r="O8" s="1346">
        <f>(N8-N7)/N7</f>
        <v>-1</v>
      </c>
    </row>
    <row r="9" spans="1:15" s="3534" customFormat="1">
      <c r="A9" s="109"/>
      <c r="D9" s="3534">
        <v>2012</v>
      </c>
      <c r="E9" s="118">
        <f>SUM(B24:B26)</f>
        <v>0</v>
      </c>
      <c r="F9" s="118">
        <f>SUM(B30:B32)</f>
        <v>0</v>
      </c>
      <c r="G9" s="118">
        <f>(SUM(B24:B26)+SUM(B30:B32))*0.63</f>
        <v>0</v>
      </c>
      <c r="H9" s="118">
        <f>SUM(B45:B49)+SUM(B53:B58)</f>
        <v>0</v>
      </c>
      <c r="I9" s="119">
        <f>SUM(B61:B65)</f>
        <v>0</v>
      </c>
      <c r="J9" s="118">
        <f>SUM(B69:B74)</f>
        <v>0</v>
      </c>
      <c r="K9" s="118">
        <f>SUM(B77:B83)</f>
        <v>0</v>
      </c>
      <c r="L9" s="118">
        <f>SUM(B86:B91)</f>
        <v>0</v>
      </c>
      <c r="M9" s="120"/>
      <c r="N9" s="186">
        <f>SUM(E9:M9)</f>
        <v>0</v>
      </c>
      <c r="O9" s="1346" t="e">
        <f>(N9-N8)/N8</f>
        <v>#DIV/0!</v>
      </c>
    </row>
    <row r="10" spans="1:15" s="3534" customFormat="1">
      <c r="A10" s="109"/>
      <c r="D10" s="4263" t="s">
        <v>1168</v>
      </c>
      <c r="E10" s="118"/>
      <c r="F10" s="118"/>
      <c r="G10" s="118"/>
      <c r="H10" s="118"/>
      <c r="I10" s="119"/>
      <c r="J10" s="118"/>
      <c r="K10" s="118"/>
      <c r="L10" s="118"/>
      <c r="M10" s="120"/>
      <c r="N10" s="186"/>
      <c r="O10" s="1346">
        <v>-0.13176342231859783</v>
      </c>
    </row>
    <row r="11" spans="1:15" s="3534" customFormat="1">
      <c r="A11" s="109"/>
      <c r="D11" s="4264" t="s">
        <v>1169</v>
      </c>
      <c r="E11" s="4218">
        <f>SUM(C24:C26)</f>
        <v>324650</v>
      </c>
      <c r="F11" s="4218">
        <f>SUM(C30:C32)</f>
        <v>0</v>
      </c>
      <c r="G11" s="4218">
        <f>(SUM(C24:C26)+SUM(C30:C32))*0.707</f>
        <v>229527.55</v>
      </c>
      <c r="H11" s="4218">
        <f>SUM(C45:C49)+SUM(C53:C58)</f>
        <v>0</v>
      </c>
      <c r="I11" s="4219">
        <f>SUM(C61:C65)</f>
        <v>6505</v>
      </c>
      <c r="J11" s="4218">
        <f>SUM(C69:C74)</f>
        <v>66221</v>
      </c>
      <c r="K11" s="4218">
        <f>SUM(C77:C83)</f>
        <v>5897</v>
      </c>
      <c r="L11" s="4218">
        <f>SUM(C86:C91)</f>
        <v>600</v>
      </c>
      <c r="M11" s="4220"/>
      <c r="N11" s="4221">
        <f>SUM(E11:M11)</f>
        <v>633400.55000000005</v>
      </c>
      <c r="O11" s="1346" t="e">
        <f>(N11-N9)/N9</f>
        <v>#DIV/0!</v>
      </c>
    </row>
    <row r="12" spans="1:15" s="3533" customFormat="1">
      <c r="A12" s="69"/>
      <c r="D12" s="123" t="s">
        <v>1172</v>
      </c>
      <c r="E12" s="124">
        <f>SUM(E9+E11)</f>
        <v>324650</v>
      </c>
      <c r="F12" s="124">
        <f t="shared" ref="F12:N12" si="0">SUM(F9+F11)</f>
        <v>0</v>
      </c>
      <c r="G12" s="124">
        <f t="shared" si="0"/>
        <v>229527.55</v>
      </c>
      <c r="H12" s="124">
        <f t="shared" si="0"/>
        <v>0</v>
      </c>
      <c r="I12" s="124">
        <f t="shared" si="0"/>
        <v>6505</v>
      </c>
      <c r="J12" s="124">
        <f t="shared" si="0"/>
        <v>66221</v>
      </c>
      <c r="K12" s="124">
        <f t="shared" si="0"/>
        <v>5897</v>
      </c>
      <c r="L12" s="124">
        <f t="shared" si="0"/>
        <v>600</v>
      </c>
      <c r="M12" s="124">
        <f t="shared" si="0"/>
        <v>0</v>
      </c>
      <c r="N12" s="124">
        <f t="shared" si="0"/>
        <v>633400.55000000005</v>
      </c>
    </row>
    <row r="13" spans="1:15" ht="18" customHeight="1">
      <c r="A13" s="69"/>
      <c r="D13" s="4054"/>
      <c r="E13" s="3"/>
      <c r="M13" s="69" t="s">
        <v>23</v>
      </c>
    </row>
    <row r="14" spans="1:15">
      <c r="A14" s="69"/>
      <c r="D14" s="4054"/>
      <c r="E14" s="3"/>
      <c r="M14" s="69" t="s">
        <v>24</v>
      </c>
    </row>
    <row r="15" spans="1:15" ht="15.75">
      <c r="A15" s="69"/>
      <c r="B15" s="5143" t="s">
        <v>25</v>
      </c>
      <c r="C15" s="5145"/>
      <c r="D15" s="5145"/>
      <c r="E15" s="5144"/>
      <c r="F15" s="3437"/>
      <c r="G15" s="3437"/>
    </row>
    <row r="16" spans="1:15" s="3534" customFormat="1" ht="15.75">
      <c r="A16" s="109"/>
      <c r="B16" s="169"/>
      <c r="C16" s="129"/>
      <c r="D16" s="129"/>
      <c r="E16" s="129"/>
      <c r="F16" s="129"/>
      <c r="G16" s="129"/>
    </row>
    <row r="17" spans="1:7" s="3534"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4357">
        <v>2012</v>
      </c>
      <c r="C20" s="4357">
        <v>2013</v>
      </c>
      <c r="D20" s="69" t="s">
        <v>82</v>
      </c>
      <c r="E20" s="131" t="s">
        <v>31</v>
      </c>
    </row>
    <row r="21" spans="1:7">
      <c r="A21" s="69"/>
      <c r="B21" s="174" t="s">
        <v>9</v>
      </c>
      <c r="C21" s="174" t="s">
        <v>9</v>
      </c>
      <c r="D21" s="138"/>
      <c r="E21" s="139">
        <f>SUM(B24:B26)+SUM(C24:C26)</f>
        <v>324650</v>
      </c>
    </row>
    <row r="22" spans="1:7">
      <c r="A22" s="69"/>
      <c r="B22" s="175"/>
      <c r="C22" s="175"/>
      <c r="D22" s="4054"/>
      <c r="E22" s="52"/>
    </row>
    <row r="23" spans="1:7">
      <c r="A23" s="69"/>
      <c r="B23" s="176" t="s">
        <v>32</v>
      </c>
      <c r="C23" s="176" t="s">
        <v>32</v>
      </c>
      <c r="D23" s="143" t="s">
        <v>7</v>
      </c>
      <c r="E23" s="52"/>
      <c r="F23" s="144" t="s">
        <v>7</v>
      </c>
    </row>
    <row r="24" spans="1:7">
      <c r="A24" s="69"/>
      <c r="B24" s="3494"/>
      <c r="C24" s="3508"/>
      <c r="D24" s="3"/>
      <c r="E24" s="52"/>
      <c r="F24" s="146"/>
    </row>
    <row r="25" spans="1:7" ht="102">
      <c r="A25" s="69"/>
      <c r="B25" s="3495"/>
      <c r="C25" s="4705">
        <v>324650</v>
      </c>
      <c r="D25" s="4706" t="s">
        <v>1370</v>
      </c>
      <c r="E25" s="52"/>
    </row>
    <row r="26" spans="1:7">
      <c r="A26" s="69"/>
      <c r="B26" s="3495"/>
      <c r="C26" s="3495"/>
      <c r="D26" s="4054"/>
      <c r="E26" s="52"/>
    </row>
    <row r="27" spans="1:7" s="3534" customFormat="1">
      <c r="A27" s="109"/>
      <c r="B27" s="174" t="s">
        <v>10</v>
      </c>
      <c r="C27" s="174" t="s">
        <v>10</v>
      </c>
      <c r="D27" s="138"/>
      <c r="E27" s="139">
        <f>SUM(B30:B33)+SUM(C30:C33)</f>
        <v>0</v>
      </c>
    </row>
    <row r="28" spans="1:7">
      <c r="A28" s="69"/>
      <c r="B28" s="180"/>
      <c r="C28" s="180"/>
      <c r="D28" s="152"/>
      <c r="E28" s="52"/>
    </row>
    <row r="29" spans="1:7" s="3534" customFormat="1">
      <c r="A29" s="109"/>
      <c r="B29" s="176" t="s">
        <v>32</v>
      </c>
      <c r="C29" s="176" t="s">
        <v>32</v>
      </c>
      <c r="D29" s="152"/>
      <c r="E29" s="52"/>
    </row>
    <row r="30" spans="1:7">
      <c r="A30" s="69"/>
      <c r="B30" s="86"/>
      <c r="C30" s="181"/>
      <c r="D30" s="150"/>
      <c r="E30" s="52"/>
    </row>
    <row r="31" spans="1:7">
      <c r="A31" s="69"/>
      <c r="B31" s="181"/>
      <c r="C31" s="181"/>
      <c r="D31" s="150"/>
      <c r="E31" s="52"/>
    </row>
    <row r="32" spans="1:7">
      <c r="A32" s="69"/>
      <c r="B32" s="3533"/>
      <c r="C32" s="3533"/>
      <c r="D32" s="150"/>
      <c r="E32" s="52"/>
    </row>
    <row r="33" spans="1:6">
      <c r="A33" s="69"/>
      <c r="B33" s="3533"/>
      <c r="C33" s="3533"/>
      <c r="D33" s="150"/>
      <c r="E33" s="52"/>
    </row>
    <row r="34" spans="1:6">
      <c r="A34" s="69"/>
      <c r="B34" s="174" t="s">
        <v>11</v>
      </c>
      <c r="C34" s="174" t="s">
        <v>11</v>
      </c>
      <c r="D34" s="138"/>
      <c r="E34" s="139">
        <f>(B25*0.63)+(C25*0.707)</f>
        <v>229527.55</v>
      </c>
    </row>
    <row r="35" spans="1:6">
      <c r="A35" s="69"/>
      <c r="B35" s="175"/>
      <c r="C35" s="175"/>
      <c r="D35" s="4054"/>
      <c r="E35" s="68"/>
    </row>
    <row r="36" spans="1:6">
      <c r="A36" s="1343"/>
      <c r="B36" s="182" t="s">
        <v>37</v>
      </c>
      <c r="C36" s="182" t="s">
        <v>1204</v>
      </c>
      <c r="D36" s="143" t="s">
        <v>7</v>
      </c>
      <c r="E36" s="52"/>
      <c r="F36" s="157"/>
    </row>
    <row r="37" spans="1:6">
      <c r="A37" s="69"/>
      <c r="B37" s="3533"/>
      <c r="C37" s="3533"/>
      <c r="D37" s="150" t="s">
        <v>7</v>
      </c>
      <c r="E37" s="52"/>
    </row>
    <row r="38" spans="1:6" s="3534" customFormat="1">
      <c r="A38" s="109"/>
      <c r="B38" s="174" t="s">
        <v>38</v>
      </c>
      <c r="C38" s="174" t="s">
        <v>38</v>
      </c>
      <c r="D38" s="138"/>
      <c r="E38" s="139">
        <f>SUM(B40:B42)+SUM(C40:C42)</f>
        <v>0</v>
      </c>
    </row>
    <row r="39" spans="1:6">
      <c r="A39" s="69"/>
      <c r="B39" s="180"/>
      <c r="C39" s="180"/>
      <c r="D39" s="152"/>
      <c r="E39" s="52"/>
    </row>
    <row r="40" spans="1:6">
      <c r="A40" s="69"/>
      <c r="C40" s="181"/>
      <c r="D40" s="150"/>
      <c r="E40" s="52"/>
    </row>
    <row r="41" spans="1:6">
      <c r="A41" s="69"/>
      <c r="B41" s="3533"/>
      <c r="C41" s="3533"/>
      <c r="D41" s="150"/>
      <c r="E41" s="52"/>
    </row>
    <row r="42" spans="1:6">
      <c r="A42" s="69"/>
      <c r="B42" s="3533"/>
      <c r="C42" s="3533"/>
      <c r="D42" s="150"/>
      <c r="E42" s="52"/>
    </row>
    <row r="43" spans="1:6">
      <c r="A43" s="69"/>
      <c r="B43" s="174" t="s">
        <v>12</v>
      </c>
      <c r="C43" s="174" t="s">
        <v>12</v>
      </c>
      <c r="D43" s="138"/>
      <c r="E43" s="139">
        <f>SUM(B45:B50)+SUM(C45:C50)</f>
        <v>0</v>
      </c>
    </row>
    <row r="44" spans="1:6">
      <c r="A44" s="69"/>
      <c r="B44" s="183"/>
      <c r="C44" s="183"/>
      <c r="D44" s="150"/>
      <c r="E44" s="52"/>
    </row>
    <row r="45" spans="1:6">
      <c r="A45" s="69"/>
      <c r="B45" s="3533"/>
      <c r="C45" s="3533"/>
      <c r="D45" s="150"/>
      <c r="E45" s="52"/>
    </row>
    <row r="46" spans="1:6">
      <c r="A46" s="69"/>
      <c r="B46" s="3533"/>
      <c r="C46" s="3533"/>
      <c r="D46" s="150"/>
      <c r="E46" s="52"/>
    </row>
    <row r="47" spans="1:6">
      <c r="A47" s="69"/>
      <c r="B47" s="3533"/>
      <c r="C47" s="3533"/>
      <c r="D47" s="150"/>
      <c r="E47" s="52"/>
    </row>
    <row r="48" spans="1:6">
      <c r="A48" s="69"/>
      <c r="B48" s="3533"/>
      <c r="C48" s="3533"/>
      <c r="D48" s="150"/>
      <c r="E48" s="52"/>
    </row>
    <row r="49" spans="1:5">
      <c r="A49" s="69"/>
      <c r="B49" s="3533"/>
      <c r="C49" s="3533"/>
      <c r="D49" s="150"/>
      <c r="E49" s="52"/>
    </row>
    <row r="50" spans="1:5">
      <c r="A50" s="69"/>
      <c r="B50" s="3533"/>
      <c r="C50" s="3533"/>
      <c r="D50" s="150"/>
      <c r="E50" s="52"/>
    </row>
    <row r="51" spans="1:5">
      <c r="A51" s="69"/>
      <c r="B51" s="174" t="s">
        <v>39</v>
      </c>
      <c r="C51" s="174" t="s">
        <v>39</v>
      </c>
      <c r="D51" s="138"/>
      <c r="E51" s="139">
        <f>SUM(B53:B58)+SUM(C53:C58)</f>
        <v>0</v>
      </c>
    </row>
    <row r="52" spans="1:5">
      <c r="A52" s="69"/>
      <c r="B52" s="180"/>
      <c r="C52" s="180"/>
      <c r="E52" s="73"/>
    </row>
    <row r="53" spans="1:5">
      <c r="A53" s="69"/>
      <c r="B53" s="184"/>
      <c r="C53" s="184"/>
      <c r="E53" s="73"/>
    </row>
    <row r="54" spans="1:5">
      <c r="A54" s="69"/>
      <c r="B54" s="184"/>
      <c r="C54" s="184"/>
      <c r="E54" s="73"/>
    </row>
    <row r="55" spans="1:5">
      <c r="A55" s="69"/>
      <c r="B55" s="184"/>
      <c r="C55" s="184"/>
      <c r="E55" s="73"/>
    </row>
    <row r="56" spans="1:5">
      <c r="A56" s="69"/>
      <c r="B56" s="184"/>
      <c r="C56" s="184"/>
      <c r="E56" s="73"/>
    </row>
    <row r="57" spans="1:5">
      <c r="A57" s="69"/>
      <c r="E57" s="73"/>
    </row>
    <row r="58" spans="1:5">
      <c r="A58" s="69"/>
      <c r="D58" s="4054"/>
      <c r="E58" s="52"/>
    </row>
    <row r="59" spans="1:5">
      <c r="A59" s="69"/>
      <c r="B59" s="174" t="s">
        <v>13</v>
      </c>
      <c r="C59" s="174" t="s">
        <v>13</v>
      </c>
      <c r="D59" s="138"/>
      <c r="E59" s="139">
        <f>SUM(B61:B66)+SUM(C61:C66)</f>
        <v>6505</v>
      </c>
    </row>
    <row r="60" spans="1:5">
      <c r="A60" s="69"/>
      <c r="B60" s="175"/>
      <c r="C60" s="175"/>
      <c r="D60" s="4054"/>
      <c r="E60" s="52"/>
    </row>
    <row r="61" spans="1:5" ht="25.5">
      <c r="A61" s="69"/>
      <c r="B61" s="3495"/>
      <c r="C61" s="4705">
        <v>6505</v>
      </c>
      <c r="D61" s="4706" t="s">
        <v>1329</v>
      </c>
      <c r="E61" s="52"/>
    </row>
    <row r="62" spans="1:5">
      <c r="A62" s="69"/>
      <c r="B62" s="3495"/>
      <c r="C62" s="3495"/>
      <c r="D62" s="160"/>
      <c r="E62" s="52"/>
    </row>
    <row r="63" spans="1:5">
      <c r="A63" s="69"/>
      <c r="B63" s="3495"/>
      <c r="C63" s="3495"/>
      <c r="D63" s="160"/>
      <c r="E63" s="52"/>
    </row>
    <row r="64" spans="1:5">
      <c r="A64" s="69"/>
      <c r="B64" s="3495"/>
      <c r="C64" s="3495"/>
      <c r="D64" s="160"/>
      <c r="E64" s="52"/>
    </row>
    <row r="65" spans="1:5">
      <c r="A65" s="69"/>
      <c r="B65" s="3505"/>
      <c r="C65" s="3505"/>
      <c r="D65" s="160"/>
      <c r="E65" s="52"/>
    </row>
    <row r="66" spans="1:5">
      <c r="A66" s="69"/>
      <c r="B66" s="3505"/>
      <c r="C66" s="3505"/>
      <c r="D66" s="160"/>
      <c r="E66" s="52"/>
    </row>
    <row r="67" spans="1:5">
      <c r="A67" s="69"/>
      <c r="B67" s="174" t="s">
        <v>14</v>
      </c>
      <c r="C67" s="174" t="s">
        <v>14</v>
      </c>
      <c r="D67" s="138"/>
      <c r="E67" s="139">
        <f>SUM(B69:B74)+SUM(C69:C74)</f>
        <v>66221</v>
      </c>
    </row>
    <row r="68" spans="1:5">
      <c r="A68" s="162"/>
      <c r="B68" s="175"/>
      <c r="C68" s="175"/>
      <c r="D68" s="4054"/>
      <c r="E68" s="52"/>
    </row>
    <row r="69" spans="1:5" ht="25.5">
      <c r="A69" s="69"/>
      <c r="B69" s="3495" t="s">
        <v>7</v>
      </c>
      <c r="C69" s="4705">
        <v>1221</v>
      </c>
      <c r="D69" s="4706" t="s">
        <v>1330</v>
      </c>
      <c r="E69" s="52"/>
    </row>
    <row r="70" spans="1:5">
      <c r="A70" s="69"/>
      <c r="B70" s="3495"/>
      <c r="C70" s="4705">
        <v>65000</v>
      </c>
      <c r="D70" s="4706" t="s">
        <v>1453</v>
      </c>
      <c r="E70" s="52"/>
    </row>
    <row r="71" spans="1:5">
      <c r="A71" s="69"/>
      <c r="B71" s="3495"/>
      <c r="C71" s="3495"/>
      <c r="D71" s="4054"/>
      <c r="E71" s="52"/>
    </row>
    <row r="72" spans="1:5">
      <c r="A72" s="69"/>
      <c r="B72" s="3495"/>
      <c r="C72" s="3495"/>
      <c r="D72" s="4054"/>
      <c r="E72" s="52"/>
    </row>
    <row r="73" spans="1:5">
      <c r="A73" s="69"/>
      <c r="B73" s="3495"/>
      <c r="C73" s="3495"/>
      <c r="D73" s="4054"/>
      <c r="E73" s="52"/>
    </row>
    <row r="74" spans="1:5">
      <c r="A74" s="69"/>
      <c r="B74" s="3495" t="s">
        <v>7</v>
      </c>
      <c r="C74" s="3495"/>
      <c r="D74" s="4054"/>
      <c r="E74" s="52"/>
    </row>
    <row r="75" spans="1:5">
      <c r="A75" s="69"/>
      <c r="B75" s="174" t="s">
        <v>15</v>
      </c>
      <c r="C75" s="174" t="s">
        <v>15</v>
      </c>
      <c r="D75" s="138"/>
      <c r="E75" s="139">
        <f>SUM(B77:B83)+SUM(C77:C83)</f>
        <v>5897</v>
      </c>
    </row>
    <row r="76" spans="1:5">
      <c r="A76" s="69"/>
      <c r="B76" s="180"/>
      <c r="C76" s="180"/>
      <c r="D76" s="4054"/>
      <c r="E76" s="52"/>
    </row>
    <row r="77" spans="1:5" s="3534" customFormat="1" ht="25.5">
      <c r="A77" s="109"/>
      <c r="B77" s="184"/>
      <c r="C77" s="4689">
        <v>5897</v>
      </c>
      <c r="D77" s="4706" t="s">
        <v>1330</v>
      </c>
      <c r="E77" s="52"/>
    </row>
    <row r="78" spans="1:5" s="3534" customFormat="1">
      <c r="A78" s="109"/>
      <c r="B78" s="184"/>
      <c r="C78" s="184"/>
      <c r="D78" s="163"/>
      <c r="E78" s="52"/>
    </row>
    <row r="79" spans="1:5" s="3534" customFormat="1">
      <c r="A79" s="109"/>
      <c r="B79" s="184"/>
      <c r="C79" s="184"/>
      <c r="D79" s="163"/>
      <c r="E79" s="52"/>
    </row>
    <row r="80" spans="1:5" s="3534" customFormat="1">
      <c r="A80" s="109"/>
      <c r="B80" s="184"/>
      <c r="C80" s="184"/>
      <c r="D80" s="163"/>
      <c r="E80" s="52"/>
    </row>
    <row r="81" spans="1:5" s="3534" customFormat="1">
      <c r="A81" s="109"/>
      <c r="B81" s="184"/>
      <c r="C81" s="184"/>
      <c r="D81" s="163"/>
      <c r="E81" s="52"/>
    </row>
    <row r="82" spans="1:5">
      <c r="A82" s="69"/>
      <c r="D82" s="150"/>
      <c r="E82" s="52"/>
    </row>
    <row r="83" spans="1:5">
      <c r="A83" s="69"/>
      <c r="D83" s="150"/>
      <c r="E83" s="52"/>
    </row>
    <row r="84" spans="1:5">
      <c r="A84" s="69"/>
      <c r="B84" s="174" t="s">
        <v>16</v>
      </c>
      <c r="C84" s="174" t="s">
        <v>16</v>
      </c>
      <c r="D84" s="138"/>
      <c r="E84" s="139">
        <f>SUM(B86:B91)+SUM(C86:C91)</f>
        <v>600</v>
      </c>
    </row>
    <row r="85" spans="1:5" s="3534" customFormat="1">
      <c r="A85" s="109"/>
      <c r="B85" s="180"/>
      <c r="C85" s="180"/>
      <c r="D85" s="163"/>
      <c r="E85" s="52"/>
    </row>
    <row r="86" spans="1:5" s="3534" customFormat="1" ht="25.5">
      <c r="A86" s="109"/>
      <c r="B86" s="3506"/>
      <c r="C86" s="4709">
        <v>600</v>
      </c>
      <c r="D86" s="4706" t="s">
        <v>1330</v>
      </c>
      <c r="E86" s="52"/>
    </row>
    <row r="87" spans="1:5" s="3534" customFormat="1">
      <c r="A87" s="109"/>
      <c r="B87" s="3507"/>
      <c r="C87" s="3507"/>
      <c r="D87" s="163"/>
      <c r="E87" s="52"/>
    </row>
    <row r="88" spans="1:5" s="3534" customFormat="1">
      <c r="A88" s="109"/>
      <c r="B88" s="3506"/>
      <c r="C88" s="3506"/>
      <c r="D88" s="163"/>
      <c r="E88" s="52"/>
    </row>
    <row r="89" spans="1:5" s="3534" customFormat="1">
      <c r="A89" s="109"/>
      <c r="B89" s="3506"/>
      <c r="C89" s="3506"/>
      <c r="D89" s="163"/>
      <c r="E89" s="52"/>
    </row>
    <row r="90" spans="1:5" s="3534" customFormat="1">
      <c r="A90" s="109"/>
      <c r="B90" s="3506"/>
      <c r="C90" s="3506"/>
      <c r="D90" s="163"/>
      <c r="E90" s="52"/>
    </row>
    <row r="91" spans="1:5">
      <c r="A91" s="69"/>
      <c r="B91" s="3495"/>
      <c r="C91" s="3495"/>
      <c r="D91" s="4054"/>
      <c r="E91" s="52"/>
    </row>
    <row r="92" spans="1:5" ht="25.5">
      <c r="A92" s="69"/>
      <c r="B92" s="174" t="s">
        <v>17</v>
      </c>
      <c r="C92" s="174" t="s">
        <v>17</v>
      </c>
      <c r="D92" s="4054"/>
      <c r="E92" s="52"/>
    </row>
    <row r="93" spans="1:5" s="3534" customFormat="1">
      <c r="A93" s="109"/>
      <c r="B93" s="180"/>
      <c r="C93" s="180"/>
      <c r="D93" s="163"/>
      <c r="E93" s="52"/>
    </row>
    <row r="94" spans="1:5" s="3534" customFormat="1">
      <c r="A94" s="109"/>
      <c r="B94" s="184"/>
      <c r="C94" s="184"/>
      <c r="D94" s="163"/>
      <c r="E94" s="82"/>
    </row>
    <row r="95" spans="1:5">
      <c r="A95" s="69"/>
      <c r="B95" s="86" t="s">
        <v>54</v>
      </c>
      <c r="D95" s="4054"/>
      <c r="E95" s="3"/>
    </row>
    <row r="96" spans="1:5">
      <c r="A96" s="69"/>
      <c r="B96" s="86" t="s">
        <v>55</v>
      </c>
      <c r="D96" s="4054"/>
      <c r="E96" s="3"/>
    </row>
    <row r="97" spans="1:5">
      <c r="A97" s="69"/>
      <c r="B97" s="86" t="s">
        <v>56</v>
      </c>
      <c r="D97" s="4054"/>
      <c r="E97" s="3"/>
    </row>
  </sheetData>
  <sheetProtection password="9E1F" sheet="1" objects="1" scenarios="1"/>
  <customSheetViews>
    <customSheetView guid="{074EB09C-6289-46D7-9513-012B68BCA7BF}" fitToPage="1">
      <pane xSplit="1" ySplit="1" topLeftCell="B2" activePane="bottomRight" state="frozen"/>
      <selection pane="bottomRight"/>
      <pageMargins left="0.7" right="0.7" top="0.38" bottom="0.39" header="0.3" footer="0.3"/>
      <pageSetup paperSize="17" scale="49" orientation="landscape" r:id="rId1"/>
    </customSheetView>
    <customSheetView guid="{AF9F1D33-B8C2-423F-86A1-47612B8F532C}" fitToPage="1">
      <pane xSplit="1" ySplit="1" topLeftCell="B8" activePane="bottomRight" state="frozenSplit"/>
      <selection pane="bottomRight" activeCell="G12" sqref="G12"/>
      <pageMargins left="0.7" right="0.7" top="0.75" bottom="0.75" header="0.3" footer="0.3"/>
      <pageSetup paperSize="17" scale="54" orientation="landscape"/>
    </customSheetView>
  </customSheetViews>
  <mergeCells count="3">
    <mergeCell ref="B15:E15"/>
    <mergeCell ref="B18:C18"/>
    <mergeCell ref="B19:C19"/>
  </mergeCells>
  <pageMargins left="0.7" right="0.7" top="0.38" bottom="0.39" header="0.3" footer="0.3"/>
  <pageSetup paperSize="17" scale="48" orientation="landscape" r:id="rId2"/>
  <drawing r:id="rId3"/>
</worksheet>
</file>

<file path=xl/worksheets/sheet82.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8.85546875" defaultRowHeight="12.75"/>
  <cols>
    <col min="1" max="1" width="16.140625" style="2203" customWidth="1"/>
    <col min="2" max="3" width="22.42578125" style="2203" customWidth="1"/>
    <col min="4" max="4" width="23.28515625" style="2203" customWidth="1"/>
    <col min="5" max="10" width="23.7109375" style="2203" customWidth="1"/>
    <col min="11" max="11" width="19.140625" style="2203" customWidth="1"/>
    <col min="12" max="12" width="14.28515625" style="2203" customWidth="1"/>
    <col min="13" max="13" width="23.7109375" style="2203" customWidth="1"/>
    <col min="14" max="14" width="12.28515625" style="2203" customWidth="1"/>
    <col min="15" max="15" width="18.28515625" style="2203" customWidth="1"/>
    <col min="16" max="256" width="8.85546875" style="2203"/>
    <col min="257" max="257" width="36.7109375" style="2203" customWidth="1"/>
    <col min="258" max="259" width="23.7109375" style="2203" customWidth="1"/>
    <col min="260" max="260" width="34.140625" style="2203" customWidth="1"/>
    <col min="261" max="266" width="23.7109375" style="2203" customWidth="1"/>
    <col min="267" max="267" width="19.140625" style="2203" customWidth="1"/>
    <col min="268" max="268" width="14.28515625" style="2203" customWidth="1"/>
    <col min="269" max="269" width="23.7109375" style="2203" customWidth="1"/>
    <col min="270" max="270" width="12.28515625" style="2203" customWidth="1"/>
    <col min="271" max="271" width="18.28515625" style="2203" customWidth="1"/>
    <col min="272" max="512" width="8.85546875" style="2203"/>
    <col min="513" max="513" width="36.7109375" style="2203" customWidth="1"/>
    <col min="514" max="515" width="23.7109375" style="2203" customWidth="1"/>
    <col min="516" max="516" width="34.140625" style="2203" customWidth="1"/>
    <col min="517" max="522" width="23.7109375" style="2203" customWidth="1"/>
    <col min="523" max="523" width="19.140625" style="2203" customWidth="1"/>
    <col min="524" max="524" width="14.28515625" style="2203" customWidth="1"/>
    <col min="525" max="525" width="23.7109375" style="2203" customWidth="1"/>
    <col min="526" max="526" width="12.28515625" style="2203" customWidth="1"/>
    <col min="527" max="527" width="18.28515625" style="2203" customWidth="1"/>
    <col min="528" max="768" width="8.85546875" style="2203"/>
    <col min="769" max="769" width="36.7109375" style="2203" customWidth="1"/>
    <col min="770" max="771" width="23.7109375" style="2203" customWidth="1"/>
    <col min="772" max="772" width="34.140625" style="2203" customWidth="1"/>
    <col min="773" max="778" width="23.7109375" style="2203" customWidth="1"/>
    <col min="779" max="779" width="19.140625" style="2203" customWidth="1"/>
    <col min="780" max="780" width="14.28515625" style="2203" customWidth="1"/>
    <col min="781" max="781" width="23.7109375" style="2203" customWidth="1"/>
    <col min="782" max="782" width="12.28515625" style="2203" customWidth="1"/>
    <col min="783" max="783" width="18.28515625" style="2203" customWidth="1"/>
    <col min="784" max="1024" width="8.85546875" style="2203"/>
    <col min="1025" max="1025" width="36.7109375" style="2203" customWidth="1"/>
    <col min="1026" max="1027" width="23.7109375" style="2203" customWidth="1"/>
    <col min="1028" max="1028" width="34.140625" style="2203" customWidth="1"/>
    <col min="1029" max="1034" width="23.7109375" style="2203" customWidth="1"/>
    <col min="1035" max="1035" width="19.140625" style="2203" customWidth="1"/>
    <col min="1036" max="1036" width="14.28515625" style="2203" customWidth="1"/>
    <col min="1037" max="1037" width="23.7109375" style="2203" customWidth="1"/>
    <col min="1038" max="1038" width="12.28515625" style="2203" customWidth="1"/>
    <col min="1039" max="1039" width="18.28515625" style="2203" customWidth="1"/>
    <col min="1040" max="1280" width="8.85546875" style="2203"/>
    <col min="1281" max="1281" width="36.7109375" style="2203" customWidth="1"/>
    <col min="1282" max="1283" width="23.7109375" style="2203" customWidth="1"/>
    <col min="1284" max="1284" width="34.140625" style="2203" customWidth="1"/>
    <col min="1285" max="1290" width="23.7109375" style="2203" customWidth="1"/>
    <col min="1291" max="1291" width="19.140625" style="2203" customWidth="1"/>
    <col min="1292" max="1292" width="14.28515625" style="2203" customWidth="1"/>
    <col min="1293" max="1293" width="23.7109375" style="2203" customWidth="1"/>
    <col min="1294" max="1294" width="12.28515625" style="2203" customWidth="1"/>
    <col min="1295" max="1295" width="18.28515625" style="2203" customWidth="1"/>
    <col min="1296" max="1536" width="8.85546875" style="2203"/>
    <col min="1537" max="1537" width="36.7109375" style="2203" customWidth="1"/>
    <col min="1538" max="1539" width="23.7109375" style="2203" customWidth="1"/>
    <col min="1540" max="1540" width="34.140625" style="2203" customWidth="1"/>
    <col min="1541" max="1546" width="23.7109375" style="2203" customWidth="1"/>
    <col min="1547" max="1547" width="19.140625" style="2203" customWidth="1"/>
    <col min="1548" max="1548" width="14.28515625" style="2203" customWidth="1"/>
    <col min="1549" max="1549" width="23.7109375" style="2203" customWidth="1"/>
    <col min="1550" max="1550" width="12.28515625" style="2203" customWidth="1"/>
    <col min="1551" max="1551" width="18.28515625" style="2203" customWidth="1"/>
    <col min="1552" max="1792" width="8.85546875" style="2203"/>
    <col min="1793" max="1793" width="36.7109375" style="2203" customWidth="1"/>
    <col min="1794" max="1795" width="23.7109375" style="2203" customWidth="1"/>
    <col min="1796" max="1796" width="34.140625" style="2203" customWidth="1"/>
    <col min="1797" max="1802" width="23.7109375" style="2203" customWidth="1"/>
    <col min="1803" max="1803" width="19.140625" style="2203" customWidth="1"/>
    <col min="1804" max="1804" width="14.28515625" style="2203" customWidth="1"/>
    <col min="1805" max="1805" width="23.7109375" style="2203" customWidth="1"/>
    <col min="1806" max="1806" width="12.28515625" style="2203" customWidth="1"/>
    <col min="1807" max="1807" width="18.28515625" style="2203" customWidth="1"/>
    <col min="1808" max="2048" width="8.85546875" style="2203"/>
    <col min="2049" max="2049" width="36.7109375" style="2203" customWidth="1"/>
    <col min="2050" max="2051" width="23.7109375" style="2203" customWidth="1"/>
    <col min="2052" max="2052" width="34.140625" style="2203" customWidth="1"/>
    <col min="2053" max="2058" width="23.7109375" style="2203" customWidth="1"/>
    <col min="2059" max="2059" width="19.140625" style="2203" customWidth="1"/>
    <col min="2060" max="2060" width="14.28515625" style="2203" customWidth="1"/>
    <col min="2061" max="2061" width="23.7109375" style="2203" customWidth="1"/>
    <col min="2062" max="2062" width="12.28515625" style="2203" customWidth="1"/>
    <col min="2063" max="2063" width="18.28515625" style="2203" customWidth="1"/>
    <col min="2064" max="2304" width="8.85546875" style="2203"/>
    <col min="2305" max="2305" width="36.7109375" style="2203" customWidth="1"/>
    <col min="2306" max="2307" width="23.7109375" style="2203" customWidth="1"/>
    <col min="2308" max="2308" width="34.140625" style="2203" customWidth="1"/>
    <col min="2309" max="2314" width="23.7109375" style="2203" customWidth="1"/>
    <col min="2315" max="2315" width="19.140625" style="2203" customWidth="1"/>
    <col min="2316" max="2316" width="14.28515625" style="2203" customWidth="1"/>
    <col min="2317" max="2317" width="23.7109375" style="2203" customWidth="1"/>
    <col min="2318" max="2318" width="12.28515625" style="2203" customWidth="1"/>
    <col min="2319" max="2319" width="18.28515625" style="2203" customWidth="1"/>
    <col min="2320" max="2560" width="8.85546875" style="2203"/>
    <col min="2561" max="2561" width="36.7109375" style="2203" customWidth="1"/>
    <col min="2562" max="2563" width="23.7109375" style="2203" customWidth="1"/>
    <col min="2564" max="2564" width="34.140625" style="2203" customWidth="1"/>
    <col min="2565" max="2570" width="23.7109375" style="2203" customWidth="1"/>
    <col min="2571" max="2571" width="19.140625" style="2203" customWidth="1"/>
    <col min="2572" max="2572" width="14.28515625" style="2203" customWidth="1"/>
    <col min="2573" max="2573" width="23.7109375" style="2203" customWidth="1"/>
    <col min="2574" max="2574" width="12.28515625" style="2203" customWidth="1"/>
    <col min="2575" max="2575" width="18.28515625" style="2203" customWidth="1"/>
    <col min="2576" max="2816" width="8.85546875" style="2203"/>
    <col min="2817" max="2817" width="36.7109375" style="2203" customWidth="1"/>
    <col min="2818" max="2819" width="23.7109375" style="2203" customWidth="1"/>
    <col min="2820" max="2820" width="34.140625" style="2203" customWidth="1"/>
    <col min="2821" max="2826" width="23.7109375" style="2203" customWidth="1"/>
    <col min="2827" max="2827" width="19.140625" style="2203" customWidth="1"/>
    <col min="2828" max="2828" width="14.28515625" style="2203" customWidth="1"/>
    <col min="2829" max="2829" width="23.7109375" style="2203" customWidth="1"/>
    <col min="2830" max="2830" width="12.28515625" style="2203" customWidth="1"/>
    <col min="2831" max="2831" width="18.28515625" style="2203" customWidth="1"/>
    <col min="2832" max="3072" width="8.85546875" style="2203"/>
    <col min="3073" max="3073" width="36.7109375" style="2203" customWidth="1"/>
    <col min="3074" max="3075" width="23.7109375" style="2203" customWidth="1"/>
    <col min="3076" max="3076" width="34.140625" style="2203" customWidth="1"/>
    <col min="3077" max="3082" width="23.7109375" style="2203" customWidth="1"/>
    <col min="3083" max="3083" width="19.140625" style="2203" customWidth="1"/>
    <col min="3084" max="3084" width="14.28515625" style="2203" customWidth="1"/>
    <col min="3085" max="3085" width="23.7109375" style="2203" customWidth="1"/>
    <col min="3086" max="3086" width="12.28515625" style="2203" customWidth="1"/>
    <col min="3087" max="3087" width="18.28515625" style="2203" customWidth="1"/>
    <col min="3088" max="3328" width="8.85546875" style="2203"/>
    <col min="3329" max="3329" width="36.7109375" style="2203" customWidth="1"/>
    <col min="3330" max="3331" width="23.7109375" style="2203" customWidth="1"/>
    <col min="3332" max="3332" width="34.140625" style="2203" customWidth="1"/>
    <col min="3333" max="3338" width="23.7109375" style="2203" customWidth="1"/>
    <col min="3339" max="3339" width="19.140625" style="2203" customWidth="1"/>
    <col min="3340" max="3340" width="14.28515625" style="2203" customWidth="1"/>
    <col min="3341" max="3341" width="23.7109375" style="2203" customWidth="1"/>
    <col min="3342" max="3342" width="12.28515625" style="2203" customWidth="1"/>
    <col min="3343" max="3343" width="18.28515625" style="2203" customWidth="1"/>
    <col min="3344" max="3584" width="8.85546875" style="2203"/>
    <col min="3585" max="3585" width="36.7109375" style="2203" customWidth="1"/>
    <col min="3586" max="3587" width="23.7109375" style="2203" customWidth="1"/>
    <col min="3588" max="3588" width="34.140625" style="2203" customWidth="1"/>
    <col min="3589" max="3594" width="23.7109375" style="2203" customWidth="1"/>
    <col min="3595" max="3595" width="19.140625" style="2203" customWidth="1"/>
    <col min="3596" max="3596" width="14.28515625" style="2203" customWidth="1"/>
    <col min="3597" max="3597" width="23.7109375" style="2203" customWidth="1"/>
    <col min="3598" max="3598" width="12.28515625" style="2203" customWidth="1"/>
    <col min="3599" max="3599" width="18.28515625" style="2203" customWidth="1"/>
    <col min="3600" max="3840" width="8.85546875" style="2203"/>
    <col min="3841" max="3841" width="36.7109375" style="2203" customWidth="1"/>
    <col min="3842" max="3843" width="23.7109375" style="2203" customWidth="1"/>
    <col min="3844" max="3844" width="34.140625" style="2203" customWidth="1"/>
    <col min="3845" max="3850" width="23.7109375" style="2203" customWidth="1"/>
    <col min="3851" max="3851" width="19.140625" style="2203" customWidth="1"/>
    <col min="3852" max="3852" width="14.28515625" style="2203" customWidth="1"/>
    <col min="3853" max="3853" width="23.7109375" style="2203" customWidth="1"/>
    <col min="3854" max="3854" width="12.28515625" style="2203" customWidth="1"/>
    <col min="3855" max="3855" width="18.28515625" style="2203" customWidth="1"/>
    <col min="3856" max="4096" width="8.85546875" style="2203"/>
    <col min="4097" max="4097" width="36.7109375" style="2203" customWidth="1"/>
    <col min="4098" max="4099" width="23.7109375" style="2203" customWidth="1"/>
    <col min="4100" max="4100" width="34.140625" style="2203" customWidth="1"/>
    <col min="4101" max="4106" width="23.7109375" style="2203" customWidth="1"/>
    <col min="4107" max="4107" width="19.140625" style="2203" customWidth="1"/>
    <col min="4108" max="4108" width="14.28515625" style="2203" customWidth="1"/>
    <col min="4109" max="4109" width="23.7109375" style="2203" customWidth="1"/>
    <col min="4110" max="4110" width="12.28515625" style="2203" customWidth="1"/>
    <col min="4111" max="4111" width="18.28515625" style="2203" customWidth="1"/>
    <col min="4112" max="4352" width="8.85546875" style="2203"/>
    <col min="4353" max="4353" width="36.7109375" style="2203" customWidth="1"/>
    <col min="4354" max="4355" width="23.7109375" style="2203" customWidth="1"/>
    <col min="4356" max="4356" width="34.140625" style="2203" customWidth="1"/>
    <col min="4357" max="4362" width="23.7109375" style="2203" customWidth="1"/>
    <col min="4363" max="4363" width="19.140625" style="2203" customWidth="1"/>
    <col min="4364" max="4364" width="14.28515625" style="2203" customWidth="1"/>
    <col min="4365" max="4365" width="23.7109375" style="2203" customWidth="1"/>
    <col min="4366" max="4366" width="12.28515625" style="2203" customWidth="1"/>
    <col min="4367" max="4367" width="18.28515625" style="2203" customWidth="1"/>
    <col min="4368" max="4608" width="8.85546875" style="2203"/>
    <col min="4609" max="4609" width="36.7109375" style="2203" customWidth="1"/>
    <col min="4610" max="4611" width="23.7109375" style="2203" customWidth="1"/>
    <col min="4612" max="4612" width="34.140625" style="2203" customWidth="1"/>
    <col min="4613" max="4618" width="23.7109375" style="2203" customWidth="1"/>
    <col min="4619" max="4619" width="19.140625" style="2203" customWidth="1"/>
    <col min="4620" max="4620" width="14.28515625" style="2203" customWidth="1"/>
    <col min="4621" max="4621" width="23.7109375" style="2203" customWidth="1"/>
    <col min="4622" max="4622" width="12.28515625" style="2203" customWidth="1"/>
    <col min="4623" max="4623" width="18.28515625" style="2203" customWidth="1"/>
    <col min="4624" max="4864" width="8.85546875" style="2203"/>
    <col min="4865" max="4865" width="36.7109375" style="2203" customWidth="1"/>
    <col min="4866" max="4867" width="23.7109375" style="2203" customWidth="1"/>
    <col min="4868" max="4868" width="34.140625" style="2203" customWidth="1"/>
    <col min="4869" max="4874" width="23.7109375" style="2203" customWidth="1"/>
    <col min="4875" max="4875" width="19.140625" style="2203" customWidth="1"/>
    <col min="4876" max="4876" width="14.28515625" style="2203" customWidth="1"/>
    <col min="4877" max="4877" width="23.7109375" style="2203" customWidth="1"/>
    <col min="4878" max="4878" width="12.28515625" style="2203" customWidth="1"/>
    <col min="4879" max="4879" width="18.28515625" style="2203" customWidth="1"/>
    <col min="4880" max="5120" width="8.85546875" style="2203"/>
    <col min="5121" max="5121" width="36.7109375" style="2203" customWidth="1"/>
    <col min="5122" max="5123" width="23.7109375" style="2203" customWidth="1"/>
    <col min="5124" max="5124" width="34.140625" style="2203" customWidth="1"/>
    <col min="5125" max="5130" width="23.7109375" style="2203" customWidth="1"/>
    <col min="5131" max="5131" width="19.140625" style="2203" customWidth="1"/>
    <col min="5132" max="5132" width="14.28515625" style="2203" customWidth="1"/>
    <col min="5133" max="5133" width="23.7109375" style="2203" customWidth="1"/>
    <col min="5134" max="5134" width="12.28515625" style="2203" customWidth="1"/>
    <col min="5135" max="5135" width="18.28515625" style="2203" customWidth="1"/>
    <col min="5136" max="5376" width="8.85546875" style="2203"/>
    <col min="5377" max="5377" width="36.7109375" style="2203" customWidth="1"/>
    <col min="5378" max="5379" width="23.7109375" style="2203" customWidth="1"/>
    <col min="5380" max="5380" width="34.140625" style="2203" customWidth="1"/>
    <col min="5381" max="5386" width="23.7109375" style="2203" customWidth="1"/>
    <col min="5387" max="5387" width="19.140625" style="2203" customWidth="1"/>
    <col min="5388" max="5388" width="14.28515625" style="2203" customWidth="1"/>
    <col min="5389" max="5389" width="23.7109375" style="2203" customWidth="1"/>
    <col min="5390" max="5390" width="12.28515625" style="2203" customWidth="1"/>
    <col min="5391" max="5391" width="18.28515625" style="2203" customWidth="1"/>
    <col min="5392" max="5632" width="8.85546875" style="2203"/>
    <col min="5633" max="5633" width="36.7109375" style="2203" customWidth="1"/>
    <col min="5634" max="5635" width="23.7109375" style="2203" customWidth="1"/>
    <col min="5636" max="5636" width="34.140625" style="2203" customWidth="1"/>
    <col min="5637" max="5642" width="23.7109375" style="2203" customWidth="1"/>
    <col min="5643" max="5643" width="19.140625" style="2203" customWidth="1"/>
    <col min="5644" max="5644" width="14.28515625" style="2203" customWidth="1"/>
    <col min="5645" max="5645" width="23.7109375" style="2203" customWidth="1"/>
    <col min="5646" max="5646" width="12.28515625" style="2203" customWidth="1"/>
    <col min="5647" max="5647" width="18.28515625" style="2203" customWidth="1"/>
    <col min="5648" max="5888" width="8.85546875" style="2203"/>
    <col min="5889" max="5889" width="36.7109375" style="2203" customWidth="1"/>
    <col min="5890" max="5891" width="23.7109375" style="2203" customWidth="1"/>
    <col min="5892" max="5892" width="34.140625" style="2203" customWidth="1"/>
    <col min="5893" max="5898" width="23.7109375" style="2203" customWidth="1"/>
    <col min="5899" max="5899" width="19.140625" style="2203" customWidth="1"/>
    <col min="5900" max="5900" width="14.28515625" style="2203" customWidth="1"/>
    <col min="5901" max="5901" width="23.7109375" style="2203" customWidth="1"/>
    <col min="5902" max="5902" width="12.28515625" style="2203" customWidth="1"/>
    <col min="5903" max="5903" width="18.28515625" style="2203" customWidth="1"/>
    <col min="5904" max="6144" width="8.85546875" style="2203"/>
    <col min="6145" max="6145" width="36.7109375" style="2203" customWidth="1"/>
    <col min="6146" max="6147" width="23.7109375" style="2203" customWidth="1"/>
    <col min="6148" max="6148" width="34.140625" style="2203" customWidth="1"/>
    <col min="6149" max="6154" width="23.7109375" style="2203" customWidth="1"/>
    <col min="6155" max="6155" width="19.140625" style="2203" customWidth="1"/>
    <col min="6156" max="6156" width="14.28515625" style="2203" customWidth="1"/>
    <col min="6157" max="6157" width="23.7109375" style="2203" customWidth="1"/>
    <col min="6158" max="6158" width="12.28515625" style="2203" customWidth="1"/>
    <col min="6159" max="6159" width="18.28515625" style="2203" customWidth="1"/>
    <col min="6160" max="6400" width="8.85546875" style="2203"/>
    <col min="6401" max="6401" width="36.7109375" style="2203" customWidth="1"/>
    <col min="6402" max="6403" width="23.7109375" style="2203" customWidth="1"/>
    <col min="6404" max="6404" width="34.140625" style="2203" customWidth="1"/>
    <col min="6405" max="6410" width="23.7109375" style="2203" customWidth="1"/>
    <col min="6411" max="6411" width="19.140625" style="2203" customWidth="1"/>
    <col min="6412" max="6412" width="14.28515625" style="2203" customWidth="1"/>
    <col min="6413" max="6413" width="23.7109375" style="2203" customWidth="1"/>
    <col min="6414" max="6414" width="12.28515625" style="2203" customWidth="1"/>
    <col min="6415" max="6415" width="18.28515625" style="2203" customWidth="1"/>
    <col min="6416" max="6656" width="8.85546875" style="2203"/>
    <col min="6657" max="6657" width="36.7109375" style="2203" customWidth="1"/>
    <col min="6658" max="6659" width="23.7109375" style="2203" customWidth="1"/>
    <col min="6660" max="6660" width="34.140625" style="2203" customWidth="1"/>
    <col min="6661" max="6666" width="23.7109375" style="2203" customWidth="1"/>
    <col min="6667" max="6667" width="19.140625" style="2203" customWidth="1"/>
    <col min="6668" max="6668" width="14.28515625" style="2203" customWidth="1"/>
    <col min="6669" max="6669" width="23.7109375" style="2203" customWidth="1"/>
    <col min="6670" max="6670" width="12.28515625" style="2203" customWidth="1"/>
    <col min="6671" max="6671" width="18.28515625" style="2203" customWidth="1"/>
    <col min="6672" max="6912" width="8.85546875" style="2203"/>
    <col min="6913" max="6913" width="36.7109375" style="2203" customWidth="1"/>
    <col min="6914" max="6915" width="23.7109375" style="2203" customWidth="1"/>
    <col min="6916" max="6916" width="34.140625" style="2203" customWidth="1"/>
    <col min="6917" max="6922" width="23.7109375" style="2203" customWidth="1"/>
    <col min="6923" max="6923" width="19.140625" style="2203" customWidth="1"/>
    <col min="6924" max="6924" width="14.28515625" style="2203" customWidth="1"/>
    <col min="6925" max="6925" width="23.7109375" style="2203" customWidth="1"/>
    <col min="6926" max="6926" width="12.28515625" style="2203" customWidth="1"/>
    <col min="6927" max="6927" width="18.28515625" style="2203" customWidth="1"/>
    <col min="6928" max="7168" width="8.85546875" style="2203"/>
    <col min="7169" max="7169" width="36.7109375" style="2203" customWidth="1"/>
    <col min="7170" max="7171" width="23.7109375" style="2203" customWidth="1"/>
    <col min="7172" max="7172" width="34.140625" style="2203" customWidth="1"/>
    <col min="7173" max="7178" width="23.7109375" style="2203" customWidth="1"/>
    <col min="7179" max="7179" width="19.140625" style="2203" customWidth="1"/>
    <col min="7180" max="7180" width="14.28515625" style="2203" customWidth="1"/>
    <col min="7181" max="7181" width="23.7109375" style="2203" customWidth="1"/>
    <col min="7182" max="7182" width="12.28515625" style="2203" customWidth="1"/>
    <col min="7183" max="7183" width="18.28515625" style="2203" customWidth="1"/>
    <col min="7184" max="7424" width="8.85546875" style="2203"/>
    <col min="7425" max="7425" width="36.7109375" style="2203" customWidth="1"/>
    <col min="7426" max="7427" width="23.7109375" style="2203" customWidth="1"/>
    <col min="7428" max="7428" width="34.140625" style="2203" customWidth="1"/>
    <col min="7429" max="7434" width="23.7109375" style="2203" customWidth="1"/>
    <col min="7435" max="7435" width="19.140625" style="2203" customWidth="1"/>
    <col min="7436" max="7436" width="14.28515625" style="2203" customWidth="1"/>
    <col min="7437" max="7437" width="23.7109375" style="2203" customWidth="1"/>
    <col min="7438" max="7438" width="12.28515625" style="2203" customWidth="1"/>
    <col min="7439" max="7439" width="18.28515625" style="2203" customWidth="1"/>
    <col min="7440" max="7680" width="8.85546875" style="2203"/>
    <col min="7681" max="7681" width="36.7109375" style="2203" customWidth="1"/>
    <col min="7682" max="7683" width="23.7109375" style="2203" customWidth="1"/>
    <col min="7684" max="7684" width="34.140625" style="2203" customWidth="1"/>
    <col min="7685" max="7690" width="23.7109375" style="2203" customWidth="1"/>
    <col min="7691" max="7691" width="19.140625" style="2203" customWidth="1"/>
    <col min="7692" max="7692" width="14.28515625" style="2203" customWidth="1"/>
    <col min="7693" max="7693" width="23.7109375" style="2203" customWidth="1"/>
    <col min="7694" max="7694" width="12.28515625" style="2203" customWidth="1"/>
    <col min="7695" max="7695" width="18.28515625" style="2203" customWidth="1"/>
    <col min="7696" max="7936" width="8.85546875" style="2203"/>
    <col min="7937" max="7937" width="36.7109375" style="2203" customWidth="1"/>
    <col min="7938" max="7939" width="23.7109375" style="2203" customWidth="1"/>
    <col min="7940" max="7940" width="34.140625" style="2203" customWidth="1"/>
    <col min="7941" max="7946" width="23.7109375" style="2203" customWidth="1"/>
    <col min="7947" max="7947" width="19.140625" style="2203" customWidth="1"/>
    <col min="7948" max="7948" width="14.28515625" style="2203" customWidth="1"/>
    <col min="7949" max="7949" width="23.7109375" style="2203" customWidth="1"/>
    <col min="7950" max="7950" width="12.28515625" style="2203" customWidth="1"/>
    <col min="7951" max="7951" width="18.28515625" style="2203" customWidth="1"/>
    <col min="7952" max="8192" width="8.85546875" style="2203"/>
    <col min="8193" max="8193" width="36.7109375" style="2203" customWidth="1"/>
    <col min="8194" max="8195" width="23.7109375" style="2203" customWidth="1"/>
    <col min="8196" max="8196" width="34.140625" style="2203" customWidth="1"/>
    <col min="8197" max="8202" width="23.7109375" style="2203" customWidth="1"/>
    <col min="8203" max="8203" width="19.140625" style="2203" customWidth="1"/>
    <col min="8204" max="8204" width="14.28515625" style="2203" customWidth="1"/>
    <col min="8205" max="8205" width="23.7109375" style="2203" customWidth="1"/>
    <col min="8206" max="8206" width="12.28515625" style="2203" customWidth="1"/>
    <col min="8207" max="8207" width="18.28515625" style="2203" customWidth="1"/>
    <col min="8208" max="8448" width="8.85546875" style="2203"/>
    <col min="8449" max="8449" width="36.7109375" style="2203" customWidth="1"/>
    <col min="8450" max="8451" width="23.7109375" style="2203" customWidth="1"/>
    <col min="8452" max="8452" width="34.140625" style="2203" customWidth="1"/>
    <col min="8453" max="8458" width="23.7109375" style="2203" customWidth="1"/>
    <col min="8459" max="8459" width="19.140625" style="2203" customWidth="1"/>
    <col min="8460" max="8460" width="14.28515625" style="2203" customWidth="1"/>
    <col min="8461" max="8461" width="23.7109375" style="2203" customWidth="1"/>
    <col min="8462" max="8462" width="12.28515625" style="2203" customWidth="1"/>
    <col min="8463" max="8463" width="18.28515625" style="2203" customWidth="1"/>
    <col min="8464" max="8704" width="8.85546875" style="2203"/>
    <col min="8705" max="8705" width="36.7109375" style="2203" customWidth="1"/>
    <col min="8706" max="8707" width="23.7109375" style="2203" customWidth="1"/>
    <col min="8708" max="8708" width="34.140625" style="2203" customWidth="1"/>
    <col min="8709" max="8714" width="23.7109375" style="2203" customWidth="1"/>
    <col min="8715" max="8715" width="19.140625" style="2203" customWidth="1"/>
    <col min="8716" max="8716" width="14.28515625" style="2203" customWidth="1"/>
    <col min="8717" max="8717" width="23.7109375" style="2203" customWidth="1"/>
    <col min="8718" max="8718" width="12.28515625" style="2203" customWidth="1"/>
    <col min="8719" max="8719" width="18.28515625" style="2203" customWidth="1"/>
    <col min="8720" max="8960" width="8.85546875" style="2203"/>
    <col min="8961" max="8961" width="36.7109375" style="2203" customWidth="1"/>
    <col min="8962" max="8963" width="23.7109375" style="2203" customWidth="1"/>
    <col min="8964" max="8964" width="34.140625" style="2203" customWidth="1"/>
    <col min="8965" max="8970" width="23.7109375" style="2203" customWidth="1"/>
    <col min="8971" max="8971" width="19.140625" style="2203" customWidth="1"/>
    <col min="8972" max="8972" width="14.28515625" style="2203" customWidth="1"/>
    <col min="8973" max="8973" width="23.7109375" style="2203" customWidth="1"/>
    <col min="8974" max="8974" width="12.28515625" style="2203" customWidth="1"/>
    <col min="8975" max="8975" width="18.28515625" style="2203" customWidth="1"/>
    <col min="8976" max="9216" width="8.85546875" style="2203"/>
    <col min="9217" max="9217" width="36.7109375" style="2203" customWidth="1"/>
    <col min="9218" max="9219" width="23.7109375" style="2203" customWidth="1"/>
    <col min="9220" max="9220" width="34.140625" style="2203" customWidth="1"/>
    <col min="9221" max="9226" width="23.7109375" style="2203" customWidth="1"/>
    <col min="9227" max="9227" width="19.140625" style="2203" customWidth="1"/>
    <col min="9228" max="9228" width="14.28515625" style="2203" customWidth="1"/>
    <col min="9229" max="9229" width="23.7109375" style="2203" customWidth="1"/>
    <col min="9230" max="9230" width="12.28515625" style="2203" customWidth="1"/>
    <col min="9231" max="9231" width="18.28515625" style="2203" customWidth="1"/>
    <col min="9232" max="9472" width="8.85546875" style="2203"/>
    <col min="9473" max="9473" width="36.7109375" style="2203" customWidth="1"/>
    <col min="9474" max="9475" width="23.7109375" style="2203" customWidth="1"/>
    <col min="9476" max="9476" width="34.140625" style="2203" customWidth="1"/>
    <col min="9477" max="9482" width="23.7109375" style="2203" customWidth="1"/>
    <col min="9483" max="9483" width="19.140625" style="2203" customWidth="1"/>
    <col min="9484" max="9484" width="14.28515625" style="2203" customWidth="1"/>
    <col min="9485" max="9485" width="23.7109375" style="2203" customWidth="1"/>
    <col min="9486" max="9486" width="12.28515625" style="2203" customWidth="1"/>
    <col min="9487" max="9487" width="18.28515625" style="2203" customWidth="1"/>
    <col min="9488" max="9728" width="8.85546875" style="2203"/>
    <col min="9729" max="9729" width="36.7109375" style="2203" customWidth="1"/>
    <col min="9730" max="9731" width="23.7109375" style="2203" customWidth="1"/>
    <col min="9732" max="9732" width="34.140625" style="2203" customWidth="1"/>
    <col min="9733" max="9738" width="23.7109375" style="2203" customWidth="1"/>
    <col min="9739" max="9739" width="19.140625" style="2203" customWidth="1"/>
    <col min="9740" max="9740" width="14.28515625" style="2203" customWidth="1"/>
    <col min="9741" max="9741" width="23.7109375" style="2203" customWidth="1"/>
    <col min="9742" max="9742" width="12.28515625" style="2203" customWidth="1"/>
    <col min="9743" max="9743" width="18.28515625" style="2203" customWidth="1"/>
    <col min="9744" max="9984" width="8.85546875" style="2203"/>
    <col min="9985" max="9985" width="36.7109375" style="2203" customWidth="1"/>
    <col min="9986" max="9987" width="23.7109375" style="2203" customWidth="1"/>
    <col min="9988" max="9988" width="34.140625" style="2203" customWidth="1"/>
    <col min="9989" max="9994" width="23.7109375" style="2203" customWidth="1"/>
    <col min="9995" max="9995" width="19.140625" style="2203" customWidth="1"/>
    <col min="9996" max="9996" width="14.28515625" style="2203" customWidth="1"/>
    <col min="9997" max="9997" width="23.7109375" style="2203" customWidth="1"/>
    <col min="9998" max="9998" width="12.28515625" style="2203" customWidth="1"/>
    <col min="9999" max="9999" width="18.28515625" style="2203" customWidth="1"/>
    <col min="10000" max="10240" width="8.85546875" style="2203"/>
    <col min="10241" max="10241" width="36.7109375" style="2203" customWidth="1"/>
    <col min="10242" max="10243" width="23.7109375" style="2203" customWidth="1"/>
    <col min="10244" max="10244" width="34.140625" style="2203" customWidth="1"/>
    <col min="10245" max="10250" width="23.7109375" style="2203" customWidth="1"/>
    <col min="10251" max="10251" width="19.140625" style="2203" customWidth="1"/>
    <col min="10252" max="10252" width="14.28515625" style="2203" customWidth="1"/>
    <col min="10253" max="10253" width="23.7109375" style="2203" customWidth="1"/>
    <col min="10254" max="10254" width="12.28515625" style="2203" customWidth="1"/>
    <col min="10255" max="10255" width="18.28515625" style="2203" customWidth="1"/>
    <col min="10256" max="10496" width="8.85546875" style="2203"/>
    <col min="10497" max="10497" width="36.7109375" style="2203" customWidth="1"/>
    <col min="10498" max="10499" width="23.7109375" style="2203" customWidth="1"/>
    <col min="10500" max="10500" width="34.140625" style="2203" customWidth="1"/>
    <col min="10501" max="10506" width="23.7109375" style="2203" customWidth="1"/>
    <col min="10507" max="10507" width="19.140625" style="2203" customWidth="1"/>
    <col min="10508" max="10508" width="14.28515625" style="2203" customWidth="1"/>
    <col min="10509" max="10509" width="23.7109375" style="2203" customWidth="1"/>
    <col min="10510" max="10510" width="12.28515625" style="2203" customWidth="1"/>
    <col min="10511" max="10511" width="18.28515625" style="2203" customWidth="1"/>
    <col min="10512" max="10752" width="8.85546875" style="2203"/>
    <col min="10753" max="10753" width="36.7109375" style="2203" customWidth="1"/>
    <col min="10754" max="10755" width="23.7109375" style="2203" customWidth="1"/>
    <col min="10756" max="10756" width="34.140625" style="2203" customWidth="1"/>
    <col min="10757" max="10762" width="23.7109375" style="2203" customWidth="1"/>
    <col min="10763" max="10763" width="19.140625" style="2203" customWidth="1"/>
    <col min="10764" max="10764" width="14.28515625" style="2203" customWidth="1"/>
    <col min="10765" max="10765" width="23.7109375" style="2203" customWidth="1"/>
    <col min="10766" max="10766" width="12.28515625" style="2203" customWidth="1"/>
    <col min="10767" max="10767" width="18.28515625" style="2203" customWidth="1"/>
    <col min="10768" max="11008" width="8.85546875" style="2203"/>
    <col min="11009" max="11009" width="36.7109375" style="2203" customWidth="1"/>
    <col min="11010" max="11011" width="23.7109375" style="2203" customWidth="1"/>
    <col min="11012" max="11012" width="34.140625" style="2203" customWidth="1"/>
    <col min="11013" max="11018" width="23.7109375" style="2203" customWidth="1"/>
    <col min="11019" max="11019" width="19.140625" style="2203" customWidth="1"/>
    <col min="11020" max="11020" width="14.28515625" style="2203" customWidth="1"/>
    <col min="11021" max="11021" width="23.7109375" style="2203" customWidth="1"/>
    <col min="11022" max="11022" width="12.28515625" style="2203" customWidth="1"/>
    <col min="11023" max="11023" width="18.28515625" style="2203" customWidth="1"/>
    <col min="11024" max="11264" width="8.85546875" style="2203"/>
    <col min="11265" max="11265" width="36.7109375" style="2203" customWidth="1"/>
    <col min="11266" max="11267" width="23.7109375" style="2203" customWidth="1"/>
    <col min="11268" max="11268" width="34.140625" style="2203" customWidth="1"/>
    <col min="11269" max="11274" width="23.7109375" style="2203" customWidth="1"/>
    <col min="11275" max="11275" width="19.140625" style="2203" customWidth="1"/>
    <col min="11276" max="11276" width="14.28515625" style="2203" customWidth="1"/>
    <col min="11277" max="11277" width="23.7109375" style="2203" customWidth="1"/>
    <col min="11278" max="11278" width="12.28515625" style="2203" customWidth="1"/>
    <col min="11279" max="11279" width="18.28515625" style="2203" customWidth="1"/>
    <col min="11280" max="11520" width="8.85546875" style="2203"/>
    <col min="11521" max="11521" width="36.7109375" style="2203" customWidth="1"/>
    <col min="11522" max="11523" width="23.7109375" style="2203" customWidth="1"/>
    <col min="11524" max="11524" width="34.140625" style="2203" customWidth="1"/>
    <col min="11525" max="11530" width="23.7109375" style="2203" customWidth="1"/>
    <col min="11531" max="11531" width="19.140625" style="2203" customWidth="1"/>
    <col min="11532" max="11532" width="14.28515625" style="2203" customWidth="1"/>
    <col min="11533" max="11533" width="23.7109375" style="2203" customWidth="1"/>
    <col min="11534" max="11534" width="12.28515625" style="2203" customWidth="1"/>
    <col min="11535" max="11535" width="18.28515625" style="2203" customWidth="1"/>
    <col min="11536" max="11776" width="8.85546875" style="2203"/>
    <col min="11777" max="11777" width="36.7109375" style="2203" customWidth="1"/>
    <col min="11778" max="11779" width="23.7109375" style="2203" customWidth="1"/>
    <col min="11780" max="11780" width="34.140625" style="2203" customWidth="1"/>
    <col min="11781" max="11786" width="23.7109375" style="2203" customWidth="1"/>
    <col min="11787" max="11787" width="19.140625" style="2203" customWidth="1"/>
    <col min="11788" max="11788" width="14.28515625" style="2203" customWidth="1"/>
    <col min="11789" max="11789" width="23.7109375" style="2203" customWidth="1"/>
    <col min="11790" max="11790" width="12.28515625" style="2203" customWidth="1"/>
    <col min="11791" max="11791" width="18.28515625" style="2203" customWidth="1"/>
    <col min="11792" max="12032" width="8.85546875" style="2203"/>
    <col min="12033" max="12033" width="36.7109375" style="2203" customWidth="1"/>
    <col min="12034" max="12035" width="23.7109375" style="2203" customWidth="1"/>
    <col min="12036" max="12036" width="34.140625" style="2203" customWidth="1"/>
    <col min="12037" max="12042" width="23.7109375" style="2203" customWidth="1"/>
    <col min="12043" max="12043" width="19.140625" style="2203" customWidth="1"/>
    <col min="12044" max="12044" width="14.28515625" style="2203" customWidth="1"/>
    <col min="12045" max="12045" width="23.7109375" style="2203" customWidth="1"/>
    <col min="12046" max="12046" width="12.28515625" style="2203" customWidth="1"/>
    <col min="12047" max="12047" width="18.28515625" style="2203" customWidth="1"/>
    <col min="12048" max="12288" width="8.85546875" style="2203"/>
    <col min="12289" max="12289" width="36.7109375" style="2203" customWidth="1"/>
    <col min="12290" max="12291" width="23.7109375" style="2203" customWidth="1"/>
    <col min="12292" max="12292" width="34.140625" style="2203" customWidth="1"/>
    <col min="12293" max="12298" width="23.7109375" style="2203" customWidth="1"/>
    <col min="12299" max="12299" width="19.140625" style="2203" customWidth="1"/>
    <col min="12300" max="12300" width="14.28515625" style="2203" customWidth="1"/>
    <col min="12301" max="12301" width="23.7109375" style="2203" customWidth="1"/>
    <col min="12302" max="12302" width="12.28515625" style="2203" customWidth="1"/>
    <col min="12303" max="12303" width="18.28515625" style="2203" customWidth="1"/>
    <col min="12304" max="12544" width="8.85546875" style="2203"/>
    <col min="12545" max="12545" width="36.7109375" style="2203" customWidth="1"/>
    <col min="12546" max="12547" width="23.7109375" style="2203" customWidth="1"/>
    <col min="12548" max="12548" width="34.140625" style="2203" customWidth="1"/>
    <col min="12549" max="12554" width="23.7109375" style="2203" customWidth="1"/>
    <col min="12555" max="12555" width="19.140625" style="2203" customWidth="1"/>
    <col min="12556" max="12556" width="14.28515625" style="2203" customWidth="1"/>
    <col min="12557" max="12557" width="23.7109375" style="2203" customWidth="1"/>
    <col min="12558" max="12558" width="12.28515625" style="2203" customWidth="1"/>
    <col min="12559" max="12559" width="18.28515625" style="2203" customWidth="1"/>
    <col min="12560" max="12800" width="8.85546875" style="2203"/>
    <col min="12801" max="12801" width="36.7109375" style="2203" customWidth="1"/>
    <col min="12802" max="12803" width="23.7109375" style="2203" customWidth="1"/>
    <col min="12804" max="12804" width="34.140625" style="2203" customWidth="1"/>
    <col min="12805" max="12810" width="23.7109375" style="2203" customWidth="1"/>
    <col min="12811" max="12811" width="19.140625" style="2203" customWidth="1"/>
    <col min="12812" max="12812" width="14.28515625" style="2203" customWidth="1"/>
    <col min="12813" max="12813" width="23.7109375" style="2203" customWidth="1"/>
    <col min="12814" max="12814" width="12.28515625" style="2203" customWidth="1"/>
    <col min="12815" max="12815" width="18.28515625" style="2203" customWidth="1"/>
    <col min="12816" max="13056" width="8.85546875" style="2203"/>
    <col min="13057" max="13057" width="36.7109375" style="2203" customWidth="1"/>
    <col min="13058" max="13059" width="23.7109375" style="2203" customWidth="1"/>
    <col min="13060" max="13060" width="34.140625" style="2203" customWidth="1"/>
    <col min="13061" max="13066" width="23.7109375" style="2203" customWidth="1"/>
    <col min="13067" max="13067" width="19.140625" style="2203" customWidth="1"/>
    <col min="13068" max="13068" width="14.28515625" style="2203" customWidth="1"/>
    <col min="13069" max="13069" width="23.7109375" style="2203" customWidth="1"/>
    <col min="13070" max="13070" width="12.28515625" style="2203" customWidth="1"/>
    <col min="13071" max="13071" width="18.28515625" style="2203" customWidth="1"/>
    <col min="13072" max="13312" width="8.85546875" style="2203"/>
    <col min="13313" max="13313" width="36.7109375" style="2203" customWidth="1"/>
    <col min="13314" max="13315" width="23.7109375" style="2203" customWidth="1"/>
    <col min="13316" max="13316" width="34.140625" style="2203" customWidth="1"/>
    <col min="13317" max="13322" width="23.7109375" style="2203" customWidth="1"/>
    <col min="13323" max="13323" width="19.140625" style="2203" customWidth="1"/>
    <col min="13324" max="13324" width="14.28515625" style="2203" customWidth="1"/>
    <col min="13325" max="13325" width="23.7109375" style="2203" customWidth="1"/>
    <col min="13326" max="13326" width="12.28515625" style="2203" customWidth="1"/>
    <col min="13327" max="13327" width="18.28515625" style="2203" customWidth="1"/>
    <col min="13328" max="13568" width="8.85546875" style="2203"/>
    <col min="13569" max="13569" width="36.7109375" style="2203" customWidth="1"/>
    <col min="13570" max="13571" width="23.7109375" style="2203" customWidth="1"/>
    <col min="13572" max="13572" width="34.140625" style="2203" customWidth="1"/>
    <col min="13573" max="13578" width="23.7109375" style="2203" customWidth="1"/>
    <col min="13579" max="13579" width="19.140625" style="2203" customWidth="1"/>
    <col min="13580" max="13580" width="14.28515625" style="2203" customWidth="1"/>
    <col min="13581" max="13581" width="23.7109375" style="2203" customWidth="1"/>
    <col min="13582" max="13582" width="12.28515625" style="2203" customWidth="1"/>
    <col min="13583" max="13583" width="18.28515625" style="2203" customWidth="1"/>
    <col min="13584" max="13824" width="8.85546875" style="2203"/>
    <col min="13825" max="13825" width="36.7109375" style="2203" customWidth="1"/>
    <col min="13826" max="13827" width="23.7109375" style="2203" customWidth="1"/>
    <col min="13828" max="13828" width="34.140625" style="2203" customWidth="1"/>
    <col min="13829" max="13834" width="23.7109375" style="2203" customWidth="1"/>
    <col min="13835" max="13835" width="19.140625" style="2203" customWidth="1"/>
    <col min="13836" max="13836" width="14.28515625" style="2203" customWidth="1"/>
    <col min="13837" max="13837" width="23.7109375" style="2203" customWidth="1"/>
    <col min="13838" max="13838" width="12.28515625" style="2203" customWidth="1"/>
    <col min="13839" max="13839" width="18.28515625" style="2203" customWidth="1"/>
    <col min="13840" max="14080" width="8.85546875" style="2203"/>
    <col min="14081" max="14081" width="36.7109375" style="2203" customWidth="1"/>
    <col min="14082" max="14083" width="23.7109375" style="2203" customWidth="1"/>
    <col min="14084" max="14084" width="34.140625" style="2203" customWidth="1"/>
    <col min="14085" max="14090" width="23.7109375" style="2203" customWidth="1"/>
    <col min="14091" max="14091" width="19.140625" style="2203" customWidth="1"/>
    <col min="14092" max="14092" width="14.28515625" style="2203" customWidth="1"/>
    <col min="14093" max="14093" width="23.7109375" style="2203" customWidth="1"/>
    <col min="14094" max="14094" width="12.28515625" style="2203" customWidth="1"/>
    <col min="14095" max="14095" width="18.28515625" style="2203" customWidth="1"/>
    <col min="14096" max="14336" width="8.85546875" style="2203"/>
    <col min="14337" max="14337" width="36.7109375" style="2203" customWidth="1"/>
    <col min="14338" max="14339" width="23.7109375" style="2203" customWidth="1"/>
    <col min="14340" max="14340" width="34.140625" style="2203" customWidth="1"/>
    <col min="14341" max="14346" width="23.7109375" style="2203" customWidth="1"/>
    <col min="14347" max="14347" width="19.140625" style="2203" customWidth="1"/>
    <col min="14348" max="14348" width="14.28515625" style="2203" customWidth="1"/>
    <col min="14349" max="14349" width="23.7109375" style="2203" customWidth="1"/>
    <col min="14350" max="14350" width="12.28515625" style="2203" customWidth="1"/>
    <col min="14351" max="14351" width="18.28515625" style="2203" customWidth="1"/>
    <col min="14352" max="14592" width="8.85546875" style="2203"/>
    <col min="14593" max="14593" width="36.7109375" style="2203" customWidth="1"/>
    <col min="14594" max="14595" width="23.7109375" style="2203" customWidth="1"/>
    <col min="14596" max="14596" width="34.140625" style="2203" customWidth="1"/>
    <col min="14597" max="14602" width="23.7109375" style="2203" customWidth="1"/>
    <col min="14603" max="14603" width="19.140625" style="2203" customWidth="1"/>
    <col min="14604" max="14604" width="14.28515625" style="2203" customWidth="1"/>
    <col min="14605" max="14605" width="23.7109375" style="2203" customWidth="1"/>
    <col min="14606" max="14606" width="12.28515625" style="2203" customWidth="1"/>
    <col min="14607" max="14607" width="18.28515625" style="2203" customWidth="1"/>
    <col min="14608" max="14848" width="8.85546875" style="2203"/>
    <col min="14849" max="14849" width="36.7109375" style="2203" customWidth="1"/>
    <col min="14850" max="14851" width="23.7109375" style="2203" customWidth="1"/>
    <col min="14852" max="14852" width="34.140625" style="2203" customWidth="1"/>
    <col min="14853" max="14858" width="23.7109375" style="2203" customWidth="1"/>
    <col min="14859" max="14859" width="19.140625" style="2203" customWidth="1"/>
    <col min="14860" max="14860" width="14.28515625" style="2203" customWidth="1"/>
    <col min="14861" max="14861" width="23.7109375" style="2203" customWidth="1"/>
    <col min="14862" max="14862" width="12.28515625" style="2203" customWidth="1"/>
    <col min="14863" max="14863" width="18.28515625" style="2203" customWidth="1"/>
    <col min="14864" max="15104" width="8.85546875" style="2203"/>
    <col min="15105" max="15105" width="36.7109375" style="2203" customWidth="1"/>
    <col min="15106" max="15107" width="23.7109375" style="2203" customWidth="1"/>
    <col min="15108" max="15108" width="34.140625" style="2203" customWidth="1"/>
    <col min="15109" max="15114" width="23.7109375" style="2203" customWidth="1"/>
    <col min="15115" max="15115" width="19.140625" style="2203" customWidth="1"/>
    <col min="15116" max="15116" width="14.28515625" style="2203" customWidth="1"/>
    <col min="15117" max="15117" width="23.7109375" style="2203" customWidth="1"/>
    <col min="15118" max="15118" width="12.28515625" style="2203" customWidth="1"/>
    <col min="15119" max="15119" width="18.28515625" style="2203" customWidth="1"/>
    <col min="15120" max="15360" width="8.85546875" style="2203"/>
    <col min="15361" max="15361" width="36.7109375" style="2203" customWidth="1"/>
    <col min="15362" max="15363" width="23.7109375" style="2203" customWidth="1"/>
    <col min="15364" max="15364" width="34.140625" style="2203" customWidth="1"/>
    <col min="15365" max="15370" width="23.7109375" style="2203" customWidth="1"/>
    <col min="15371" max="15371" width="19.140625" style="2203" customWidth="1"/>
    <col min="15372" max="15372" width="14.28515625" style="2203" customWidth="1"/>
    <col min="15373" max="15373" width="23.7109375" style="2203" customWidth="1"/>
    <col min="15374" max="15374" width="12.28515625" style="2203" customWidth="1"/>
    <col min="15375" max="15375" width="18.28515625" style="2203" customWidth="1"/>
    <col min="15376" max="15616" width="8.85546875" style="2203"/>
    <col min="15617" max="15617" width="36.7109375" style="2203" customWidth="1"/>
    <col min="15618" max="15619" width="23.7109375" style="2203" customWidth="1"/>
    <col min="15620" max="15620" width="34.140625" style="2203" customWidth="1"/>
    <col min="15621" max="15626" width="23.7109375" style="2203" customWidth="1"/>
    <col min="15627" max="15627" width="19.140625" style="2203" customWidth="1"/>
    <col min="15628" max="15628" width="14.28515625" style="2203" customWidth="1"/>
    <col min="15629" max="15629" width="23.7109375" style="2203" customWidth="1"/>
    <col min="15630" max="15630" width="12.28515625" style="2203" customWidth="1"/>
    <col min="15631" max="15631" width="18.28515625" style="2203" customWidth="1"/>
    <col min="15632" max="15872" width="8.85546875" style="2203"/>
    <col min="15873" max="15873" width="36.7109375" style="2203" customWidth="1"/>
    <col min="15874" max="15875" width="23.7109375" style="2203" customWidth="1"/>
    <col min="15876" max="15876" width="34.140625" style="2203" customWidth="1"/>
    <col min="15877" max="15882" width="23.7109375" style="2203" customWidth="1"/>
    <col min="15883" max="15883" width="19.140625" style="2203" customWidth="1"/>
    <col min="15884" max="15884" width="14.28515625" style="2203" customWidth="1"/>
    <col min="15885" max="15885" width="23.7109375" style="2203" customWidth="1"/>
    <col min="15886" max="15886" width="12.28515625" style="2203" customWidth="1"/>
    <col min="15887" max="15887" width="18.28515625" style="2203" customWidth="1"/>
    <col min="15888" max="16128" width="8.85546875" style="2203"/>
    <col min="16129" max="16129" width="36.7109375" style="2203" customWidth="1"/>
    <col min="16130" max="16131" width="23.7109375" style="2203" customWidth="1"/>
    <col min="16132" max="16132" width="34.140625" style="2203" customWidth="1"/>
    <col min="16133" max="16138" width="23.7109375" style="2203" customWidth="1"/>
    <col min="16139" max="16139" width="19.140625" style="2203" customWidth="1"/>
    <col min="16140" max="16140" width="14.28515625" style="2203" customWidth="1"/>
    <col min="16141" max="16141" width="23.7109375" style="2203" customWidth="1"/>
    <col min="16142" max="16142" width="12.28515625" style="2203" customWidth="1"/>
    <col min="16143" max="16143" width="18.28515625" style="2203" customWidth="1"/>
    <col min="16144" max="16384" width="8.85546875" style="2203"/>
  </cols>
  <sheetData>
    <row r="1" spans="1:15" ht="42.75" customHeight="1"/>
    <row r="2" spans="1:15" ht="18.75" thickBot="1">
      <c r="B2" s="1" t="s">
        <v>782</v>
      </c>
      <c r="C2" s="2113"/>
      <c r="D2" s="2204"/>
      <c r="E2" s="3"/>
    </row>
    <row r="3" spans="1:15" ht="15.75" thickBot="1">
      <c r="B3" s="5" t="s">
        <v>5</v>
      </c>
      <c r="C3" s="167"/>
      <c r="D3" s="6" t="s">
        <v>941</v>
      </c>
      <c r="E3" s="101">
        <v>18230810</v>
      </c>
    </row>
    <row r="5" spans="1:15" ht="13.5" thickBot="1">
      <c r="A5" s="69"/>
      <c r="D5" s="2204"/>
      <c r="E5" s="104" t="s">
        <v>1139</v>
      </c>
    </row>
    <row r="6" spans="1:15" ht="38.25">
      <c r="A6" s="69"/>
      <c r="B6" s="3461"/>
      <c r="E6" s="105" t="s">
        <v>9</v>
      </c>
      <c r="F6" s="105" t="s">
        <v>10</v>
      </c>
      <c r="G6" s="105" t="s">
        <v>11</v>
      </c>
      <c r="H6" s="106" t="s">
        <v>12</v>
      </c>
      <c r="I6" s="107" t="s">
        <v>13</v>
      </c>
      <c r="J6" s="105" t="s">
        <v>14</v>
      </c>
      <c r="K6" s="105" t="s">
        <v>15</v>
      </c>
      <c r="L6" s="105" t="s">
        <v>16</v>
      </c>
      <c r="M6" s="105" t="s">
        <v>17</v>
      </c>
      <c r="N6" s="108" t="s">
        <v>18</v>
      </c>
      <c r="O6" s="2217" t="s">
        <v>19</v>
      </c>
    </row>
    <row r="7" spans="1:15" s="53" customFormat="1">
      <c r="A7" s="109"/>
      <c r="D7" s="111" t="s">
        <v>20</v>
      </c>
      <c r="E7" s="112"/>
      <c r="F7" s="112"/>
      <c r="G7" s="112"/>
      <c r="H7" s="113"/>
      <c r="I7" s="114"/>
      <c r="J7" s="112"/>
      <c r="K7" s="112"/>
      <c r="L7" s="112"/>
      <c r="M7" s="112"/>
      <c r="N7" s="1279">
        <v>304503</v>
      </c>
      <c r="O7" s="1345" t="s">
        <v>21</v>
      </c>
    </row>
    <row r="8" spans="1:15" s="53" customFormat="1">
      <c r="A8" s="109"/>
      <c r="D8" s="111" t="s">
        <v>22</v>
      </c>
      <c r="E8" s="116">
        <v>213900</v>
      </c>
      <c r="F8" s="116">
        <v>0</v>
      </c>
      <c r="G8" s="116">
        <v>134757</v>
      </c>
      <c r="H8" s="116">
        <v>0</v>
      </c>
      <c r="I8" s="116">
        <v>4200</v>
      </c>
      <c r="J8" s="116">
        <v>50000</v>
      </c>
      <c r="K8" s="116">
        <v>4200</v>
      </c>
      <c r="L8" s="116">
        <v>10200</v>
      </c>
      <c r="M8" s="2367"/>
      <c r="N8" s="2368">
        <v>417257</v>
      </c>
      <c r="O8" s="1346">
        <f>(N8-N7)/N7</f>
        <v>0.37028863426632908</v>
      </c>
    </row>
    <row r="9" spans="1:15" s="53" customFormat="1">
      <c r="A9" s="109"/>
      <c r="D9" s="53">
        <v>2012</v>
      </c>
      <c r="E9" s="1338">
        <f>SUM(B24:B26)</f>
        <v>219000</v>
      </c>
      <c r="F9" s="1338">
        <f>SUM(B30:B32)</f>
        <v>0</v>
      </c>
      <c r="G9" s="1338">
        <f>(SUM(B24:B26)+SUM(B30:B32))*0.63</f>
        <v>137970</v>
      </c>
      <c r="H9" s="1338">
        <f>SUM(B45:B49)+SUM(B53:B58)</f>
        <v>0</v>
      </c>
      <c r="I9" s="1341">
        <f>SUM(B61:B65)</f>
        <v>5000</v>
      </c>
      <c r="J9" s="1338">
        <f>SUM(B69:B74)</f>
        <v>15000</v>
      </c>
      <c r="K9" s="1338">
        <f>SUM(B77:B83)</f>
        <v>0</v>
      </c>
      <c r="L9" s="1338">
        <f>SUM(B86:B91)</f>
        <v>0</v>
      </c>
      <c r="M9" s="1344"/>
      <c r="N9" s="1347">
        <f>SUM(E9:M9)</f>
        <v>376970</v>
      </c>
      <c r="O9" s="1346">
        <f>(N9-N8)/N8</f>
        <v>-9.6552005119147188E-2</v>
      </c>
    </row>
    <row r="10" spans="1:15" s="3534" customFormat="1">
      <c r="A10" s="109"/>
      <c r="D10" s="4263" t="s">
        <v>1168</v>
      </c>
      <c r="E10" s="1338">
        <v>225000</v>
      </c>
      <c r="F10" s="1338">
        <v>0</v>
      </c>
      <c r="G10" s="1338">
        <v>141750</v>
      </c>
      <c r="H10" s="1338">
        <v>0</v>
      </c>
      <c r="I10" s="1341">
        <v>5000</v>
      </c>
      <c r="J10" s="1338">
        <v>15000</v>
      </c>
      <c r="K10" s="1338">
        <v>0</v>
      </c>
      <c r="L10" s="1338">
        <v>0</v>
      </c>
      <c r="M10" s="1344"/>
      <c r="N10" s="1347">
        <v>386750</v>
      </c>
      <c r="O10" s="1346">
        <v>2.5943709048465394E-2</v>
      </c>
    </row>
    <row r="11" spans="1:15" s="53" customFormat="1">
      <c r="A11" s="109"/>
      <c r="D11" s="4264" t="s">
        <v>1169</v>
      </c>
      <c r="E11" s="4231">
        <f>SUM(C24:C26)</f>
        <v>230000</v>
      </c>
      <c r="F11" s="4231">
        <f>SUM(C30:C32)</f>
        <v>0</v>
      </c>
      <c r="G11" s="4231">
        <f>(SUM(C24:C26)+SUM(C30:C32))*0.707</f>
        <v>162610</v>
      </c>
      <c r="H11" s="4231">
        <f>SUM(C45:C49)+SUM(C53:C58)</f>
        <v>0</v>
      </c>
      <c r="I11" s="4232">
        <f>SUM(C61:C65)</f>
        <v>11000</v>
      </c>
      <c r="J11" s="4231">
        <f>SUM(C69:C74)</f>
        <v>50000</v>
      </c>
      <c r="K11" s="4231">
        <f>SUM(C77:C83)</f>
        <v>0</v>
      </c>
      <c r="L11" s="4231">
        <f>SUM(C86:C91)</f>
        <v>0</v>
      </c>
      <c r="M11" s="4233"/>
      <c r="N11" s="4234">
        <f>SUM(E11:M11)</f>
        <v>453610</v>
      </c>
      <c r="O11" s="1346">
        <f>(N11-N9)/N9</f>
        <v>0.20330530280924211</v>
      </c>
    </row>
    <row r="12" spans="1:15" s="19" customFormat="1">
      <c r="A12" s="69"/>
      <c r="D12" s="123" t="s">
        <v>1172</v>
      </c>
      <c r="E12" s="1340">
        <f>SUM(E9+E11)</f>
        <v>449000</v>
      </c>
      <c r="F12" s="1340">
        <f t="shared" ref="F12:N12" si="0">SUM(F9+F11)</f>
        <v>0</v>
      </c>
      <c r="G12" s="1340">
        <f t="shared" si="0"/>
        <v>300580</v>
      </c>
      <c r="H12" s="1340">
        <f t="shared" si="0"/>
        <v>0</v>
      </c>
      <c r="I12" s="1340">
        <f t="shared" si="0"/>
        <v>16000</v>
      </c>
      <c r="J12" s="1340">
        <f t="shared" si="0"/>
        <v>65000</v>
      </c>
      <c r="K12" s="1340">
        <f t="shared" si="0"/>
        <v>0</v>
      </c>
      <c r="L12" s="1340">
        <f t="shared" si="0"/>
        <v>0</v>
      </c>
      <c r="M12" s="1340">
        <f t="shared" si="0"/>
        <v>0</v>
      </c>
      <c r="N12" s="1340">
        <f t="shared" si="0"/>
        <v>830580</v>
      </c>
    </row>
    <row r="13" spans="1:15" ht="18" customHeight="1">
      <c r="A13" s="69"/>
      <c r="D13" s="2204"/>
      <c r="E13" s="3"/>
      <c r="M13" s="69" t="s">
        <v>23</v>
      </c>
    </row>
    <row r="14" spans="1:15">
      <c r="A14" s="69"/>
      <c r="D14" s="2204"/>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 customHeight="1">
      <c r="A20" s="69"/>
      <c r="B20" s="2366">
        <v>2012</v>
      </c>
      <c r="C20" s="2366">
        <v>2013</v>
      </c>
      <c r="D20" s="171" t="s">
        <v>30</v>
      </c>
      <c r="E20" s="172" t="s">
        <v>31</v>
      </c>
    </row>
    <row r="21" spans="1:7" ht="17.25" customHeight="1">
      <c r="A21" s="69"/>
      <c r="B21" s="174" t="s">
        <v>9</v>
      </c>
      <c r="C21" s="174" t="s">
        <v>9</v>
      </c>
      <c r="D21" s="138"/>
      <c r="E21" s="139">
        <f>SUM(B24:B26)+SUM(C24:C26)</f>
        <v>449000</v>
      </c>
    </row>
    <row r="22" spans="1:7" ht="7.5" customHeight="1">
      <c r="A22" s="69"/>
      <c r="B22" s="175"/>
      <c r="C22" s="175"/>
      <c r="D22" s="2204"/>
      <c r="E22" s="52"/>
    </row>
    <row r="23" spans="1:7">
      <c r="A23" s="69"/>
      <c r="B23" s="176" t="s">
        <v>32</v>
      </c>
      <c r="C23" s="176" t="s">
        <v>32</v>
      </c>
      <c r="D23" s="143" t="s">
        <v>7</v>
      </c>
      <c r="E23" s="52"/>
      <c r="F23" s="144" t="s">
        <v>7</v>
      </c>
    </row>
    <row r="24" spans="1:7">
      <c r="A24" s="69"/>
      <c r="B24" s="3051">
        <v>219000</v>
      </c>
      <c r="C24" s="4753">
        <v>230000</v>
      </c>
      <c r="D24" s="4065" t="s">
        <v>942</v>
      </c>
      <c r="E24" s="52"/>
      <c r="F24" s="146"/>
    </row>
    <row r="25" spans="1:7">
      <c r="A25" s="69"/>
      <c r="B25" s="2209"/>
      <c r="C25" s="2209"/>
      <c r="D25" s="2204"/>
      <c r="E25" s="52"/>
    </row>
    <row r="26" spans="1:7">
      <c r="A26" s="69"/>
      <c r="B26" s="2209"/>
      <c r="C26" s="2209"/>
      <c r="D26" s="2204"/>
      <c r="E26" s="52"/>
    </row>
    <row r="27" spans="1:7" s="53" customFormat="1" ht="21" customHeight="1">
      <c r="A27" s="109"/>
      <c r="B27" s="174" t="s">
        <v>10</v>
      </c>
      <c r="C27" s="174" t="s">
        <v>10</v>
      </c>
      <c r="D27" s="138"/>
      <c r="E27" s="139">
        <f>SUM(B30:B33)+SUM(C30:C33)</f>
        <v>0</v>
      </c>
    </row>
    <row r="28" spans="1:7" ht="8.25" customHeight="1">
      <c r="A28" s="69"/>
      <c r="B28" s="180"/>
      <c r="C28" s="180"/>
      <c r="D28" s="152"/>
      <c r="E28" s="52"/>
    </row>
    <row r="29" spans="1:7" s="53" customFormat="1" ht="13.5" customHeight="1">
      <c r="A29" s="109"/>
      <c r="B29" s="176" t="s">
        <v>32</v>
      </c>
      <c r="C29" s="176" t="s">
        <v>32</v>
      </c>
      <c r="D29" s="152"/>
      <c r="E29" s="52"/>
    </row>
    <row r="30" spans="1:7">
      <c r="A30" s="69"/>
      <c r="B30" s="86"/>
      <c r="C30" s="181"/>
      <c r="D30" s="150"/>
      <c r="E30" s="52"/>
    </row>
    <row r="31" spans="1:7">
      <c r="A31" s="69"/>
      <c r="B31" s="181"/>
      <c r="C31" s="181"/>
      <c r="D31" s="150"/>
      <c r="E31" s="52"/>
    </row>
    <row r="32" spans="1:7">
      <c r="A32" s="69"/>
      <c r="B32" s="19"/>
      <c r="C32" s="19"/>
      <c r="D32" s="150"/>
      <c r="E32" s="52"/>
    </row>
    <row r="33" spans="1:6">
      <c r="A33" s="69"/>
      <c r="B33" s="19"/>
      <c r="C33" s="19"/>
      <c r="D33" s="150"/>
      <c r="E33" s="52"/>
    </row>
    <row r="34" spans="1:6">
      <c r="A34" s="69"/>
      <c r="B34" s="174" t="s">
        <v>11</v>
      </c>
      <c r="C34" s="174" t="s">
        <v>11</v>
      </c>
      <c r="D34" s="138"/>
      <c r="E34" s="139">
        <f>(B24*0.63)+(C24*0.707)</f>
        <v>300580</v>
      </c>
    </row>
    <row r="35" spans="1:6" ht="7.5" customHeight="1">
      <c r="A35" s="69"/>
      <c r="B35" s="175"/>
      <c r="C35" s="175"/>
      <c r="D35" s="2204"/>
      <c r="E35" s="68"/>
    </row>
    <row r="36" spans="1:6">
      <c r="A36" s="1343"/>
      <c r="B36" s="182" t="s">
        <v>37</v>
      </c>
      <c r="C36" s="182" t="s">
        <v>1204</v>
      </c>
      <c r="D36" s="143" t="s">
        <v>7</v>
      </c>
      <c r="E36" s="52"/>
      <c r="F36" s="157"/>
    </row>
    <row r="37" spans="1:6" ht="15.75" customHeight="1">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26.2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27.75" customHeight="1">
      <c r="A50" s="69"/>
      <c r="B50" s="19"/>
      <c r="C50" s="19"/>
      <c r="D50" s="150"/>
      <c r="E50" s="52"/>
    </row>
    <row r="51" spans="1:5">
      <c r="A51" s="69"/>
      <c r="B51" s="174" t="s">
        <v>39</v>
      </c>
      <c r="C51" s="174" t="s">
        <v>39</v>
      </c>
      <c r="D51" s="138"/>
      <c r="E51" s="139">
        <f>SUM(B53:B58)+SUM(C53:C58)</f>
        <v>0</v>
      </c>
    </row>
    <row r="52" spans="1:5" ht="6.75" customHeight="1">
      <c r="A52" s="69"/>
      <c r="B52" s="180"/>
      <c r="C52" s="180"/>
      <c r="E52" s="73"/>
    </row>
    <row r="53" spans="1:5">
      <c r="A53" s="69"/>
      <c r="B53" s="184"/>
      <c r="C53" s="184"/>
      <c r="E53" s="73"/>
    </row>
    <row r="54" spans="1:5" ht="12.75" customHeight="1">
      <c r="A54" s="69"/>
      <c r="B54" s="184"/>
      <c r="C54" s="184"/>
      <c r="E54" s="73"/>
    </row>
    <row r="55" spans="1:5">
      <c r="A55" s="69"/>
      <c r="B55" s="184"/>
      <c r="C55" s="184"/>
      <c r="E55" s="73"/>
    </row>
    <row r="56" spans="1:5">
      <c r="A56" s="69"/>
      <c r="B56" s="184"/>
      <c r="C56" s="184"/>
      <c r="E56" s="73"/>
    </row>
    <row r="57" spans="1:5">
      <c r="A57" s="69"/>
      <c r="E57" s="73"/>
    </row>
    <row r="58" spans="1:5">
      <c r="A58" s="69"/>
      <c r="D58" s="2204"/>
      <c r="E58" s="52"/>
    </row>
    <row r="59" spans="1:5">
      <c r="A59" s="69"/>
      <c r="B59" s="174" t="s">
        <v>13</v>
      </c>
      <c r="C59" s="174" t="s">
        <v>13</v>
      </c>
      <c r="D59" s="138"/>
      <c r="E59" s="139">
        <f>SUM(B61:B66)+SUM(C61:C66)</f>
        <v>16000</v>
      </c>
    </row>
    <row r="60" spans="1:5" ht="6.75" customHeight="1">
      <c r="A60" s="69"/>
      <c r="B60" s="175"/>
      <c r="C60" s="175"/>
      <c r="D60" s="2204"/>
      <c r="E60" s="52"/>
    </row>
    <row r="61" spans="1:5">
      <c r="A61" s="69"/>
      <c r="B61" s="2209">
        <v>3000</v>
      </c>
      <c r="C61" s="4705">
        <v>5000</v>
      </c>
      <c r="D61" s="160" t="s">
        <v>70</v>
      </c>
      <c r="E61" s="52"/>
    </row>
    <row r="62" spans="1:5">
      <c r="A62" s="69"/>
      <c r="B62" s="2209" t="s">
        <v>7</v>
      </c>
      <c r="C62" s="2209"/>
      <c r="D62" s="160" t="s">
        <v>41</v>
      </c>
      <c r="E62" s="52"/>
    </row>
    <row r="63" spans="1:5">
      <c r="A63" s="69"/>
      <c r="B63" s="2209">
        <v>1000</v>
      </c>
      <c r="C63" s="4705">
        <v>3000</v>
      </c>
      <c r="D63" s="160" t="s">
        <v>42</v>
      </c>
      <c r="E63" s="52"/>
    </row>
    <row r="64" spans="1:5">
      <c r="A64" s="69"/>
      <c r="B64" s="2209">
        <v>1000</v>
      </c>
      <c r="C64" s="4705">
        <v>3000</v>
      </c>
      <c r="D64" s="160" t="s">
        <v>61</v>
      </c>
      <c r="E64" s="52"/>
    </row>
    <row r="65" spans="1:5">
      <c r="A65" s="69"/>
      <c r="B65" s="2350"/>
      <c r="C65" s="2350"/>
      <c r="D65" s="160" t="s">
        <v>44</v>
      </c>
      <c r="E65" s="52"/>
    </row>
    <row r="66" spans="1:5">
      <c r="A66" s="69"/>
      <c r="B66" s="2350"/>
      <c r="C66" s="2350"/>
      <c r="D66" s="160"/>
      <c r="E66" s="52"/>
    </row>
    <row r="67" spans="1:5">
      <c r="A67" s="69"/>
      <c r="B67" s="174" t="s">
        <v>14</v>
      </c>
      <c r="C67" s="174" t="s">
        <v>14</v>
      </c>
      <c r="D67" s="138"/>
      <c r="E67" s="139">
        <f>SUM(B69:B74)+SUM(C69:C74)</f>
        <v>65000</v>
      </c>
    </row>
    <row r="68" spans="1:5" ht="6" customHeight="1">
      <c r="A68" s="162"/>
      <c r="B68" s="175"/>
      <c r="C68" s="175"/>
      <c r="D68" s="138"/>
      <c r="E68" s="139"/>
    </row>
    <row r="69" spans="1:5" ht="38.25">
      <c r="A69" s="69"/>
      <c r="B69" s="2209">
        <v>15000</v>
      </c>
      <c r="C69" s="4705">
        <v>50000</v>
      </c>
      <c r="D69" s="4706" t="s">
        <v>1338</v>
      </c>
      <c r="E69" s="52"/>
    </row>
    <row r="70" spans="1:5">
      <c r="A70" s="69"/>
      <c r="B70" s="2209"/>
      <c r="C70" s="2209"/>
      <c r="D70" s="2204"/>
      <c r="E70" s="52"/>
    </row>
    <row r="71" spans="1:5">
      <c r="A71" s="69"/>
      <c r="B71" s="2209"/>
      <c r="C71" s="2209"/>
      <c r="D71" s="2204"/>
      <c r="E71" s="52"/>
    </row>
    <row r="72" spans="1:5">
      <c r="A72" s="69"/>
      <c r="B72" s="2209"/>
      <c r="C72" s="2209"/>
      <c r="D72" s="2204"/>
      <c r="E72" s="52"/>
    </row>
    <row r="73" spans="1:5">
      <c r="A73" s="69"/>
      <c r="B73" s="2209"/>
      <c r="C73" s="2209"/>
      <c r="D73" s="2204"/>
      <c r="E73" s="52"/>
    </row>
    <row r="74" spans="1:5">
      <c r="A74" s="69"/>
      <c r="B74" s="2209" t="s">
        <v>7</v>
      </c>
      <c r="C74" s="2209"/>
      <c r="D74" s="2204"/>
      <c r="E74" s="52"/>
    </row>
    <row r="75" spans="1:5">
      <c r="A75" s="69"/>
      <c r="B75" s="174" t="s">
        <v>15</v>
      </c>
      <c r="C75" s="174" t="s">
        <v>15</v>
      </c>
      <c r="D75" s="138"/>
      <c r="E75" s="139">
        <f>SUM(B77:B83)+SUM(C77:C83)</f>
        <v>0</v>
      </c>
    </row>
    <row r="76" spans="1:5" ht="6.75" customHeight="1">
      <c r="A76" s="69"/>
      <c r="B76" s="180"/>
      <c r="C76" s="180"/>
      <c r="D76" s="2204"/>
      <c r="E76" s="52"/>
    </row>
    <row r="77" spans="1:5" s="53" customFormat="1" ht="12.75" customHeight="1">
      <c r="A77" s="109"/>
      <c r="B77" s="184"/>
      <c r="C77" s="184"/>
      <c r="D77" s="163"/>
      <c r="E77" s="52"/>
    </row>
    <row r="78" spans="1:5" s="53" customFormat="1" ht="12.75" customHeight="1">
      <c r="A78" s="109"/>
      <c r="B78" s="184"/>
      <c r="C78" s="184"/>
      <c r="D78" s="163"/>
      <c r="E78" s="52"/>
    </row>
    <row r="79" spans="1:5" s="53" customFormat="1" ht="12.75" customHeight="1">
      <c r="A79" s="109"/>
      <c r="B79" s="184"/>
      <c r="C79" s="184"/>
      <c r="D79" s="163"/>
      <c r="E79" s="52"/>
    </row>
    <row r="80" spans="1:5" s="53" customFormat="1" ht="12.75" customHeight="1">
      <c r="A80" s="109"/>
      <c r="B80" s="184"/>
      <c r="C80" s="184"/>
      <c r="D80" s="163"/>
      <c r="E80" s="52"/>
    </row>
    <row r="81" spans="1:5" s="53" customFormat="1" ht="12.75" customHeight="1">
      <c r="A81" s="109"/>
      <c r="B81" s="184"/>
      <c r="C81" s="184"/>
      <c r="D81" s="163"/>
      <c r="E81" s="52"/>
    </row>
    <row r="82" spans="1:5">
      <c r="A82" s="69"/>
      <c r="D82" s="150"/>
      <c r="E82" s="52"/>
    </row>
    <row r="83" spans="1:5">
      <c r="A83" s="69"/>
      <c r="D83" s="150"/>
      <c r="E83" s="52"/>
    </row>
    <row r="84" spans="1:5">
      <c r="A84" s="69"/>
      <c r="B84" s="174" t="s">
        <v>16</v>
      </c>
      <c r="C84" s="174" t="s">
        <v>16</v>
      </c>
      <c r="D84" s="138"/>
      <c r="E84" s="139">
        <f>SUM(B86:B91)+SUM(C86:C91)</f>
        <v>0</v>
      </c>
    </row>
    <row r="85" spans="1:5" s="53" customFormat="1" ht="6.75" customHeight="1">
      <c r="A85" s="109"/>
      <c r="B85" s="180"/>
      <c r="C85" s="180"/>
      <c r="D85" s="163"/>
      <c r="E85" s="52"/>
    </row>
    <row r="86" spans="1:5" s="53" customFormat="1" ht="12.75" customHeight="1">
      <c r="A86" s="109"/>
      <c r="B86" s="184"/>
      <c r="C86" s="184"/>
      <c r="D86" s="163"/>
      <c r="E86" s="52"/>
    </row>
    <row r="87" spans="1:5" s="53" customFormat="1" ht="12.75" customHeight="1">
      <c r="A87" s="109"/>
      <c r="B87" s="184"/>
      <c r="C87" s="184"/>
      <c r="D87" s="163"/>
      <c r="E87" s="52"/>
    </row>
    <row r="88" spans="1:5" s="53" customFormat="1" ht="12.75" customHeight="1">
      <c r="A88" s="109"/>
      <c r="B88" s="184"/>
      <c r="C88" s="184"/>
      <c r="D88" s="163"/>
      <c r="E88" s="52"/>
    </row>
    <row r="89" spans="1:5" s="53" customFormat="1">
      <c r="A89" s="109"/>
      <c r="B89" s="184"/>
      <c r="C89" s="184"/>
      <c r="D89" s="163"/>
      <c r="E89" s="52"/>
    </row>
    <row r="90" spans="1:5" s="53" customFormat="1">
      <c r="A90" s="109"/>
      <c r="B90" s="184"/>
      <c r="C90" s="184"/>
      <c r="D90" s="163"/>
      <c r="E90" s="52"/>
    </row>
    <row r="91" spans="1:5">
      <c r="A91" s="69"/>
      <c r="D91" s="2204"/>
      <c r="E91" s="52"/>
    </row>
    <row r="92" spans="1:5" ht="25.5">
      <c r="A92" s="69"/>
      <c r="B92" s="174" t="s">
        <v>17</v>
      </c>
      <c r="C92" s="174" t="s">
        <v>17</v>
      </c>
      <c r="D92" s="2204"/>
      <c r="E92" s="52"/>
    </row>
    <row r="93" spans="1:5" s="53" customFormat="1" ht="6.75" customHeight="1">
      <c r="A93" s="109"/>
      <c r="B93" s="180"/>
      <c r="C93" s="180"/>
      <c r="D93" s="163"/>
      <c r="E93" s="52"/>
    </row>
    <row r="94" spans="1:5" s="53" customFormat="1">
      <c r="A94" s="109"/>
      <c r="B94" s="184"/>
      <c r="C94" s="184"/>
      <c r="D94" s="163"/>
      <c r="E94" s="82"/>
    </row>
    <row r="95" spans="1:5">
      <c r="A95" s="69"/>
      <c r="B95" s="86" t="s">
        <v>54</v>
      </c>
      <c r="D95" s="2204"/>
      <c r="E95" s="3"/>
    </row>
    <row r="96" spans="1:5">
      <c r="A96" s="69"/>
      <c r="B96" s="86" t="s">
        <v>55</v>
      </c>
      <c r="D96" s="2204"/>
      <c r="E96" s="3"/>
    </row>
    <row r="97" spans="1:5">
      <c r="A97" s="69"/>
      <c r="B97" s="86" t="s">
        <v>56</v>
      </c>
      <c r="D97" s="2204"/>
      <c r="E97" s="3"/>
    </row>
  </sheetData>
  <sheetProtection password="9E1F" sheet="1" objects="1" scenarios="1"/>
  <customSheetViews>
    <customSheetView guid="{074EB09C-6289-46D7-9513-012B68BCA7BF}" fitToPage="1">
      <pane xSplit="1" ySplit="1" topLeftCell="B2" activePane="bottomRight" state="frozen"/>
      <selection pane="bottomRight" activeCell="K69" sqref="K69"/>
      <pageMargins left="0.18" right="0.7" top="0.34" bottom="0.42" header="0.3" footer="0.3"/>
      <pageSetup paperSize="17" scale="53" orientation="landscape" r:id="rId1"/>
    </customSheetView>
    <customSheetView guid="{AF9F1D33-B8C2-423F-86A1-47612B8F532C}" fitToPage="1">
      <pane xSplit="1" ySplit="1" topLeftCell="B14" activePane="bottomRight" state="frozenSplit"/>
      <selection pane="bottomRight" activeCell="G12" sqref="G12"/>
      <pageMargins left="0.7" right="0.7" top="0.75" bottom="0.75" header="0.3" footer="0.3"/>
      <pageSetup paperSize="17" scale="54" orientation="landscape"/>
    </customSheetView>
  </customSheetViews>
  <mergeCells count="3">
    <mergeCell ref="B18:C18"/>
    <mergeCell ref="B19:C19"/>
    <mergeCell ref="B15:E15"/>
  </mergeCells>
  <pageMargins left="0.18" right="0.7" top="0.34" bottom="0.42" header="0.3" footer="0.3"/>
  <pageSetup paperSize="17" scale="54" orientation="landscape" r:id="rId2"/>
  <drawing r:id="rId3"/>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8.85546875" defaultRowHeight="12.75"/>
  <cols>
    <col min="1" max="1" width="16.7109375" customWidth="1"/>
    <col min="2" max="3" width="21.85546875" customWidth="1"/>
    <col min="4" max="4" width="24" customWidth="1"/>
    <col min="5" max="7" width="23.7109375" customWidth="1"/>
    <col min="8" max="8" width="19.42578125" customWidth="1"/>
    <col min="9" max="9" width="17.140625" customWidth="1"/>
    <col min="10" max="11" width="23.7109375" customWidth="1"/>
    <col min="12" max="12" width="19" customWidth="1"/>
    <col min="13" max="13" width="23.7109375" customWidth="1"/>
    <col min="14" max="14" width="18.85546875" customWidth="1"/>
    <col min="15" max="15" width="15.42578125" customWidth="1"/>
  </cols>
  <sheetData>
    <row r="1" spans="1:15" ht="39.75" customHeight="1"/>
    <row r="2" spans="1:15" ht="18.75" thickBot="1">
      <c r="B2" s="1" t="s">
        <v>98</v>
      </c>
      <c r="C2" s="166"/>
      <c r="D2" s="2"/>
      <c r="E2" s="3"/>
    </row>
    <row r="3" spans="1:15" ht="15.75" thickBot="1">
      <c r="B3" s="5" t="s">
        <v>99</v>
      </c>
      <c r="C3" s="167"/>
      <c r="D3" s="6" t="s">
        <v>75</v>
      </c>
      <c r="E3" s="101">
        <v>18230703</v>
      </c>
    </row>
    <row r="5" spans="1:15" ht="13.5" thickBot="1">
      <c r="A5" s="69"/>
      <c r="D5" s="2"/>
      <c r="E5" s="104" t="s">
        <v>1139</v>
      </c>
    </row>
    <row r="6" spans="1:15" ht="38.25">
      <c r="B6" s="771"/>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15">
        <v>105000</v>
      </c>
      <c r="O7" s="26" t="s">
        <v>21</v>
      </c>
    </row>
    <row r="8" spans="1:15" s="53" customFormat="1">
      <c r="A8" s="109"/>
      <c r="D8" s="111" t="s">
        <v>22</v>
      </c>
      <c r="E8" s="28">
        <v>28200</v>
      </c>
      <c r="F8" s="28">
        <v>0</v>
      </c>
      <c r="G8" s="28">
        <v>17766</v>
      </c>
      <c r="H8" s="28">
        <v>0</v>
      </c>
      <c r="I8" s="28">
        <v>400</v>
      </c>
      <c r="J8" s="28">
        <v>32000</v>
      </c>
      <c r="K8" s="28">
        <v>400</v>
      </c>
      <c r="L8" s="28">
        <v>0</v>
      </c>
      <c r="M8" s="168">
        <v>0</v>
      </c>
      <c r="N8" s="87">
        <v>78766</v>
      </c>
      <c r="O8" s="30">
        <f>(N8-N7)/N7</f>
        <v>-0.24984761904761904</v>
      </c>
    </row>
    <row r="9" spans="1:15" s="53" customFormat="1">
      <c r="A9" s="109"/>
      <c r="D9" s="53">
        <v>2012</v>
      </c>
      <c r="E9" s="118">
        <f>SUM(B24:B26)</f>
        <v>16706</v>
      </c>
      <c r="F9" s="118">
        <f>SUM(B30:B32)</f>
        <v>0</v>
      </c>
      <c r="G9" s="118">
        <f>(SUM(B24:B26)+SUM(B30:B32))*0.63</f>
        <v>10524.78</v>
      </c>
      <c r="H9" s="118">
        <f>SUM(B45:B49)+SUM(B53:B58)</f>
        <v>0</v>
      </c>
      <c r="I9" s="119">
        <f>SUM(B61:B65)</f>
        <v>325</v>
      </c>
      <c r="J9" s="118">
        <f>SUM(B69:B74)</f>
        <v>35750</v>
      </c>
      <c r="K9" s="118">
        <f>SUM(B77:B83)</f>
        <v>0</v>
      </c>
      <c r="L9" s="118">
        <f>SUM(B86:B91)</f>
        <v>0</v>
      </c>
      <c r="M9" s="120"/>
      <c r="N9" s="121">
        <f>SUM(E9:M9)</f>
        <v>63305.78</v>
      </c>
      <c r="O9" s="30">
        <f>(N9-N8)/N8</f>
        <v>-0.19628037478099689</v>
      </c>
    </row>
    <row r="10" spans="1:15" s="3534" customFormat="1">
      <c r="A10" s="109"/>
      <c r="D10" s="4263" t="s">
        <v>1168</v>
      </c>
      <c r="E10" s="118">
        <v>17207</v>
      </c>
      <c r="F10" s="118">
        <v>0</v>
      </c>
      <c r="G10" s="118">
        <v>10840.41</v>
      </c>
      <c r="H10" s="118">
        <v>0</v>
      </c>
      <c r="I10" s="119">
        <v>325</v>
      </c>
      <c r="J10" s="118">
        <v>8450</v>
      </c>
      <c r="K10" s="118">
        <v>0</v>
      </c>
      <c r="L10" s="118">
        <v>0</v>
      </c>
      <c r="M10" s="120"/>
      <c r="N10" s="121">
        <v>36822.410000000003</v>
      </c>
      <c r="O10" s="1346">
        <v>-0.41834047380823669</v>
      </c>
    </row>
    <row r="11" spans="1:15" s="5017" customFormat="1">
      <c r="A11" s="5023"/>
      <c r="D11" s="5013" t="s">
        <v>1169</v>
      </c>
      <c r="E11" s="5012">
        <f>SUM(C24:C26)</f>
        <v>17207</v>
      </c>
      <c r="F11" s="5012">
        <f>SUM(C30:C32)</f>
        <v>0</v>
      </c>
      <c r="G11" s="5012">
        <f>(SUM(C24:C26)+SUM(C30:C32))*0.707</f>
        <v>12165.349</v>
      </c>
      <c r="H11" s="5012">
        <f>SUM(C45:C49)+SUM(C53:C58)</f>
        <v>0</v>
      </c>
      <c r="I11" s="5009">
        <f>SUM(C61:C65)</f>
        <v>325</v>
      </c>
      <c r="J11" s="5012">
        <f>SUM(C69:C74)</f>
        <v>8450</v>
      </c>
      <c r="K11" s="5012">
        <f>SUM(C77:C83)</f>
        <v>0</v>
      </c>
      <c r="L11" s="5012">
        <f>SUM(C86:C91)</f>
        <v>0</v>
      </c>
      <c r="M11" s="4998"/>
      <c r="N11" s="5010">
        <f>SUM(E11:M11)</f>
        <v>38147.349000000002</v>
      </c>
      <c r="O11" s="1346">
        <f>(N11-N9)/N9</f>
        <v>-0.39741127903328888</v>
      </c>
    </row>
    <row r="12" spans="1:15" s="19" customFormat="1">
      <c r="A12" s="69"/>
      <c r="D12" s="123" t="s">
        <v>1172</v>
      </c>
      <c r="E12" s="124">
        <f>SUM(E9+E11)</f>
        <v>33913</v>
      </c>
      <c r="F12" s="124">
        <f t="shared" ref="F12:N12" si="0">SUM(F9+F11)</f>
        <v>0</v>
      </c>
      <c r="G12" s="124">
        <f t="shared" si="0"/>
        <v>22690.129000000001</v>
      </c>
      <c r="H12" s="124">
        <f t="shared" si="0"/>
        <v>0</v>
      </c>
      <c r="I12" s="124">
        <f t="shared" si="0"/>
        <v>650</v>
      </c>
      <c r="J12" s="124">
        <f t="shared" si="0"/>
        <v>44200</v>
      </c>
      <c r="K12" s="124">
        <f t="shared" si="0"/>
        <v>0</v>
      </c>
      <c r="L12" s="124">
        <f t="shared" si="0"/>
        <v>0</v>
      </c>
      <c r="M12" s="124">
        <f t="shared" si="0"/>
        <v>0</v>
      </c>
      <c r="N12" s="124">
        <f t="shared" si="0"/>
        <v>101453.129</v>
      </c>
    </row>
    <row r="13" spans="1:15" ht="18" customHeight="1">
      <c r="A13" s="69"/>
      <c r="D13" s="2"/>
      <c r="E13" s="3"/>
      <c r="M13" s="69" t="s">
        <v>23</v>
      </c>
    </row>
    <row r="14" spans="1:15">
      <c r="A14" s="69"/>
      <c r="D14" s="2"/>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170">
        <v>2012</v>
      </c>
      <c r="C20" s="170">
        <v>2013</v>
      </c>
      <c r="D20" s="69" t="s">
        <v>82</v>
      </c>
      <c r="E20" s="131" t="s">
        <v>31</v>
      </c>
    </row>
    <row r="21" spans="1:7">
      <c r="A21" s="69"/>
      <c r="B21" s="174" t="s">
        <v>9</v>
      </c>
      <c r="C21" s="174" t="s">
        <v>9</v>
      </c>
      <c r="D21" s="138"/>
      <c r="E21" s="139">
        <f>SUM(B24:B26)+SUM(C24:C26)</f>
        <v>33913</v>
      </c>
    </row>
    <row r="22" spans="1:7" ht="7.5" customHeight="1">
      <c r="A22" s="69"/>
      <c r="B22" s="175"/>
      <c r="C22" s="175"/>
      <c r="D22" s="2"/>
      <c r="E22" s="52"/>
    </row>
    <row r="23" spans="1:7">
      <c r="A23" s="69"/>
      <c r="B23" s="176" t="s">
        <v>32</v>
      </c>
      <c r="C23" s="176" t="s">
        <v>32</v>
      </c>
      <c r="D23" s="143" t="s">
        <v>7</v>
      </c>
      <c r="E23" s="52"/>
      <c r="F23" s="144" t="s">
        <v>7</v>
      </c>
    </row>
    <row r="24" spans="1:7">
      <c r="A24" s="69"/>
      <c r="B24" s="177">
        <v>16706</v>
      </c>
      <c r="C24" s="178">
        <v>17207</v>
      </c>
      <c r="D24" s="4065" t="s">
        <v>79</v>
      </c>
      <c r="E24" s="52"/>
      <c r="F24" s="146"/>
    </row>
    <row r="25" spans="1:7">
      <c r="A25" s="69"/>
      <c r="B25" s="179"/>
      <c r="C25" s="179"/>
      <c r="D25" s="2"/>
      <c r="E25" s="52"/>
    </row>
    <row r="26" spans="1:7">
      <c r="A26" s="69"/>
      <c r="B26" s="179"/>
      <c r="C26" s="179"/>
      <c r="D26" s="2"/>
      <c r="E26" s="52"/>
    </row>
    <row r="27" spans="1:7" s="53" customFormat="1" ht="21" customHeight="1">
      <c r="A27" s="109"/>
      <c r="B27" s="174" t="s">
        <v>10</v>
      </c>
      <c r="C27" s="174" t="s">
        <v>10</v>
      </c>
      <c r="D27" s="138"/>
      <c r="E27" s="139">
        <f>SUM(B30:B33)+SUM(C30:C33)</f>
        <v>0</v>
      </c>
    </row>
    <row r="28" spans="1:7" ht="8.25" customHeight="1">
      <c r="A28" s="69"/>
      <c r="B28" s="180"/>
      <c r="C28" s="180"/>
      <c r="D28" s="152"/>
      <c r="E28" s="52"/>
    </row>
    <row r="29" spans="1:7" s="53" customFormat="1" ht="13.5" customHeight="1">
      <c r="A29" s="109"/>
      <c r="B29" s="176" t="s">
        <v>32</v>
      </c>
      <c r="C29" s="176" t="s">
        <v>32</v>
      </c>
      <c r="D29" s="152"/>
      <c r="E29" s="52"/>
    </row>
    <row r="30" spans="1:7">
      <c r="A30" s="69"/>
      <c r="B30" s="86"/>
      <c r="C30" s="181"/>
      <c r="D30" s="150"/>
      <c r="E30" s="52"/>
    </row>
    <row r="31" spans="1:7">
      <c r="A31" s="69"/>
      <c r="B31" s="181"/>
      <c r="C31" s="181"/>
      <c r="D31" s="150"/>
      <c r="E31" s="52"/>
    </row>
    <row r="32" spans="1:7">
      <c r="A32" s="69"/>
      <c r="B32" s="19"/>
      <c r="C32" s="19"/>
      <c r="D32" s="150"/>
      <c r="E32" s="52"/>
    </row>
    <row r="33" spans="1:6">
      <c r="A33" s="69"/>
      <c r="B33" s="19"/>
      <c r="C33" s="19"/>
      <c r="D33" s="150"/>
      <c r="E33" s="52"/>
    </row>
    <row r="34" spans="1:6">
      <c r="A34" s="69"/>
      <c r="B34" s="174" t="s">
        <v>11</v>
      </c>
      <c r="C34" s="174" t="s">
        <v>11</v>
      </c>
      <c r="D34" s="138"/>
      <c r="E34" s="139">
        <f>(B24*0.63)+(C24*0.707)</f>
        <v>22690.129000000001</v>
      </c>
    </row>
    <row r="35" spans="1:6" ht="7.5" customHeight="1">
      <c r="A35" s="69"/>
      <c r="B35" s="175"/>
      <c r="C35" s="175"/>
      <c r="D35" s="2"/>
      <c r="E35" s="68"/>
    </row>
    <row r="36" spans="1:6">
      <c r="A36" s="187"/>
      <c r="B36" s="182" t="s">
        <v>37</v>
      </c>
      <c r="C36" s="182" t="s">
        <v>1204</v>
      </c>
      <c r="D36" s="143" t="s">
        <v>7</v>
      </c>
      <c r="E36" s="52"/>
      <c r="F36" s="157"/>
    </row>
    <row r="37" spans="1:6">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26.2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27.75" customHeight="1">
      <c r="A50" s="69"/>
      <c r="B50" s="19"/>
      <c r="C50" s="19"/>
      <c r="D50" s="150"/>
      <c r="E50" s="52"/>
    </row>
    <row r="51" spans="1:5">
      <c r="A51" s="69"/>
      <c r="B51" s="174" t="s">
        <v>39</v>
      </c>
      <c r="C51" s="174" t="s">
        <v>39</v>
      </c>
      <c r="D51" s="138"/>
      <c r="E51" s="139">
        <f>SUM(B53:B58)+SUM(C53:C58)</f>
        <v>0</v>
      </c>
    </row>
    <row r="52" spans="1:5" ht="6.75" customHeight="1">
      <c r="A52" s="69"/>
      <c r="B52" s="180"/>
      <c r="C52" s="180"/>
      <c r="E52" s="73"/>
    </row>
    <row r="53" spans="1:5">
      <c r="A53" s="69"/>
      <c r="B53" s="184"/>
      <c r="C53" s="184"/>
      <c r="E53" s="73"/>
    </row>
    <row r="54" spans="1:5" ht="12.75" customHeight="1">
      <c r="A54" s="69"/>
      <c r="B54" s="184"/>
      <c r="C54" s="184"/>
      <c r="E54" s="73"/>
    </row>
    <row r="55" spans="1:5">
      <c r="A55" s="69"/>
      <c r="B55" s="184"/>
      <c r="C55" s="184"/>
      <c r="E55" s="73"/>
    </row>
    <row r="56" spans="1:5">
      <c r="A56" s="69"/>
      <c r="B56" s="184"/>
      <c r="C56" s="184"/>
      <c r="E56" s="73"/>
    </row>
    <row r="57" spans="1:5">
      <c r="A57" s="69"/>
      <c r="E57" s="73"/>
    </row>
    <row r="58" spans="1:5">
      <c r="A58" s="69"/>
      <c r="D58" s="2"/>
      <c r="E58" s="52"/>
    </row>
    <row r="59" spans="1:5">
      <c r="A59" s="69"/>
      <c r="B59" s="174" t="s">
        <v>13</v>
      </c>
      <c r="C59" s="174" t="s">
        <v>13</v>
      </c>
      <c r="D59" s="138"/>
      <c r="E59" s="139">
        <f>SUM(B61:B66)+SUM(C61:C66)</f>
        <v>650</v>
      </c>
    </row>
    <row r="60" spans="1:5" ht="6.75" customHeight="1">
      <c r="A60" s="69"/>
      <c r="B60" s="175"/>
      <c r="C60" s="175"/>
      <c r="D60" s="2"/>
      <c r="E60" s="52"/>
    </row>
    <row r="61" spans="1:5">
      <c r="A61" s="69"/>
      <c r="B61" s="84">
        <v>175</v>
      </c>
      <c r="C61" s="84">
        <v>175</v>
      </c>
      <c r="D61" s="160" t="s">
        <v>70</v>
      </c>
      <c r="E61" s="52"/>
    </row>
    <row r="62" spans="1:5">
      <c r="A62" s="69"/>
      <c r="B62" s="84">
        <v>150</v>
      </c>
      <c r="C62" s="84">
        <v>150</v>
      </c>
      <c r="D62" s="160" t="s">
        <v>41</v>
      </c>
      <c r="E62" s="52"/>
    </row>
    <row r="63" spans="1:5">
      <c r="A63" s="69"/>
      <c r="B63" s="84"/>
      <c r="C63" s="84"/>
      <c r="D63" s="160" t="s">
        <v>42</v>
      </c>
      <c r="E63" s="52"/>
    </row>
    <row r="64" spans="1:5">
      <c r="A64" s="69"/>
      <c r="B64" s="84"/>
      <c r="C64" s="84"/>
      <c r="D64" s="160" t="s">
        <v>61</v>
      </c>
      <c r="E64" s="52"/>
    </row>
    <row r="65" spans="1:5">
      <c r="A65" s="69"/>
      <c r="B65" s="185"/>
      <c r="C65" s="185"/>
      <c r="D65" s="160" t="s">
        <v>44</v>
      </c>
      <c r="E65" s="52"/>
    </row>
    <row r="66" spans="1:5">
      <c r="A66" s="69"/>
      <c r="B66" s="185"/>
      <c r="C66" s="185"/>
      <c r="D66" s="160"/>
      <c r="E66" s="52"/>
    </row>
    <row r="67" spans="1:5">
      <c r="A67" s="69"/>
      <c r="B67" s="174" t="s">
        <v>14</v>
      </c>
      <c r="C67" s="174" t="s">
        <v>14</v>
      </c>
      <c r="D67" s="138"/>
      <c r="E67" s="139">
        <f>SUM(B69:B74)+SUM(C69:C74)</f>
        <v>44200</v>
      </c>
    </row>
    <row r="68" spans="1:5" ht="6" customHeight="1">
      <c r="A68" s="162"/>
      <c r="B68" s="175"/>
      <c r="C68" s="175"/>
      <c r="D68" s="2"/>
      <c r="E68" s="52"/>
    </row>
    <row r="69" spans="1:5" ht="25.5">
      <c r="A69" s="69"/>
      <c r="B69" s="84">
        <v>35750</v>
      </c>
      <c r="C69" s="84">
        <v>8450</v>
      </c>
      <c r="D69" s="2" t="s">
        <v>80</v>
      </c>
      <c r="E69" s="52"/>
    </row>
    <row r="70" spans="1:5">
      <c r="A70" s="69"/>
      <c r="B70" s="84"/>
      <c r="C70" s="84"/>
      <c r="D70" s="2"/>
      <c r="E70" s="52"/>
    </row>
    <row r="71" spans="1:5">
      <c r="A71" s="69"/>
      <c r="B71" s="84"/>
      <c r="C71" s="84"/>
      <c r="D71" s="2"/>
      <c r="E71" s="52"/>
    </row>
    <row r="72" spans="1:5">
      <c r="A72" s="69"/>
      <c r="B72" s="84"/>
      <c r="C72" s="84"/>
      <c r="D72" s="2"/>
      <c r="E72" s="52"/>
    </row>
    <row r="73" spans="1:5">
      <c r="A73" s="69"/>
      <c r="B73" s="84"/>
      <c r="C73" s="84"/>
      <c r="D73" s="2"/>
      <c r="E73" s="52"/>
    </row>
    <row r="74" spans="1:5">
      <c r="A74" s="69"/>
      <c r="B74" s="84" t="s">
        <v>7</v>
      </c>
      <c r="C74" s="84"/>
      <c r="D74" s="2"/>
      <c r="E74" s="52"/>
    </row>
    <row r="75" spans="1:5">
      <c r="A75" s="69"/>
      <c r="B75" s="174" t="s">
        <v>15</v>
      </c>
      <c r="C75" s="174" t="s">
        <v>15</v>
      </c>
      <c r="D75" s="138"/>
      <c r="E75" s="139">
        <f>SUM(B77:B83)+SUM(C77:C83)</f>
        <v>0</v>
      </c>
    </row>
    <row r="76" spans="1:5" ht="6.75" customHeight="1">
      <c r="A76" s="69"/>
      <c r="B76" s="180"/>
      <c r="C76" s="180"/>
      <c r="D76" s="2"/>
      <c r="E76" s="52"/>
    </row>
    <row r="77" spans="1:5" s="53" customFormat="1" ht="12.75" customHeight="1">
      <c r="A77" s="109"/>
      <c r="B77" s="184"/>
      <c r="C77" s="184"/>
      <c r="D77" s="163"/>
      <c r="E77" s="52"/>
    </row>
    <row r="78" spans="1:5" s="53" customFormat="1" ht="12.75" customHeight="1">
      <c r="A78" s="109"/>
      <c r="B78" s="184"/>
      <c r="C78" s="184"/>
      <c r="D78" s="163"/>
      <c r="E78" s="52"/>
    </row>
    <row r="79" spans="1:5" s="53" customFormat="1" ht="12.75" customHeight="1">
      <c r="A79" s="109"/>
      <c r="B79" s="184"/>
      <c r="C79" s="184"/>
      <c r="D79" s="163"/>
      <c r="E79" s="52"/>
    </row>
    <row r="80" spans="1:5" s="53" customFormat="1" ht="12.75" customHeight="1">
      <c r="A80" s="109"/>
      <c r="B80" s="184"/>
      <c r="C80" s="184"/>
      <c r="D80" s="163"/>
      <c r="E80" s="52"/>
    </row>
    <row r="81" spans="1:5" s="53" customFormat="1" ht="12.75" customHeight="1">
      <c r="A81" s="109"/>
      <c r="B81" s="184"/>
      <c r="C81" s="184"/>
      <c r="D81" s="163"/>
      <c r="E81" s="52"/>
    </row>
    <row r="82" spans="1:5">
      <c r="A82" s="69"/>
      <c r="D82" s="150"/>
      <c r="E82" s="52"/>
    </row>
    <row r="83" spans="1:5">
      <c r="A83" s="69"/>
      <c r="D83" s="150"/>
      <c r="E83" s="52"/>
    </row>
    <row r="84" spans="1:5">
      <c r="A84" s="69"/>
      <c r="B84" s="174" t="s">
        <v>16</v>
      </c>
      <c r="C84" s="174" t="s">
        <v>16</v>
      </c>
      <c r="D84" s="138"/>
      <c r="E84" s="139">
        <f>SUM(B86:B91)+SUM(C86:C91)</f>
        <v>0</v>
      </c>
    </row>
    <row r="85" spans="1:5" s="53" customFormat="1" ht="6.75" customHeight="1">
      <c r="A85" s="109"/>
      <c r="B85" s="180"/>
      <c r="C85" s="180"/>
      <c r="D85" s="163"/>
      <c r="E85" s="52"/>
    </row>
    <row r="86" spans="1:5" s="53" customFormat="1" ht="12.75" customHeight="1">
      <c r="A86" s="109"/>
      <c r="B86" s="184"/>
      <c r="C86" s="184"/>
      <c r="D86" s="163"/>
      <c r="E86" s="52"/>
    </row>
    <row r="87" spans="1:5" s="53" customFormat="1" ht="12.75" customHeight="1">
      <c r="A87" s="109"/>
      <c r="B87" s="184"/>
      <c r="C87" s="184"/>
      <c r="D87" s="163"/>
      <c r="E87" s="52"/>
    </row>
    <row r="88" spans="1:5" s="53" customFormat="1" ht="12.75" customHeight="1">
      <c r="A88" s="109"/>
      <c r="B88" s="184"/>
      <c r="C88" s="184"/>
      <c r="D88" s="163"/>
      <c r="E88" s="52"/>
    </row>
    <row r="89" spans="1:5" s="53" customFormat="1">
      <c r="A89" s="109"/>
      <c r="B89" s="184"/>
      <c r="C89" s="184"/>
      <c r="D89" s="163"/>
      <c r="E89" s="52"/>
    </row>
    <row r="90" spans="1:5" s="53" customFormat="1">
      <c r="A90" s="109"/>
      <c r="B90" s="184"/>
      <c r="C90" s="184"/>
      <c r="D90" s="163"/>
      <c r="E90" s="52"/>
    </row>
    <row r="91" spans="1:5">
      <c r="A91" s="69"/>
      <c r="D91" s="2"/>
      <c r="E91" s="52"/>
    </row>
    <row r="92" spans="1:5" ht="25.5">
      <c r="A92" s="69"/>
      <c r="B92" s="174" t="s">
        <v>17</v>
      </c>
      <c r="C92" s="174" t="s">
        <v>17</v>
      </c>
      <c r="D92" s="2"/>
      <c r="E92" s="52"/>
    </row>
    <row r="93" spans="1:5" s="53" customFormat="1" ht="6.75" customHeight="1">
      <c r="A93" s="109"/>
      <c r="B93" s="180"/>
      <c r="C93" s="180"/>
      <c r="D93" s="163"/>
      <c r="E93" s="52"/>
    </row>
    <row r="94" spans="1:5" s="53" customFormat="1">
      <c r="A94" s="109"/>
      <c r="B94" s="184"/>
      <c r="C94" s="184"/>
      <c r="D94" s="163"/>
      <c r="E94" s="82"/>
    </row>
    <row r="95" spans="1:5">
      <c r="A95" s="69"/>
      <c r="B95" s="86" t="s">
        <v>54</v>
      </c>
      <c r="D95" s="2"/>
      <c r="E95" s="3"/>
    </row>
    <row r="96" spans="1:5">
      <c r="A96" s="69"/>
      <c r="B96" s="86" t="s">
        <v>55</v>
      </c>
      <c r="D96" s="2"/>
      <c r="E96" s="3"/>
    </row>
    <row r="97" spans="1:5">
      <c r="A97" s="69"/>
      <c r="B97" s="86" t="s">
        <v>56</v>
      </c>
      <c r="D97" s="2"/>
      <c r="E97" s="3"/>
    </row>
  </sheetData>
  <sheetProtection password="9E1F" sheet="1" objects="1" scenarios="1"/>
  <customSheetViews>
    <customSheetView guid="{074EB09C-6289-46D7-9513-012B68BCA7BF}" fitToPage="1">
      <pane xSplit="1" ySplit="1" topLeftCell="B2" activePane="bottomRight" state="frozen"/>
      <selection pane="bottomRight" activeCell="K69" sqref="K69"/>
      <pageMargins left="0.24" right="0.7" top="0.38" bottom="0.37" header="0.3" footer="0.3"/>
      <pageSetup paperSize="17" scale="54" orientation="landscape" r:id="rId1"/>
    </customSheetView>
    <customSheetView guid="{AF9F1D33-B8C2-423F-86A1-47612B8F532C}" fitToPage="1">
      <pane xSplit="1" ySplit="1" topLeftCell="B20" activePane="bottomRight" state="frozenSplit"/>
      <selection pane="bottomRight" activeCell="G12" sqref="G12"/>
      <pageMargins left="0.7" right="0.7" top="0.75" bottom="0.75" header="0.3" footer="0.3"/>
      <pageSetup paperSize="17" scale="54" orientation="landscape"/>
    </customSheetView>
  </customSheetViews>
  <mergeCells count="3">
    <mergeCell ref="B18:C18"/>
    <mergeCell ref="B19:C19"/>
    <mergeCell ref="B15:E15"/>
  </mergeCells>
  <pageMargins left="0.24" right="0.7" top="0.38" bottom="0.37" header="0.3" footer="0.3"/>
  <pageSetup paperSize="17" scale="54" orientation="landscape" r:id="rId2"/>
  <drawing r:id="rId3"/>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sheetPr enableFormatConditionsCalculation="0">
    <pageSetUpPr fitToPage="1"/>
  </sheetPr>
  <dimension ref="A1:O96"/>
  <sheetViews>
    <sheetView zoomScaleNormal="100" workbookViewId="0">
      <pane xSplit="1" ySplit="1" topLeftCell="B2" activePane="bottomRight" state="frozen"/>
      <selection pane="topRight" activeCell="B1" sqref="B1"/>
      <selection pane="bottomLeft" activeCell="A2" sqref="A2"/>
      <selection pane="bottomRight" activeCell="D26" sqref="D26"/>
    </sheetView>
  </sheetViews>
  <sheetFormatPr defaultColWidth="8.85546875" defaultRowHeight="12.75"/>
  <cols>
    <col min="1" max="1" width="16" customWidth="1"/>
    <col min="2" max="3" width="23.7109375" customWidth="1"/>
    <col min="4" max="4" width="23" customWidth="1"/>
    <col min="5" max="5" width="19.85546875" customWidth="1"/>
    <col min="6" max="6" width="21" customWidth="1"/>
    <col min="7" max="7" width="23.7109375" customWidth="1"/>
    <col min="8" max="8" width="20.42578125" customWidth="1"/>
    <col min="9" max="9" width="17.7109375" customWidth="1"/>
    <col min="10" max="11" width="23.7109375" customWidth="1"/>
    <col min="12" max="12" width="18.7109375" customWidth="1"/>
    <col min="13" max="13" width="23.7109375" customWidth="1"/>
    <col min="14" max="14" width="14.140625" customWidth="1"/>
    <col min="15" max="15" width="20" customWidth="1"/>
  </cols>
  <sheetData>
    <row r="1" spans="1:15" ht="44.25" customHeight="1"/>
    <row r="3" spans="1:15" ht="18.75" thickBot="1">
      <c r="B3" s="1" t="s">
        <v>101</v>
      </c>
      <c r="C3" s="166"/>
      <c r="D3" s="2"/>
      <c r="E3" s="3"/>
    </row>
    <row r="4" spans="1:15" ht="15.75" thickBot="1">
      <c r="B4" s="5" t="s">
        <v>99</v>
      </c>
      <c r="C4" s="167"/>
      <c r="D4" s="6" t="s">
        <v>75</v>
      </c>
      <c r="E4" s="101">
        <v>18230679</v>
      </c>
    </row>
    <row r="5" spans="1:15" ht="15">
      <c r="B5" s="5"/>
      <c r="C5" s="167"/>
      <c r="D5" s="6"/>
      <c r="E5" s="193"/>
    </row>
    <row r="6" spans="1:15" ht="13.5" thickBot="1">
      <c r="A6" s="69"/>
      <c r="D6" s="2"/>
      <c r="E6" s="104" t="s">
        <v>1139</v>
      </c>
    </row>
    <row r="7" spans="1:15" ht="38.25">
      <c r="B7" s="3462"/>
      <c r="E7" s="105" t="s">
        <v>9</v>
      </c>
      <c r="F7" s="105" t="s">
        <v>10</v>
      </c>
      <c r="G7" s="105" t="s">
        <v>11</v>
      </c>
      <c r="H7" s="106" t="s">
        <v>12</v>
      </c>
      <c r="I7" s="107" t="s">
        <v>13</v>
      </c>
      <c r="J7" s="105" t="s">
        <v>14</v>
      </c>
      <c r="K7" s="105" t="s">
        <v>15</v>
      </c>
      <c r="L7" s="105" t="s">
        <v>16</v>
      </c>
      <c r="M7" s="105" t="s">
        <v>17</v>
      </c>
      <c r="N7" s="108" t="s">
        <v>18</v>
      </c>
      <c r="O7" s="18" t="s">
        <v>19</v>
      </c>
    </row>
    <row r="8" spans="1:15" s="53" customFormat="1">
      <c r="A8" s="109"/>
      <c r="D8" s="111" t="s">
        <v>20</v>
      </c>
      <c r="E8" s="112"/>
      <c r="F8" s="112"/>
      <c r="G8" s="112"/>
      <c r="H8" s="113"/>
      <c r="I8" s="114"/>
      <c r="J8" s="112"/>
      <c r="K8" s="112"/>
      <c r="L8" s="112"/>
      <c r="M8" s="112"/>
      <c r="N8" s="115">
        <v>189654</v>
      </c>
      <c r="O8" s="26" t="s">
        <v>21</v>
      </c>
    </row>
    <row r="9" spans="1:15" s="53" customFormat="1">
      <c r="A9" s="109"/>
      <c r="D9" s="111" t="s">
        <v>22</v>
      </c>
      <c r="E9" s="28">
        <v>65800</v>
      </c>
      <c r="F9" s="28">
        <v>0</v>
      </c>
      <c r="G9" s="28">
        <v>41454</v>
      </c>
      <c r="H9" s="28">
        <v>0</v>
      </c>
      <c r="I9" s="28">
        <v>800</v>
      </c>
      <c r="J9" s="28">
        <v>127000</v>
      </c>
      <c r="K9" s="28">
        <v>800</v>
      </c>
      <c r="L9" s="28">
        <v>400</v>
      </c>
      <c r="M9" s="168">
        <v>0</v>
      </c>
      <c r="N9" s="87">
        <v>236254</v>
      </c>
      <c r="O9" s="30">
        <f>(N9-N8)/N8</f>
        <v>0.24571060984740634</v>
      </c>
    </row>
    <row r="10" spans="1:15" s="53" customFormat="1">
      <c r="A10" s="109"/>
      <c r="D10" s="53">
        <v>2012</v>
      </c>
      <c r="E10" s="118">
        <f>SUM(B25:B27)</f>
        <v>21265</v>
      </c>
      <c r="F10" s="118">
        <f>SUM(B31:B33)</f>
        <v>0</v>
      </c>
      <c r="G10" s="118">
        <f>(SUM(B25:B27)+SUM(B31:B33))*0.63</f>
        <v>13396.95</v>
      </c>
      <c r="H10" s="118">
        <f>SUM(B46:B50)+SUM(B54:B59)</f>
        <v>0</v>
      </c>
      <c r="I10" s="119">
        <f>SUM(B62:B66)</f>
        <v>455</v>
      </c>
      <c r="J10" s="118">
        <f>SUM(B70:B73)</f>
        <v>16900</v>
      </c>
      <c r="K10" s="118">
        <f>SUM(B76:B82)</f>
        <v>195</v>
      </c>
      <c r="L10" s="118">
        <f>SUM(B85:B90)</f>
        <v>130</v>
      </c>
      <c r="M10" s="120"/>
      <c r="N10" s="121">
        <f>SUM(E10:M10)</f>
        <v>52341.95</v>
      </c>
      <c r="O10" s="30">
        <f>(N10-N9)/N9</f>
        <v>-0.77845052358901856</v>
      </c>
    </row>
    <row r="11" spans="1:15" s="3534" customFormat="1">
      <c r="A11" s="109"/>
      <c r="D11" s="4263" t="s">
        <v>1168</v>
      </c>
      <c r="E11" s="118">
        <v>21903</v>
      </c>
      <c r="F11" s="118">
        <v>0</v>
      </c>
      <c r="G11" s="118">
        <v>13798.89</v>
      </c>
      <c r="H11" s="118">
        <v>0</v>
      </c>
      <c r="I11" s="119">
        <v>455</v>
      </c>
      <c r="J11" s="118">
        <v>0</v>
      </c>
      <c r="K11" s="118">
        <v>195</v>
      </c>
      <c r="L11" s="118">
        <v>130</v>
      </c>
      <c r="M11" s="120"/>
      <c r="N11" s="121">
        <v>36481.89</v>
      </c>
      <c r="O11" s="1346">
        <v>-0.30300858107120576</v>
      </c>
    </row>
    <row r="12" spans="1:15" s="5017" customFormat="1">
      <c r="A12" s="5023"/>
      <c r="D12" s="5013" t="s">
        <v>1169</v>
      </c>
      <c r="E12" s="5012">
        <f>SUM(C25:C27)</f>
        <v>12711</v>
      </c>
      <c r="F12" s="5012">
        <f>SUM(C31:C33)</f>
        <v>0</v>
      </c>
      <c r="G12" s="5012">
        <f>(SUM(C25:C27)+SUM(C31:C33))*0.707</f>
        <v>8986.6769999999997</v>
      </c>
      <c r="H12" s="5012">
        <f>SUM(C46:C50)+SUM(C54:C59)</f>
        <v>0</v>
      </c>
      <c r="I12" s="5009">
        <f>SUM(C62:C66)</f>
        <v>455</v>
      </c>
      <c r="J12" s="5012">
        <f>SUM(C70:C73)</f>
        <v>13000</v>
      </c>
      <c r="K12" s="5012">
        <f>SUM(C76:C82)</f>
        <v>195</v>
      </c>
      <c r="L12" s="5012">
        <f>SUM(C85:C90)</f>
        <v>130</v>
      </c>
      <c r="M12" s="4998"/>
      <c r="N12" s="5010">
        <f>SUM(E12:M12)</f>
        <v>35477.676999999996</v>
      </c>
      <c r="O12" s="1346">
        <f>(N12-N10)/N10</f>
        <v>-0.32219420560372708</v>
      </c>
    </row>
    <row r="13" spans="1:15" s="19" customFormat="1">
      <c r="A13" s="69"/>
      <c r="D13" s="123" t="s">
        <v>1172</v>
      </c>
      <c r="E13" s="124">
        <f>SUM(E10+E12)</f>
        <v>33976</v>
      </c>
      <c r="F13" s="124">
        <f t="shared" ref="F13:N13" si="0">SUM(F10+F12)</f>
        <v>0</v>
      </c>
      <c r="G13" s="124">
        <f t="shared" si="0"/>
        <v>22383.627</v>
      </c>
      <c r="H13" s="124">
        <f t="shared" si="0"/>
        <v>0</v>
      </c>
      <c r="I13" s="124">
        <f t="shared" si="0"/>
        <v>910</v>
      </c>
      <c r="J13" s="124">
        <f t="shared" si="0"/>
        <v>29900</v>
      </c>
      <c r="K13" s="124">
        <f t="shared" si="0"/>
        <v>390</v>
      </c>
      <c r="L13" s="124">
        <f t="shared" si="0"/>
        <v>260</v>
      </c>
      <c r="M13" s="124">
        <f t="shared" si="0"/>
        <v>0</v>
      </c>
      <c r="N13" s="124">
        <f t="shared" si="0"/>
        <v>87819.626999999993</v>
      </c>
    </row>
    <row r="14" spans="1:15" ht="18" customHeight="1">
      <c r="A14" s="69"/>
      <c r="D14" s="2"/>
      <c r="E14" s="3"/>
      <c r="M14" s="69" t="s">
        <v>23</v>
      </c>
    </row>
    <row r="15" spans="1:15">
      <c r="A15" s="69"/>
      <c r="D15" s="2"/>
      <c r="E15" s="3"/>
      <c r="M15" s="69" t="s">
        <v>24</v>
      </c>
    </row>
    <row r="16" spans="1:15" ht="15.75">
      <c r="A16" s="69"/>
      <c r="B16" s="5168" t="s">
        <v>25</v>
      </c>
      <c r="C16" s="5169"/>
      <c r="D16" s="5169"/>
      <c r="E16" s="5170"/>
    </row>
    <row r="17" spans="1:7" s="53" customFormat="1" ht="15.75">
      <c r="A17" s="109"/>
      <c r="B17" s="169"/>
      <c r="C17" s="129"/>
      <c r="D17" s="129"/>
      <c r="E17" s="129"/>
      <c r="F17" s="129"/>
      <c r="G17" s="129"/>
    </row>
    <row r="18" spans="1:7" s="53" customFormat="1" ht="15.75">
      <c r="A18" s="109"/>
      <c r="B18" s="129"/>
      <c r="C18" s="129"/>
      <c r="D18" s="129"/>
      <c r="E18" s="129"/>
      <c r="F18" s="129"/>
      <c r="G18" s="129"/>
    </row>
    <row r="19" spans="1:7" ht="15.75">
      <c r="A19" s="69"/>
      <c r="B19" s="170" t="s">
        <v>26</v>
      </c>
      <c r="D19" s="43" t="s">
        <v>27</v>
      </c>
      <c r="E19" s="44" t="s">
        <v>28</v>
      </c>
    </row>
    <row r="20" spans="1:7" ht="26.25">
      <c r="A20" s="69"/>
      <c r="B20" s="130" t="s">
        <v>29</v>
      </c>
      <c r="D20" s="43"/>
      <c r="E20" s="44"/>
    </row>
    <row r="21" spans="1:7" ht="45.75">
      <c r="A21" s="69"/>
      <c r="B21" s="170">
        <v>2012</v>
      </c>
      <c r="C21" s="170">
        <v>2013</v>
      </c>
      <c r="D21" s="69" t="s">
        <v>82</v>
      </c>
      <c r="E21" s="131" t="s">
        <v>31</v>
      </c>
    </row>
    <row r="22" spans="1:7">
      <c r="A22" s="69"/>
      <c r="B22" s="174" t="s">
        <v>9</v>
      </c>
      <c r="C22" s="174" t="s">
        <v>9</v>
      </c>
      <c r="D22" s="138"/>
      <c r="E22" s="139">
        <f>SUM(B25:B27)+SUM(C25:C27)</f>
        <v>33976</v>
      </c>
    </row>
    <row r="23" spans="1:7">
      <c r="A23" s="69"/>
      <c r="B23" s="175"/>
      <c r="C23" s="175"/>
      <c r="D23" s="2"/>
      <c r="E23" s="52"/>
    </row>
    <row r="24" spans="1:7">
      <c r="A24" s="69"/>
      <c r="B24" s="176" t="s">
        <v>32</v>
      </c>
      <c r="C24" s="176" t="s">
        <v>32</v>
      </c>
      <c r="D24" s="143" t="s">
        <v>7</v>
      </c>
      <c r="E24" s="52"/>
      <c r="F24" s="144" t="s">
        <v>7</v>
      </c>
    </row>
    <row r="25" spans="1:7">
      <c r="A25" s="69"/>
      <c r="B25" s="177">
        <v>21265</v>
      </c>
      <c r="C25" s="4434">
        <v>12711</v>
      </c>
      <c r="D25" s="4853" t="s">
        <v>1429</v>
      </c>
      <c r="E25" s="52"/>
      <c r="F25" s="146"/>
    </row>
    <row r="26" spans="1:7">
      <c r="A26" s="69"/>
      <c r="B26" s="179"/>
      <c r="C26" s="179"/>
      <c r="D26" s="2"/>
      <c r="E26" s="52"/>
    </row>
    <row r="27" spans="1:7">
      <c r="A27" s="69"/>
      <c r="B27" s="179"/>
      <c r="C27" s="179"/>
      <c r="D27" s="2"/>
      <c r="E27" s="52"/>
    </row>
    <row r="28" spans="1:7" s="53" customFormat="1">
      <c r="A28" s="109"/>
      <c r="B28" s="174" t="s">
        <v>10</v>
      </c>
      <c r="C28" s="174" t="s">
        <v>10</v>
      </c>
      <c r="D28" s="138"/>
      <c r="E28" s="139">
        <f>SUM(B31:B34)+SUM(C31:C34)</f>
        <v>0</v>
      </c>
    </row>
    <row r="29" spans="1:7">
      <c r="A29" s="69"/>
      <c r="B29" s="180"/>
      <c r="C29" s="180"/>
      <c r="D29" s="152"/>
      <c r="E29" s="52"/>
    </row>
    <row r="30" spans="1:7" s="53" customFormat="1">
      <c r="A30" s="109"/>
      <c r="B30" s="176" t="s">
        <v>32</v>
      </c>
      <c r="C30" s="176" t="s">
        <v>32</v>
      </c>
      <c r="D30" s="152"/>
      <c r="E30" s="52"/>
    </row>
    <row r="31" spans="1:7">
      <c r="A31" s="69"/>
      <c r="B31" s="86"/>
      <c r="C31" s="181"/>
      <c r="D31" s="150"/>
      <c r="E31" s="52"/>
    </row>
    <row r="32" spans="1:7">
      <c r="A32" s="69"/>
      <c r="B32" s="181"/>
      <c r="C32" s="181"/>
      <c r="D32" s="150"/>
      <c r="E32" s="52"/>
    </row>
    <row r="33" spans="1:6">
      <c r="A33" s="69"/>
      <c r="B33" s="19"/>
      <c r="C33" s="19"/>
      <c r="D33" s="150"/>
      <c r="E33" s="52"/>
    </row>
    <row r="34" spans="1:6">
      <c r="A34" s="69"/>
      <c r="B34" s="19"/>
      <c r="C34" s="19"/>
      <c r="D34" s="150"/>
      <c r="E34" s="52"/>
    </row>
    <row r="35" spans="1:6">
      <c r="A35" s="69"/>
      <c r="B35" s="174" t="s">
        <v>11</v>
      </c>
      <c r="C35" s="174" t="s">
        <v>11</v>
      </c>
      <c r="D35" s="138"/>
      <c r="E35" s="139">
        <f>(B25*0.63)+(C25*0.707)</f>
        <v>22383.627</v>
      </c>
    </row>
    <row r="36" spans="1:6">
      <c r="A36" s="69"/>
      <c r="B36" s="175"/>
      <c r="C36" s="175"/>
      <c r="D36" s="2"/>
      <c r="E36" s="68"/>
    </row>
    <row r="37" spans="1:6">
      <c r="A37" s="187"/>
      <c r="B37" s="182" t="s">
        <v>37</v>
      </c>
      <c r="C37" s="182" t="s">
        <v>1204</v>
      </c>
      <c r="D37" s="143" t="s">
        <v>7</v>
      </c>
      <c r="E37" s="52"/>
      <c r="F37" s="157"/>
    </row>
    <row r="38" spans="1:6">
      <c r="A38" s="69"/>
      <c r="B38" s="19"/>
      <c r="C38" s="19"/>
      <c r="D38" s="150" t="s">
        <v>7</v>
      </c>
      <c r="E38" s="52"/>
    </row>
    <row r="39" spans="1:6" s="53" customFormat="1">
      <c r="A39" s="109"/>
      <c r="B39" s="174" t="s">
        <v>38</v>
      </c>
      <c r="C39" s="174" t="s">
        <v>38</v>
      </c>
      <c r="D39" s="138"/>
      <c r="E39" s="139">
        <f>SUM(B41:B43)+SUM(C41:C43)</f>
        <v>0</v>
      </c>
    </row>
    <row r="40" spans="1:6">
      <c r="A40" s="69"/>
      <c r="B40" s="180"/>
      <c r="C40" s="180"/>
      <c r="D40" s="152"/>
      <c r="E40" s="52"/>
    </row>
    <row r="41" spans="1:6">
      <c r="A41" s="69"/>
      <c r="C41" s="181"/>
      <c r="D41" s="150"/>
      <c r="E41" s="52"/>
    </row>
    <row r="42" spans="1:6">
      <c r="A42" s="69"/>
      <c r="B42" s="19"/>
      <c r="C42" s="19"/>
      <c r="D42" s="150"/>
      <c r="E42" s="52"/>
    </row>
    <row r="43" spans="1:6">
      <c r="A43" s="69"/>
      <c r="B43" s="19"/>
      <c r="C43" s="19"/>
      <c r="D43" s="150"/>
      <c r="E43" s="52"/>
    </row>
    <row r="44" spans="1:6">
      <c r="A44" s="69"/>
      <c r="B44" s="174" t="s">
        <v>12</v>
      </c>
      <c r="C44" s="174" t="s">
        <v>12</v>
      </c>
      <c r="D44" s="138"/>
      <c r="E44" s="139">
        <f>SUM(B46:B51)+SUM(C46:C51)</f>
        <v>0</v>
      </c>
    </row>
    <row r="45" spans="1:6">
      <c r="A45" s="69"/>
      <c r="B45" s="183"/>
      <c r="C45" s="183"/>
      <c r="D45" s="150"/>
      <c r="E45" s="52"/>
    </row>
    <row r="46" spans="1:6">
      <c r="A46" s="69"/>
      <c r="B46" s="19"/>
      <c r="C46" s="19"/>
      <c r="D46" s="150"/>
      <c r="E46" s="52"/>
    </row>
    <row r="47" spans="1:6">
      <c r="A47" s="69"/>
      <c r="B47" s="19"/>
      <c r="C47" s="19"/>
      <c r="D47" s="150"/>
      <c r="E47" s="52"/>
    </row>
    <row r="48" spans="1:6">
      <c r="A48" s="69"/>
      <c r="B48" s="19"/>
      <c r="C48" s="19"/>
      <c r="D48" s="150"/>
      <c r="E48" s="52"/>
    </row>
    <row r="49" spans="1:5">
      <c r="A49" s="69"/>
      <c r="B49" s="19"/>
      <c r="C49" s="19"/>
      <c r="D49" s="150"/>
      <c r="E49" s="52"/>
    </row>
    <row r="50" spans="1:5">
      <c r="A50" s="69"/>
      <c r="B50" s="19"/>
      <c r="C50" s="19"/>
      <c r="D50" s="150"/>
      <c r="E50" s="52"/>
    </row>
    <row r="51" spans="1:5">
      <c r="A51" s="69"/>
      <c r="B51" s="19"/>
      <c r="C51" s="19"/>
      <c r="D51" s="150"/>
      <c r="E51" s="52"/>
    </row>
    <row r="52" spans="1:5">
      <c r="A52" s="69"/>
      <c r="B52" s="174" t="s">
        <v>39</v>
      </c>
      <c r="C52" s="174" t="s">
        <v>39</v>
      </c>
      <c r="D52" s="138"/>
      <c r="E52" s="139">
        <f>SUM(B54:B59)+SUM(C54:C59)</f>
        <v>0</v>
      </c>
    </row>
    <row r="53" spans="1:5">
      <c r="A53" s="69"/>
      <c r="B53" s="180"/>
      <c r="C53" s="180"/>
      <c r="E53" s="73"/>
    </row>
    <row r="54" spans="1:5">
      <c r="A54" s="69"/>
      <c r="B54" s="184"/>
      <c r="C54" s="184"/>
      <c r="E54" s="73"/>
    </row>
    <row r="55" spans="1:5">
      <c r="A55" s="69"/>
      <c r="B55" s="184"/>
      <c r="C55" s="184"/>
      <c r="E55" s="73"/>
    </row>
    <row r="56" spans="1:5">
      <c r="A56" s="69"/>
      <c r="B56" s="184"/>
      <c r="C56" s="184"/>
      <c r="E56" s="73"/>
    </row>
    <row r="57" spans="1:5">
      <c r="A57" s="69"/>
      <c r="B57" s="184"/>
      <c r="C57" s="184"/>
      <c r="E57" s="73"/>
    </row>
    <row r="58" spans="1:5">
      <c r="A58" s="69"/>
      <c r="E58" s="73"/>
    </row>
    <row r="59" spans="1:5">
      <c r="A59" s="69"/>
      <c r="D59" s="2"/>
      <c r="E59" s="52"/>
    </row>
    <row r="60" spans="1:5">
      <c r="A60" s="69"/>
      <c r="B60" s="174" t="s">
        <v>13</v>
      </c>
      <c r="C60" s="174" t="s">
        <v>13</v>
      </c>
      <c r="D60" s="138"/>
      <c r="E60" s="139">
        <f>SUM(B62:B67)+SUM(C62:C67)</f>
        <v>910</v>
      </c>
    </row>
    <row r="61" spans="1:5">
      <c r="A61" s="69"/>
      <c r="B61" s="175"/>
      <c r="C61" s="175"/>
      <c r="D61" s="2"/>
      <c r="E61" s="52"/>
    </row>
    <row r="62" spans="1:5">
      <c r="A62" s="69"/>
      <c r="B62" s="3496">
        <v>150</v>
      </c>
      <c r="C62" s="3496">
        <v>150</v>
      </c>
      <c r="D62" s="160" t="s">
        <v>70</v>
      </c>
      <c r="E62" s="52"/>
    </row>
    <row r="63" spans="1:5">
      <c r="A63" s="69"/>
      <c r="B63" s="3496">
        <v>150</v>
      </c>
      <c r="C63" s="3496">
        <v>150</v>
      </c>
      <c r="D63" s="160" t="s">
        <v>41</v>
      </c>
      <c r="E63" s="52"/>
    </row>
    <row r="64" spans="1:5">
      <c r="A64" s="69"/>
      <c r="B64" s="3496">
        <v>70</v>
      </c>
      <c r="C64" s="3496">
        <v>70</v>
      </c>
      <c r="D64" s="160" t="s">
        <v>42</v>
      </c>
      <c r="E64" s="52"/>
    </row>
    <row r="65" spans="1:5">
      <c r="A65" s="69"/>
      <c r="B65" s="3496">
        <v>85</v>
      </c>
      <c r="C65" s="3496">
        <v>85</v>
      </c>
      <c r="D65" s="160" t="s">
        <v>61</v>
      </c>
      <c r="E65" s="52"/>
    </row>
    <row r="66" spans="1:5">
      <c r="A66" s="69"/>
      <c r="B66" s="185"/>
      <c r="C66" s="185"/>
      <c r="D66" s="160" t="s">
        <v>44</v>
      </c>
      <c r="E66" s="52"/>
    </row>
    <row r="67" spans="1:5">
      <c r="A67" s="69"/>
      <c r="B67" s="185"/>
      <c r="C67" s="185"/>
      <c r="D67" s="160"/>
      <c r="E67" s="52"/>
    </row>
    <row r="68" spans="1:5">
      <c r="A68" s="69"/>
      <c r="B68" s="174" t="s">
        <v>14</v>
      </c>
      <c r="C68" s="174" t="s">
        <v>14</v>
      </c>
      <c r="D68" s="138"/>
      <c r="E68" s="139">
        <f>SUM(B70:B73)+SUM(C70:C73)</f>
        <v>29900</v>
      </c>
    </row>
    <row r="69" spans="1:5">
      <c r="A69" s="162"/>
      <c r="B69" s="175"/>
      <c r="C69" s="175"/>
      <c r="D69" s="2"/>
      <c r="E69" s="52"/>
    </row>
    <row r="70" spans="1:5">
      <c r="A70" s="69"/>
      <c r="B70" s="84">
        <v>13000</v>
      </c>
      <c r="C70" s="4435">
        <v>13000</v>
      </c>
      <c r="D70" s="2" t="s">
        <v>91</v>
      </c>
      <c r="E70" s="52"/>
    </row>
    <row r="71" spans="1:5">
      <c r="A71" s="69"/>
      <c r="B71" s="84">
        <v>3900</v>
      </c>
      <c r="C71" s="84">
        <v>0</v>
      </c>
      <c r="D71" s="2" t="s">
        <v>92</v>
      </c>
      <c r="E71" s="52"/>
    </row>
    <row r="72" spans="1:5">
      <c r="A72" s="69"/>
      <c r="B72" s="84"/>
      <c r="C72" s="84"/>
      <c r="D72" s="2"/>
      <c r="E72" s="52"/>
    </row>
    <row r="73" spans="1:5">
      <c r="A73" s="69"/>
      <c r="B73" s="84"/>
      <c r="C73" s="84"/>
      <c r="D73" s="2"/>
      <c r="E73" s="52"/>
    </row>
    <row r="74" spans="1:5">
      <c r="A74" s="69"/>
      <c r="B74" s="174" t="s">
        <v>15</v>
      </c>
      <c r="C74" s="174" t="s">
        <v>15</v>
      </c>
      <c r="D74" s="138"/>
      <c r="E74" s="139">
        <f>SUM(B76:B82)+SUM(C76:C82)</f>
        <v>390</v>
      </c>
    </row>
    <row r="75" spans="1:5">
      <c r="A75" s="69"/>
      <c r="B75" s="180"/>
      <c r="C75" s="180"/>
      <c r="D75" s="2"/>
      <c r="E75" s="52"/>
    </row>
    <row r="76" spans="1:5" s="53" customFormat="1" ht="25.5">
      <c r="A76" s="109"/>
      <c r="B76" s="189">
        <v>195</v>
      </c>
      <c r="C76" s="189">
        <v>195</v>
      </c>
      <c r="D76" s="165" t="s">
        <v>88</v>
      </c>
      <c r="E76" s="52"/>
    </row>
    <row r="77" spans="1:5" s="53" customFormat="1">
      <c r="A77" s="109"/>
      <c r="B77" s="190"/>
      <c r="C77" s="190"/>
      <c r="D77" s="163"/>
      <c r="E77" s="52"/>
    </row>
    <row r="78" spans="1:5" s="53" customFormat="1">
      <c r="A78" s="109"/>
      <c r="B78" s="190"/>
      <c r="C78" s="190"/>
      <c r="D78" s="163"/>
      <c r="E78" s="52"/>
    </row>
    <row r="79" spans="1:5" s="53" customFormat="1">
      <c r="A79" s="109"/>
      <c r="B79" s="190"/>
      <c r="C79" s="190"/>
      <c r="D79" s="163"/>
      <c r="E79" s="52"/>
    </row>
    <row r="80" spans="1:5" s="53" customFormat="1">
      <c r="A80" s="109"/>
      <c r="B80" s="190"/>
      <c r="C80" s="190"/>
      <c r="D80" s="163"/>
      <c r="E80" s="52"/>
    </row>
    <row r="81" spans="1:5">
      <c r="A81" s="69"/>
      <c r="B81" s="84"/>
      <c r="C81" s="84"/>
      <c r="D81" s="150"/>
      <c r="E81" s="52"/>
    </row>
    <row r="82" spans="1:5">
      <c r="A82" s="69"/>
      <c r="B82" s="84"/>
      <c r="C82" s="84"/>
      <c r="D82" s="150"/>
      <c r="E82" s="52"/>
    </row>
    <row r="83" spans="1:5">
      <c r="A83" s="69"/>
      <c r="B83" s="174" t="s">
        <v>16</v>
      </c>
      <c r="C83" s="174" t="s">
        <v>16</v>
      </c>
      <c r="D83" s="138"/>
      <c r="E83" s="139">
        <f>SUM(B85:B90)+SUM(C85:C90)</f>
        <v>260</v>
      </c>
    </row>
    <row r="84" spans="1:5" s="53" customFormat="1">
      <c r="A84" s="109"/>
      <c r="B84" s="180"/>
      <c r="C84" s="180"/>
      <c r="D84" s="163"/>
      <c r="E84" s="52"/>
    </row>
    <row r="85" spans="1:5" s="53" customFormat="1" ht="25.5">
      <c r="A85" s="109"/>
      <c r="B85" s="189">
        <v>130</v>
      </c>
      <c r="C85" s="189">
        <v>130</v>
      </c>
      <c r="D85" s="165" t="s">
        <v>89</v>
      </c>
      <c r="E85" s="52"/>
    </row>
    <row r="86" spans="1:5" s="53" customFormat="1">
      <c r="A86" s="109"/>
      <c r="B86" s="190"/>
      <c r="C86" s="190"/>
      <c r="D86" s="163"/>
      <c r="E86" s="52"/>
    </row>
    <row r="87" spans="1:5" s="53" customFormat="1">
      <c r="A87" s="109"/>
      <c r="B87" s="190"/>
      <c r="C87" s="190"/>
      <c r="D87" s="163"/>
      <c r="E87" s="52"/>
    </row>
    <row r="88" spans="1:5" s="53" customFormat="1">
      <c r="A88" s="109"/>
      <c r="B88" s="190"/>
      <c r="C88" s="190"/>
      <c r="D88" s="163"/>
      <c r="E88" s="52"/>
    </row>
    <row r="89" spans="1:5" s="53" customFormat="1">
      <c r="A89" s="109"/>
      <c r="B89" s="190"/>
      <c r="C89" s="190"/>
      <c r="D89" s="163"/>
      <c r="E89" s="52"/>
    </row>
    <row r="90" spans="1:5">
      <c r="A90" s="69"/>
      <c r="B90" s="84"/>
      <c r="C90" s="84"/>
      <c r="D90" s="2"/>
      <c r="E90" s="52"/>
    </row>
    <row r="91" spans="1:5" ht="25.5">
      <c r="A91" s="69"/>
      <c r="B91" s="174" t="s">
        <v>17</v>
      </c>
      <c r="C91" s="174" t="s">
        <v>17</v>
      </c>
      <c r="D91" s="2"/>
      <c r="E91" s="52"/>
    </row>
    <row r="92" spans="1:5" s="53" customFormat="1">
      <c r="A92" s="109"/>
      <c r="B92" s="180"/>
      <c r="C92" s="180"/>
      <c r="D92" s="163"/>
      <c r="E92" s="52"/>
    </row>
    <row r="93" spans="1:5" s="53" customFormat="1">
      <c r="A93" s="109"/>
      <c r="B93" s="184"/>
      <c r="C93" s="184"/>
      <c r="D93" s="163"/>
      <c r="E93" s="82"/>
    </row>
    <row r="94" spans="1:5">
      <c r="A94" s="69"/>
      <c r="B94" s="86" t="s">
        <v>54</v>
      </c>
      <c r="D94" s="2"/>
      <c r="E94" s="3"/>
    </row>
    <row r="95" spans="1:5">
      <c r="A95" s="69"/>
      <c r="B95" s="86" t="s">
        <v>55</v>
      </c>
      <c r="D95" s="2"/>
      <c r="E95" s="3"/>
    </row>
    <row r="96" spans="1:5">
      <c r="A96" s="69"/>
      <c r="B96" s="86" t="s">
        <v>56</v>
      </c>
      <c r="D96" s="2"/>
      <c r="E96" s="3"/>
    </row>
  </sheetData>
  <sheetProtection password="9E1F" sheet="1" objects="1" scenarios="1"/>
  <customSheetViews>
    <customSheetView guid="{074EB09C-6289-46D7-9513-012B68BCA7BF}" fitToPage="1">
      <pane xSplit="1" ySplit="1" topLeftCell="B2" activePane="bottomRight" state="frozen"/>
      <selection pane="bottomRight" activeCell="D26" sqref="D26"/>
      <pageMargins left="0.21" right="0.7" top="0.34" bottom="0.37" header="0.3" footer="0.3"/>
      <pageSetup paperSize="17" scale="54" orientation="landscape" r:id="rId1"/>
    </customSheetView>
    <customSheetView guid="{AF9F1D33-B8C2-423F-86A1-47612B8F532C}" fitToPage="1">
      <pane xSplit="1" ySplit="1" topLeftCell="B20" activePane="bottomRight" state="frozenSplit"/>
      <selection pane="bottomRight" activeCell="G13" sqref="G13"/>
      <pageMargins left="0.7" right="0.7" top="0.75" bottom="0.75" header="0.3" footer="0.3"/>
      <pageSetup paperSize="17" scale="54" orientation="landscape"/>
    </customSheetView>
  </customSheetViews>
  <mergeCells count="1">
    <mergeCell ref="B16:E16"/>
  </mergeCells>
  <pageMargins left="0.21" right="0.7" top="0.34" bottom="0.37" header="0.3" footer="0.3"/>
  <pageSetup paperSize="17" scale="53" orientation="landscape" r:id="rId2"/>
  <drawing r:id="rId3"/>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G20" sqref="G20"/>
    </sheetView>
  </sheetViews>
  <sheetFormatPr defaultColWidth="8.85546875" defaultRowHeight="12.75"/>
  <cols>
    <col min="1" max="1" width="15.42578125" customWidth="1"/>
    <col min="2" max="3" width="23.7109375" customWidth="1"/>
    <col min="4" max="4" width="26.85546875" customWidth="1"/>
    <col min="5" max="6" width="19.42578125" customWidth="1"/>
    <col min="7" max="7" width="23.7109375" customWidth="1"/>
    <col min="8" max="8" width="19.7109375" customWidth="1"/>
    <col min="9" max="9" width="18.28515625" customWidth="1"/>
    <col min="10" max="11" width="23.7109375" customWidth="1"/>
    <col min="12" max="12" width="16.42578125" customWidth="1"/>
    <col min="13" max="13" width="23.7109375" customWidth="1"/>
    <col min="14" max="14" width="17.42578125" customWidth="1"/>
    <col min="15" max="15" width="18.42578125" customWidth="1"/>
  </cols>
  <sheetData>
    <row r="1" spans="1:15" ht="43.5" customHeight="1"/>
    <row r="2" spans="1:15" ht="18.75" thickBot="1">
      <c r="B2" s="1" t="s">
        <v>81</v>
      </c>
      <c r="C2" s="166"/>
      <c r="D2" s="2"/>
      <c r="E2" s="3"/>
    </row>
    <row r="3" spans="1:15" ht="15.75" thickBot="1">
      <c r="B3" s="5" t="s">
        <v>99</v>
      </c>
      <c r="C3" s="167"/>
      <c r="D3" s="6" t="s">
        <v>75</v>
      </c>
      <c r="E3" s="101">
        <v>18230699</v>
      </c>
    </row>
    <row r="5" spans="1:15" ht="13.5" thickBot="1">
      <c r="A5" s="69"/>
      <c r="D5" s="2"/>
      <c r="E5" s="104" t="s">
        <v>1139</v>
      </c>
    </row>
    <row r="6" spans="1:15" ht="38.25">
      <c r="B6" s="3462"/>
      <c r="E6" s="105" t="s">
        <v>9</v>
      </c>
      <c r="F6" s="105" t="s">
        <v>10</v>
      </c>
      <c r="G6" s="105" t="s">
        <v>11</v>
      </c>
      <c r="H6" s="106" t="s">
        <v>12</v>
      </c>
      <c r="I6" s="107" t="s">
        <v>13</v>
      </c>
      <c r="J6" s="105" t="s">
        <v>14</v>
      </c>
      <c r="K6" s="105" t="s">
        <v>15</v>
      </c>
      <c r="L6" s="105" t="s">
        <v>16</v>
      </c>
      <c r="M6" s="105" t="s">
        <v>17</v>
      </c>
      <c r="N6" s="108" t="s">
        <v>18</v>
      </c>
      <c r="O6" s="18" t="s">
        <v>19</v>
      </c>
    </row>
    <row r="7" spans="1:15" s="53" customFormat="1">
      <c r="A7" s="109"/>
      <c r="D7" s="111" t="s">
        <v>20</v>
      </c>
      <c r="E7" s="112"/>
      <c r="F7" s="112"/>
      <c r="G7" s="112"/>
      <c r="H7" s="113"/>
      <c r="I7" s="114"/>
      <c r="J7" s="112"/>
      <c r="K7" s="112"/>
      <c r="L7" s="112"/>
      <c r="M7" s="112"/>
      <c r="N7" s="115">
        <v>241701</v>
      </c>
      <c r="O7" s="26" t="s">
        <v>21</v>
      </c>
    </row>
    <row r="8" spans="1:15" s="53" customFormat="1">
      <c r="A8" s="109"/>
      <c r="D8" s="111" t="s">
        <v>22</v>
      </c>
      <c r="E8" s="116">
        <v>57500</v>
      </c>
      <c r="F8" s="28">
        <v>0</v>
      </c>
      <c r="G8" s="28">
        <v>36225</v>
      </c>
      <c r="H8" s="28">
        <v>0</v>
      </c>
      <c r="I8" s="28">
        <v>2000</v>
      </c>
      <c r="J8" s="28">
        <v>300000</v>
      </c>
      <c r="K8" s="28">
        <v>1500</v>
      </c>
      <c r="L8" s="28">
        <v>250</v>
      </c>
      <c r="M8" s="168">
        <v>0</v>
      </c>
      <c r="N8" s="87">
        <v>397475</v>
      </c>
      <c r="O8" s="30">
        <f>(N8-N7)/N7</f>
        <v>0.64449050686592113</v>
      </c>
    </row>
    <row r="9" spans="1:15" s="53" customFormat="1">
      <c r="A9" s="109"/>
      <c r="D9" s="53">
        <v>2012</v>
      </c>
      <c r="E9" s="118">
        <f>SUM(B24:B26)</f>
        <v>46000</v>
      </c>
      <c r="F9" s="118">
        <f>SUM(B30:B32)</f>
        <v>0</v>
      </c>
      <c r="G9" s="118">
        <f>(SUM(B24:B26)+SUM(B30:B32))*0.63</f>
        <v>28980</v>
      </c>
      <c r="H9" s="118">
        <f>SUM(B45:B49)+SUM(B53:B58)</f>
        <v>0</v>
      </c>
      <c r="I9" s="119">
        <f>SUM(B61:B65)</f>
        <v>3500</v>
      </c>
      <c r="J9" s="118">
        <f>SUM(B69:B74)</f>
        <v>430000</v>
      </c>
      <c r="K9" s="118">
        <f>SUM(B77:B83)</f>
        <v>0</v>
      </c>
      <c r="L9" s="118">
        <f>SUM(B86:B91)</f>
        <v>0</v>
      </c>
      <c r="M9" s="120"/>
      <c r="N9" s="121">
        <f>SUM(E9:M9)</f>
        <v>508480</v>
      </c>
      <c r="O9" s="30">
        <f>(N9-N8)/N8</f>
        <v>0.27927542612742939</v>
      </c>
    </row>
    <row r="10" spans="1:15" s="3534" customFormat="1">
      <c r="A10" s="109"/>
      <c r="D10" s="4263" t="s">
        <v>1168</v>
      </c>
      <c r="E10" s="118">
        <v>47380</v>
      </c>
      <c r="F10" s="118">
        <v>0</v>
      </c>
      <c r="G10" s="118">
        <v>29849.4</v>
      </c>
      <c r="H10" s="118">
        <v>0</v>
      </c>
      <c r="I10" s="119">
        <v>3500</v>
      </c>
      <c r="J10" s="118">
        <v>360000</v>
      </c>
      <c r="K10" s="118">
        <v>0</v>
      </c>
      <c r="L10" s="118">
        <v>0</v>
      </c>
      <c r="M10" s="120"/>
      <c r="N10" s="121">
        <v>440729.4</v>
      </c>
      <c r="O10" s="1346">
        <v>-0.13324142542479542</v>
      </c>
    </row>
    <row r="11" spans="1:15" s="5017" customFormat="1">
      <c r="A11" s="5023"/>
      <c r="D11" s="5013" t="s">
        <v>1169</v>
      </c>
      <c r="E11" s="5012">
        <f>SUM(C24:C26)</f>
        <v>50845</v>
      </c>
      <c r="F11" s="5012">
        <f>SUM(C30:C32)</f>
        <v>0</v>
      </c>
      <c r="G11" s="5012">
        <f>(SUM(C24:C26)+SUM(C30:C32))*0.707</f>
        <v>35947.415000000001</v>
      </c>
      <c r="H11" s="5012">
        <f>SUM(C45:C49)+SUM(C53:C58)</f>
        <v>0</v>
      </c>
      <c r="I11" s="5009">
        <f>SUM(C61:C65)</f>
        <v>3500</v>
      </c>
      <c r="J11" s="5012">
        <f>SUM(C69:C74)</f>
        <v>460000</v>
      </c>
      <c r="K11" s="5012">
        <f>SUM(C77:C83)</f>
        <v>0</v>
      </c>
      <c r="L11" s="5012">
        <f>SUM(C86:C91)</f>
        <v>0</v>
      </c>
      <c r="M11" s="4998"/>
      <c r="N11" s="5010">
        <f>SUM(E11:M11)</f>
        <v>550292.41500000004</v>
      </c>
      <c r="O11" s="1346">
        <f>(N11-N9)/N9</f>
        <v>8.2230205711139148E-2</v>
      </c>
    </row>
    <row r="12" spans="1:15" s="19" customFormat="1">
      <c r="A12" s="69"/>
      <c r="D12" s="123" t="s">
        <v>1172</v>
      </c>
      <c r="E12" s="124">
        <f>SUM(E9+E11)</f>
        <v>96845</v>
      </c>
      <c r="F12" s="124">
        <f t="shared" ref="F12:N12" si="0">SUM(F9+F11)</f>
        <v>0</v>
      </c>
      <c r="G12" s="124">
        <f t="shared" si="0"/>
        <v>64927.415000000001</v>
      </c>
      <c r="H12" s="124">
        <f t="shared" si="0"/>
        <v>0</v>
      </c>
      <c r="I12" s="124">
        <f t="shared" si="0"/>
        <v>7000</v>
      </c>
      <c r="J12" s="124">
        <f t="shared" si="0"/>
        <v>890000</v>
      </c>
      <c r="K12" s="124">
        <f t="shared" si="0"/>
        <v>0</v>
      </c>
      <c r="L12" s="124">
        <f t="shared" si="0"/>
        <v>0</v>
      </c>
      <c r="M12" s="124">
        <f t="shared" si="0"/>
        <v>0</v>
      </c>
      <c r="N12" s="124">
        <f t="shared" si="0"/>
        <v>1058772.415</v>
      </c>
    </row>
    <row r="13" spans="1:15" ht="18" customHeight="1">
      <c r="A13" s="69"/>
      <c r="D13" s="2"/>
      <c r="E13" s="3"/>
      <c r="M13" s="69" t="s">
        <v>23</v>
      </c>
    </row>
    <row r="14" spans="1:15">
      <c r="A14" s="69"/>
      <c r="D14" s="2"/>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170">
        <v>2012</v>
      </c>
      <c r="C20" s="170">
        <v>2013</v>
      </c>
      <c r="D20" s="69" t="s">
        <v>82</v>
      </c>
      <c r="E20" s="131" t="s">
        <v>31</v>
      </c>
    </row>
    <row r="21" spans="1:7">
      <c r="A21" s="69"/>
      <c r="B21" s="174" t="s">
        <v>9</v>
      </c>
      <c r="C21" s="174" t="s">
        <v>9</v>
      </c>
      <c r="D21" s="138"/>
      <c r="E21" s="139">
        <f>SUM(B24:B26)+SUM(C24:C26)</f>
        <v>96845</v>
      </c>
    </row>
    <row r="22" spans="1:7" ht="7.5" customHeight="1">
      <c r="A22" s="69"/>
      <c r="B22" s="175"/>
      <c r="C22" s="175"/>
      <c r="D22" s="2"/>
      <c r="E22" s="52"/>
    </row>
    <row r="23" spans="1:7">
      <c r="A23" s="69"/>
      <c r="B23" s="176" t="s">
        <v>32</v>
      </c>
      <c r="C23" s="176" t="s">
        <v>32</v>
      </c>
      <c r="D23" s="143" t="s">
        <v>7</v>
      </c>
      <c r="E23" s="52"/>
      <c r="F23" s="144" t="s">
        <v>7</v>
      </c>
    </row>
    <row r="24" spans="1:7">
      <c r="A24" s="69"/>
      <c r="B24" s="69"/>
      <c r="C24" s="19"/>
      <c r="D24" s="3"/>
      <c r="E24" s="52"/>
      <c r="F24" s="146"/>
    </row>
    <row r="25" spans="1:7">
      <c r="A25" s="69"/>
      <c r="B25" s="3495">
        <v>46000</v>
      </c>
      <c r="C25" s="4705">
        <v>50845</v>
      </c>
      <c r="D25" s="4694" t="s">
        <v>1430</v>
      </c>
      <c r="E25" s="52"/>
    </row>
    <row r="26" spans="1:7">
      <c r="A26" s="69"/>
      <c r="D26" s="2"/>
      <c r="E26" s="52"/>
    </row>
    <row r="27" spans="1:7" s="53" customFormat="1" ht="21" customHeight="1">
      <c r="A27" s="109"/>
      <c r="B27" s="174" t="s">
        <v>10</v>
      </c>
      <c r="C27" s="174" t="s">
        <v>10</v>
      </c>
      <c r="D27" s="138"/>
      <c r="E27" s="139">
        <f>SUM(B30:B33)+SUM(C30:C33)</f>
        <v>0</v>
      </c>
    </row>
    <row r="28" spans="1:7" ht="8.25" customHeight="1">
      <c r="A28" s="69"/>
      <c r="B28" s="180"/>
      <c r="C28" s="180"/>
      <c r="D28" s="152"/>
      <c r="E28" s="52"/>
    </row>
    <row r="29" spans="1:7" s="53" customFormat="1" ht="13.5" customHeight="1">
      <c r="A29" s="109"/>
      <c r="B29" s="176" t="s">
        <v>32</v>
      </c>
      <c r="C29" s="176" t="s">
        <v>32</v>
      </c>
      <c r="D29" s="152"/>
      <c r="E29" s="52"/>
    </row>
    <row r="30" spans="1:7">
      <c r="A30" s="69"/>
      <c r="B30" s="86"/>
      <c r="C30" s="181"/>
      <c r="D30" s="150"/>
      <c r="E30" s="52"/>
    </row>
    <row r="31" spans="1:7">
      <c r="A31" s="69"/>
      <c r="B31" s="181"/>
      <c r="C31" s="181"/>
      <c r="D31" s="150"/>
      <c r="E31" s="52"/>
    </row>
    <row r="32" spans="1:7">
      <c r="A32" s="69"/>
      <c r="B32" s="19"/>
      <c r="C32" s="19"/>
      <c r="D32" s="150"/>
      <c r="E32" s="52"/>
    </row>
    <row r="33" spans="1:6">
      <c r="A33" s="69"/>
      <c r="B33" s="19"/>
      <c r="C33" s="19"/>
      <c r="D33" s="150"/>
      <c r="E33" s="52"/>
    </row>
    <row r="34" spans="1:6">
      <c r="A34" s="69"/>
      <c r="B34" s="174" t="s">
        <v>11</v>
      </c>
      <c r="C34" s="174" t="s">
        <v>11</v>
      </c>
      <c r="D34" s="138"/>
      <c r="E34" s="139">
        <f>(B25*0.63)+(C25*0.707)</f>
        <v>64927.415000000001</v>
      </c>
    </row>
    <row r="35" spans="1:6" ht="7.5" customHeight="1">
      <c r="A35" s="69"/>
      <c r="B35" s="175"/>
      <c r="C35" s="175"/>
      <c r="D35" s="2"/>
      <c r="E35" s="68"/>
    </row>
    <row r="36" spans="1:6">
      <c r="A36" s="187"/>
      <c r="B36" s="182" t="s">
        <v>37</v>
      </c>
      <c r="C36" s="182" t="s">
        <v>1204</v>
      </c>
      <c r="D36" s="143" t="s">
        <v>7</v>
      </c>
      <c r="E36" s="52"/>
      <c r="F36" s="157"/>
    </row>
    <row r="37" spans="1:6">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26.2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27.75" customHeight="1">
      <c r="A50" s="69"/>
      <c r="B50" s="19"/>
      <c r="C50" s="19"/>
      <c r="D50" s="150"/>
      <c r="E50" s="52"/>
    </row>
    <row r="51" spans="1:5">
      <c r="A51" s="69"/>
      <c r="B51" s="174" t="s">
        <v>39</v>
      </c>
      <c r="C51" s="174" t="s">
        <v>39</v>
      </c>
      <c r="D51" s="138"/>
      <c r="E51" s="139">
        <f>SUM(B53:B58)+SUM(C53:C58)</f>
        <v>0</v>
      </c>
    </row>
    <row r="52" spans="1:5" ht="6.75" customHeight="1">
      <c r="A52" s="69"/>
      <c r="B52" s="180"/>
      <c r="C52" s="180"/>
      <c r="E52" s="73"/>
    </row>
    <row r="53" spans="1:5">
      <c r="A53" s="69"/>
      <c r="B53" s="184"/>
      <c r="C53" s="184"/>
      <c r="E53" s="73"/>
    </row>
    <row r="54" spans="1:5" ht="12.75" customHeight="1">
      <c r="A54" s="69"/>
      <c r="B54" s="184"/>
      <c r="C54" s="184"/>
      <c r="E54" s="73"/>
    </row>
    <row r="55" spans="1:5">
      <c r="A55" s="69"/>
      <c r="B55" s="184"/>
      <c r="C55" s="184"/>
      <c r="E55" s="73"/>
    </row>
    <row r="56" spans="1:5">
      <c r="A56" s="69"/>
      <c r="B56" s="184"/>
      <c r="C56" s="184"/>
      <c r="E56" s="73"/>
    </row>
    <row r="57" spans="1:5">
      <c r="A57" s="69"/>
      <c r="E57" s="73"/>
    </row>
    <row r="58" spans="1:5">
      <c r="A58" s="69"/>
      <c r="D58" s="2"/>
      <c r="E58" s="52"/>
    </row>
    <row r="59" spans="1:5">
      <c r="A59" s="69"/>
      <c r="B59" s="174" t="s">
        <v>13</v>
      </c>
      <c r="C59" s="174" t="s">
        <v>13</v>
      </c>
      <c r="D59" s="138"/>
      <c r="E59" s="139">
        <f>SUM(B61:B66)+SUM(C61:C66)</f>
        <v>7000</v>
      </c>
    </row>
    <row r="60" spans="1:5" ht="6.75" customHeight="1">
      <c r="A60" s="69"/>
      <c r="B60" s="175"/>
      <c r="C60" s="175"/>
      <c r="D60" s="2"/>
      <c r="E60" s="52"/>
    </row>
    <row r="61" spans="1:5">
      <c r="A61" s="69"/>
      <c r="B61" s="3495">
        <v>2000</v>
      </c>
      <c r="C61" s="3495">
        <v>2000</v>
      </c>
      <c r="D61" s="160" t="s">
        <v>70</v>
      </c>
      <c r="E61" s="52"/>
    </row>
    <row r="62" spans="1:5">
      <c r="A62" s="69"/>
      <c r="B62" s="3495">
        <v>200</v>
      </c>
      <c r="C62" s="3495">
        <v>200</v>
      </c>
      <c r="D62" s="160" t="s">
        <v>41</v>
      </c>
      <c r="E62" s="52"/>
    </row>
    <row r="63" spans="1:5">
      <c r="A63" s="69"/>
      <c r="B63" s="3495">
        <v>300</v>
      </c>
      <c r="C63" s="3495">
        <v>300</v>
      </c>
      <c r="D63" s="160" t="s">
        <v>42</v>
      </c>
      <c r="E63" s="52"/>
    </row>
    <row r="64" spans="1:5">
      <c r="A64" s="69"/>
      <c r="B64" s="3495">
        <v>1000</v>
      </c>
      <c r="C64" s="3495">
        <v>1000</v>
      </c>
      <c r="D64" s="160" t="s">
        <v>61</v>
      </c>
      <c r="E64" s="52"/>
    </row>
    <row r="65" spans="1:5">
      <c r="A65" s="69"/>
      <c r="B65" s="3505"/>
      <c r="C65" s="3505"/>
      <c r="D65" s="160" t="s">
        <v>44</v>
      </c>
      <c r="E65" s="52"/>
    </row>
    <row r="66" spans="1:5">
      <c r="A66" s="69"/>
      <c r="B66" s="3505"/>
      <c r="C66" s="3505"/>
      <c r="D66" s="160"/>
      <c r="E66" s="52"/>
    </row>
    <row r="67" spans="1:5">
      <c r="A67" s="69"/>
      <c r="B67" s="174" t="s">
        <v>14</v>
      </c>
      <c r="C67" s="174" t="s">
        <v>14</v>
      </c>
      <c r="D67" s="138"/>
      <c r="E67" s="139">
        <f>SUM(B69:B74)+SUM(C69:C74)</f>
        <v>890000</v>
      </c>
    </row>
    <row r="68" spans="1:5" ht="6" customHeight="1">
      <c r="A68" s="162"/>
      <c r="B68" s="175"/>
      <c r="C68" s="175"/>
      <c r="D68" s="2"/>
      <c r="E68" s="52"/>
    </row>
    <row r="69" spans="1:5">
      <c r="A69" s="69"/>
      <c r="B69" s="3495" t="s">
        <v>7</v>
      </c>
      <c r="C69" s="3495"/>
      <c r="D69" s="2"/>
      <c r="E69" s="52"/>
    </row>
    <row r="70" spans="1:5" ht="25.5">
      <c r="A70" s="69"/>
      <c r="B70" s="3495">
        <v>430000</v>
      </c>
      <c r="C70" s="4705">
        <v>460000</v>
      </c>
      <c r="D70" s="4054" t="s">
        <v>1142</v>
      </c>
      <c r="E70" s="52"/>
    </row>
    <row r="71" spans="1:5">
      <c r="A71" s="69"/>
      <c r="B71" s="3495"/>
      <c r="C71" s="3495"/>
      <c r="D71" s="2"/>
      <c r="E71" s="52"/>
    </row>
    <row r="72" spans="1:5">
      <c r="A72" s="69"/>
      <c r="B72" s="3495"/>
      <c r="C72" s="3495"/>
      <c r="D72" s="2"/>
      <c r="E72" s="52"/>
    </row>
    <row r="73" spans="1:5">
      <c r="A73" s="69"/>
      <c r="B73" s="3495"/>
      <c r="C73" s="3495"/>
      <c r="D73" s="2"/>
      <c r="E73" s="52"/>
    </row>
    <row r="74" spans="1:5">
      <c r="A74" s="69"/>
      <c r="B74" s="3495" t="s">
        <v>7</v>
      </c>
      <c r="C74" s="3495"/>
      <c r="D74" s="2"/>
      <c r="E74" s="52"/>
    </row>
    <row r="75" spans="1:5">
      <c r="A75" s="69"/>
      <c r="B75" s="174" t="s">
        <v>15</v>
      </c>
      <c r="C75" s="174" t="s">
        <v>15</v>
      </c>
      <c r="D75" s="138"/>
      <c r="E75" s="139">
        <f>SUM(B77:B83)+SUM(C77:C83)</f>
        <v>0</v>
      </c>
    </row>
    <row r="76" spans="1:5" ht="6.75" customHeight="1">
      <c r="A76" s="69"/>
      <c r="B76" s="180"/>
      <c r="C76" s="180"/>
      <c r="D76" s="2"/>
      <c r="E76" s="52"/>
    </row>
    <row r="77" spans="1:5" s="53" customFormat="1" ht="12.75" customHeight="1">
      <c r="A77" s="109"/>
      <c r="B77" s="184"/>
      <c r="C77" s="184"/>
      <c r="D77" s="163"/>
      <c r="E77" s="52"/>
    </row>
    <row r="78" spans="1:5" s="53" customFormat="1" ht="12.75" customHeight="1">
      <c r="A78" s="109"/>
      <c r="B78" s="184"/>
      <c r="C78" s="184"/>
      <c r="D78" s="163"/>
      <c r="E78" s="52"/>
    </row>
    <row r="79" spans="1:5" s="53" customFormat="1" ht="12.75" customHeight="1">
      <c r="A79" s="109"/>
      <c r="B79" s="184"/>
      <c r="C79" s="184"/>
      <c r="D79" s="163"/>
      <c r="E79" s="52"/>
    </row>
    <row r="80" spans="1:5" s="53" customFormat="1" ht="12.75" customHeight="1">
      <c r="A80" s="109"/>
      <c r="B80" s="184"/>
      <c r="C80" s="184"/>
      <c r="D80" s="163"/>
      <c r="E80" s="52"/>
    </row>
    <row r="81" spans="1:5" s="53" customFormat="1" ht="12.75" customHeight="1">
      <c r="A81" s="109"/>
      <c r="B81" s="184"/>
      <c r="C81" s="184"/>
      <c r="D81" s="163"/>
      <c r="E81" s="52"/>
    </row>
    <row r="82" spans="1:5">
      <c r="A82" s="69"/>
      <c r="D82" s="150"/>
      <c r="E82" s="52"/>
    </row>
    <row r="83" spans="1:5">
      <c r="A83" s="69"/>
      <c r="D83" s="150"/>
      <c r="E83" s="52"/>
    </row>
    <row r="84" spans="1:5">
      <c r="A84" s="69"/>
      <c r="B84" s="174" t="s">
        <v>16</v>
      </c>
      <c r="C84" s="174" t="s">
        <v>16</v>
      </c>
      <c r="D84" s="138"/>
      <c r="E84" s="139">
        <f>SUM(B86:B91)+SUM(C86:C91)</f>
        <v>0</v>
      </c>
    </row>
    <row r="85" spans="1:5" s="53" customFormat="1" ht="6.75" customHeight="1">
      <c r="A85" s="109"/>
      <c r="B85" s="180"/>
      <c r="C85" s="180"/>
      <c r="D85" s="163"/>
      <c r="E85" s="52"/>
    </row>
    <row r="86" spans="1:5" s="53" customFormat="1" ht="12.75" customHeight="1">
      <c r="A86" s="109"/>
      <c r="B86" s="184"/>
      <c r="C86" s="184"/>
      <c r="D86" s="163"/>
      <c r="E86" s="52"/>
    </row>
    <row r="87" spans="1:5" s="53" customFormat="1" ht="12.75" customHeight="1">
      <c r="A87" s="109"/>
      <c r="B87" s="184"/>
      <c r="C87" s="184"/>
      <c r="D87" s="163"/>
      <c r="E87" s="52"/>
    </row>
    <row r="88" spans="1:5" s="53" customFormat="1" ht="12.75" customHeight="1">
      <c r="A88" s="109"/>
      <c r="B88" s="184"/>
      <c r="C88" s="184"/>
      <c r="D88" s="163"/>
      <c r="E88" s="52"/>
    </row>
    <row r="89" spans="1:5" s="53" customFormat="1">
      <c r="A89" s="109"/>
      <c r="B89" s="184"/>
      <c r="C89" s="184"/>
      <c r="D89" s="163"/>
      <c r="E89" s="52"/>
    </row>
    <row r="90" spans="1:5" s="53" customFormat="1">
      <c r="A90" s="109"/>
      <c r="B90" s="184"/>
      <c r="C90" s="184"/>
      <c r="D90" s="163"/>
      <c r="E90" s="52"/>
    </row>
    <row r="91" spans="1:5">
      <c r="A91" s="69"/>
      <c r="D91" s="2"/>
      <c r="E91" s="52"/>
    </row>
    <row r="92" spans="1:5" ht="25.5">
      <c r="A92" s="69"/>
      <c r="B92" s="174" t="s">
        <v>17</v>
      </c>
      <c r="C92" s="174" t="s">
        <v>17</v>
      </c>
      <c r="D92" s="2"/>
      <c r="E92" s="52"/>
    </row>
    <row r="93" spans="1:5" s="53" customFormat="1" ht="6.75" customHeight="1">
      <c r="A93" s="109"/>
      <c r="B93" s="180"/>
      <c r="C93" s="180"/>
      <c r="D93" s="163"/>
      <c r="E93" s="52"/>
    </row>
    <row r="94" spans="1:5" s="53" customFormat="1">
      <c r="A94" s="109"/>
      <c r="B94" s="184"/>
      <c r="C94" s="184"/>
      <c r="D94" s="163"/>
      <c r="E94" s="82"/>
    </row>
    <row r="95" spans="1:5">
      <c r="A95" s="69"/>
      <c r="B95" s="86" t="s">
        <v>54</v>
      </c>
      <c r="D95" s="2"/>
      <c r="E95" s="3"/>
    </row>
    <row r="96" spans="1:5">
      <c r="A96" s="69"/>
      <c r="B96" s="86" t="s">
        <v>55</v>
      </c>
      <c r="D96" s="2"/>
      <c r="E96" s="3"/>
    </row>
    <row r="97" spans="1:5">
      <c r="A97" s="69"/>
      <c r="B97" s="86" t="s">
        <v>56</v>
      </c>
      <c r="D97" s="2"/>
      <c r="E97" s="3"/>
    </row>
  </sheetData>
  <sheetProtection password="9E1F" sheet="1" objects="1" scenarios="1"/>
  <customSheetViews>
    <customSheetView guid="{074EB09C-6289-46D7-9513-012B68BCA7BF}" fitToPage="1">
      <pane xSplit="1" ySplit="1" topLeftCell="B2" activePane="bottomRight" state="frozen"/>
      <selection pane="bottomRight" activeCell="D26" sqref="D26"/>
      <pageMargins left="0.28000000000000003" right="0.7" top="0.37" bottom="0.36" header="0.3" footer="0.3"/>
      <pageSetup paperSize="17" scale="54" orientation="landscape" r:id="rId1"/>
    </customSheetView>
    <customSheetView guid="{AF9F1D33-B8C2-423F-86A1-47612B8F532C}" fitToPage="1">
      <pane xSplit="1" ySplit="1" topLeftCell="B17" activePane="bottomRight" state="frozenSplit"/>
      <selection pane="bottomRight" activeCell="G12" sqref="G12"/>
      <pageMargins left="0.7" right="0.7" top="0.75" bottom="0.75" header="0.3" footer="0.3"/>
      <pageSetup paperSize="17" scale="54" orientation="landscape"/>
    </customSheetView>
  </customSheetViews>
  <mergeCells count="3">
    <mergeCell ref="B18:C18"/>
    <mergeCell ref="B19:C19"/>
    <mergeCell ref="B15:E15"/>
  </mergeCells>
  <pageMargins left="0.28000000000000003" right="0.7" top="0.37" bottom="0.36" header="0.3" footer="0.3"/>
  <pageSetup paperSize="17" scale="54" orientation="landscape" r:id="rId2"/>
  <drawing r:id="rId3"/>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B6" sqref="B6"/>
    </sheetView>
  </sheetViews>
  <sheetFormatPr defaultColWidth="8.85546875" defaultRowHeight="12.75"/>
  <cols>
    <col min="1" max="1" width="15.42578125" style="3532" customWidth="1"/>
    <col min="2" max="3" width="23.7109375" style="3532" customWidth="1"/>
    <col min="4" max="4" width="24.7109375" style="3532" customWidth="1"/>
    <col min="5" max="6" width="19.42578125" style="3532" customWidth="1"/>
    <col min="7" max="7" width="23.7109375" style="3532" customWidth="1"/>
    <col min="8" max="8" width="19.7109375" style="3532" customWidth="1"/>
    <col min="9" max="9" width="18.28515625" style="3532" customWidth="1"/>
    <col min="10" max="11" width="23.7109375" style="3532" customWidth="1"/>
    <col min="12" max="12" width="16.42578125" style="3532" customWidth="1"/>
    <col min="13" max="13" width="23.7109375" style="3532" customWidth="1"/>
    <col min="14" max="14" width="13.140625" style="3532" customWidth="1"/>
    <col min="15" max="15" width="18.42578125" style="3532" customWidth="1"/>
    <col min="16" max="16384" width="8.85546875" style="3532"/>
  </cols>
  <sheetData>
    <row r="1" spans="1:15" ht="43.5" customHeight="1"/>
    <row r="2" spans="1:15" ht="18.75" thickBot="1">
      <c r="B2" s="1" t="s">
        <v>1184</v>
      </c>
      <c r="C2" s="2113"/>
      <c r="D2" s="4054"/>
      <c r="E2" s="3"/>
    </row>
    <row r="3" spans="1:15" ht="15.75" thickBot="1">
      <c r="B3" s="5" t="s">
        <v>99</v>
      </c>
      <c r="C3" s="167"/>
      <c r="D3" s="6" t="s">
        <v>75</v>
      </c>
      <c r="E3" s="101">
        <v>18230668</v>
      </c>
    </row>
    <row r="5" spans="1:15" ht="13.5" thickBot="1">
      <c r="A5" s="69"/>
      <c r="D5" s="4054"/>
      <c r="E5" s="104" t="s">
        <v>1139</v>
      </c>
    </row>
    <row r="6" spans="1:15" ht="38.25">
      <c r="B6" s="3462"/>
      <c r="E6" s="105" t="s">
        <v>9</v>
      </c>
      <c r="F6" s="105" t="s">
        <v>10</v>
      </c>
      <c r="G6" s="105" t="s">
        <v>11</v>
      </c>
      <c r="H6" s="106" t="s">
        <v>12</v>
      </c>
      <c r="I6" s="107" t="s">
        <v>13</v>
      </c>
      <c r="J6" s="105" t="s">
        <v>14</v>
      </c>
      <c r="K6" s="105" t="s">
        <v>15</v>
      </c>
      <c r="L6" s="105" t="s">
        <v>16</v>
      </c>
      <c r="M6" s="105" t="s">
        <v>17</v>
      </c>
      <c r="N6" s="108" t="s">
        <v>18</v>
      </c>
      <c r="O6" s="2217" t="s">
        <v>19</v>
      </c>
    </row>
    <row r="7" spans="1:15" s="3534" customFormat="1">
      <c r="A7" s="109"/>
      <c r="D7" s="111" t="s">
        <v>20</v>
      </c>
      <c r="E7" s="112"/>
      <c r="F7" s="112"/>
      <c r="G7" s="112"/>
      <c r="H7" s="113"/>
      <c r="I7" s="114"/>
      <c r="J7" s="112"/>
      <c r="K7" s="112"/>
      <c r="L7" s="112"/>
      <c r="M7" s="112"/>
      <c r="N7" s="115">
        <v>241701</v>
      </c>
      <c r="O7" s="1345" t="s">
        <v>21</v>
      </c>
    </row>
    <row r="8" spans="1:15" s="3534" customFormat="1">
      <c r="A8" s="109"/>
      <c r="D8" s="111" t="s">
        <v>22</v>
      </c>
      <c r="E8" s="116">
        <v>57500</v>
      </c>
      <c r="F8" s="1334">
        <v>0</v>
      </c>
      <c r="G8" s="1334">
        <v>36225</v>
      </c>
      <c r="H8" s="1334">
        <v>0</v>
      </c>
      <c r="I8" s="1334">
        <v>2000</v>
      </c>
      <c r="J8" s="1334">
        <v>300000</v>
      </c>
      <c r="K8" s="1334">
        <v>1500</v>
      </c>
      <c r="L8" s="1334">
        <v>250</v>
      </c>
      <c r="M8" s="168">
        <v>0</v>
      </c>
      <c r="N8" s="1282">
        <v>397475</v>
      </c>
      <c r="O8" s="1346">
        <f>(N8-N7)/N7</f>
        <v>0.64449050686592113</v>
      </c>
    </row>
    <row r="9" spans="1:15" s="3534" customFormat="1">
      <c r="A9" s="109"/>
      <c r="D9" s="3534">
        <v>2012</v>
      </c>
      <c r="E9" s="118">
        <f>SUM(B24:B26)</f>
        <v>0</v>
      </c>
      <c r="F9" s="118">
        <f>SUM(B30:B32)</f>
        <v>0</v>
      </c>
      <c r="G9" s="118">
        <f>(SUM(B24:B26)+SUM(B30:B32))*0.63</f>
        <v>0</v>
      </c>
      <c r="H9" s="118">
        <f>SUM(B45:B49)+SUM(B53:B58)</f>
        <v>0</v>
      </c>
      <c r="I9" s="119">
        <f>SUM(B61:B65)</f>
        <v>0</v>
      </c>
      <c r="J9" s="118">
        <f>SUM(B69:B74)</f>
        <v>0</v>
      </c>
      <c r="K9" s="118">
        <f>SUM(B77:B83)</f>
        <v>0</v>
      </c>
      <c r="L9" s="118">
        <f>SUM(B86:B91)</f>
        <v>0</v>
      </c>
      <c r="M9" s="120"/>
      <c r="N9" s="121">
        <f>SUM(E9:M9)</f>
        <v>0</v>
      </c>
      <c r="O9" s="1346">
        <f>(N9-N8)/N8</f>
        <v>-1</v>
      </c>
    </row>
    <row r="10" spans="1:15" s="5017" customFormat="1">
      <c r="A10" s="5023"/>
      <c r="D10" s="5011" t="s">
        <v>1168</v>
      </c>
      <c r="E10" s="5007"/>
      <c r="F10" s="5007"/>
      <c r="G10" s="5007"/>
      <c r="H10" s="5007"/>
      <c r="I10" s="5016"/>
      <c r="J10" s="5007"/>
      <c r="K10" s="5007"/>
      <c r="L10" s="5007"/>
      <c r="M10" s="5001"/>
      <c r="N10" s="5004"/>
      <c r="O10" s="1346">
        <v>-0.13324142542479542</v>
      </c>
    </row>
    <row r="11" spans="1:15" s="3534" customFormat="1">
      <c r="A11" s="109"/>
      <c r="D11" s="4264" t="s">
        <v>1169</v>
      </c>
      <c r="E11" s="4218">
        <f>SUM(C24:C26)</f>
        <v>57790</v>
      </c>
      <c r="F11" s="4218">
        <f>SUM(C30:C32)</f>
        <v>0</v>
      </c>
      <c r="G11" s="4218">
        <f>(SUM(C24:C26)+SUM(C30:C32))*0.707</f>
        <v>40857.53</v>
      </c>
      <c r="H11" s="4218">
        <f>SUM(C45:C49)+SUM(C53:C58)</f>
        <v>200</v>
      </c>
      <c r="I11" s="4219">
        <f>SUM(C61:C65)</f>
        <v>1092</v>
      </c>
      <c r="J11" s="4218">
        <f>SUM(C69:C74)</f>
        <v>258</v>
      </c>
      <c r="K11" s="4218">
        <f>SUM(C77:C83)</f>
        <v>1159</v>
      </c>
      <c r="L11" s="4218">
        <f>SUM(C86:C91)</f>
        <v>0</v>
      </c>
      <c r="M11" s="4220"/>
      <c r="N11" s="4221">
        <f>SUM(E11:M11)</f>
        <v>101356.53</v>
      </c>
      <c r="O11" s="1346" t="e">
        <f>(N11-N9)/N9</f>
        <v>#DIV/0!</v>
      </c>
    </row>
    <row r="12" spans="1:15" s="3533" customFormat="1">
      <c r="A12" s="69"/>
      <c r="D12" s="123" t="s">
        <v>1172</v>
      </c>
      <c r="E12" s="124">
        <f>SUM(E9+E11)</f>
        <v>57790</v>
      </c>
      <c r="F12" s="124">
        <f t="shared" ref="F12:N12" si="0">SUM(F9+F11)</f>
        <v>0</v>
      </c>
      <c r="G12" s="124">
        <f t="shared" si="0"/>
        <v>40857.53</v>
      </c>
      <c r="H12" s="124">
        <f t="shared" si="0"/>
        <v>200</v>
      </c>
      <c r="I12" s="124">
        <f t="shared" si="0"/>
        <v>1092</v>
      </c>
      <c r="J12" s="124">
        <f t="shared" si="0"/>
        <v>258</v>
      </c>
      <c r="K12" s="124">
        <f t="shared" si="0"/>
        <v>1159</v>
      </c>
      <c r="L12" s="124">
        <f t="shared" si="0"/>
        <v>0</v>
      </c>
      <c r="M12" s="124">
        <f t="shared" si="0"/>
        <v>0</v>
      </c>
      <c r="N12" s="124">
        <f t="shared" si="0"/>
        <v>101356.53</v>
      </c>
    </row>
    <row r="13" spans="1:15" ht="18" customHeight="1">
      <c r="A13" s="69"/>
      <c r="D13" s="4054"/>
      <c r="E13" s="3"/>
      <c r="M13" s="69" t="s">
        <v>23</v>
      </c>
    </row>
    <row r="14" spans="1:15">
      <c r="A14" s="69"/>
      <c r="D14" s="4054"/>
      <c r="E14" s="3"/>
      <c r="M14" s="69" t="s">
        <v>24</v>
      </c>
    </row>
    <row r="15" spans="1:15" ht="15.75">
      <c r="A15" s="69"/>
      <c r="B15" s="5143" t="s">
        <v>25</v>
      </c>
      <c r="C15" s="5145"/>
      <c r="D15" s="5145"/>
      <c r="E15" s="5144"/>
      <c r="F15" s="3437"/>
      <c r="G15" s="3437"/>
    </row>
    <row r="16" spans="1:15" s="3534" customFormat="1" ht="15.75">
      <c r="A16" s="109"/>
      <c r="B16" s="169"/>
      <c r="C16" s="129"/>
      <c r="D16" s="129"/>
      <c r="E16" s="129"/>
      <c r="F16" s="129"/>
      <c r="G16" s="129"/>
    </row>
    <row r="17" spans="1:7" s="3534"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4357">
        <v>2012</v>
      </c>
      <c r="C20" s="4357">
        <v>2013</v>
      </c>
      <c r="D20" s="69" t="s">
        <v>82</v>
      </c>
      <c r="E20" s="131" t="s">
        <v>31</v>
      </c>
    </row>
    <row r="21" spans="1:7">
      <c r="A21" s="69"/>
      <c r="B21" s="174" t="s">
        <v>9</v>
      </c>
      <c r="C21" s="174" t="s">
        <v>9</v>
      </c>
      <c r="D21" s="138"/>
      <c r="E21" s="139">
        <f>SUM(B24:B26)+SUM(C24:C26)</f>
        <v>57790</v>
      </c>
    </row>
    <row r="22" spans="1:7">
      <c r="A22" s="69"/>
      <c r="B22" s="175"/>
      <c r="C22" s="175"/>
      <c r="D22" s="4054"/>
      <c r="E22" s="52"/>
    </row>
    <row r="23" spans="1:7">
      <c r="A23" s="69"/>
      <c r="B23" s="176" t="s">
        <v>32</v>
      </c>
      <c r="C23" s="176" t="s">
        <v>32</v>
      </c>
      <c r="D23" s="143" t="s">
        <v>7</v>
      </c>
      <c r="E23" s="52"/>
      <c r="F23" s="144" t="s">
        <v>7</v>
      </c>
    </row>
    <row r="24" spans="1:7">
      <c r="A24" s="69"/>
      <c r="B24" s="69"/>
      <c r="C24" s="3533"/>
      <c r="D24" s="3"/>
      <c r="E24" s="52"/>
      <c r="F24" s="146"/>
    </row>
    <row r="25" spans="1:7" ht="89.25">
      <c r="A25" s="69"/>
      <c r="B25" s="3495"/>
      <c r="C25" s="4705">
        <v>57790</v>
      </c>
      <c r="D25" s="4694" t="s">
        <v>1331</v>
      </c>
      <c r="E25" s="52"/>
    </row>
    <row r="26" spans="1:7">
      <c r="A26" s="69"/>
      <c r="D26" s="4054"/>
      <c r="E26" s="52"/>
    </row>
    <row r="27" spans="1:7" s="3534" customFormat="1">
      <c r="A27" s="109"/>
      <c r="B27" s="174" t="s">
        <v>10</v>
      </c>
      <c r="C27" s="174" t="s">
        <v>10</v>
      </c>
      <c r="D27" s="138"/>
      <c r="E27" s="139">
        <f>SUM(B30:B33)+SUM(C30:C33)</f>
        <v>0</v>
      </c>
    </row>
    <row r="28" spans="1:7">
      <c r="A28" s="69"/>
      <c r="B28" s="180"/>
      <c r="C28" s="180"/>
      <c r="D28" s="152"/>
      <c r="E28" s="52"/>
    </row>
    <row r="29" spans="1:7" s="3534" customFormat="1">
      <c r="A29" s="109"/>
      <c r="B29" s="176" t="s">
        <v>32</v>
      </c>
      <c r="C29" s="176" t="s">
        <v>32</v>
      </c>
      <c r="D29" s="152"/>
      <c r="E29" s="52"/>
    </row>
    <row r="30" spans="1:7">
      <c r="A30" s="69"/>
      <c r="B30" s="86"/>
      <c r="C30" s="181"/>
      <c r="D30" s="150"/>
      <c r="E30" s="52"/>
    </row>
    <row r="31" spans="1:7">
      <c r="A31" s="69"/>
      <c r="B31" s="181"/>
      <c r="C31" s="181"/>
      <c r="D31" s="150"/>
      <c r="E31" s="52"/>
    </row>
    <row r="32" spans="1:7">
      <c r="A32" s="69"/>
      <c r="B32" s="3533"/>
      <c r="C32" s="3533"/>
      <c r="D32" s="150"/>
      <c r="E32" s="52"/>
    </row>
    <row r="33" spans="1:6">
      <c r="A33" s="69"/>
      <c r="B33" s="3533"/>
      <c r="C33" s="3533"/>
      <c r="D33" s="150"/>
      <c r="E33" s="52"/>
    </row>
    <row r="34" spans="1:6">
      <c r="A34" s="69"/>
      <c r="B34" s="174" t="s">
        <v>11</v>
      </c>
      <c r="C34" s="174" t="s">
        <v>11</v>
      </c>
      <c r="D34" s="138"/>
      <c r="E34" s="139">
        <f>(B25*0.63)+(C25*0.707)</f>
        <v>40857.53</v>
      </c>
    </row>
    <row r="35" spans="1:6">
      <c r="A35" s="69"/>
      <c r="B35" s="175"/>
      <c r="C35" s="175"/>
      <c r="D35" s="4054"/>
      <c r="E35" s="68"/>
    </row>
    <row r="36" spans="1:6">
      <c r="A36" s="1343"/>
      <c r="B36" s="182" t="s">
        <v>37</v>
      </c>
      <c r="C36" s="182" t="s">
        <v>1204</v>
      </c>
      <c r="D36" s="143" t="s">
        <v>7</v>
      </c>
      <c r="E36" s="52"/>
      <c r="F36" s="157"/>
    </row>
    <row r="37" spans="1:6">
      <c r="A37" s="69"/>
      <c r="B37" s="3533"/>
      <c r="C37" s="3533"/>
      <c r="D37" s="150" t="s">
        <v>7</v>
      </c>
      <c r="E37" s="52"/>
    </row>
    <row r="38" spans="1:6" s="3534" customFormat="1">
      <c r="A38" s="109"/>
      <c r="B38" s="174" t="s">
        <v>38</v>
      </c>
      <c r="C38" s="174" t="s">
        <v>38</v>
      </c>
      <c r="D38" s="138"/>
      <c r="E38" s="139">
        <f>SUM(B40:B42)+SUM(C40:C42)</f>
        <v>0</v>
      </c>
    </row>
    <row r="39" spans="1:6">
      <c r="A39" s="69"/>
      <c r="B39" s="180"/>
      <c r="C39" s="180"/>
      <c r="D39" s="152"/>
      <c r="E39" s="52"/>
    </row>
    <row r="40" spans="1:6">
      <c r="A40" s="69"/>
      <c r="C40" s="181"/>
      <c r="D40" s="150"/>
      <c r="E40" s="52"/>
    </row>
    <row r="41" spans="1:6">
      <c r="A41" s="69"/>
      <c r="B41" s="3533"/>
      <c r="C41" s="3533"/>
      <c r="D41" s="150"/>
      <c r="E41" s="52"/>
    </row>
    <row r="42" spans="1:6">
      <c r="A42" s="69"/>
      <c r="B42" s="3533"/>
      <c r="C42" s="3533"/>
      <c r="D42" s="150"/>
      <c r="E42" s="52"/>
    </row>
    <row r="43" spans="1:6">
      <c r="A43" s="69"/>
      <c r="B43" s="174" t="s">
        <v>12</v>
      </c>
      <c r="C43" s="174" t="s">
        <v>12</v>
      </c>
      <c r="D43" s="138"/>
      <c r="E43" s="139">
        <f>SUM(B45:B50)+SUM(C45:C50)</f>
        <v>200</v>
      </c>
    </row>
    <row r="44" spans="1:6">
      <c r="A44" s="69"/>
      <c r="B44" s="183"/>
      <c r="C44" s="183"/>
      <c r="D44" s="150"/>
      <c r="E44" s="52"/>
    </row>
    <row r="45" spans="1:6">
      <c r="A45" s="69"/>
      <c r="B45" s="3533"/>
      <c r="C45" s="3533"/>
      <c r="D45" s="150"/>
      <c r="E45" s="52"/>
    </row>
    <row r="46" spans="1:6">
      <c r="A46" s="69"/>
      <c r="B46" s="3533"/>
      <c r="C46" s="4696">
        <v>200</v>
      </c>
      <c r="D46" s="150"/>
      <c r="E46" s="52"/>
    </row>
    <row r="47" spans="1:6">
      <c r="A47" s="69"/>
      <c r="B47" s="3533"/>
      <c r="C47" s="3533"/>
      <c r="D47" s="150"/>
      <c r="E47" s="52"/>
    </row>
    <row r="48" spans="1:6">
      <c r="A48" s="69"/>
      <c r="B48" s="3533"/>
      <c r="C48" s="3533"/>
      <c r="D48" s="150"/>
      <c r="E48" s="52"/>
    </row>
    <row r="49" spans="1:5">
      <c r="A49" s="69"/>
      <c r="B49" s="3533"/>
      <c r="C49" s="3533"/>
      <c r="D49" s="150"/>
      <c r="E49" s="52"/>
    </row>
    <row r="50" spans="1:5">
      <c r="A50" s="69"/>
      <c r="B50" s="3533"/>
      <c r="C50" s="3533"/>
      <c r="D50" s="150"/>
      <c r="E50" s="52"/>
    </row>
    <row r="51" spans="1:5">
      <c r="A51" s="69"/>
      <c r="B51" s="174" t="s">
        <v>39</v>
      </c>
      <c r="C51" s="174" t="s">
        <v>39</v>
      </c>
      <c r="D51" s="138"/>
      <c r="E51" s="139">
        <f>SUM(B53:B58)+SUM(C53:C58)</f>
        <v>0</v>
      </c>
    </row>
    <row r="52" spans="1:5">
      <c r="A52" s="69"/>
      <c r="B52" s="180"/>
      <c r="C52" s="180"/>
      <c r="E52" s="73"/>
    </row>
    <row r="53" spans="1:5">
      <c r="A53" s="69"/>
      <c r="B53" s="184"/>
      <c r="C53" s="184"/>
      <c r="E53" s="73"/>
    </row>
    <row r="54" spans="1:5">
      <c r="A54" s="69"/>
      <c r="B54" s="184"/>
      <c r="C54" s="184"/>
      <c r="E54" s="73"/>
    </row>
    <row r="55" spans="1:5">
      <c r="A55" s="69"/>
      <c r="B55" s="184"/>
      <c r="C55" s="184"/>
      <c r="E55" s="73"/>
    </row>
    <row r="56" spans="1:5">
      <c r="A56" s="69"/>
      <c r="B56" s="184"/>
      <c r="C56" s="184"/>
      <c r="E56" s="73"/>
    </row>
    <row r="57" spans="1:5">
      <c r="A57" s="69"/>
      <c r="E57" s="73"/>
    </row>
    <row r="58" spans="1:5">
      <c r="A58" s="69"/>
      <c r="D58" s="4054"/>
      <c r="E58" s="52"/>
    </row>
    <row r="59" spans="1:5">
      <c r="A59" s="69"/>
      <c r="B59" s="174" t="s">
        <v>13</v>
      </c>
      <c r="C59" s="174" t="s">
        <v>13</v>
      </c>
      <c r="D59" s="138"/>
      <c r="E59" s="139">
        <f>SUM(B61:B66)+SUM(C61:C66)</f>
        <v>1092</v>
      </c>
    </row>
    <row r="60" spans="1:5">
      <c r="A60" s="69"/>
      <c r="B60" s="175"/>
      <c r="C60" s="175"/>
      <c r="D60" s="4054"/>
      <c r="E60" s="52"/>
    </row>
    <row r="61" spans="1:5" ht="25.5">
      <c r="A61" s="69"/>
      <c r="B61" s="3495"/>
      <c r="C61" s="4705">
        <v>1092</v>
      </c>
      <c r="D61" s="4706" t="s">
        <v>1329</v>
      </c>
      <c r="E61" s="52"/>
    </row>
    <row r="62" spans="1:5">
      <c r="A62" s="69"/>
      <c r="B62" s="3495"/>
      <c r="C62" s="3495"/>
      <c r="D62" s="160"/>
      <c r="E62" s="52"/>
    </row>
    <row r="63" spans="1:5">
      <c r="A63" s="69"/>
      <c r="B63" s="3495"/>
      <c r="C63" s="3495"/>
      <c r="D63" s="160"/>
      <c r="E63" s="52"/>
    </row>
    <row r="64" spans="1:5">
      <c r="A64" s="69"/>
      <c r="B64" s="3495"/>
      <c r="C64" s="3495"/>
      <c r="D64" s="160"/>
      <c r="E64" s="52"/>
    </row>
    <row r="65" spans="1:5">
      <c r="A65" s="69"/>
      <c r="B65" s="3505"/>
      <c r="C65" s="3505"/>
      <c r="D65" s="160"/>
      <c r="E65" s="52"/>
    </row>
    <row r="66" spans="1:5">
      <c r="A66" s="69"/>
      <c r="B66" s="3505"/>
      <c r="C66" s="3505"/>
      <c r="D66" s="160"/>
      <c r="E66" s="52"/>
    </row>
    <row r="67" spans="1:5">
      <c r="A67" s="69"/>
      <c r="B67" s="174" t="s">
        <v>14</v>
      </c>
      <c r="C67" s="174" t="s">
        <v>14</v>
      </c>
      <c r="D67" s="138"/>
      <c r="E67" s="139">
        <f>SUM(B69:B74)+SUM(C69:C74)</f>
        <v>258</v>
      </c>
    </row>
    <row r="68" spans="1:5">
      <c r="A68" s="162"/>
      <c r="B68" s="175"/>
      <c r="C68" s="175"/>
      <c r="D68" s="4054"/>
      <c r="E68" s="52"/>
    </row>
    <row r="69" spans="1:5">
      <c r="A69" s="69"/>
      <c r="B69" s="3495" t="s">
        <v>7</v>
      </c>
      <c r="C69" s="3495"/>
      <c r="D69" s="4054"/>
      <c r="E69" s="52"/>
    </row>
    <row r="70" spans="1:5">
      <c r="A70" s="69"/>
      <c r="B70" s="3495"/>
      <c r="C70" s="4705">
        <v>258</v>
      </c>
      <c r="D70" s="4054"/>
      <c r="E70" s="52"/>
    </row>
    <row r="71" spans="1:5">
      <c r="A71" s="69"/>
      <c r="B71" s="3495"/>
      <c r="C71" s="3495"/>
      <c r="D71" s="4054"/>
      <c r="E71" s="52"/>
    </row>
    <row r="72" spans="1:5">
      <c r="A72" s="69"/>
      <c r="B72" s="3495"/>
      <c r="C72" s="3495"/>
      <c r="D72" s="4054"/>
      <c r="E72" s="52"/>
    </row>
    <row r="73" spans="1:5">
      <c r="A73" s="69"/>
      <c r="B73" s="3495"/>
      <c r="C73" s="3495"/>
      <c r="D73" s="4054"/>
      <c r="E73" s="52"/>
    </row>
    <row r="74" spans="1:5">
      <c r="A74" s="69"/>
      <c r="B74" s="3495" t="s">
        <v>7</v>
      </c>
      <c r="C74" s="3495"/>
      <c r="D74" s="4054"/>
      <c r="E74" s="52"/>
    </row>
    <row r="75" spans="1:5">
      <c r="A75" s="69"/>
      <c r="B75" s="174" t="s">
        <v>15</v>
      </c>
      <c r="C75" s="174" t="s">
        <v>15</v>
      </c>
      <c r="D75" s="138"/>
      <c r="E75" s="139">
        <f>SUM(B77:B83)+SUM(C77:C83)</f>
        <v>1159</v>
      </c>
    </row>
    <row r="76" spans="1:5">
      <c r="A76" s="69"/>
      <c r="B76" s="180"/>
      <c r="C76" s="180"/>
      <c r="D76" s="4054"/>
      <c r="E76" s="52"/>
    </row>
    <row r="77" spans="1:5" s="3534" customFormat="1">
      <c r="A77" s="109"/>
      <c r="B77" s="184"/>
      <c r="C77" s="184"/>
      <c r="D77" s="163"/>
      <c r="E77" s="52"/>
    </row>
    <row r="78" spans="1:5" s="3534" customFormat="1">
      <c r="A78" s="109"/>
      <c r="B78" s="184"/>
      <c r="C78" s="4709">
        <v>1159</v>
      </c>
      <c r="D78" s="163"/>
      <c r="E78" s="52"/>
    </row>
    <row r="79" spans="1:5" s="3534" customFormat="1">
      <c r="A79" s="109"/>
      <c r="B79" s="184"/>
      <c r="C79" s="184"/>
      <c r="D79" s="163"/>
      <c r="E79" s="52"/>
    </row>
    <row r="80" spans="1:5" s="3534" customFormat="1">
      <c r="A80" s="109"/>
      <c r="B80" s="184"/>
      <c r="C80" s="184"/>
      <c r="D80" s="163"/>
      <c r="E80" s="52"/>
    </row>
    <row r="81" spans="1:5" s="3534" customFormat="1">
      <c r="A81" s="109"/>
      <c r="B81" s="184"/>
      <c r="C81" s="184"/>
      <c r="D81" s="163"/>
      <c r="E81" s="52"/>
    </row>
    <row r="82" spans="1:5">
      <c r="A82" s="69"/>
      <c r="D82" s="150"/>
      <c r="E82" s="52"/>
    </row>
    <row r="83" spans="1:5">
      <c r="A83" s="69"/>
      <c r="D83" s="150"/>
      <c r="E83" s="52"/>
    </row>
    <row r="84" spans="1:5">
      <c r="A84" s="69"/>
      <c r="B84" s="174" t="s">
        <v>16</v>
      </c>
      <c r="C84" s="174" t="s">
        <v>16</v>
      </c>
      <c r="D84" s="138"/>
      <c r="E84" s="139">
        <f>SUM(B86:B91)+SUM(C86:C91)</f>
        <v>0</v>
      </c>
    </row>
    <row r="85" spans="1:5" s="3534" customFormat="1">
      <c r="A85" s="109"/>
      <c r="B85" s="180"/>
      <c r="C85" s="180"/>
      <c r="D85" s="163"/>
      <c r="E85" s="52"/>
    </row>
    <row r="86" spans="1:5" s="3534" customFormat="1">
      <c r="A86" s="109"/>
      <c r="B86" s="184"/>
      <c r="C86" s="184"/>
      <c r="D86" s="163"/>
      <c r="E86" s="52"/>
    </row>
    <row r="87" spans="1:5" s="3534" customFormat="1">
      <c r="A87" s="109"/>
      <c r="B87" s="184"/>
      <c r="C87" s="184"/>
      <c r="D87" s="163"/>
      <c r="E87" s="52"/>
    </row>
    <row r="88" spans="1:5" s="3534" customFormat="1">
      <c r="A88" s="109"/>
      <c r="B88" s="184"/>
      <c r="C88" s="184"/>
      <c r="D88" s="163"/>
      <c r="E88" s="52"/>
    </row>
    <row r="89" spans="1:5" s="3534" customFormat="1">
      <c r="A89" s="109"/>
      <c r="B89" s="184"/>
      <c r="C89" s="184"/>
      <c r="D89" s="163"/>
      <c r="E89" s="52"/>
    </row>
    <row r="90" spans="1:5" s="3534" customFormat="1">
      <c r="A90" s="109"/>
      <c r="B90" s="184"/>
      <c r="C90" s="184"/>
      <c r="D90" s="163"/>
      <c r="E90" s="52"/>
    </row>
    <row r="91" spans="1:5">
      <c r="A91" s="69"/>
      <c r="D91" s="4054"/>
      <c r="E91" s="52"/>
    </row>
    <row r="92" spans="1:5" ht="25.5">
      <c r="A92" s="69"/>
      <c r="B92" s="174" t="s">
        <v>17</v>
      </c>
      <c r="C92" s="174" t="s">
        <v>17</v>
      </c>
      <c r="D92" s="4054"/>
      <c r="E92" s="52"/>
    </row>
    <row r="93" spans="1:5" s="3534" customFormat="1">
      <c r="A93" s="109"/>
      <c r="B93" s="180"/>
      <c r="C93" s="180"/>
      <c r="D93" s="163"/>
      <c r="E93" s="52"/>
    </row>
    <row r="94" spans="1:5" s="3534" customFormat="1">
      <c r="A94" s="109"/>
      <c r="B94" s="184"/>
      <c r="C94" s="184"/>
      <c r="D94" s="163"/>
      <c r="E94" s="82"/>
    </row>
    <row r="95" spans="1:5">
      <c r="A95" s="69"/>
      <c r="B95" s="86" t="s">
        <v>54</v>
      </c>
      <c r="D95" s="4054"/>
      <c r="E95" s="3"/>
    </row>
    <row r="96" spans="1:5">
      <c r="A96" s="69"/>
      <c r="B96" s="86" t="s">
        <v>55</v>
      </c>
      <c r="D96" s="4054"/>
      <c r="E96" s="3"/>
    </row>
    <row r="97" spans="1:5">
      <c r="A97" s="69"/>
      <c r="B97" s="86" t="s">
        <v>56</v>
      </c>
      <c r="D97" s="4054"/>
      <c r="E97" s="3"/>
    </row>
  </sheetData>
  <sheetProtection password="9E1F" sheet="1" objects="1" scenarios="1"/>
  <customSheetViews>
    <customSheetView guid="{074EB09C-6289-46D7-9513-012B68BCA7BF}" fitToPage="1">
      <pane xSplit="1" ySplit="1" topLeftCell="B2" activePane="bottomRight" state="frozen"/>
      <selection pane="bottomRight" activeCell="B6" sqref="B6"/>
      <pageMargins left="0.7" right="0.7" top="0.37" bottom="0.32" header="0.3" footer="0.3"/>
      <pageSetup paperSize="17" scale="52" orientation="landscape" r:id="rId1"/>
    </customSheetView>
    <customSheetView guid="{AF9F1D33-B8C2-423F-86A1-47612B8F532C}" fitToPage="1">
      <pane xSplit="1" ySplit="1" topLeftCell="B2" activePane="bottomRight" state="frozenSplit"/>
      <selection pane="bottomRight" activeCell="G12" sqref="G12"/>
      <pageMargins left="0.7" right="0.7" top="0.75" bottom="0.75" header="0.3" footer="0.3"/>
      <pageSetup paperSize="17" scale="55" orientation="landscape"/>
    </customSheetView>
  </customSheetViews>
  <mergeCells count="3">
    <mergeCell ref="B15:E15"/>
    <mergeCell ref="B18:C18"/>
    <mergeCell ref="B19:C19"/>
  </mergeCells>
  <pageMargins left="0.7" right="0.7" top="0.37" bottom="0.32" header="0.3" footer="0.3"/>
  <pageSetup paperSize="17" scale="52" orientation="landscape" r:id="rId2"/>
  <drawing r:id="rId3"/>
</worksheet>
</file>

<file path=xl/worksheets/sheet87.xml><?xml version="1.0" encoding="utf-8"?>
<worksheet xmlns="http://schemas.openxmlformats.org/spreadsheetml/2006/main" xmlns:r="http://schemas.openxmlformats.org/officeDocument/2006/relationships">
  <sheetPr enableFormatConditionsCalculation="0">
    <pageSetUpPr fitToPage="1"/>
  </sheetPr>
  <dimension ref="A1:O97"/>
  <sheetViews>
    <sheetView zoomScaleNormal="100" workbookViewId="0">
      <pane xSplit="1" ySplit="1" topLeftCell="B2" activePane="bottomRight" state="frozen"/>
      <selection pane="topRight" activeCell="B1" sqref="B1"/>
      <selection pane="bottomLeft" activeCell="A2" sqref="A2"/>
      <selection pane="bottomRight" activeCell="K69" sqref="K69"/>
    </sheetView>
  </sheetViews>
  <sheetFormatPr defaultColWidth="8.85546875" defaultRowHeight="12.75"/>
  <cols>
    <col min="1" max="1" width="15.85546875" style="2203" customWidth="1"/>
    <col min="2" max="3" width="22.28515625" style="2203" customWidth="1"/>
    <col min="4" max="4" width="23.85546875" style="2203" customWidth="1"/>
    <col min="5" max="10" width="23.7109375" style="2203" customWidth="1"/>
    <col min="11" max="11" width="19.140625" style="2203" customWidth="1"/>
    <col min="12" max="12" width="14.28515625" style="2203" customWidth="1"/>
    <col min="13" max="13" width="23.7109375" style="2203" customWidth="1"/>
    <col min="14" max="14" width="16.140625" style="2203" customWidth="1"/>
    <col min="15" max="15" width="15.140625" style="2203" customWidth="1"/>
    <col min="16" max="256" width="8.85546875" style="2203"/>
    <col min="257" max="257" width="48.42578125" style="2203" customWidth="1"/>
    <col min="258" max="259" width="23.7109375" style="2203" customWidth="1"/>
    <col min="260" max="260" width="29.42578125" style="2203" customWidth="1"/>
    <col min="261" max="266" width="23.7109375" style="2203" customWidth="1"/>
    <col min="267" max="267" width="19.140625" style="2203" customWidth="1"/>
    <col min="268" max="268" width="14.28515625" style="2203" customWidth="1"/>
    <col min="269" max="269" width="23.7109375" style="2203" customWidth="1"/>
    <col min="270" max="270" width="16.140625" style="2203" customWidth="1"/>
    <col min="271" max="271" width="15.140625" style="2203" customWidth="1"/>
    <col min="272" max="512" width="8.85546875" style="2203"/>
    <col min="513" max="513" width="48.42578125" style="2203" customWidth="1"/>
    <col min="514" max="515" width="23.7109375" style="2203" customWidth="1"/>
    <col min="516" max="516" width="29.42578125" style="2203" customWidth="1"/>
    <col min="517" max="522" width="23.7109375" style="2203" customWidth="1"/>
    <col min="523" max="523" width="19.140625" style="2203" customWidth="1"/>
    <col min="524" max="524" width="14.28515625" style="2203" customWidth="1"/>
    <col min="525" max="525" width="23.7109375" style="2203" customWidth="1"/>
    <col min="526" max="526" width="16.140625" style="2203" customWidth="1"/>
    <col min="527" max="527" width="15.140625" style="2203" customWidth="1"/>
    <col min="528" max="768" width="8.85546875" style="2203"/>
    <col min="769" max="769" width="48.42578125" style="2203" customWidth="1"/>
    <col min="770" max="771" width="23.7109375" style="2203" customWidth="1"/>
    <col min="772" max="772" width="29.42578125" style="2203" customWidth="1"/>
    <col min="773" max="778" width="23.7109375" style="2203" customWidth="1"/>
    <col min="779" max="779" width="19.140625" style="2203" customWidth="1"/>
    <col min="780" max="780" width="14.28515625" style="2203" customWidth="1"/>
    <col min="781" max="781" width="23.7109375" style="2203" customWidth="1"/>
    <col min="782" max="782" width="16.140625" style="2203" customWidth="1"/>
    <col min="783" max="783" width="15.140625" style="2203" customWidth="1"/>
    <col min="784" max="1024" width="8.85546875" style="2203"/>
    <col min="1025" max="1025" width="48.42578125" style="2203" customWidth="1"/>
    <col min="1026" max="1027" width="23.7109375" style="2203" customWidth="1"/>
    <col min="1028" max="1028" width="29.42578125" style="2203" customWidth="1"/>
    <col min="1029" max="1034" width="23.7109375" style="2203" customWidth="1"/>
    <col min="1035" max="1035" width="19.140625" style="2203" customWidth="1"/>
    <col min="1036" max="1036" width="14.28515625" style="2203" customWidth="1"/>
    <col min="1037" max="1037" width="23.7109375" style="2203" customWidth="1"/>
    <col min="1038" max="1038" width="16.140625" style="2203" customWidth="1"/>
    <col min="1039" max="1039" width="15.140625" style="2203" customWidth="1"/>
    <col min="1040" max="1280" width="8.85546875" style="2203"/>
    <col min="1281" max="1281" width="48.42578125" style="2203" customWidth="1"/>
    <col min="1282" max="1283" width="23.7109375" style="2203" customWidth="1"/>
    <col min="1284" max="1284" width="29.42578125" style="2203" customWidth="1"/>
    <col min="1285" max="1290" width="23.7109375" style="2203" customWidth="1"/>
    <col min="1291" max="1291" width="19.140625" style="2203" customWidth="1"/>
    <col min="1292" max="1292" width="14.28515625" style="2203" customWidth="1"/>
    <col min="1293" max="1293" width="23.7109375" style="2203" customWidth="1"/>
    <col min="1294" max="1294" width="16.140625" style="2203" customWidth="1"/>
    <col min="1295" max="1295" width="15.140625" style="2203" customWidth="1"/>
    <col min="1296" max="1536" width="8.85546875" style="2203"/>
    <col min="1537" max="1537" width="48.42578125" style="2203" customWidth="1"/>
    <col min="1538" max="1539" width="23.7109375" style="2203" customWidth="1"/>
    <col min="1540" max="1540" width="29.42578125" style="2203" customWidth="1"/>
    <col min="1541" max="1546" width="23.7109375" style="2203" customWidth="1"/>
    <col min="1547" max="1547" width="19.140625" style="2203" customWidth="1"/>
    <col min="1548" max="1548" width="14.28515625" style="2203" customWidth="1"/>
    <col min="1549" max="1549" width="23.7109375" style="2203" customWidth="1"/>
    <col min="1550" max="1550" width="16.140625" style="2203" customWidth="1"/>
    <col min="1551" max="1551" width="15.140625" style="2203" customWidth="1"/>
    <col min="1552" max="1792" width="8.85546875" style="2203"/>
    <col min="1793" max="1793" width="48.42578125" style="2203" customWidth="1"/>
    <col min="1794" max="1795" width="23.7109375" style="2203" customWidth="1"/>
    <col min="1796" max="1796" width="29.42578125" style="2203" customWidth="1"/>
    <col min="1797" max="1802" width="23.7109375" style="2203" customWidth="1"/>
    <col min="1803" max="1803" width="19.140625" style="2203" customWidth="1"/>
    <col min="1804" max="1804" width="14.28515625" style="2203" customWidth="1"/>
    <col min="1805" max="1805" width="23.7109375" style="2203" customWidth="1"/>
    <col min="1806" max="1806" width="16.140625" style="2203" customWidth="1"/>
    <col min="1807" max="1807" width="15.140625" style="2203" customWidth="1"/>
    <col min="1808" max="2048" width="8.85546875" style="2203"/>
    <col min="2049" max="2049" width="48.42578125" style="2203" customWidth="1"/>
    <col min="2050" max="2051" width="23.7109375" style="2203" customWidth="1"/>
    <col min="2052" max="2052" width="29.42578125" style="2203" customWidth="1"/>
    <col min="2053" max="2058" width="23.7109375" style="2203" customWidth="1"/>
    <col min="2059" max="2059" width="19.140625" style="2203" customWidth="1"/>
    <col min="2060" max="2060" width="14.28515625" style="2203" customWidth="1"/>
    <col min="2061" max="2061" width="23.7109375" style="2203" customWidth="1"/>
    <col min="2062" max="2062" width="16.140625" style="2203" customWidth="1"/>
    <col min="2063" max="2063" width="15.140625" style="2203" customWidth="1"/>
    <col min="2064" max="2304" width="8.85546875" style="2203"/>
    <col min="2305" max="2305" width="48.42578125" style="2203" customWidth="1"/>
    <col min="2306" max="2307" width="23.7109375" style="2203" customWidth="1"/>
    <col min="2308" max="2308" width="29.42578125" style="2203" customWidth="1"/>
    <col min="2309" max="2314" width="23.7109375" style="2203" customWidth="1"/>
    <col min="2315" max="2315" width="19.140625" style="2203" customWidth="1"/>
    <col min="2316" max="2316" width="14.28515625" style="2203" customWidth="1"/>
    <col min="2317" max="2317" width="23.7109375" style="2203" customWidth="1"/>
    <col min="2318" max="2318" width="16.140625" style="2203" customWidth="1"/>
    <col min="2319" max="2319" width="15.140625" style="2203" customWidth="1"/>
    <col min="2320" max="2560" width="8.85546875" style="2203"/>
    <col min="2561" max="2561" width="48.42578125" style="2203" customWidth="1"/>
    <col min="2562" max="2563" width="23.7109375" style="2203" customWidth="1"/>
    <col min="2564" max="2564" width="29.42578125" style="2203" customWidth="1"/>
    <col min="2565" max="2570" width="23.7109375" style="2203" customWidth="1"/>
    <col min="2571" max="2571" width="19.140625" style="2203" customWidth="1"/>
    <col min="2572" max="2572" width="14.28515625" style="2203" customWidth="1"/>
    <col min="2573" max="2573" width="23.7109375" style="2203" customWidth="1"/>
    <col min="2574" max="2574" width="16.140625" style="2203" customWidth="1"/>
    <col min="2575" max="2575" width="15.140625" style="2203" customWidth="1"/>
    <col min="2576" max="2816" width="8.85546875" style="2203"/>
    <col min="2817" max="2817" width="48.42578125" style="2203" customWidth="1"/>
    <col min="2818" max="2819" width="23.7109375" style="2203" customWidth="1"/>
    <col min="2820" max="2820" width="29.42578125" style="2203" customWidth="1"/>
    <col min="2821" max="2826" width="23.7109375" style="2203" customWidth="1"/>
    <col min="2827" max="2827" width="19.140625" style="2203" customWidth="1"/>
    <col min="2828" max="2828" width="14.28515625" style="2203" customWidth="1"/>
    <col min="2829" max="2829" width="23.7109375" style="2203" customWidth="1"/>
    <col min="2830" max="2830" width="16.140625" style="2203" customWidth="1"/>
    <col min="2831" max="2831" width="15.140625" style="2203" customWidth="1"/>
    <col min="2832" max="3072" width="8.85546875" style="2203"/>
    <col min="3073" max="3073" width="48.42578125" style="2203" customWidth="1"/>
    <col min="3074" max="3075" width="23.7109375" style="2203" customWidth="1"/>
    <col min="3076" max="3076" width="29.42578125" style="2203" customWidth="1"/>
    <col min="3077" max="3082" width="23.7109375" style="2203" customWidth="1"/>
    <col min="3083" max="3083" width="19.140625" style="2203" customWidth="1"/>
    <col min="3084" max="3084" width="14.28515625" style="2203" customWidth="1"/>
    <col min="3085" max="3085" width="23.7109375" style="2203" customWidth="1"/>
    <col min="3086" max="3086" width="16.140625" style="2203" customWidth="1"/>
    <col min="3087" max="3087" width="15.140625" style="2203" customWidth="1"/>
    <col min="3088" max="3328" width="8.85546875" style="2203"/>
    <col min="3329" max="3329" width="48.42578125" style="2203" customWidth="1"/>
    <col min="3330" max="3331" width="23.7109375" style="2203" customWidth="1"/>
    <col min="3332" max="3332" width="29.42578125" style="2203" customWidth="1"/>
    <col min="3333" max="3338" width="23.7109375" style="2203" customWidth="1"/>
    <col min="3339" max="3339" width="19.140625" style="2203" customWidth="1"/>
    <col min="3340" max="3340" width="14.28515625" style="2203" customWidth="1"/>
    <col min="3341" max="3341" width="23.7109375" style="2203" customWidth="1"/>
    <col min="3342" max="3342" width="16.140625" style="2203" customWidth="1"/>
    <col min="3343" max="3343" width="15.140625" style="2203" customWidth="1"/>
    <col min="3344" max="3584" width="8.85546875" style="2203"/>
    <col min="3585" max="3585" width="48.42578125" style="2203" customWidth="1"/>
    <col min="3586" max="3587" width="23.7109375" style="2203" customWidth="1"/>
    <col min="3588" max="3588" width="29.42578125" style="2203" customWidth="1"/>
    <col min="3589" max="3594" width="23.7109375" style="2203" customWidth="1"/>
    <col min="3595" max="3595" width="19.140625" style="2203" customWidth="1"/>
    <col min="3596" max="3596" width="14.28515625" style="2203" customWidth="1"/>
    <col min="3597" max="3597" width="23.7109375" style="2203" customWidth="1"/>
    <col min="3598" max="3598" width="16.140625" style="2203" customWidth="1"/>
    <col min="3599" max="3599" width="15.140625" style="2203" customWidth="1"/>
    <col min="3600" max="3840" width="8.85546875" style="2203"/>
    <col min="3841" max="3841" width="48.42578125" style="2203" customWidth="1"/>
    <col min="3842" max="3843" width="23.7109375" style="2203" customWidth="1"/>
    <col min="3844" max="3844" width="29.42578125" style="2203" customWidth="1"/>
    <col min="3845" max="3850" width="23.7109375" style="2203" customWidth="1"/>
    <col min="3851" max="3851" width="19.140625" style="2203" customWidth="1"/>
    <col min="3852" max="3852" width="14.28515625" style="2203" customWidth="1"/>
    <col min="3853" max="3853" width="23.7109375" style="2203" customWidth="1"/>
    <col min="3854" max="3854" width="16.140625" style="2203" customWidth="1"/>
    <col min="3855" max="3855" width="15.140625" style="2203" customWidth="1"/>
    <col min="3856" max="4096" width="8.85546875" style="2203"/>
    <col min="4097" max="4097" width="48.42578125" style="2203" customWidth="1"/>
    <col min="4098" max="4099" width="23.7109375" style="2203" customWidth="1"/>
    <col min="4100" max="4100" width="29.42578125" style="2203" customWidth="1"/>
    <col min="4101" max="4106" width="23.7109375" style="2203" customWidth="1"/>
    <col min="4107" max="4107" width="19.140625" style="2203" customWidth="1"/>
    <col min="4108" max="4108" width="14.28515625" style="2203" customWidth="1"/>
    <col min="4109" max="4109" width="23.7109375" style="2203" customWidth="1"/>
    <col min="4110" max="4110" width="16.140625" style="2203" customWidth="1"/>
    <col min="4111" max="4111" width="15.140625" style="2203" customWidth="1"/>
    <col min="4112" max="4352" width="8.85546875" style="2203"/>
    <col min="4353" max="4353" width="48.42578125" style="2203" customWidth="1"/>
    <col min="4354" max="4355" width="23.7109375" style="2203" customWidth="1"/>
    <col min="4356" max="4356" width="29.42578125" style="2203" customWidth="1"/>
    <col min="4357" max="4362" width="23.7109375" style="2203" customWidth="1"/>
    <col min="4363" max="4363" width="19.140625" style="2203" customWidth="1"/>
    <col min="4364" max="4364" width="14.28515625" style="2203" customWidth="1"/>
    <col min="4365" max="4365" width="23.7109375" style="2203" customWidth="1"/>
    <col min="4366" max="4366" width="16.140625" style="2203" customWidth="1"/>
    <col min="4367" max="4367" width="15.140625" style="2203" customWidth="1"/>
    <col min="4368" max="4608" width="8.85546875" style="2203"/>
    <col min="4609" max="4609" width="48.42578125" style="2203" customWidth="1"/>
    <col min="4610" max="4611" width="23.7109375" style="2203" customWidth="1"/>
    <col min="4612" max="4612" width="29.42578125" style="2203" customWidth="1"/>
    <col min="4613" max="4618" width="23.7109375" style="2203" customWidth="1"/>
    <col min="4619" max="4619" width="19.140625" style="2203" customWidth="1"/>
    <col min="4620" max="4620" width="14.28515625" style="2203" customWidth="1"/>
    <col min="4621" max="4621" width="23.7109375" style="2203" customWidth="1"/>
    <col min="4622" max="4622" width="16.140625" style="2203" customWidth="1"/>
    <col min="4623" max="4623" width="15.140625" style="2203" customWidth="1"/>
    <col min="4624" max="4864" width="8.85546875" style="2203"/>
    <col min="4865" max="4865" width="48.42578125" style="2203" customWidth="1"/>
    <col min="4866" max="4867" width="23.7109375" style="2203" customWidth="1"/>
    <col min="4868" max="4868" width="29.42578125" style="2203" customWidth="1"/>
    <col min="4869" max="4874" width="23.7109375" style="2203" customWidth="1"/>
    <col min="4875" max="4875" width="19.140625" style="2203" customWidth="1"/>
    <col min="4876" max="4876" width="14.28515625" style="2203" customWidth="1"/>
    <col min="4877" max="4877" width="23.7109375" style="2203" customWidth="1"/>
    <col min="4878" max="4878" width="16.140625" style="2203" customWidth="1"/>
    <col min="4879" max="4879" width="15.140625" style="2203" customWidth="1"/>
    <col min="4880" max="5120" width="8.85546875" style="2203"/>
    <col min="5121" max="5121" width="48.42578125" style="2203" customWidth="1"/>
    <col min="5122" max="5123" width="23.7109375" style="2203" customWidth="1"/>
    <col min="5124" max="5124" width="29.42578125" style="2203" customWidth="1"/>
    <col min="5125" max="5130" width="23.7109375" style="2203" customWidth="1"/>
    <col min="5131" max="5131" width="19.140625" style="2203" customWidth="1"/>
    <col min="5132" max="5132" width="14.28515625" style="2203" customWidth="1"/>
    <col min="5133" max="5133" width="23.7109375" style="2203" customWidth="1"/>
    <col min="5134" max="5134" width="16.140625" style="2203" customWidth="1"/>
    <col min="5135" max="5135" width="15.140625" style="2203" customWidth="1"/>
    <col min="5136" max="5376" width="8.85546875" style="2203"/>
    <col min="5377" max="5377" width="48.42578125" style="2203" customWidth="1"/>
    <col min="5378" max="5379" width="23.7109375" style="2203" customWidth="1"/>
    <col min="5380" max="5380" width="29.42578125" style="2203" customWidth="1"/>
    <col min="5381" max="5386" width="23.7109375" style="2203" customWidth="1"/>
    <col min="5387" max="5387" width="19.140625" style="2203" customWidth="1"/>
    <col min="5388" max="5388" width="14.28515625" style="2203" customWidth="1"/>
    <col min="5389" max="5389" width="23.7109375" style="2203" customWidth="1"/>
    <col min="5390" max="5390" width="16.140625" style="2203" customWidth="1"/>
    <col min="5391" max="5391" width="15.140625" style="2203" customWidth="1"/>
    <col min="5392" max="5632" width="8.85546875" style="2203"/>
    <col min="5633" max="5633" width="48.42578125" style="2203" customWidth="1"/>
    <col min="5634" max="5635" width="23.7109375" style="2203" customWidth="1"/>
    <col min="5636" max="5636" width="29.42578125" style="2203" customWidth="1"/>
    <col min="5637" max="5642" width="23.7109375" style="2203" customWidth="1"/>
    <col min="5643" max="5643" width="19.140625" style="2203" customWidth="1"/>
    <col min="5644" max="5644" width="14.28515625" style="2203" customWidth="1"/>
    <col min="5645" max="5645" width="23.7109375" style="2203" customWidth="1"/>
    <col min="5646" max="5646" width="16.140625" style="2203" customWidth="1"/>
    <col min="5647" max="5647" width="15.140625" style="2203" customWidth="1"/>
    <col min="5648" max="5888" width="8.85546875" style="2203"/>
    <col min="5889" max="5889" width="48.42578125" style="2203" customWidth="1"/>
    <col min="5890" max="5891" width="23.7109375" style="2203" customWidth="1"/>
    <col min="5892" max="5892" width="29.42578125" style="2203" customWidth="1"/>
    <col min="5893" max="5898" width="23.7109375" style="2203" customWidth="1"/>
    <col min="5899" max="5899" width="19.140625" style="2203" customWidth="1"/>
    <col min="5900" max="5900" width="14.28515625" style="2203" customWidth="1"/>
    <col min="5901" max="5901" width="23.7109375" style="2203" customWidth="1"/>
    <col min="5902" max="5902" width="16.140625" style="2203" customWidth="1"/>
    <col min="5903" max="5903" width="15.140625" style="2203" customWidth="1"/>
    <col min="5904" max="6144" width="8.85546875" style="2203"/>
    <col min="6145" max="6145" width="48.42578125" style="2203" customWidth="1"/>
    <col min="6146" max="6147" width="23.7109375" style="2203" customWidth="1"/>
    <col min="6148" max="6148" width="29.42578125" style="2203" customWidth="1"/>
    <col min="6149" max="6154" width="23.7109375" style="2203" customWidth="1"/>
    <col min="6155" max="6155" width="19.140625" style="2203" customWidth="1"/>
    <col min="6156" max="6156" width="14.28515625" style="2203" customWidth="1"/>
    <col min="6157" max="6157" width="23.7109375" style="2203" customWidth="1"/>
    <col min="6158" max="6158" width="16.140625" style="2203" customWidth="1"/>
    <col min="6159" max="6159" width="15.140625" style="2203" customWidth="1"/>
    <col min="6160" max="6400" width="8.85546875" style="2203"/>
    <col min="6401" max="6401" width="48.42578125" style="2203" customWidth="1"/>
    <col min="6402" max="6403" width="23.7109375" style="2203" customWidth="1"/>
    <col min="6404" max="6404" width="29.42578125" style="2203" customWidth="1"/>
    <col min="6405" max="6410" width="23.7109375" style="2203" customWidth="1"/>
    <col min="6411" max="6411" width="19.140625" style="2203" customWidth="1"/>
    <col min="6412" max="6412" width="14.28515625" style="2203" customWidth="1"/>
    <col min="6413" max="6413" width="23.7109375" style="2203" customWidth="1"/>
    <col min="6414" max="6414" width="16.140625" style="2203" customWidth="1"/>
    <col min="6415" max="6415" width="15.140625" style="2203" customWidth="1"/>
    <col min="6416" max="6656" width="8.85546875" style="2203"/>
    <col min="6657" max="6657" width="48.42578125" style="2203" customWidth="1"/>
    <col min="6658" max="6659" width="23.7109375" style="2203" customWidth="1"/>
    <col min="6660" max="6660" width="29.42578125" style="2203" customWidth="1"/>
    <col min="6661" max="6666" width="23.7109375" style="2203" customWidth="1"/>
    <col min="6667" max="6667" width="19.140625" style="2203" customWidth="1"/>
    <col min="6668" max="6668" width="14.28515625" style="2203" customWidth="1"/>
    <col min="6669" max="6669" width="23.7109375" style="2203" customWidth="1"/>
    <col min="6670" max="6670" width="16.140625" style="2203" customWidth="1"/>
    <col min="6671" max="6671" width="15.140625" style="2203" customWidth="1"/>
    <col min="6672" max="6912" width="8.85546875" style="2203"/>
    <col min="6913" max="6913" width="48.42578125" style="2203" customWidth="1"/>
    <col min="6914" max="6915" width="23.7109375" style="2203" customWidth="1"/>
    <col min="6916" max="6916" width="29.42578125" style="2203" customWidth="1"/>
    <col min="6917" max="6922" width="23.7109375" style="2203" customWidth="1"/>
    <col min="6923" max="6923" width="19.140625" style="2203" customWidth="1"/>
    <col min="6924" max="6924" width="14.28515625" style="2203" customWidth="1"/>
    <col min="6925" max="6925" width="23.7109375" style="2203" customWidth="1"/>
    <col min="6926" max="6926" width="16.140625" style="2203" customWidth="1"/>
    <col min="6927" max="6927" width="15.140625" style="2203" customWidth="1"/>
    <col min="6928" max="7168" width="8.85546875" style="2203"/>
    <col min="7169" max="7169" width="48.42578125" style="2203" customWidth="1"/>
    <col min="7170" max="7171" width="23.7109375" style="2203" customWidth="1"/>
    <col min="7172" max="7172" width="29.42578125" style="2203" customWidth="1"/>
    <col min="7173" max="7178" width="23.7109375" style="2203" customWidth="1"/>
    <col min="7179" max="7179" width="19.140625" style="2203" customWidth="1"/>
    <col min="7180" max="7180" width="14.28515625" style="2203" customWidth="1"/>
    <col min="7181" max="7181" width="23.7109375" style="2203" customWidth="1"/>
    <col min="7182" max="7182" width="16.140625" style="2203" customWidth="1"/>
    <col min="7183" max="7183" width="15.140625" style="2203" customWidth="1"/>
    <col min="7184" max="7424" width="8.85546875" style="2203"/>
    <col min="7425" max="7425" width="48.42578125" style="2203" customWidth="1"/>
    <col min="7426" max="7427" width="23.7109375" style="2203" customWidth="1"/>
    <col min="7428" max="7428" width="29.42578125" style="2203" customWidth="1"/>
    <col min="7429" max="7434" width="23.7109375" style="2203" customWidth="1"/>
    <col min="7435" max="7435" width="19.140625" style="2203" customWidth="1"/>
    <col min="7436" max="7436" width="14.28515625" style="2203" customWidth="1"/>
    <col min="7437" max="7437" width="23.7109375" style="2203" customWidth="1"/>
    <col min="7438" max="7438" width="16.140625" style="2203" customWidth="1"/>
    <col min="7439" max="7439" width="15.140625" style="2203" customWidth="1"/>
    <col min="7440" max="7680" width="8.85546875" style="2203"/>
    <col min="7681" max="7681" width="48.42578125" style="2203" customWidth="1"/>
    <col min="7682" max="7683" width="23.7109375" style="2203" customWidth="1"/>
    <col min="7684" max="7684" width="29.42578125" style="2203" customWidth="1"/>
    <col min="7685" max="7690" width="23.7109375" style="2203" customWidth="1"/>
    <col min="7691" max="7691" width="19.140625" style="2203" customWidth="1"/>
    <col min="7692" max="7692" width="14.28515625" style="2203" customWidth="1"/>
    <col min="7693" max="7693" width="23.7109375" style="2203" customWidth="1"/>
    <col min="7694" max="7694" width="16.140625" style="2203" customWidth="1"/>
    <col min="7695" max="7695" width="15.140625" style="2203" customWidth="1"/>
    <col min="7696" max="7936" width="8.85546875" style="2203"/>
    <col min="7937" max="7937" width="48.42578125" style="2203" customWidth="1"/>
    <col min="7938" max="7939" width="23.7109375" style="2203" customWidth="1"/>
    <col min="7940" max="7940" width="29.42578125" style="2203" customWidth="1"/>
    <col min="7941" max="7946" width="23.7109375" style="2203" customWidth="1"/>
    <col min="7947" max="7947" width="19.140625" style="2203" customWidth="1"/>
    <col min="7948" max="7948" width="14.28515625" style="2203" customWidth="1"/>
    <col min="7949" max="7949" width="23.7109375" style="2203" customWidth="1"/>
    <col min="7950" max="7950" width="16.140625" style="2203" customWidth="1"/>
    <col min="7951" max="7951" width="15.140625" style="2203" customWidth="1"/>
    <col min="7952" max="8192" width="8.85546875" style="2203"/>
    <col min="8193" max="8193" width="48.42578125" style="2203" customWidth="1"/>
    <col min="8194" max="8195" width="23.7109375" style="2203" customWidth="1"/>
    <col min="8196" max="8196" width="29.42578125" style="2203" customWidth="1"/>
    <col min="8197" max="8202" width="23.7109375" style="2203" customWidth="1"/>
    <col min="8203" max="8203" width="19.140625" style="2203" customWidth="1"/>
    <col min="8204" max="8204" width="14.28515625" style="2203" customWidth="1"/>
    <col min="8205" max="8205" width="23.7109375" style="2203" customWidth="1"/>
    <col min="8206" max="8206" width="16.140625" style="2203" customWidth="1"/>
    <col min="8207" max="8207" width="15.140625" style="2203" customWidth="1"/>
    <col min="8208" max="8448" width="8.85546875" style="2203"/>
    <col min="8449" max="8449" width="48.42578125" style="2203" customWidth="1"/>
    <col min="8450" max="8451" width="23.7109375" style="2203" customWidth="1"/>
    <col min="8452" max="8452" width="29.42578125" style="2203" customWidth="1"/>
    <col min="8453" max="8458" width="23.7109375" style="2203" customWidth="1"/>
    <col min="8459" max="8459" width="19.140625" style="2203" customWidth="1"/>
    <col min="8460" max="8460" width="14.28515625" style="2203" customWidth="1"/>
    <col min="8461" max="8461" width="23.7109375" style="2203" customWidth="1"/>
    <col min="8462" max="8462" width="16.140625" style="2203" customWidth="1"/>
    <col min="8463" max="8463" width="15.140625" style="2203" customWidth="1"/>
    <col min="8464" max="8704" width="8.85546875" style="2203"/>
    <col min="8705" max="8705" width="48.42578125" style="2203" customWidth="1"/>
    <col min="8706" max="8707" width="23.7109375" style="2203" customWidth="1"/>
    <col min="8708" max="8708" width="29.42578125" style="2203" customWidth="1"/>
    <col min="8709" max="8714" width="23.7109375" style="2203" customWidth="1"/>
    <col min="8715" max="8715" width="19.140625" style="2203" customWidth="1"/>
    <col min="8716" max="8716" width="14.28515625" style="2203" customWidth="1"/>
    <col min="8717" max="8717" width="23.7109375" style="2203" customWidth="1"/>
    <col min="8718" max="8718" width="16.140625" style="2203" customWidth="1"/>
    <col min="8719" max="8719" width="15.140625" style="2203" customWidth="1"/>
    <col min="8720" max="8960" width="8.85546875" style="2203"/>
    <col min="8961" max="8961" width="48.42578125" style="2203" customWidth="1"/>
    <col min="8962" max="8963" width="23.7109375" style="2203" customWidth="1"/>
    <col min="8964" max="8964" width="29.42578125" style="2203" customWidth="1"/>
    <col min="8965" max="8970" width="23.7109375" style="2203" customWidth="1"/>
    <col min="8971" max="8971" width="19.140625" style="2203" customWidth="1"/>
    <col min="8972" max="8972" width="14.28515625" style="2203" customWidth="1"/>
    <col min="8973" max="8973" width="23.7109375" style="2203" customWidth="1"/>
    <col min="8974" max="8974" width="16.140625" style="2203" customWidth="1"/>
    <col min="8975" max="8975" width="15.140625" style="2203" customWidth="1"/>
    <col min="8976" max="9216" width="8.85546875" style="2203"/>
    <col min="9217" max="9217" width="48.42578125" style="2203" customWidth="1"/>
    <col min="9218" max="9219" width="23.7109375" style="2203" customWidth="1"/>
    <col min="9220" max="9220" width="29.42578125" style="2203" customWidth="1"/>
    <col min="9221" max="9226" width="23.7109375" style="2203" customWidth="1"/>
    <col min="9227" max="9227" width="19.140625" style="2203" customWidth="1"/>
    <col min="9228" max="9228" width="14.28515625" style="2203" customWidth="1"/>
    <col min="9229" max="9229" width="23.7109375" style="2203" customWidth="1"/>
    <col min="9230" max="9230" width="16.140625" style="2203" customWidth="1"/>
    <col min="9231" max="9231" width="15.140625" style="2203" customWidth="1"/>
    <col min="9232" max="9472" width="8.85546875" style="2203"/>
    <col min="9473" max="9473" width="48.42578125" style="2203" customWidth="1"/>
    <col min="9474" max="9475" width="23.7109375" style="2203" customWidth="1"/>
    <col min="9476" max="9476" width="29.42578125" style="2203" customWidth="1"/>
    <col min="9477" max="9482" width="23.7109375" style="2203" customWidth="1"/>
    <col min="9483" max="9483" width="19.140625" style="2203" customWidth="1"/>
    <col min="9484" max="9484" width="14.28515625" style="2203" customWidth="1"/>
    <col min="9485" max="9485" width="23.7109375" style="2203" customWidth="1"/>
    <col min="9486" max="9486" width="16.140625" style="2203" customWidth="1"/>
    <col min="9487" max="9487" width="15.140625" style="2203" customWidth="1"/>
    <col min="9488" max="9728" width="8.85546875" style="2203"/>
    <col min="9729" max="9729" width="48.42578125" style="2203" customWidth="1"/>
    <col min="9730" max="9731" width="23.7109375" style="2203" customWidth="1"/>
    <col min="9732" max="9732" width="29.42578125" style="2203" customWidth="1"/>
    <col min="9733" max="9738" width="23.7109375" style="2203" customWidth="1"/>
    <col min="9739" max="9739" width="19.140625" style="2203" customWidth="1"/>
    <col min="9740" max="9740" width="14.28515625" style="2203" customWidth="1"/>
    <col min="9741" max="9741" width="23.7109375" style="2203" customWidth="1"/>
    <col min="9742" max="9742" width="16.140625" style="2203" customWidth="1"/>
    <col min="9743" max="9743" width="15.140625" style="2203" customWidth="1"/>
    <col min="9744" max="9984" width="8.85546875" style="2203"/>
    <col min="9985" max="9985" width="48.42578125" style="2203" customWidth="1"/>
    <col min="9986" max="9987" width="23.7109375" style="2203" customWidth="1"/>
    <col min="9988" max="9988" width="29.42578125" style="2203" customWidth="1"/>
    <col min="9989" max="9994" width="23.7109375" style="2203" customWidth="1"/>
    <col min="9995" max="9995" width="19.140625" style="2203" customWidth="1"/>
    <col min="9996" max="9996" width="14.28515625" style="2203" customWidth="1"/>
    <col min="9997" max="9997" width="23.7109375" style="2203" customWidth="1"/>
    <col min="9998" max="9998" width="16.140625" style="2203" customWidth="1"/>
    <col min="9999" max="9999" width="15.140625" style="2203" customWidth="1"/>
    <col min="10000" max="10240" width="8.85546875" style="2203"/>
    <col min="10241" max="10241" width="48.42578125" style="2203" customWidth="1"/>
    <col min="10242" max="10243" width="23.7109375" style="2203" customWidth="1"/>
    <col min="10244" max="10244" width="29.42578125" style="2203" customWidth="1"/>
    <col min="10245" max="10250" width="23.7109375" style="2203" customWidth="1"/>
    <col min="10251" max="10251" width="19.140625" style="2203" customWidth="1"/>
    <col min="10252" max="10252" width="14.28515625" style="2203" customWidth="1"/>
    <col min="10253" max="10253" width="23.7109375" style="2203" customWidth="1"/>
    <col min="10254" max="10254" width="16.140625" style="2203" customWidth="1"/>
    <col min="10255" max="10255" width="15.140625" style="2203" customWidth="1"/>
    <col min="10256" max="10496" width="8.85546875" style="2203"/>
    <col min="10497" max="10497" width="48.42578125" style="2203" customWidth="1"/>
    <col min="10498" max="10499" width="23.7109375" style="2203" customWidth="1"/>
    <col min="10500" max="10500" width="29.42578125" style="2203" customWidth="1"/>
    <col min="10501" max="10506" width="23.7109375" style="2203" customWidth="1"/>
    <col min="10507" max="10507" width="19.140625" style="2203" customWidth="1"/>
    <col min="10508" max="10508" width="14.28515625" style="2203" customWidth="1"/>
    <col min="10509" max="10509" width="23.7109375" style="2203" customWidth="1"/>
    <col min="10510" max="10510" width="16.140625" style="2203" customWidth="1"/>
    <col min="10511" max="10511" width="15.140625" style="2203" customWidth="1"/>
    <col min="10512" max="10752" width="8.85546875" style="2203"/>
    <col min="10753" max="10753" width="48.42578125" style="2203" customWidth="1"/>
    <col min="10754" max="10755" width="23.7109375" style="2203" customWidth="1"/>
    <col min="10756" max="10756" width="29.42578125" style="2203" customWidth="1"/>
    <col min="10757" max="10762" width="23.7109375" style="2203" customWidth="1"/>
    <col min="10763" max="10763" width="19.140625" style="2203" customWidth="1"/>
    <col min="10764" max="10764" width="14.28515625" style="2203" customWidth="1"/>
    <col min="10765" max="10765" width="23.7109375" style="2203" customWidth="1"/>
    <col min="10766" max="10766" width="16.140625" style="2203" customWidth="1"/>
    <col min="10767" max="10767" width="15.140625" style="2203" customWidth="1"/>
    <col min="10768" max="11008" width="8.85546875" style="2203"/>
    <col min="11009" max="11009" width="48.42578125" style="2203" customWidth="1"/>
    <col min="11010" max="11011" width="23.7109375" style="2203" customWidth="1"/>
    <col min="11012" max="11012" width="29.42578125" style="2203" customWidth="1"/>
    <col min="11013" max="11018" width="23.7109375" style="2203" customWidth="1"/>
    <col min="11019" max="11019" width="19.140625" style="2203" customWidth="1"/>
    <col min="11020" max="11020" width="14.28515625" style="2203" customWidth="1"/>
    <col min="11021" max="11021" width="23.7109375" style="2203" customWidth="1"/>
    <col min="11022" max="11022" width="16.140625" style="2203" customWidth="1"/>
    <col min="11023" max="11023" width="15.140625" style="2203" customWidth="1"/>
    <col min="11024" max="11264" width="8.85546875" style="2203"/>
    <col min="11265" max="11265" width="48.42578125" style="2203" customWidth="1"/>
    <col min="11266" max="11267" width="23.7109375" style="2203" customWidth="1"/>
    <col min="11268" max="11268" width="29.42578125" style="2203" customWidth="1"/>
    <col min="11269" max="11274" width="23.7109375" style="2203" customWidth="1"/>
    <col min="11275" max="11275" width="19.140625" style="2203" customWidth="1"/>
    <col min="11276" max="11276" width="14.28515625" style="2203" customWidth="1"/>
    <col min="11277" max="11277" width="23.7109375" style="2203" customWidth="1"/>
    <col min="11278" max="11278" width="16.140625" style="2203" customWidth="1"/>
    <col min="11279" max="11279" width="15.140625" style="2203" customWidth="1"/>
    <col min="11280" max="11520" width="8.85546875" style="2203"/>
    <col min="11521" max="11521" width="48.42578125" style="2203" customWidth="1"/>
    <col min="11522" max="11523" width="23.7109375" style="2203" customWidth="1"/>
    <col min="11524" max="11524" width="29.42578125" style="2203" customWidth="1"/>
    <col min="11525" max="11530" width="23.7109375" style="2203" customWidth="1"/>
    <col min="11531" max="11531" width="19.140625" style="2203" customWidth="1"/>
    <col min="11532" max="11532" width="14.28515625" style="2203" customWidth="1"/>
    <col min="11533" max="11533" width="23.7109375" style="2203" customWidth="1"/>
    <col min="11534" max="11534" width="16.140625" style="2203" customWidth="1"/>
    <col min="11535" max="11535" width="15.140625" style="2203" customWidth="1"/>
    <col min="11536" max="11776" width="8.85546875" style="2203"/>
    <col min="11777" max="11777" width="48.42578125" style="2203" customWidth="1"/>
    <col min="11778" max="11779" width="23.7109375" style="2203" customWidth="1"/>
    <col min="11780" max="11780" width="29.42578125" style="2203" customWidth="1"/>
    <col min="11781" max="11786" width="23.7109375" style="2203" customWidth="1"/>
    <col min="11787" max="11787" width="19.140625" style="2203" customWidth="1"/>
    <col min="11788" max="11788" width="14.28515625" style="2203" customWidth="1"/>
    <col min="11789" max="11789" width="23.7109375" style="2203" customWidth="1"/>
    <col min="11790" max="11790" width="16.140625" style="2203" customWidth="1"/>
    <col min="11791" max="11791" width="15.140625" style="2203" customWidth="1"/>
    <col min="11792" max="12032" width="8.85546875" style="2203"/>
    <col min="12033" max="12033" width="48.42578125" style="2203" customWidth="1"/>
    <col min="12034" max="12035" width="23.7109375" style="2203" customWidth="1"/>
    <col min="12036" max="12036" width="29.42578125" style="2203" customWidth="1"/>
    <col min="12037" max="12042" width="23.7109375" style="2203" customWidth="1"/>
    <col min="12043" max="12043" width="19.140625" style="2203" customWidth="1"/>
    <col min="12044" max="12044" width="14.28515625" style="2203" customWidth="1"/>
    <col min="12045" max="12045" width="23.7109375" style="2203" customWidth="1"/>
    <col min="12046" max="12046" width="16.140625" style="2203" customWidth="1"/>
    <col min="12047" max="12047" width="15.140625" style="2203" customWidth="1"/>
    <col min="12048" max="12288" width="8.85546875" style="2203"/>
    <col min="12289" max="12289" width="48.42578125" style="2203" customWidth="1"/>
    <col min="12290" max="12291" width="23.7109375" style="2203" customWidth="1"/>
    <col min="12292" max="12292" width="29.42578125" style="2203" customWidth="1"/>
    <col min="12293" max="12298" width="23.7109375" style="2203" customWidth="1"/>
    <col min="12299" max="12299" width="19.140625" style="2203" customWidth="1"/>
    <col min="12300" max="12300" width="14.28515625" style="2203" customWidth="1"/>
    <col min="12301" max="12301" width="23.7109375" style="2203" customWidth="1"/>
    <col min="12302" max="12302" width="16.140625" style="2203" customWidth="1"/>
    <col min="12303" max="12303" width="15.140625" style="2203" customWidth="1"/>
    <col min="12304" max="12544" width="8.85546875" style="2203"/>
    <col min="12545" max="12545" width="48.42578125" style="2203" customWidth="1"/>
    <col min="12546" max="12547" width="23.7109375" style="2203" customWidth="1"/>
    <col min="12548" max="12548" width="29.42578125" style="2203" customWidth="1"/>
    <col min="12549" max="12554" width="23.7109375" style="2203" customWidth="1"/>
    <col min="12555" max="12555" width="19.140625" style="2203" customWidth="1"/>
    <col min="12556" max="12556" width="14.28515625" style="2203" customWidth="1"/>
    <col min="12557" max="12557" width="23.7109375" style="2203" customWidth="1"/>
    <col min="12558" max="12558" width="16.140625" style="2203" customWidth="1"/>
    <col min="12559" max="12559" width="15.140625" style="2203" customWidth="1"/>
    <col min="12560" max="12800" width="8.85546875" style="2203"/>
    <col min="12801" max="12801" width="48.42578125" style="2203" customWidth="1"/>
    <col min="12802" max="12803" width="23.7109375" style="2203" customWidth="1"/>
    <col min="12804" max="12804" width="29.42578125" style="2203" customWidth="1"/>
    <col min="12805" max="12810" width="23.7109375" style="2203" customWidth="1"/>
    <col min="12811" max="12811" width="19.140625" style="2203" customWidth="1"/>
    <col min="12812" max="12812" width="14.28515625" style="2203" customWidth="1"/>
    <col min="12813" max="12813" width="23.7109375" style="2203" customWidth="1"/>
    <col min="12814" max="12814" width="16.140625" style="2203" customWidth="1"/>
    <col min="12815" max="12815" width="15.140625" style="2203" customWidth="1"/>
    <col min="12816" max="13056" width="8.85546875" style="2203"/>
    <col min="13057" max="13057" width="48.42578125" style="2203" customWidth="1"/>
    <col min="13058" max="13059" width="23.7109375" style="2203" customWidth="1"/>
    <col min="13060" max="13060" width="29.42578125" style="2203" customWidth="1"/>
    <col min="13061" max="13066" width="23.7109375" style="2203" customWidth="1"/>
    <col min="13067" max="13067" width="19.140625" style="2203" customWidth="1"/>
    <col min="13068" max="13068" width="14.28515625" style="2203" customWidth="1"/>
    <col min="13069" max="13069" width="23.7109375" style="2203" customWidth="1"/>
    <col min="13070" max="13070" width="16.140625" style="2203" customWidth="1"/>
    <col min="13071" max="13071" width="15.140625" style="2203" customWidth="1"/>
    <col min="13072" max="13312" width="8.85546875" style="2203"/>
    <col min="13313" max="13313" width="48.42578125" style="2203" customWidth="1"/>
    <col min="13314" max="13315" width="23.7109375" style="2203" customWidth="1"/>
    <col min="13316" max="13316" width="29.42578125" style="2203" customWidth="1"/>
    <col min="13317" max="13322" width="23.7109375" style="2203" customWidth="1"/>
    <col min="13323" max="13323" width="19.140625" style="2203" customWidth="1"/>
    <col min="13324" max="13324" width="14.28515625" style="2203" customWidth="1"/>
    <col min="13325" max="13325" width="23.7109375" style="2203" customWidth="1"/>
    <col min="13326" max="13326" width="16.140625" style="2203" customWidth="1"/>
    <col min="13327" max="13327" width="15.140625" style="2203" customWidth="1"/>
    <col min="13328" max="13568" width="8.85546875" style="2203"/>
    <col min="13569" max="13569" width="48.42578125" style="2203" customWidth="1"/>
    <col min="13570" max="13571" width="23.7109375" style="2203" customWidth="1"/>
    <col min="13572" max="13572" width="29.42578125" style="2203" customWidth="1"/>
    <col min="13573" max="13578" width="23.7109375" style="2203" customWidth="1"/>
    <col min="13579" max="13579" width="19.140625" style="2203" customWidth="1"/>
    <col min="13580" max="13580" width="14.28515625" style="2203" customWidth="1"/>
    <col min="13581" max="13581" width="23.7109375" style="2203" customWidth="1"/>
    <col min="13582" max="13582" width="16.140625" style="2203" customWidth="1"/>
    <col min="13583" max="13583" width="15.140625" style="2203" customWidth="1"/>
    <col min="13584" max="13824" width="8.85546875" style="2203"/>
    <col min="13825" max="13825" width="48.42578125" style="2203" customWidth="1"/>
    <col min="13826" max="13827" width="23.7109375" style="2203" customWidth="1"/>
    <col min="13828" max="13828" width="29.42578125" style="2203" customWidth="1"/>
    <col min="13829" max="13834" width="23.7109375" style="2203" customWidth="1"/>
    <col min="13835" max="13835" width="19.140625" style="2203" customWidth="1"/>
    <col min="13836" max="13836" width="14.28515625" style="2203" customWidth="1"/>
    <col min="13837" max="13837" width="23.7109375" style="2203" customWidth="1"/>
    <col min="13838" max="13838" width="16.140625" style="2203" customWidth="1"/>
    <col min="13839" max="13839" width="15.140625" style="2203" customWidth="1"/>
    <col min="13840" max="14080" width="8.85546875" style="2203"/>
    <col min="14081" max="14081" width="48.42578125" style="2203" customWidth="1"/>
    <col min="14082" max="14083" width="23.7109375" style="2203" customWidth="1"/>
    <col min="14084" max="14084" width="29.42578125" style="2203" customWidth="1"/>
    <col min="14085" max="14090" width="23.7109375" style="2203" customWidth="1"/>
    <col min="14091" max="14091" width="19.140625" style="2203" customWidth="1"/>
    <col min="14092" max="14092" width="14.28515625" style="2203" customWidth="1"/>
    <col min="14093" max="14093" width="23.7109375" style="2203" customWidth="1"/>
    <col min="14094" max="14094" width="16.140625" style="2203" customWidth="1"/>
    <col min="14095" max="14095" width="15.140625" style="2203" customWidth="1"/>
    <col min="14096" max="14336" width="8.85546875" style="2203"/>
    <col min="14337" max="14337" width="48.42578125" style="2203" customWidth="1"/>
    <col min="14338" max="14339" width="23.7109375" style="2203" customWidth="1"/>
    <col min="14340" max="14340" width="29.42578125" style="2203" customWidth="1"/>
    <col min="14341" max="14346" width="23.7109375" style="2203" customWidth="1"/>
    <col min="14347" max="14347" width="19.140625" style="2203" customWidth="1"/>
    <col min="14348" max="14348" width="14.28515625" style="2203" customWidth="1"/>
    <col min="14349" max="14349" width="23.7109375" style="2203" customWidth="1"/>
    <col min="14350" max="14350" width="16.140625" style="2203" customWidth="1"/>
    <col min="14351" max="14351" width="15.140625" style="2203" customWidth="1"/>
    <col min="14352" max="14592" width="8.85546875" style="2203"/>
    <col min="14593" max="14593" width="48.42578125" style="2203" customWidth="1"/>
    <col min="14594" max="14595" width="23.7109375" style="2203" customWidth="1"/>
    <col min="14596" max="14596" width="29.42578125" style="2203" customWidth="1"/>
    <col min="14597" max="14602" width="23.7109375" style="2203" customWidth="1"/>
    <col min="14603" max="14603" width="19.140625" style="2203" customWidth="1"/>
    <col min="14604" max="14604" width="14.28515625" style="2203" customWidth="1"/>
    <col min="14605" max="14605" width="23.7109375" style="2203" customWidth="1"/>
    <col min="14606" max="14606" width="16.140625" style="2203" customWidth="1"/>
    <col min="14607" max="14607" width="15.140625" style="2203" customWidth="1"/>
    <col min="14608" max="14848" width="8.85546875" style="2203"/>
    <col min="14849" max="14849" width="48.42578125" style="2203" customWidth="1"/>
    <col min="14850" max="14851" width="23.7109375" style="2203" customWidth="1"/>
    <col min="14852" max="14852" width="29.42578125" style="2203" customWidth="1"/>
    <col min="14853" max="14858" width="23.7109375" style="2203" customWidth="1"/>
    <col min="14859" max="14859" width="19.140625" style="2203" customWidth="1"/>
    <col min="14860" max="14860" width="14.28515625" style="2203" customWidth="1"/>
    <col min="14861" max="14861" width="23.7109375" style="2203" customWidth="1"/>
    <col min="14862" max="14862" width="16.140625" style="2203" customWidth="1"/>
    <col min="14863" max="14863" width="15.140625" style="2203" customWidth="1"/>
    <col min="14864" max="15104" width="8.85546875" style="2203"/>
    <col min="15105" max="15105" width="48.42578125" style="2203" customWidth="1"/>
    <col min="15106" max="15107" width="23.7109375" style="2203" customWidth="1"/>
    <col min="15108" max="15108" width="29.42578125" style="2203" customWidth="1"/>
    <col min="15109" max="15114" width="23.7109375" style="2203" customWidth="1"/>
    <col min="15115" max="15115" width="19.140625" style="2203" customWidth="1"/>
    <col min="15116" max="15116" width="14.28515625" style="2203" customWidth="1"/>
    <col min="15117" max="15117" width="23.7109375" style="2203" customWidth="1"/>
    <col min="15118" max="15118" width="16.140625" style="2203" customWidth="1"/>
    <col min="15119" max="15119" width="15.140625" style="2203" customWidth="1"/>
    <col min="15120" max="15360" width="8.85546875" style="2203"/>
    <col min="15361" max="15361" width="48.42578125" style="2203" customWidth="1"/>
    <col min="15362" max="15363" width="23.7109375" style="2203" customWidth="1"/>
    <col min="15364" max="15364" width="29.42578125" style="2203" customWidth="1"/>
    <col min="15365" max="15370" width="23.7109375" style="2203" customWidth="1"/>
    <col min="15371" max="15371" width="19.140625" style="2203" customWidth="1"/>
    <col min="15372" max="15372" width="14.28515625" style="2203" customWidth="1"/>
    <col min="15373" max="15373" width="23.7109375" style="2203" customWidth="1"/>
    <col min="15374" max="15374" width="16.140625" style="2203" customWidth="1"/>
    <col min="15375" max="15375" width="15.140625" style="2203" customWidth="1"/>
    <col min="15376" max="15616" width="8.85546875" style="2203"/>
    <col min="15617" max="15617" width="48.42578125" style="2203" customWidth="1"/>
    <col min="15618" max="15619" width="23.7109375" style="2203" customWidth="1"/>
    <col min="15620" max="15620" width="29.42578125" style="2203" customWidth="1"/>
    <col min="15621" max="15626" width="23.7109375" style="2203" customWidth="1"/>
    <col min="15627" max="15627" width="19.140625" style="2203" customWidth="1"/>
    <col min="15628" max="15628" width="14.28515625" style="2203" customWidth="1"/>
    <col min="15629" max="15629" width="23.7109375" style="2203" customWidth="1"/>
    <col min="15630" max="15630" width="16.140625" style="2203" customWidth="1"/>
    <col min="15631" max="15631" width="15.140625" style="2203" customWidth="1"/>
    <col min="15632" max="15872" width="8.85546875" style="2203"/>
    <col min="15873" max="15873" width="48.42578125" style="2203" customWidth="1"/>
    <col min="15874" max="15875" width="23.7109375" style="2203" customWidth="1"/>
    <col min="15876" max="15876" width="29.42578125" style="2203" customWidth="1"/>
    <col min="15877" max="15882" width="23.7109375" style="2203" customWidth="1"/>
    <col min="15883" max="15883" width="19.140625" style="2203" customWidth="1"/>
    <col min="15884" max="15884" width="14.28515625" style="2203" customWidth="1"/>
    <col min="15885" max="15885" width="23.7109375" style="2203" customWidth="1"/>
    <col min="15886" max="15886" width="16.140625" style="2203" customWidth="1"/>
    <col min="15887" max="15887" width="15.140625" style="2203" customWidth="1"/>
    <col min="15888" max="16128" width="8.85546875" style="2203"/>
    <col min="16129" max="16129" width="48.42578125" style="2203" customWidth="1"/>
    <col min="16130" max="16131" width="23.7109375" style="2203" customWidth="1"/>
    <col min="16132" max="16132" width="29.42578125" style="2203" customWidth="1"/>
    <col min="16133" max="16138" width="23.7109375" style="2203" customWidth="1"/>
    <col min="16139" max="16139" width="19.140625" style="2203" customWidth="1"/>
    <col min="16140" max="16140" width="14.28515625" style="2203" customWidth="1"/>
    <col min="16141" max="16141" width="23.7109375" style="2203" customWidth="1"/>
    <col min="16142" max="16142" width="16.140625" style="2203" customWidth="1"/>
    <col min="16143" max="16143" width="15.140625" style="2203" customWidth="1"/>
    <col min="16144" max="16384" width="8.85546875" style="2203"/>
  </cols>
  <sheetData>
    <row r="1" spans="1:15" ht="43.5" customHeight="1"/>
    <row r="2" spans="1:15" ht="18.75" thickBot="1">
      <c r="B2" s="1" t="s">
        <v>782</v>
      </c>
      <c r="C2" s="2113"/>
      <c r="D2" s="2204"/>
      <c r="E2" s="3"/>
    </row>
    <row r="3" spans="1:15" ht="15.75" thickBot="1">
      <c r="B3" s="5" t="s">
        <v>99</v>
      </c>
      <c r="C3" s="167"/>
      <c r="D3" s="6" t="s">
        <v>941</v>
      </c>
      <c r="E3" s="101">
        <v>18230688</v>
      </c>
    </row>
    <row r="5" spans="1:15" ht="13.5" thickBot="1">
      <c r="A5" s="69"/>
      <c r="D5" s="2204"/>
      <c r="E5" s="104" t="s">
        <v>8</v>
      </c>
    </row>
    <row r="6" spans="1:15" ht="38.25">
      <c r="A6" s="69"/>
      <c r="B6" s="3461"/>
      <c r="E6" s="105" t="s">
        <v>9</v>
      </c>
      <c r="F6" s="105" t="s">
        <v>10</v>
      </c>
      <c r="G6" s="105" t="s">
        <v>11</v>
      </c>
      <c r="H6" s="106" t="s">
        <v>12</v>
      </c>
      <c r="I6" s="107" t="s">
        <v>13</v>
      </c>
      <c r="J6" s="105" t="s">
        <v>14</v>
      </c>
      <c r="K6" s="105" t="s">
        <v>15</v>
      </c>
      <c r="L6" s="105" t="s">
        <v>16</v>
      </c>
      <c r="M6" s="105" t="s">
        <v>17</v>
      </c>
      <c r="N6" s="108" t="s">
        <v>18</v>
      </c>
      <c r="O6" s="2217" t="s">
        <v>19</v>
      </c>
    </row>
    <row r="7" spans="1:15" s="53" customFormat="1">
      <c r="A7" s="109"/>
      <c r="D7" s="111" t="s">
        <v>20</v>
      </c>
      <c r="E7" s="112"/>
      <c r="F7" s="112"/>
      <c r="G7" s="112"/>
      <c r="H7" s="113"/>
      <c r="I7" s="114"/>
      <c r="J7" s="112"/>
      <c r="K7" s="112"/>
      <c r="L7" s="112"/>
      <c r="M7" s="112"/>
      <c r="N7" s="195"/>
      <c r="O7" s="1345" t="s">
        <v>21</v>
      </c>
    </row>
    <row r="8" spans="1:15" s="53" customFormat="1">
      <c r="A8" s="109"/>
      <c r="D8" s="111" t="s">
        <v>22</v>
      </c>
      <c r="E8" s="1334">
        <v>51750</v>
      </c>
      <c r="F8" s="1334">
        <v>0</v>
      </c>
      <c r="G8" s="1334">
        <v>32602.5</v>
      </c>
      <c r="H8" s="1334">
        <v>0</v>
      </c>
      <c r="I8" s="1334">
        <v>720</v>
      </c>
      <c r="J8" s="1334">
        <v>0</v>
      </c>
      <c r="K8" s="1334">
        <v>1200</v>
      </c>
      <c r="L8" s="1334">
        <v>1800</v>
      </c>
      <c r="M8" s="1291"/>
      <c r="N8" s="1282">
        <v>88072.5</v>
      </c>
      <c r="O8" s="1346" t="e">
        <f>(N8-N7)/N7</f>
        <v>#DIV/0!</v>
      </c>
    </row>
    <row r="9" spans="1:15" s="53" customFormat="1">
      <c r="A9" s="109"/>
      <c r="D9" s="53">
        <v>2012</v>
      </c>
      <c r="E9" s="1338">
        <f>SUM(B24:B26)</f>
        <v>34500</v>
      </c>
      <c r="F9" s="1338">
        <f>SUM(B30:B32)</f>
        <v>0</v>
      </c>
      <c r="G9" s="1338">
        <f>(SUM(B24:B26)+SUM(B30:B32))*0.63</f>
        <v>21735</v>
      </c>
      <c r="H9" s="1338">
        <f>SUM(B45:B49)+SUM(B53:B58)</f>
        <v>0</v>
      </c>
      <c r="I9" s="1341">
        <f>SUM(B61:B65)</f>
        <v>1200</v>
      </c>
      <c r="J9" s="1338">
        <f>SUM(B69:B74)</f>
        <v>3000</v>
      </c>
      <c r="K9" s="1338">
        <f>SUM(B77:B83)</f>
        <v>0</v>
      </c>
      <c r="L9" s="1338">
        <f>SUM(B86:B91)</f>
        <v>0</v>
      </c>
      <c r="M9" s="1344"/>
      <c r="N9" s="1347">
        <f>SUM(E9:M9)</f>
        <v>60435</v>
      </c>
      <c r="O9" s="1346">
        <f>(N9-N8)/N8</f>
        <v>-0.31380396832155327</v>
      </c>
    </row>
    <row r="10" spans="1:15" s="5017" customFormat="1">
      <c r="A10" s="5023"/>
      <c r="D10" s="5011" t="s">
        <v>1168</v>
      </c>
      <c r="E10" s="5002">
        <v>35500</v>
      </c>
      <c r="F10" s="5002">
        <v>0</v>
      </c>
      <c r="G10" s="5002">
        <v>22365</v>
      </c>
      <c r="H10" s="5002">
        <v>0</v>
      </c>
      <c r="I10" s="5008">
        <v>1200</v>
      </c>
      <c r="J10" s="5002">
        <v>3000</v>
      </c>
      <c r="K10" s="5002">
        <v>0</v>
      </c>
      <c r="L10" s="5002">
        <v>0</v>
      </c>
      <c r="M10" s="5000"/>
      <c r="N10" s="4995">
        <v>62065</v>
      </c>
      <c r="O10" s="1346">
        <v>2.6971126003143872E-2</v>
      </c>
    </row>
    <row r="11" spans="1:15" s="53" customFormat="1">
      <c r="A11" s="109"/>
      <c r="D11" s="4264" t="s">
        <v>1169</v>
      </c>
      <c r="E11" s="4231">
        <f>SUM(C24:C26)</f>
        <v>28750</v>
      </c>
      <c r="F11" s="4231">
        <f>SUM(C30:C32)</f>
        <v>0</v>
      </c>
      <c r="G11" s="4231">
        <f>SUM(C24:C26)*0.707</f>
        <v>20326.25</v>
      </c>
      <c r="H11" s="4231">
        <f>SUM(C45:C49)+SUM(C53:C58)</f>
        <v>0</v>
      </c>
      <c r="I11" s="4232">
        <f>SUM(C61:C65)</f>
        <v>1200</v>
      </c>
      <c r="J11" s="4231">
        <f>SUM(C69:C74)</f>
        <v>3000</v>
      </c>
      <c r="K11" s="4231">
        <f>SUM(C77:C83)</f>
        <v>0</v>
      </c>
      <c r="L11" s="4231">
        <f>SUM(C86:C91)</f>
        <v>0</v>
      </c>
      <c r="M11" s="4233"/>
      <c r="N11" s="4234">
        <f>SUM(E11:M11)</f>
        <v>53276.25</v>
      </c>
      <c r="O11" s="1346">
        <f>(N11-N9)/N9</f>
        <v>-0.11845371059816331</v>
      </c>
    </row>
    <row r="12" spans="1:15" s="19" customFormat="1">
      <c r="A12" s="69"/>
      <c r="D12" s="123" t="s">
        <v>1172</v>
      </c>
      <c r="E12" s="1340">
        <f>SUM(E9+E11)</f>
        <v>63250</v>
      </c>
      <c r="F12" s="1340">
        <f t="shared" ref="F12:N12" si="0">SUM(F9+F11)</f>
        <v>0</v>
      </c>
      <c r="G12" s="1340">
        <f t="shared" si="0"/>
        <v>42061.25</v>
      </c>
      <c r="H12" s="1340">
        <f t="shared" si="0"/>
        <v>0</v>
      </c>
      <c r="I12" s="1340">
        <f t="shared" si="0"/>
        <v>2400</v>
      </c>
      <c r="J12" s="1340">
        <f t="shared" si="0"/>
        <v>6000</v>
      </c>
      <c r="K12" s="1340">
        <f t="shared" si="0"/>
        <v>0</v>
      </c>
      <c r="L12" s="1340">
        <f t="shared" si="0"/>
        <v>0</v>
      </c>
      <c r="M12" s="1340">
        <f t="shared" si="0"/>
        <v>0</v>
      </c>
      <c r="N12" s="1340">
        <f t="shared" si="0"/>
        <v>113711.25</v>
      </c>
    </row>
    <row r="13" spans="1:15" ht="18" customHeight="1">
      <c r="A13" s="69"/>
      <c r="D13" s="2204"/>
      <c r="E13" s="3"/>
      <c r="M13" s="69" t="s">
        <v>23</v>
      </c>
    </row>
    <row r="14" spans="1:15">
      <c r="A14" s="69"/>
      <c r="D14" s="2204"/>
      <c r="E14" s="3"/>
      <c r="M14" s="69" t="s">
        <v>24</v>
      </c>
    </row>
    <row r="15" spans="1:15" ht="15.75">
      <c r="A15" s="69"/>
      <c r="B15" s="5143" t="s">
        <v>25</v>
      </c>
      <c r="C15" s="5145"/>
      <c r="D15" s="5145"/>
      <c r="E15" s="5144"/>
      <c r="F15" s="3437"/>
      <c r="G15" s="3437"/>
    </row>
    <row r="16" spans="1:15" s="53" customFormat="1" ht="15.75">
      <c r="A16" s="109"/>
      <c r="B16" s="169"/>
      <c r="C16" s="129"/>
      <c r="D16" s="129"/>
      <c r="E16" s="129"/>
      <c r="F16" s="129"/>
      <c r="G16" s="129"/>
    </row>
    <row r="17" spans="1:7" s="53" customFormat="1" ht="15.75">
      <c r="A17" s="109"/>
      <c r="B17" s="129"/>
      <c r="C17" s="129"/>
      <c r="D17" s="129"/>
      <c r="E17" s="129"/>
      <c r="F17" s="129"/>
      <c r="G17" s="129"/>
    </row>
    <row r="18" spans="1:7" ht="15.75">
      <c r="A18" s="69"/>
      <c r="B18" s="5141" t="s">
        <v>26</v>
      </c>
      <c r="C18" s="5141"/>
      <c r="D18" s="43" t="s">
        <v>27</v>
      </c>
      <c r="E18" s="44" t="s">
        <v>28</v>
      </c>
    </row>
    <row r="19" spans="1:7" ht="15.75">
      <c r="A19" s="69"/>
      <c r="B19" s="5142" t="s">
        <v>29</v>
      </c>
      <c r="C19" s="5142"/>
      <c r="D19" s="43"/>
      <c r="E19" s="44"/>
    </row>
    <row r="20" spans="1:7" ht="45.75">
      <c r="A20" s="69"/>
      <c r="B20" s="2366">
        <v>2012</v>
      </c>
      <c r="C20" s="2366">
        <v>2013</v>
      </c>
      <c r="D20" s="69" t="s">
        <v>82</v>
      </c>
      <c r="E20" s="131" t="s">
        <v>31</v>
      </c>
    </row>
    <row r="21" spans="1:7">
      <c r="A21" s="69"/>
      <c r="B21" s="174" t="s">
        <v>9</v>
      </c>
      <c r="C21" s="174" t="s">
        <v>9</v>
      </c>
      <c r="D21" s="138"/>
      <c r="E21" s="139">
        <f>SUM(B24:B26)+SUM(C24:C26)</f>
        <v>63250</v>
      </c>
    </row>
    <row r="22" spans="1:7" ht="7.5" customHeight="1">
      <c r="A22" s="69"/>
      <c r="B22" s="175"/>
      <c r="C22" s="175"/>
      <c r="D22" s="2204"/>
      <c r="E22" s="52"/>
    </row>
    <row r="23" spans="1:7">
      <c r="A23" s="69"/>
      <c r="B23" s="176" t="s">
        <v>32</v>
      </c>
      <c r="C23" s="176" t="s">
        <v>32</v>
      </c>
      <c r="D23" s="143" t="s">
        <v>7</v>
      </c>
      <c r="E23" s="52"/>
      <c r="F23" s="144" t="s">
        <v>7</v>
      </c>
    </row>
    <row r="24" spans="1:7">
      <c r="A24" s="69"/>
      <c r="B24" s="3051">
        <v>34500</v>
      </c>
      <c r="C24" s="4753">
        <v>28750</v>
      </c>
      <c r="D24" s="4065" t="s">
        <v>1343</v>
      </c>
      <c r="E24" s="52"/>
      <c r="F24" s="146"/>
    </row>
    <row r="25" spans="1:7">
      <c r="A25" s="69"/>
      <c r="B25" s="2209"/>
      <c r="C25" s="2209"/>
      <c r="D25" s="2204"/>
      <c r="E25" s="52"/>
    </row>
    <row r="26" spans="1:7">
      <c r="A26" s="69"/>
      <c r="B26" s="2209"/>
      <c r="C26" s="2209"/>
      <c r="D26" s="2204"/>
      <c r="E26" s="52"/>
    </row>
    <row r="27" spans="1:7" s="53" customFormat="1" ht="21" customHeight="1">
      <c r="A27" s="109"/>
      <c r="B27" s="174" t="s">
        <v>10</v>
      </c>
      <c r="C27" s="174" t="s">
        <v>10</v>
      </c>
      <c r="D27" s="138"/>
      <c r="E27" s="139">
        <f>SUM(B30:B33)+SUM(C30:C33)</f>
        <v>0</v>
      </c>
    </row>
    <row r="28" spans="1:7" ht="8.25" customHeight="1">
      <c r="A28" s="69"/>
      <c r="B28" s="180"/>
      <c r="C28" s="180"/>
      <c r="D28" s="152"/>
      <c r="E28" s="52"/>
    </row>
    <row r="29" spans="1:7" s="53" customFormat="1" ht="13.5" customHeight="1">
      <c r="A29" s="109"/>
      <c r="B29" s="176" t="s">
        <v>32</v>
      </c>
      <c r="C29" s="176" t="s">
        <v>32</v>
      </c>
      <c r="D29" s="152"/>
      <c r="E29" s="52"/>
    </row>
    <row r="30" spans="1:7">
      <c r="A30" s="69"/>
      <c r="B30" s="86"/>
      <c r="C30" s="181"/>
      <c r="D30" s="150"/>
      <c r="E30" s="52"/>
    </row>
    <row r="31" spans="1:7">
      <c r="A31" s="69"/>
      <c r="B31" s="181"/>
      <c r="C31" s="181"/>
      <c r="D31" s="150"/>
      <c r="E31" s="52"/>
    </row>
    <row r="32" spans="1:7">
      <c r="A32" s="69"/>
      <c r="B32" s="19"/>
      <c r="C32" s="19"/>
      <c r="D32" s="150"/>
      <c r="E32" s="52"/>
    </row>
    <row r="33" spans="1:6">
      <c r="A33" s="69"/>
      <c r="B33" s="19"/>
      <c r="C33" s="19"/>
      <c r="D33" s="150"/>
      <c r="E33" s="52"/>
    </row>
    <row r="34" spans="1:6">
      <c r="A34" s="69"/>
      <c r="B34" s="174" t="s">
        <v>11</v>
      </c>
      <c r="C34" s="174" t="s">
        <v>11</v>
      </c>
      <c r="D34" s="138"/>
      <c r="E34" s="139">
        <f>(B24*0.63)+(C24*0.707)</f>
        <v>42061.25</v>
      </c>
    </row>
    <row r="35" spans="1:6" ht="7.5" customHeight="1">
      <c r="A35" s="69"/>
      <c r="B35" s="175"/>
      <c r="C35" s="175"/>
      <c r="D35" s="2204"/>
      <c r="E35" s="68"/>
    </row>
    <row r="36" spans="1:6">
      <c r="A36" s="1343"/>
      <c r="B36" s="182" t="s">
        <v>37</v>
      </c>
      <c r="C36" s="182" t="s">
        <v>1204</v>
      </c>
      <c r="D36" s="143" t="s">
        <v>7</v>
      </c>
      <c r="E36" s="52"/>
      <c r="F36" s="157"/>
    </row>
    <row r="37" spans="1:6">
      <c r="A37" s="69"/>
      <c r="B37" s="19"/>
      <c r="C37" s="19"/>
      <c r="D37" s="150" t="s">
        <v>7</v>
      </c>
      <c r="E37" s="52"/>
    </row>
    <row r="38" spans="1:6" s="53" customFormat="1">
      <c r="A38" s="109"/>
      <c r="B38" s="174" t="s">
        <v>38</v>
      </c>
      <c r="C38" s="174" t="s">
        <v>38</v>
      </c>
      <c r="D38" s="138"/>
      <c r="E38" s="139">
        <f>SUM(B40:B42)+SUM(C40:C42)</f>
        <v>0</v>
      </c>
    </row>
    <row r="39" spans="1:6" ht="7.5" customHeight="1">
      <c r="A39" s="69"/>
      <c r="B39" s="180"/>
      <c r="C39" s="180"/>
      <c r="D39" s="152"/>
      <c r="E39" s="52"/>
    </row>
    <row r="40" spans="1:6">
      <c r="A40" s="69"/>
      <c r="C40" s="181"/>
      <c r="D40" s="150"/>
      <c r="E40" s="52"/>
    </row>
    <row r="41" spans="1:6" ht="26.25" customHeight="1">
      <c r="A41" s="69"/>
      <c r="B41" s="19"/>
      <c r="C41" s="19"/>
      <c r="D41" s="150"/>
      <c r="E41" s="52"/>
    </row>
    <row r="42" spans="1:6" ht="15" customHeight="1">
      <c r="A42" s="69"/>
      <c r="B42" s="19"/>
      <c r="C42" s="19"/>
      <c r="D42" s="150"/>
      <c r="E42" s="52"/>
    </row>
    <row r="43" spans="1:6">
      <c r="A43" s="69"/>
      <c r="B43" s="174" t="s">
        <v>12</v>
      </c>
      <c r="C43" s="174" t="s">
        <v>12</v>
      </c>
      <c r="D43" s="138"/>
      <c r="E43" s="139">
        <f>SUM(B45:B50)+SUM(C45:C50)</f>
        <v>0</v>
      </c>
    </row>
    <row r="44" spans="1:6" ht="6.75" customHeight="1">
      <c r="A44" s="69"/>
      <c r="B44" s="183"/>
      <c r="C44" s="183"/>
      <c r="D44" s="150"/>
      <c r="E44" s="52"/>
    </row>
    <row r="45" spans="1:6">
      <c r="A45" s="69"/>
      <c r="B45" s="19"/>
      <c r="C45" s="19"/>
      <c r="D45" s="150"/>
      <c r="E45" s="52"/>
    </row>
    <row r="46" spans="1:6">
      <c r="A46" s="69"/>
      <c r="B46" s="19"/>
      <c r="C46" s="19"/>
      <c r="D46" s="150"/>
      <c r="E46" s="52"/>
    </row>
    <row r="47" spans="1:6">
      <c r="A47" s="69"/>
      <c r="B47" s="19"/>
      <c r="C47" s="19"/>
      <c r="D47" s="150"/>
      <c r="E47" s="52"/>
    </row>
    <row r="48" spans="1:6">
      <c r="A48" s="69"/>
      <c r="B48" s="19"/>
      <c r="C48" s="19"/>
      <c r="D48" s="150"/>
      <c r="E48" s="52"/>
    </row>
    <row r="49" spans="1:5" ht="27.75" customHeight="1">
      <c r="A49" s="69"/>
      <c r="B49" s="19"/>
      <c r="C49" s="19"/>
      <c r="D49" s="150"/>
      <c r="E49" s="52"/>
    </row>
    <row r="50" spans="1:5" ht="27.75" customHeight="1">
      <c r="A50" s="69"/>
      <c r="B50" s="19"/>
      <c r="C50" s="19"/>
      <c r="D50" s="150"/>
      <c r="E50" s="52"/>
    </row>
    <row r="51" spans="1:5">
      <c r="A51" s="69"/>
      <c r="B51" s="174" t="s">
        <v>39</v>
      </c>
      <c r="C51" s="174" t="s">
        <v>39</v>
      </c>
      <c r="D51" s="138"/>
      <c r="E51" s="139">
        <f>SUM(B53:B58)+SUM(C53:C58)</f>
        <v>0</v>
      </c>
    </row>
    <row r="52" spans="1:5" ht="6.75" customHeight="1">
      <c r="A52" s="69"/>
      <c r="B52" s="180"/>
      <c r="C52" s="180"/>
      <c r="E52" s="73"/>
    </row>
    <row r="53" spans="1:5">
      <c r="A53" s="69"/>
      <c r="B53" s="184"/>
      <c r="C53" s="184"/>
      <c r="E53" s="73"/>
    </row>
    <row r="54" spans="1:5" ht="12.75" customHeight="1">
      <c r="A54" s="69"/>
      <c r="B54" s="184"/>
      <c r="C54" s="184"/>
      <c r="E54" s="73"/>
    </row>
    <row r="55" spans="1:5">
      <c r="A55" s="69"/>
      <c r="B55" s="184"/>
      <c r="C55" s="184"/>
      <c r="E55" s="73"/>
    </row>
    <row r="56" spans="1:5">
      <c r="A56" s="69"/>
      <c r="B56" s="184"/>
      <c r="C56" s="184"/>
      <c r="E56" s="73"/>
    </row>
    <row r="57" spans="1:5">
      <c r="A57" s="69"/>
      <c r="E57" s="73"/>
    </row>
    <row r="58" spans="1:5">
      <c r="A58" s="69"/>
      <c r="D58" s="2204"/>
      <c r="E58" s="52"/>
    </row>
    <row r="59" spans="1:5">
      <c r="A59" s="69"/>
      <c r="B59" s="174" t="s">
        <v>13</v>
      </c>
      <c r="C59" s="174" t="s">
        <v>13</v>
      </c>
      <c r="D59" s="138"/>
      <c r="E59" s="139">
        <f>SUM(B61:B66)+SUM(C61:C66)</f>
        <v>2400</v>
      </c>
    </row>
    <row r="60" spans="1:5" ht="6.75" customHeight="1">
      <c r="A60" s="69"/>
      <c r="B60" s="175"/>
      <c r="C60" s="175"/>
      <c r="D60" s="2204"/>
      <c r="E60" s="52"/>
    </row>
    <row r="61" spans="1:5">
      <c r="A61" s="69"/>
      <c r="B61" s="2209">
        <v>500</v>
      </c>
      <c r="C61" s="2209">
        <v>500</v>
      </c>
      <c r="D61" s="160" t="s">
        <v>70</v>
      </c>
      <c r="E61" s="52"/>
    </row>
    <row r="62" spans="1:5">
      <c r="A62" s="69"/>
      <c r="B62" s="2209" t="s">
        <v>7</v>
      </c>
      <c r="C62" s="2209"/>
      <c r="D62" s="160" t="s">
        <v>41</v>
      </c>
      <c r="E62" s="52"/>
    </row>
    <row r="63" spans="1:5">
      <c r="A63" s="69"/>
      <c r="B63" s="2209">
        <v>500</v>
      </c>
      <c r="C63" s="2209">
        <v>500</v>
      </c>
      <c r="D63" s="160" t="s">
        <v>42</v>
      </c>
      <c r="E63" s="52"/>
    </row>
    <row r="64" spans="1:5">
      <c r="A64" s="69"/>
      <c r="B64" s="2209">
        <v>200</v>
      </c>
      <c r="C64" s="2209">
        <v>200</v>
      </c>
      <c r="D64" s="160" t="s">
        <v>61</v>
      </c>
      <c r="E64" s="52"/>
    </row>
    <row r="65" spans="1:5">
      <c r="A65" s="69"/>
      <c r="B65" s="2350"/>
      <c r="C65" s="2350"/>
      <c r="D65" s="160" t="s">
        <v>44</v>
      </c>
      <c r="E65" s="52"/>
    </row>
    <row r="66" spans="1:5">
      <c r="A66" s="69"/>
      <c r="B66" s="2350"/>
      <c r="C66" s="2350"/>
      <c r="D66" s="160"/>
      <c r="E66" s="52"/>
    </row>
    <row r="67" spans="1:5">
      <c r="A67" s="69"/>
      <c r="B67" s="174" t="s">
        <v>14</v>
      </c>
      <c r="C67" s="174" t="s">
        <v>14</v>
      </c>
      <c r="D67" s="138"/>
      <c r="E67" s="139">
        <f>SUM(B69:B74)+SUM(C69:C74)</f>
        <v>6000</v>
      </c>
    </row>
    <row r="68" spans="1:5" ht="6" customHeight="1">
      <c r="A68" s="162"/>
      <c r="B68" s="175"/>
      <c r="C68" s="175"/>
      <c r="D68" s="2204"/>
      <c r="E68" s="52"/>
    </row>
    <row r="69" spans="1:5">
      <c r="A69" s="69"/>
      <c r="B69" s="2209">
        <v>3000</v>
      </c>
      <c r="C69" s="2209">
        <v>3000</v>
      </c>
      <c r="D69" s="2204" t="s">
        <v>965</v>
      </c>
      <c r="E69" s="52"/>
    </row>
    <row r="70" spans="1:5">
      <c r="A70" s="69"/>
      <c r="B70" s="2209"/>
      <c r="C70" s="2209"/>
      <c r="D70" s="2204"/>
      <c r="E70" s="52"/>
    </row>
    <row r="71" spans="1:5">
      <c r="A71" s="69"/>
      <c r="B71" s="2209"/>
      <c r="C71" s="2209"/>
      <c r="D71" s="2204"/>
      <c r="E71" s="52"/>
    </row>
    <row r="72" spans="1:5">
      <c r="A72" s="69"/>
      <c r="B72" s="2209"/>
      <c r="C72" s="2209"/>
      <c r="D72" s="2204"/>
      <c r="E72" s="52"/>
    </row>
    <row r="73" spans="1:5">
      <c r="A73" s="69"/>
      <c r="B73" s="2209"/>
      <c r="C73" s="2209"/>
      <c r="D73" s="2204"/>
      <c r="E73" s="52"/>
    </row>
    <row r="74" spans="1:5">
      <c r="A74" s="69"/>
      <c r="B74" s="2209" t="s">
        <v>7</v>
      </c>
      <c r="C74" s="2209"/>
      <c r="D74" s="2204"/>
      <c r="E74" s="52"/>
    </row>
    <row r="75" spans="1:5">
      <c r="A75" s="69"/>
      <c r="B75" s="174" t="s">
        <v>15</v>
      </c>
      <c r="C75" s="174" t="s">
        <v>15</v>
      </c>
      <c r="D75" s="138"/>
      <c r="E75" s="139">
        <f>SUM(B77:B83)+SUM(C77:C83)</f>
        <v>0</v>
      </c>
    </row>
    <row r="76" spans="1:5" ht="6.75" customHeight="1">
      <c r="A76" s="69"/>
      <c r="B76" s="180"/>
      <c r="C76" s="180"/>
      <c r="D76" s="2204"/>
      <c r="E76" s="52"/>
    </row>
    <row r="77" spans="1:5" s="53" customFormat="1" ht="12.75" customHeight="1">
      <c r="A77" s="109"/>
      <c r="B77" s="184"/>
      <c r="C77" s="184"/>
      <c r="D77" s="163"/>
      <c r="E77" s="52"/>
    </row>
    <row r="78" spans="1:5" s="53" customFormat="1" ht="12.75" customHeight="1">
      <c r="A78" s="109"/>
      <c r="B78" s="184"/>
      <c r="C78" s="184"/>
      <c r="D78" s="163"/>
      <c r="E78" s="52"/>
    </row>
    <row r="79" spans="1:5" s="53" customFormat="1" ht="12.75" customHeight="1">
      <c r="A79" s="109"/>
      <c r="B79" s="184"/>
      <c r="C79" s="184"/>
      <c r="D79" s="163"/>
      <c r="E79" s="52"/>
    </row>
    <row r="80" spans="1:5" s="53" customFormat="1" ht="12.75" customHeight="1">
      <c r="A80" s="109"/>
      <c r="B80" s="184"/>
      <c r="C80" s="184"/>
      <c r="D80" s="163"/>
      <c r="E80" s="52"/>
    </row>
    <row r="81" spans="1:5" s="53" customFormat="1" ht="12.75" customHeight="1">
      <c r="A81" s="109"/>
      <c r="B81" s="184"/>
      <c r="C81" s="184"/>
      <c r="D81" s="163"/>
      <c r="E81" s="52"/>
    </row>
    <row r="82" spans="1:5">
      <c r="A82" s="69"/>
      <c r="D82" s="150"/>
      <c r="E82" s="52"/>
    </row>
    <row r="83" spans="1:5">
      <c r="A83" s="69"/>
      <c r="D83" s="150"/>
      <c r="E83" s="52"/>
    </row>
    <row r="84" spans="1:5">
      <c r="A84" s="69"/>
      <c r="B84" s="174" t="s">
        <v>16</v>
      </c>
      <c r="C84" s="174" t="s">
        <v>16</v>
      </c>
      <c r="D84" s="138"/>
      <c r="E84" s="139">
        <f>SUM(B86:B91)+SUM(C86:C91)</f>
        <v>0</v>
      </c>
    </row>
    <row r="85" spans="1:5" s="53" customFormat="1" ht="6.75" customHeight="1">
      <c r="A85" s="109"/>
      <c r="B85" s="180"/>
      <c r="C85" s="180"/>
      <c r="D85" s="163"/>
      <c r="E85" s="52"/>
    </row>
    <row r="86" spans="1:5" s="53" customFormat="1" ht="12.75" customHeight="1">
      <c r="A86" s="109"/>
      <c r="B86" s="184"/>
      <c r="C86" s="184"/>
      <c r="D86" s="163"/>
      <c r="E86" s="52"/>
    </row>
    <row r="87" spans="1:5" s="53" customFormat="1" ht="12.75" customHeight="1">
      <c r="A87" s="109"/>
      <c r="B87" s="184"/>
      <c r="C87" s="184"/>
      <c r="D87" s="163"/>
      <c r="E87" s="52"/>
    </row>
    <row r="88" spans="1:5" s="53" customFormat="1" ht="12.75" customHeight="1">
      <c r="A88" s="109"/>
      <c r="B88" s="184"/>
      <c r="C88" s="184"/>
      <c r="D88" s="163"/>
      <c r="E88" s="52"/>
    </row>
    <row r="89" spans="1:5" s="53" customFormat="1">
      <c r="A89" s="109"/>
      <c r="B89" s="184"/>
      <c r="C89" s="184"/>
      <c r="D89" s="163"/>
      <c r="E89" s="52"/>
    </row>
    <row r="90" spans="1:5" s="53" customFormat="1">
      <c r="A90" s="109"/>
      <c r="B90" s="184"/>
      <c r="C90" s="184"/>
      <c r="D90" s="163"/>
      <c r="E90" s="52"/>
    </row>
    <row r="91" spans="1:5">
      <c r="A91" s="69"/>
      <c r="D91" s="2204"/>
      <c r="E91" s="52"/>
    </row>
    <row r="92" spans="1:5" ht="25.5">
      <c r="A92" s="69"/>
      <c r="B92" s="174" t="s">
        <v>17</v>
      </c>
      <c r="C92" s="174" t="s">
        <v>17</v>
      </c>
      <c r="D92" s="2204"/>
      <c r="E92" s="52"/>
    </row>
    <row r="93" spans="1:5" s="53" customFormat="1" ht="6.75" customHeight="1">
      <c r="A93" s="109"/>
      <c r="B93" s="180"/>
      <c r="C93" s="180"/>
      <c r="D93" s="163"/>
      <c r="E93" s="52"/>
    </row>
    <row r="94" spans="1:5" s="53" customFormat="1">
      <c r="A94" s="109"/>
      <c r="B94" s="184"/>
      <c r="C94" s="184"/>
      <c r="D94" s="163"/>
      <c r="E94" s="82"/>
    </row>
    <row r="95" spans="1:5">
      <c r="A95" s="69"/>
      <c r="B95" s="86" t="s">
        <v>54</v>
      </c>
      <c r="D95" s="2204"/>
      <c r="E95" s="3"/>
    </row>
    <row r="96" spans="1:5">
      <c r="A96" s="69"/>
      <c r="B96" s="86" t="s">
        <v>55</v>
      </c>
      <c r="D96" s="2204"/>
      <c r="E96" s="3"/>
    </row>
    <row r="97" spans="1:5">
      <c r="A97" s="69"/>
      <c r="B97" s="86" t="s">
        <v>56</v>
      </c>
      <c r="D97" s="2204"/>
      <c r="E97" s="3"/>
    </row>
  </sheetData>
  <sheetProtection password="9E1F" sheet="1" objects="1" scenarios="1"/>
  <customSheetViews>
    <customSheetView guid="{074EB09C-6289-46D7-9513-012B68BCA7BF}" fitToPage="1">
      <pane xSplit="1" ySplit="1" topLeftCell="B2" activePane="bottomRight" state="frozen"/>
      <selection pane="bottomRight" activeCell="K69" sqref="K69"/>
      <pageMargins left="0.2" right="0.7" top="0.38" bottom="0.4" header="0.3" footer="0.3"/>
      <pageSetup paperSize="17" scale="55" orientation="landscape" r:id="rId1"/>
    </customSheetView>
    <customSheetView guid="{AF9F1D33-B8C2-423F-86A1-47612B8F532C}" fitToPage="1">
      <pane xSplit="1" ySplit="1" topLeftCell="B8" activePane="bottomRight" state="frozenSplit"/>
      <selection pane="bottomRight" activeCell="G12" sqref="G12"/>
      <pageMargins left="0.7" right="0.7" top="0.75" bottom="0.75" header="0.3" footer="0.3"/>
      <pageSetup paperSize="17" scale="55" orientation="landscape"/>
    </customSheetView>
  </customSheetViews>
  <mergeCells count="3">
    <mergeCell ref="B18:C18"/>
    <mergeCell ref="B19:C19"/>
    <mergeCell ref="B15:E15"/>
  </mergeCells>
  <pageMargins left="0.2" right="0.7" top="0.38" bottom="0.4" header="0.3" footer="0.3"/>
  <pageSetup paperSize="17" scale="54" orientation="landscape" r:id="rId2"/>
  <drawing r:id="rId3"/>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sheetPr enableFormatConditionsCalculation="0">
    <pageSetUpPr fitToPage="1"/>
  </sheetPr>
  <dimension ref="A1:O103"/>
  <sheetViews>
    <sheetView zoomScaleNormal="100" workbookViewId="0">
      <pane xSplit="1" ySplit="1" topLeftCell="B2" activePane="bottomRight" state="frozen"/>
      <selection pane="topRight" activeCell="B1" sqref="B1"/>
      <selection pane="bottomLeft" activeCell="A2" sqref="A2"/>
      <selection pane="bottomRight" activeCell="B4" sqref="B4"/>
    </sheetView>
  </sheetViews>
  <sheetFormatPr defaultColWidth="8.85546875" defaultRowHeight="12.75"/>
  <cols>
    <col min="1" max="1" width="15.42578125" customWidth="1"/>
    <col min="2" max="2" width="22.28515625" customWidth="1"/>
    <col min="3" max="3" width="23" style="2" customWidth="1"/>
    <col min="4" max="4" width="23.42578125" style="3" customWidth="1"/>
    <col min="5" max="5" width="18.85546875" customWidth="1"/>
    <col min="6" max="6" width="17" customWidth="1"/>
    <col min="7" max="7" width="15.7109375" customWidth="1"/>
    <col min="8" max="8" width="15.42578125" customWidth="1"/>
    <col min="9" max="9" width="16.28515625" customWidth="1"/>
    <col min="10" max="10" width="17.42578125" customWidth="1"/>
    <col min="11" max="12" width="21.28515625" customWidth="1"/>
    <col min="13" max="13" width="19.42578125" customWidth="1"/>
    <col min="14" max="14" width="13.42578125" customWidth="1"/>
    <col min="15" max="15" width="19.28515625" customWidth="1"/>
  </cols>
  <sheetData>
    <row r="1" spans="1:15" ht="45.75" customHeight="1"/>
    <row r="2" spans="1:15" ht="18.75" thickBot="1">
      <c r="B2" s="1" t="s">
        <v>3</v>
      </c>
      <c r="E2" s="4" t="s">
        <v>4</v>
      </c>
    </row>
    <row r="3" spans="1:15" ht="15.75" thickBot="1">
      <c r="B3" s="5" t="s">
        <v>5</v>
      </c>
      <c r="D3" s="6" t="s">
        <v>6</v>
      </c>
      <c r="E3" s="7">
        <v>18230128</v>
      </c>
    </row>
    <row r="4" spans="1:15">
      <c r="B4" s="8" t="s">
        <v>7</v>
      </c>
      <c r="C4" s="9"/>
    </row>
    <row r="6" spans="1:15" ht="13.5" thickBot="1">
      <c r="A6" s="10"/>
      <c r="B6" s="11"/>
      <c r="C6" s="11"/>
      <c r="D6" s="12"/>
      <c r="E6" s="1325" t="s">
        <v>1139</v>
      </c>
      <c r="F6" s="11"/>
      <c r="G6" s="11"/>
      <c r="H6" s="11"/>
      <c r="I6" s="11"/>
      <c r="J6" s="11"/>
      <c r="K6" s="11"/>
      <c r="L6" s="11"/>
      <c r="M6" s="11"/>
      <c r="N6" s="11"/>
    </row>
    <row r="7" spans="1:15" s="19" customFormat="1" ht="38.25">
      <c r="B7" s="3461"/>
      <c r="C7" s="11"/>
      <c r="D7" s="11"/>
      <c r="E7" s="14" t="s">
        <v>9</v>
      </c>
      <c r="F7" s="14" t="s">
        <v>10</v>
      </c>
      <c r="G7" s="14" t="s">
        <v>11</v>
      </c>
      <c r="H7" s="15" t="s">
        <v>12</v>
      </c>
      <c r="I7" s="16" t="s">
        <v>13</v>
      </c>
      <c r="J7" s="14" t="s">
        <v>14</v>
      </c>
      <c r="K7" s="14" t="s">
        <v>15</v>
      </c>
      <c r="L7" s="14" t="s">
        <v>16</v>
      </c>
      <c r="M7" s="14" t="s">
        <v>17</v>
      </c>
      <c r="N7" s="17" t="s">
        <v>18</v>
      </c>
      <c r="O7" s="18" t="s">
        <v>19</v>
      </c>
    </row>
    <row r="8" spans="1:15" s="27" customFormat="1">
      <c r="A8" s="20"/>
      <c r="B8" s="21"/>
      <c r="C8" s="21"/>
      <c r="D8" s="22" t="s">
        <v>20</v>
      </c>
      <c r="E8" s="23"/>
      <c r="F8" s="23"/>
      <c r="G8" s="23"/>
      <c r="H8" s="23"/>
      <c r="I8" s="24"/>
      <c r="J8" s="23"/>
      <c r="K8" s="23"/>
      <c r="L8" s="23"/>
      <c r="M8" s="23"/>
      <c r="N8" s="25">
        <v>166753</v>
      </c>
      <c r="O8" s="26" t="s">
        <v>21</v>
      </c>
    </row>
    <row r="9" spans="1:15" s="27" customFormat="1">
      <c r="A9" s="20"/>
      <c r="B9" s="21"/>
      <c r="C9" s="21"/>
      <c r="D9" s="22" t="s">
        <v>22</v>
      </c>
      <c r="E9" s="28">
        <v>160851</v>
      </c>
      <c r="F9" s="28">
        <v>0</v>
      </c>
      <c r="G9" s="28">
        <v>101336.13</v>
      </c>
      <c r="H9" s="28">
        <v>0</v>
      </c>
      <c r="I9" s="28">
        <v>4000</v>
      </c>
      <c r="J9" s="28">
        <v>7000</v>
      </c>
      <c r="K9" s="28">
        <v>0</v>
      </c>
      <c r="L9" s="28">
        <v>4500</v>
      </c>
      <c r="M9" s="28">
        <v>0</v>
      </c>
      <c r="N9" s="29">
        <v>277687.13</v>
      </c>
      <c r="O9" s="30">
        <f>(N9-N8)/N8</f>
        <v>0.66526017522923131</v>
      </c>
    </row>
    <row r="10" spans="1:15" s="34" customFormat="1">
      <c r="A10" s="20"/>
      <c r="B10" s="21"/>
      <c r="C10" s="21"/>
      <c r="D10" s="21">
        <v>2012</v>
      </c>
      <c r="E10" s="31">
        <f>SUM(B25:B29)</f>
        <v>168551</v>
      </c>
      <c r="F10" s="31"/>
      <c r="G10" s="31">
        <f>(E10+F10)*0.63</f>
        <v>106187.13</v>
      </c>
      <c r="H10" s="31">
        <f>SUM(B48:B53)</f>
        <v>0</v>
      </c>
      <c r="I10" s="32">
        <f>SUM(B64:B68)</f>
        <v>5980</v>
      </c>
      <c r="J10" s="31">
        <f>SUM(B71:B76)</f>
        <v>2000</v>
      </c>
      <c r="K10" s="31">
        <f>SUM(B79:B85)</f>
        <v>0</v>
      </c>
      <c r="L10" s="31">
        <f>SUM(B88:B93)</f>
        <v>9800</v>
      </c>
      <c r="M10" s="33">
        <f>B96</f>
        <v>0</v>
      </c>
      <c r="N10" s="25">
        <f>SUM(E10:M10)</f>
        <v>292518.13</v>
      </c>
      <c r="O10" s="30">
        <f>(N10-N9)/N9</f>
        <v>5.3409029075276192E-2</v>
      </c>
    </row>
    <row r="11" spans="1:15" s="5020" customFormat="1">
      <c r="A11" s="5018"/>
      <c r="B11" s="5019"/>
      <c r="C11" s="5019"/>
      <c r="D11" s="4278" t="s">
        <v>1168</v>
      </c>
      <c r="E11" s="4997">
        <v>223139</v>
      </c>
      <c r="F11" s="4997">
        <v>0</v>
      </c>
      <c r="G11" s="4997">
        <v>140577.57</v>
      </c>
      <c r="H11" s="4997">
        <v>0</v>
      </c>
      <c r="I11" s="4996">
        <v>8079</v>
      </c>
      <c r="J11" s="4997">
        <v>2000</v>
      </c>
      <c r="K11" s="4997">
        <v>0</v>
      </c>
      <c r="L11" s="4997">
        <v>9800</v>
      </c>
      <c r="M11" s="4994">
        <v>0</v>
      </c>
      <c r="N11" s="5015">
        <v>383595.57</v>
      </c>
      <c r="O11" s="1346">
        <v>0.31135656446320098</v>
      </c>
    </row>
    <row r="12" spans="1:15" s="34" customFormat="1">
      <c r="A12" s="20"/>
      <c r="B12" s="21"/>
      <c r="C12" s="21"/>
      <c r="D12" s="4279" t="s">
        <v>1169</v>
      </c>
      <c r="E12" s="4236">
        <f>SUM(C25:C29)</f>
        <v>223139</v>
      </c>
      <c r="F12" s="4236">
        <f>SUM(C33:C36)</f>
        <v>0</v>
      </c>
      <c r="G12" s="4236">
        <f>(E12+F12)*0.707</f>
        <v>157759.27299999999</v>
      </c>
      <c r="H12" s="4236">
        <f>SUM(C48:C53)</f>
        <v>0</v>
      </c>
      <c r="I12" s="4237">
        <f>SUM(C64:C68)</f>
        <v>8079</v>
      </c>
      <c r="J12" s="4236">
        <f>SUM(C71:C76)</f>
        <v>2000</v>
      </c>
      <c r="K12" s="4236">
        <f>SUM(C79:C85)</f>
        <v>0</v>
      </c>
      <c r="L12" s="4236">
        <f>SUM(C88:C93)</f>
        <v>69800</v>
      </c>
      <c r="M12" s="4238">
        <f>C96</f>
        <v>0</v>
      </c>
      <c r="N12" s="4239">
        <f>SUM(E12:M12)</f>
        <v>460777.27299999999</v>
      </c>
      <c r="O12" s="30">
        <f>(N12-N10)/N10</f>
        <v>0.57520928019059869</v>
      </c>
    </row>
    <row r="13" spans="1:15">
      <c r="A13" s="10"/>
      <c r="B13" s="36"/>
      <c r="C13" s="36"/>
      <c r="D13" s="1311" t="s">
        <v>1172</v>
      </c>
      <c r="E13" s="37">
        <f>SUM(E10+E12)</f>
        <v>391690</v>
      </c>
      <c r="F13" s="37">
        <f t="shared" ref="F13:N13" si="0">SUM(F10+F12)</f>
        <v>0</v>
      </c>
      <c r="G13" s="37">
        <f t="shared" si="0"/>
        <v>263946.40299999999</v>
      </c>
      <c r="H13" s="37">
        <f t="shared" si="0"/>
        <v>0</v>
      </c>
      <c r="I13" s="37">
        <f t="shared" si="0"/>
        <v>14059</v>
      </c>
      <c r="J13" s="37">
        <f t="shared" si="0"/>
        <v>4000</v>
      </c>
      <c r="K13" s="37">
        <f t="shared" si="0"/>
        <v>0</v>
      </c>
      <c r="L13" s="37">
        <f t="shared" si="0"/>
        <v>79600</v>
      </c>
      <c r="M13" s="37">
        <f t="shared" si="0"/>
        <v>0</v>
      </c>
      <c r="N13" s="37">
        <f t="shared" si="0"/>
        <v>753295.40299999993</v>
      </c>
    </row>
    <row r="14" spans="1:15" ht="25.5">
      <c r="A14" s="10"/>
      <c r="B14" s="11"/>
      <c r="C14" s="11"/>
      <c r="D14" s="12"/>
      <c r="E14" s="28"/>
      <c r="F14" s="11"/>
      <c r="G14" s="11"/>
      <c r="H14" s="11"/>
      <c r="I14" s="11"/>
      <c r="J14" s="11"/>
      <c r="K14" s="11"/>
      <c r="L14" s="11"/>
      <c r="M14" s="10" t="s">
        <v>23</v>
      </c>
      <c r="N14" s="11"/>
    </row>
    <row r="15" spans="1:15">
      <c r="A15" s="10"/>
      <c r="B15" s="11"/>
      <c r="C15" s="11"/>
      <c r="D15" s="12"/>
      <c r="E15" s="28"/>
      <c r="F15" s="11"/>
      <c r="G15" s="11"/>
      <c r="H15" s="11"/>
      <c r="I15" s="11"/>
      <c r="J15" s="11"/>
      <c r="K15" s="11"/>
      <c r="L15" s="11"/>
      <c r="M15" s="10" t="s">
        <v>24</v>
      </c>
      <c r="N15" s="11"/>
    </row>
    <row r="16" spans="1:15" ht="15.75">
      <c r="A16" s="10"/>
      <c r="B16" s="5165" t="s">
        <v>25</v>
      </c>
      <c r="C16" s="5166"/>
      <c r="D16" s="5166"/>
      <c r="E16" s="5167"/>
      <c r="F16" s="1319"/>
      <c r="G16" s="1319"/>
      <c r="H16" s="11"/>
      <c r="I16" s="11"/>
      <c r="J16" s="11"/>
      <c r="K16" s="11"/>
      <c r="L16" s="11"/>
      <c r="M16" s="11"/>
      <c r="N16" s="11"/>
    </row>
    <row r="17" spans="1:14" ht="15.75">
      <c r="A17" s="39"/>
      <c r="B17" s="40"/>
      <c r="C17" s="41"/>
      <c r="D17" s="41"/>
      <c r="E17" s="41"/>
      <c r="F17" s="41"/>
      <c r="G17" s="41"/>
      <c r="H17" s="42"/>
      <c r="I17" s="42"/>
      <c r="J17" s="42"/>
      <c r="K17" s="42"/>
      <c r="L17" s="42"/>
      <c r="M17" s="42"/>
      <c r="N17" s="42"/>
    </row>
    <row r="18" spans="1:14" ht="15.75">
      <c r="A18" s="39"/>
      <c r="B18" s="41"/>
      <c r="C18" s="41"/>
      <c r="D18" s="41"/>
      <c r="E18" s="41"/>
      <c r="F18" s="41"/>
      <c r="G18" s="41"/>
      <c r="H18" s="42"/>
      <c r="I18" s="42"/>
      <c r="J18" s="42"/>
      <c r="K18" s="42"/>
      <c r="L18" s="42"/>
      <c r="M18" s="42"/>
      <c r="N18" s="42"/>
    </row>
    <row r="19" spans="1:14" ht="15.75">
      <c r="A19" s="10"/>
      <c r="B19" s="5162" t="s">
        <v>26</v>
      </c>
      <c r="C19" s="5162"/>
      <c r="D19" s="43" t="s">
        <v>27</v>
      </c>
      <c r="E19" s="44" t="s">
        <v>28</v>
      </c>
      <c r="F19" s="11"/>
      <c r="G19" s="11"/>
      <c r="H19" s="11"/>
      <c r="I19" s="11"/>
      <c r="J19" s="11"/>
      <c r="K19" s="11"/>
      <c r="L19" s="11"/>
      <c r="M19" s="11"/>
      <c r="N19" s="11"/>
    </row>
    <row r="20" spans="1:14" ht="15.75">
      <c r="A20" s="10"/>
      <c r="B20" s="5142" t="s">
        <v>29</v>
      </c>
      <c r="C20" s="5142"/>
      <c r="D20" s="43"/>
      <c r="E20" s="44"/>
      <c r="F20" s="11"/>
      <c r="G20" s="11"/>
    </row>
    <row r="21" spans="1:14" ht="45.75">
      <c r="A21" s="10"/>
      <c r="B21" s="45">
        <v>2012</v>
      </c>
      <c r="C21" s="45">
        <v>2013</v>
      </c>
      <c r="D21" s="46" t="s">
        <v>30</v>
      </c>
      <c r="E21" s="47" t="s">
        <v>31</v>
      </c>
      <c r="F21" s="11"/>
      <c r="G21" s="11"/>
    </row>
    <row r="22" spans="1:14">
      <c r="A22" s="10"/>
      <c r="B22" s="48" t="s">
        <v>9</v>
      </c>
      <c r="C22" s="48" t="s">
        <v>9</v>
      </c>
      <c r="D22" s="49"/>
      <c r="E22" s="50">
        <f>SUM(B25:B29)+SUM(C25:C29)</f>
        <v>391690</v>
      </c>
      <c r="F22" s="11"/>
      <c r="G22" s="11"/>
    </row>
    <row r="23" spans="1:14" s="53" customFormat="1">
      <c r="A23" s="10"/>
      <c r="B23" s="51"/>
      <c r="C23" s="51"/>
      <c r="D23" s="12"/>
      <c r="E23" s="52"/>
      <c r="F23" s="11"/>
      <c r="G23" s="11"/>
      <c r="H23"/>
      <c r="I23"/>
      <c r="J23"/>
      <c r="K23"/>
      <c r="L23"/>
      <c r="M23"/>
      <c r="N23"/>
    </row>
    <row r="24" spans="1:14">
      <c r="A24" s="10"/>
      <c r="B24" s="54" t="s">
        <v>32</v>
      </c>
      <c r="C24" s="54" t="s">
        <v>32</v>
      </c>
      <c r="D24" s="55" t="s">
        <v>7</v>
      </c>
      <c r="E24" s="52"/>
      <c r="F24" s="56" t="s">
        <v>7</v>
      </c>
      <c r="G24" s="11"/>
    </row>
    <row r="25" spans="1:14">
      <c r="A25" s="10"/>
      <c r="B25" s="4066">
        <v>76603</v>
      </c>
      <c r="C25" s="57">
        <v>80433</v>
      </c>
      <c r="D25" s="58" t="s">
        <v>33</v>
      </c>
      <c r="E25" s="52"/>
      <c r="F25" s="59"/>
      <c r="G25" s="11"/>
    </row>
    <row r="26" spans="1:14">
      <c r="A26" s="10"/>
      <c r="B26" s="60">
        <v>48446</v>
      </c>
      <c r="C26" s="60">
        <v>49899</v>
      </c>
      <c r="D26" s="61" t="s">
        <v>34</v>
      </c>
      <c r="E26" s="52"/>
      <c r="F26" s="11"/>
      <c r="G26" s="11"/>
    </row>
    <row r="27" spans="1:14">
      <c r="A27" s="10"/>
      <c r="B27" s="60"/>
      <c r="C27" s="60">
        <v>48000</v>
      </c>
      <c r="D27" s="61" t="s">
        <v>34</v>
      </c>
      <c r="E27" s="52"/>
      <c r="F27" s="11"/>
      <c r="G27" s="11"/>
    </row>
    <row r="28" spans="1:14">
      <c r="A28" s="10"/>
      <c r="B28" s="60">
        <v>29462</v>
      </c>
      <c r="C28" s="60">
        <v>30346</v>
      </c>
      <c r="D28" s="61" t="s">
        <v>35</v>
      </c>
      <c r="E28" s="52"/>
      <c r="F28" s="11"/>
      <c r="G28" s="11"/>
    </row>
    <row r="29" spans="1:14">
      <c r="A29" s="10"/>
      <c r="B29" s="60">
        <v>14040</v>
      </c>
      <c r="C29" s="60">
        <v>14461</v>
      </c>
      <c r="D29" s="61" t="s">
        <v>36</v>
      </c>
      <c r="E29" s="52"/>
      <c r="F29" s="11"/>
      <c r="G29" s="11"/>
    </row>
    <row r="30" spans="1:14" s="53" customFormat="1" ht="21" customHeight="1">
      <c r="A30" s="39"/>
      <c r="B30" s="48" t="s">
        <v>10</v>
      </c>
      <c r="C30" s="48" t="s">
        <v>10</v>
      </c>
      <c r="D30" s="49"/>
      <c r="E30" s="62">
        <f>SUM(B33:B36)+SUM(C33:C36)</f>
        <v>0</v>
      </c>
      <c r="F30" s="42"/>
      <c r="G30" s="42"/>
    </row>
    <row r="31" spans="1:14">
      <c r="A31" s="10"/>
      <c r="B31" s="63"/>
      <c r="C31" s="63"/>
      <c r="D31" s="64"/>
      <c r="E31" s="52"/>
      <c r="F31" s="11"/>
      <c r="G31" s="11"/>
    </row>
    <row r="32" spans="1:14">
      <c r="A32" s="39"/>
      <c r="B32" s="54" t="s">
        <v>32</v>
      </c>
      <c r="C32" s="54" t="s">
        <v>32</v>
      </c>
      <c r="D32" s="64"/>
      <c r="E32" s="52"/>
      <c r="F32" s="42"/>
      <c r="G32" s="42"/>
    </row>
    <row r="33" spans="1:14">
      <c r="A33" s="10"/>
      <c r="B33" s="65"/>
      <c r="C33" s="65"/>
      <c r="D33" s="66"/>
      <c r="E33" s="52"/>
      <c r="F33" s="11"/>
      <c r="G33" s="11"/>
    </row>
    <row r="34" spans="1:14">
      <c r="A34" s="10"/>
      <c r="B34" s="67"/>
      <c r="C34" s="67"/>
      <c r="D34" s="66"/>
      <c r="E34" s="52"/>
      <c r="F34" s="11"/>
      <c r="G34" s="11"/>
    </row>
    <row r="35" spans="1:14">
      <c r="A35" s="10"/>
      <c r="B35" s="36"/>
      <c r="C35" s="36"/>
      <c r="D35" s="66"/>
      <c r="E35" s="52"/>
      <c r="F35" s="11"/>
      <c r="G35" s="11"/>
    </row>
    <row r="36" spans="1:14">
      <c r="A36" s="10"/>
      <c r="B36" s="36"/>
      <c r="C36" s="36"/>
      <c r="D36" s="66"/>
      <c r="E36" s="52"/>
      <c r="F36" s="11"/>
      <c r="G36" s="11"/>
    </row>
    <row r="37" spans="1:14">
      <c r="A37" s="10"/>
      <c r="B37" s="48" t="s">
        <v>11</v>
      </c>
      <c r="C37" s="48" t="s">
        <v>11</v>
      </c>
      <c r="D37" s="49"/>
      <c r="E37" s="62">
        <f>B40+C40</f>
        <v>263946.40299999999</v>
      </c>
      <c r="F37" s="11"/>
      <c r="G37" s="11"/>
    </row>
    <row r="38" spans="1:14">
      <c r="A38" s="10"/>
      <c r="B38" s="51"/>
      <c r="C38" s="51"/>
      <c r="D38" s="12"/>
      <c r="E38" s="68"/>
      <c r="F38" s="11"/>
      <c r="G38" s="11"/>
    </row>
    <row r="39" spans="1:14">
      <c r="A39" s="69"/>
      <c r="B39" s="70" t="s">
        <v>37</v>
      </c>
      <c r="C39" s="1307" t="s">
        <v>1204</v>
      </c>
      <c r="D39" s="55" t="s">
        <v>7</v>
      </c>
      <c r="E39" s="52"/>
      <c r="F39" s="71"/>
    </row>
    <row r="40" spans="1:14">
      <c r="A40" s="10"/>
      <c r="B40" s="57">
        <f>SUM(B25:B29)*0.63</f>
        <v>106187.13</v>
      </c>
      <c r="C40" s="57">
        <f>SUM(C25:C29)*0.707</f>
        <v>157759.27299999999</v>
      </c>
      <c r="D40" s="66" t="s">
        <v>7</v>
      </c>
      <c r="E40" s="52"/>
      <c r="F40" s="11"/>
    </row>
    <row r="41" spans="1:14" s="53" customFormat="1">
      <c r="A41" s="39"/>
      <c r="B41" s="48" t="s">
        <v>38</v>
      </c>
      <c r="C41" s="48" t="s">
        <v>38</v>
      </c>
      <c r="D41" s="49"/>
      <c r="E41" s="62">
        <f>SUM(B43:B45)+SUM(C43:C45)</f>
        <v>0</v>
      </c>
      <c r="F41" s="42"/>
      <c r="G41"/>
      <c r="H41"/>
      <c r="I41"/>
      <c r="J41"/>
      <c r="K41"/>
      <c r="L41"/>
      <c r="M41"/>
      <c r="N41"/>
    </row>
    <row r="42" spans="1:14">
      <c r="A42" s="10"/>
      <c r="B42" s="63"/>
      <c r="C42" s="63"/>
      <c r="D42" s="66"/>
      <c r="E42" s="52"/>
      <c r="F42" s="11"/>
    </row>
    <row r="43" spans="1:14">
      <c r="A43" s="10"/>
      <c r="B43" s="11"/>
      <c r="C43" s="67"/>
      <c r="D43" s="66"/>
      <c r="E43" s="52"/>
      <c r="F43" s="11"/>
    </row>
    <row r="44" spans="1:14">
      <c r="A44" s="10"/>
      <c r="B44" s="36"/>
      <c r="C44" s="36"/>
      <c r="D44" s="66"/>
      <c r="E44" s="52"/>
      <c r="F44" s="11"/>
    </row>
    <row r="45" spans="1:14">
      <c r="A45" s="10"/>
      <c r="B45" s="36"/>
      <c r="C45" s="36"/>
      <c r="D45" s="66"/>
      <c r="E45" s="52"/>
      <c r="F45" s="11"/>
    </row>
    <row r="46" spans="1:14">
      <c r="A46" s="10"/>
      <c r="B46" s="48" t="s">
        <v>12</v>
      </c>
      <c r="C46" s="48" t="s">
        <v>12</v>
      </c>
      <c r="D46" s="49"/>
      <c r="E46" s="62">
        <f>SUM(B48:B53)+SUM(C48:C53)</f>
        <v>0</v>
      </c>
      <c r="F46" s="11"/>
      <c r="G46" s="53"/>
      <c r="H46" s="53"/>
      <c r="I46" s="53"/>
      <c r="J46" s="53"/>
      <c r="K46" s="53"/>
      <c r="L46" s="53"/>
      <c r="M46" s="53"/>
      <c r="N46" s="53"/>
    </row>
    <row r="47" spans="1:14">
      <c r="A47" s="10"/>
      <c r="B47" s="72"/>
      <c r="C47" s="72"/>
      <c r="D47" s="66"/>
      <c r="E47" s="52"/>
      <c r="F47" s="11"/>
    </row>
    <row r="48" spans="1:14">
      <c r="A48" s="10"/>
      <c r="B48" s="36"/>
      <c r="C48" s="36"/>
      <c r="D48" s="66"/>
      <c r="E48" s="52"/>
      <c r="F48" s="11"/>
    </row>
    <row r="49" spans="1:14">
      <c r="A49" s="10"/>
      <c r="B49" s="36"/>
      <c r="C49" s="36"/>
      <c r="D49" s="66"/>
      <c r="E49" s="52"/>
      <c r="F49" s="11"/>
    </row>
    <row r="50" spans="1:14">
      <c r="A50" s="10"/>
      <c r="B50" s="36"/>
      <c r="C50" s="36"/>
      <c r="D50" s="66"/>
      <c r="E50" s="52"/>
      <c r="F50" s="11"/>
    </row>
    <row r="51" spans="1:14">
      <c r="A51" s="10"/>
      <c r="B51" s="36"/>
      <c r="C51" s="36"/>
      <c r="D51" s="66"/>
      <c r="E51" s="52"/>
      <c r="F51" s="11"/>
    </row>
    <row r="52" spans="1:14">
      <c r="A52" s="10"/>
      <c r="B52" s="36"/>
      <c r="C52" s="36"/>
      <c r="D52" s="66"/>
      <c r="E52" s="52"/>
      <c r="F52" s="11"/>
    </row>
    <row r="53" spans="1:14">
      <c r="A53" s="10"/>
      <c r="B53" s="36"/>
      <c r="C53" s="36"/>
      <c r="D53" s="66"/>
      <c r="E53" s="52"/>
      <c r="F53" s="11"/>
    </row>
    <row r="54" spans="1:14">
      <c r="A54" s="10"/>
      <c r="B54" s="48" t="s">
        <v>39</v>
      </c>
      <c r="C54" s="48" t="s">
        <v>39</v>
      </c>
      <c r="D54" s="49"/>
      <c r="E54" s="62">
        <f>SUM(B56:B61)+SUM(C56:C61)</f>
        <v>0</v>
      </c>
      <c r="F54" s="11"/>
    </row>
    <row r="55" spans="1:14">
      <c r="A55" s="10"/>
      <c r="B55" s="63"/>
      <c r="C55" s="63"/>
      <c r="D55" s="11"/>
      <c r="E55" s="73"/>
      <c r="F55" s="11"/>
    </row>
    <row r="56" spans="1:14">
      <c r="A56" s="10"/>
      <c r="B56" s="74"/>
      <c r="C56" s="74"/>
      <c r="D56" s="11"/>
      <c r="E56" s="73"/>
      <c r="F56" s="11"/>
    </row>
    <row r="57" spans="1:14" s="53" customFormat="1">
      <c r="A57" s="10"/>
      <c r="B57" s="74"/>
      <c r="C57" s="74"/>
      <c r="D57" s="11"/>
      <c r="E57" s="73"/>
      <c r="F57"/>
      <c r="G57"/>
      <c r="H57"/>
      <c r="I57"/>
      <c r="J57"/>
      <c r="K57"/>
      <c r="L57"/>
      <c r="M57"/>
      <c r="N57"/>
    </row>
    <row r="58" spans="1:14">
      <c r="A58" s="10"/>
      <c r="B58" s="74"/>
      <c r="C58" s="74"/>
      <c r="D58" s="11"/>
      <c r="E58" s="73"/>
    </row>
    <row r="59" spans="1:14">
      <c r="A59" s="10"/>
      <c r="B59" s="74"/>
      <c r="C59" s="74"/>
      <c r="D59" s="11"/>
      <c r="E59" s="73"/>
    </row>
    <row r="60" spans="1:14">
      <c r="A60" s="10"/>
      <c r="B60" s="11"/>
      <c r="C60" s="11"/>
      <c r="D60" s="11"/>
      <c r="E60" s="73"/>
    </row>
    <row r="61" spans="1:14">
      <c r="A61" s="10"/>
      <c r="B61" s="11"/>
      <c r="C61" s="11"/>
      <c r="D61" s="12"/>
      <c r="E61" s="52"/>
    </row>
    <row r="62" spans="1:14">
      <c r="A62" s="10"/>
      <c r="B62" s="48" t="s">
        <v>13</v>
      </c>
      <c r="C62" s="48" t="s">
        <v>13</v>
      </c>
      <c r="D62" s="49"/>
      <c r="E62" s="62">
        <f>SUM(B64:B69)+SUM(C64:C69)</f>
        <v>14059</v>
      </c>
    </row>
    <row r="63" spans="1:14">
      <c r="A63" s="10"/>
      <c r="B63" s="51"/>
      <c r="C63" s="51"/>
      <c r="D63" s="12"/>
      <c r="E63" s="52"/>
    </row>
    <row r="64" spans="1:14">
      <c r="A64" s="10"/>
      <c r="B64" s="60">
        <v>1980</v>
      </c>
      <c r="C64" s="60">
        <v>2079</v>
      </c>
      <c r="D64" s="61" t="s">
        <v>40</v>
      </c>
      <c r="E64" s="52"/>
    </row>
    <row r="65" spans="1:5">
      <c r="A65" s="10"/>
      <c r="B65" s="60" t="s">
        <v>7</v>
      </c>
      <c r="C65" s="60"/>
      <c r="D65" s="61" t="s">
        <v>41</v>
      </c>
      <c r="E65" s="52"/>
    </row>
    <row r="66" spans="1:5">
      <c r="A66" s="10"/>
      <c r="B66" s="60"/>
      <c r="C66" s="60"/>
      <c r="D66" s="61" t="s">
        <v>42</v>
      </c>
      <c r="E66" s="52"/>
    </row>
    <row r="67" spans="1:5" ht="25.5">
      <c r="A67" s="10"/>
      <c r="B67" s="60">
        <v>4000</v>
      </c>
      <c r="C67" s="60">
        <v>6000</v>
      </c>
      <c r="D67" s="61" t="s">
        <v>43</v>
      </c>
      <c r="E67" s="52"/>
    </row>
    <row r="68" spans="1:5">
      <c r="A68" s="10"/>
      <c r="B68" s="75"/>
      <c r="C68" s="75"/>
      <c r="D68" s="61" t="s">
        <v>44</v>
      </c>
      <c r="E68" s="52"/>
    </row>
    <row r="69" spans="1:5">
      <c r="A69" s="10"/>
      <c r="B69" s="48" t="s">
        <v>14</v>
      </c>
      <c r="C69" s="48" t="s">
        <v>14</v>
      </c>
      <c r="D69" s="49"/>
      <c r="E69" s="62">
        <f>SUM(B71:B76)+SUM(C71:C76)</f>
        <v>4000</v>
      </c>
    </row>
    <row r="70" spans="1:5">
      <c r="A70" s="76"/>
      <c r="B70" s="51"/>
      <c r="C70" s="51"/>
      <c r="D70" s="12"/>
      <c r="E70" s="52"/>
    </row>
    <row r="71" spans="1:5">
      <c r="A71" s="10"/>
      <c r="B71" s="77">
        <v>2000</v>
      </c>
      <c r="C71" s="78">
        <v>2000</v>
      </c>
      <c r="D71" s="3" t="s">
        <v>45</v>
      </c>
      <c r="E71" s="52"/>
    </row>
    <row r="72" spans="1:5">
      <c r="A72" s="10"/>
      <c r="B72" s="11"/>
      <c r="C72" s="11"/>
      <c r="D72" s="12"/>
      <c r="E72" s="52"/>
    </row>
    <row r="73" spans="1:5">
      <c r="A73" s="10"/>
      <c r="B73" s="11"/>
      <c r="C73" s="11"/>
      <c r="D73" s="12"/>
      <c r="E73" s="52"/>
    </row>
    <row r="74" spans="1:5">
      <c r="A74" s="10"/>
      <c r="B74" s="11"/>
      <c r="C74" s="11"/>
      <c r="D74" s="12"/>
      <c r="E74" s="52"/>
    </row>
    <row r="75" spans="1:5">
      <c r="A75" s="10"/>
      <c r="B75" s="11"/>
      <c r="C75" s="11"/>
      <c r="D75" s="12"/>
      <c r="E75" s="52"/>
    </row>
    <row r="76" spans="1:5">
      <c r="A76" s="10"/>
      <c r="B76" s="11" t="s">
        <v>7</v>
      </c>
      <c r="C76" s="11"/>
      <c r="D76" s="12"/>
      <c r="E76" s="52"/>
    </row>
    <row r="77" spans="1:5">
      <c r="A77" s="10"/>
      <c r="B77" s="48" t="s">
        <v>15</v>
      </c>
      <c r="C77" s="48" t="s">
        <v>15</v>
      </c>
      <c r="D77" s="49"/>
      <c r="E77" s="62">
        <f>SUM(B79:B85)+SUM(C79:C85)</f>
        <v>0</v>
      </c>
    </row>
    <row r="78" spans="1:5">
      <c r="A78" s="10"/>
      <c r="B78" s="63"/>
      <c r="C78" s="63"/>
      <c r="D78" s="12"/>
      <c r="E78" s="52"/>
    </row>
    <row r="79" spans="1:5">
      <c r="A79" s="39"/>
      <c r="B79" s="74"/>
      <c r="C79" s="74"/>
      <c r="D79" s="79"/>
      <c r="E79" s="52"/>
    </row>
    <row r="80" spans="1:5">
      <c r="A80" s="39"/>
      <c r="B80" s="74"/>
      <c r="C80" s="74"/>
      <c r="D80" s="79"/>
      <c r="E80" s="52"/>
    </row>
    <row r="81" spans="1:5">
      <c r="A81" s="39"/>
      <c r="B81" s="74"/>
      <c r="C81" s="74"/>
      <c r="D81" s="79"/>
      <c r="E81" s="52"/>
    </row>
    <row r="82" spans="1:5">
      <c r="A82" s="39"/>
      <c r="B82" s="74"/>
      <c r="C82" s="74"/>
      <c r="D82" s="79"/>
      <c r="E82" s="52"/>
    </row>
    <row r="83" spans="1:5">
      <c r="A83" s="39"/>
      <c r="B83" s="74"/>
      <c r="C83" s="74"/>
      <c r="D83" s="79"/>
      <c r="E83" s="52"/>
    </row>
    <row r="84" spans="1:5">
      <c r="A84" s="10"/>
      <c r="B84" s="11"/>
      <c r="C84" s="11"/>
      <c r="D84" s="66"/>
      <c r="E84" s="52"/>
    </row>
    <row r="85" spans="1:5">
      <c r="A85" s="10"/>
      <c r="B85" s="11"/>
      <c r="C85" s="11"/>
      <c r="D85" s="66"/>
      <c r="E85" s="52"/>
    </row>
    <row r="86" spans="1:5">
      <c r="A86" s="10"/>
      <c r="B86" s="48" t="s">
        <v>16</v>
      </c>
      <c r="C86" s="48" t="s">
        <v>16</v>
      </c>
      <c r="D86" s="49"/>
      <c r="E86" s="62">
        <f>SUM(B88:B93)+SUM(C88:C93)</f>
        <v>79600</v>
      </c>
    </row>
    <row r="87" spans="1:5">
      <c r="A87" s="39"/>
      <c r="B87" s="63"/>
      <c r="C87" s="63"/>
      <c r="D87" s="79"/>
      <c r="E87" s="52"/>
    </row>
    <row r="88" spans="1:5">
      <c r="A88" s="39"/>
      <c r="B88" s="60">
        <v>4800</v>
      </c>
      <c r="C88" s="4432">
        <v>4800</v>
      </c>
      <c r="D88" s="61" t="s">
        <v>52</v>
      </c>
      <c r="E88" s="52"/>
    </row>
    <row r="89" spans="1:5">
      <c r="A89" s="39"/>
      <c r="B89" s="80">
        <v>5000</v>
      </c>
      <c r="C89" s="4433">
        <v>5000</v>
      </c>
      <c r="D89" s="81" t="s">
        <v>53</v>
      </c>
      <c r="E89" s="52"/>
    </row>
    <row r="90" spans="1:5" ht="25.5">
      <c r="A90" s="39"/>
      <c r="B90" s="74"/>
      <c r="C90" s="4431">
        <v>60000</v>
      </c>
      <c r="D90" s="4430" t="s">
        <v>1205</v>
      </c>
      <c r="E90" s="52"/>
    </row>
    <row r="91" spans="1:5">
      <c r="A91" s="39"/>
      <c r="B91" s="74"/>
      <c r="C91" s="74"/>
      <c r="D91" s="79"/>
      <c r="E91" s="52"/>
    </row>
    <row r="92" spans="1:5">
      <c r="A92" s="39"/>
      <c r="B92" s="74"/>
      <c r="C92" s="74"/>
      <c r="D92" s="79"/>
      <c r="E92" s="52"/>
    </row>
    <row r="93" spans="1:5">
      <c r="A93" s="10"/>
      <c r="B93" s="11"/>
      <c r="C93" s="11"/>
      <c r="D93" s="12"/>
      <c r="E93" s="52"/>
    </row>
    <row r="94" spans="1:5" ht="25.5">
      <c r="A94" s="10"/>
      <c r="B94" s="48" t="s">
        <v>17</v>
      </c>
      <c r="C94" s="48" t="s">
        <v>17</v>
      </c>
      <c r="D94" s="12"/>
      <c r="E94" s="82"/>
    </row>
    <row r="95" spans="1:5">
      <c r="A95" s="39"/>
      <c r="B95" s="63"/>
      <c r="C95" s="63"/>
      <c r="D95" s="79"/>
    </row>
    <row r="96" spans="1:5">
      <c r="A96" s="39"/>
      <c r="B96" s="74"/>
      <c r="C96" s="74"/>
      <c r="D96" s="79"/>
    </row>
    <row r="97" spans="1:5">
      <c r="A97" s="10"/>
      <c r="B97" s="58" t="s">
        <v>54</v>
      </c>
      <c r="C97" s="11"/>
      <c r="D97" s="12"/>
      <c r="E97" s="28"/>
    </row>
    <row r="98" spans="1:5">
      <c r="A98" s="10"/>
      <c r="B98" s="58" t="s">
        <v>55</v>
      </c>
      <c r="C98" s="11"/>
      <c r="D98" s="12"/>
    </row>
    <row r="99" spans="1:5">
      <c r="A99" s="10"/>
      <c r="B99" s="58" t="s">
        <v>56</v>
      </c>
      <c r="C99" s="11"/>
      <c r="D99" s="12"/>
    </row>
    <row r="101" spans="1:5">
      <c r="A101" s="83"/>
      <c r="B101" s="84"/>
      <c r="C101" s="84"/>
    </row>
    <row r="102" spans="1:5">
      <c r="A102" s="83"/>
      <c r="B102" s="84"/>
      <c r="C102" s="85"/>
    </row>
    <row r="103" spans="1:5">
      <c r="A103" s="83"/>
      <c r="B103" s="84"/>
      <c r="C103" s="85"/>
    </row>
  </sheetData>
  <sheetProtection password="9E1F" sheet="1" objects="1" scenarios="1"/>
  <customSheetViews>
    <customSheetView guid="{074EB09C-6289-46D7-9513-012B68BCA7BF}" fitToPage="1">
      <pane xSplit="1" ySplit="1" topLeftCell="B2" activePane="bottomRight" state="frozen"/>
      <selection pane="bottomRight" activeCell="B4" sqref="B4"/>
      <pageMargins left="0.23" right="0.7" top="0.37" bottom="0.42" header="0.3" footer="0.3"/>
      <pageSetup paperSize="17" scale="52" orientation="landscape" r:id="rId1"/>
    </customSheetView>
    <customSheetView guid="{AF9F1D33-B8C2-423F-86A1-47612B8F532C}" fitToPage="1">
      <pane xSplit="1" ySplit="1" topLeftCell="B2" activePane="bottomRight" state="frozenSplit"/>
      <selection pane="bottomRight" activeCell="J18" sqref="J18"/>
      <pageMargins left="0.7" right="0.7" top="0.75" bottom="0.75" header="0.3" footer="0.3"/>
      <pageSetup paperSize="17" scale="52" orientation="landscape"/>
    </customSheetView>
  </customSheetViews>
  <mergeCells count="3">
    <mergeCell ref="B19:C19"/>
    <mergeCell ref="B20:C20"/>
    <mergeCell ref="B16:E16"/>
  </mergeCells>
  <pageMargins left="0.23" right="0.7" top="0.37" bottom="0.42" header="0.3" footer="0.3"/>
  <pageSetup paperSize="17" scale="52" orientation="landscape" r:id="rId2"/>
  <drawing r:id="rId3"/>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sheetPr enableFormatConditionsCalculation="0">
    <pageSetUpPr fitToPage="1"/>
  </sheetPr>
  <dimension ref="A1:O103"/>
  <sheetViews>
    <sheetView zoomScaleNormal="100" workbookViewId="0">
      <pane xSplit="1" ySplit="1" topLeftCell="B2" activePane="bottomRight" state="frozen"/>
      <selection pane="topRight" activeCell="B1" sqref="B1"/>
      <selection pane="bottomLeft" activeCell="A2" sqref="A2"/>
      <selection pane="bottomRight" activeCell="H21" sqref="H21"/>
    </sheetView>
  </sheetViews>
  <sheetFormatPr defaultColWidth="8.85546875" defaultRowHeight="12.75"/>
  <cols>
    <col min="1" max="1" width="15.85546875" customWidth="1"/>
    <col min="2" max="2" width="21.85546875" customWidth="1"/>
    <col min="3" max="3" width="22.140625" style="2" customWidth="1"/>
    <col min="4" max="4" width="22.85546875" style="3" customWidth="1"/>
    <col min="5" max="6" width="18.85546875" customWidth="1"/>
    <col min="7" max="7" width="15.42578125" customWidth="1"/>
    <col min="8" max="8" width="14.140625" customWidth="1"/>
    <col min="9" max="9" width="15.7109375" customWidth="1"/>
    <col min="10" max="10" width="17.28515625" customWidth="1"/>
    <col min="11" max="12" width="21.28515625" customWidth="1"/>
    <col min="13" max="13" width="19.42578125" customWidth="1"/>
    <col min="14" max="14" width="13" customWidth="1"/>
    <col min="15" max="15" width="19.28515625" customWidth="1"/>
  </cols>
  <sheetData>
    <row r="1" spans="1:15" ht="42.75" customHeight="1"/>
    <row r="2" spans="1:15" ht="18">
      <c r="B2" s="1" t="s">
        <v>57</v>
      </c>
      <c r="F2" s="86"/>
    </row>
    <row r="3" spans="1:15" ht="15.75" thickBot="1">
      <c r="B3" s="5" t="s">
        <v>5</v>
      </c>
      <c r="E3" s="4" t="s">
        <v>58</v>
      </c>
    </row>
    <row r="4" spans="1:15" ht="15.75" thickBot="1">
      <c r="B4" s="8"/>
      <c r="D4" s="6" t="s">
        <v>6</v>
      </c>
      <c r="E4" s="7">
        <v>18230492</v>
      </c>
    </row>
    <row r="5" spans="1:15">
      <c r="B5" s="8" t="s">
        <v>7</v>
      </c>
      <c r="C5" s="9"/>
    </row>
    <row r="6" spans="1:15" ht="13.5" thickBot="1">
      <c r="A6" s="10"/>
      <c r="B6" s="11"/>
      <c r="C6" s="11"/>
      <c r="D6" s="12"/>
      <c r="E6" s="1325" t="s">
        <v>1139</v>
      </c>
      <c r="F6" s="11"/>
      <c r="G6" s="11"/>
      <c r="H6" s="11"/>
      <c r="I6" s="11"/>
      <c r="J6" s="11"/>
      <c r="K6" s="11"/>
      <c r="L6" s="11"/>
      <c r="M6" s="11"/>
      <c r="N6" s="11"/>
    </row>
    <row r="7" spans="1:15" s="19" customFormat="1" ht="38.25">
      <c r="B7" s="3461"/>
      <c r="C7" s="11"/>
      <c r="D7" s="11"/>
      <c r="E7" s="14" t="s">
        <v>9</v>
      </c>
      <c r="F7" s="14" t="s">
        <v>10</v>
      </c>
      <c r="G7" s="14" t="s">
        <v>11</v>
      </c>
      <c r="H7" s="15" t="s">
        <v>12</v>
      </c>
      <c r="I7" s="16" t="s">
        <v>13</v>
      </c>
      <c r="J7" s="14" t="s">
        <v>14</v>
      </c>
      <c r="K7" s="14" t="s">
        <v>15</v>
      </c>
      <c r="L7" s="14" t="s">
        <v>16</v>
      </c>
      <c r="M7" s="14" t="s">
        <v>17</v>
      </c>
      <c r="N7" s="17" t="s">
        <v>18</v>
      </c>
      <c r="O7" s="18" t="s">
        <v>19</v>
      </c>
    </row>
    <row r="8" spans="1:15" s="27" customFormat="1">
      <c r="A8" s="20"/>
      <c r="B8" s="21"/>
      <c r="C8" s="21"/>
      <c r="D8" s="22" t="s">
        <v>20</v>
      </c>
      <c r="E8" s="23"/>
      <c r="F8" s="23"/>
      <c r="G8" s="23"/>
      <c r="H8" s="23"/>
      <c r="I8" s="24"/>
      <c r="J8" s="23"/>
      <c r="K8" s="23"/>
      <c r="L8" s="23"/>
      <c r="M8" s="23"/>
      <c r="N8" s="25">
        <v>398039</v>
      </c>
      <c r="O8" s="26" t="s">
        <v>21</v>
      </c>
    </row>
    <row r="9" spans="1:15" s="27" customFormat="1">
      <c r="A9" s="20"/>
      <c r="B9" s="21"/>
      <c r="C9" s="21"/>
      <c r="D9" s="22" t="s">
        <v>22</v>
      </c>
      <c r="E9" s="28">
        <v>122490</v>
      </c>
      <c r="F9" s="28">
        <v>0</v>
      </c>
      <c r="G9" s="28">
        <v>77168.7</v>
      </c>
      <c r="H9" s="28">
        <v>0</v>
      </c>
      <c r="I9" s="28">
        <v>4000</v>
      </c>
      <c r="J9" s="28">
        <v>0</v>
      </c>
      <c r="K9" s="28">
        <v>20000</v>
      </c>
      <c r="L9" s="28">
        <v>0</v>
      </c>
      <c r="M9" s="28">
        <v>125000</v>
      </c>
      <c r="N9" s="87">
        <v>348658.7</v>
      </c>
      <c r="O9" s="30">
        <f>(N9-N8)/N8</f>
        <v>-0.12405894899746002</v>
      </c>
    </row>
    <row r="10" spans="1:15" s="34" customFormat="1">
      <c r="A10" s="20"/>
      <c r="B10" s="21"/>
      <c r="C10" s="21"/>
      <c r="D10" s="21">
        <v>2012</v>
      </c>
      <c r="E10" s="31">
        <f>SUM(B25:B27)</f>
        <v>61646</v>
      </c>
      <c r="F10" s="31">
        <f>SUM(B31:B34)</f>
        <v>0</v>
      </c>
      <c r="G10" s="31">
        <f>(E10+F10)*0.63</f>
        <v>38836.980000000003</v>
      </c>
      <c r="H10" s="31">
        <f>SUM(B46:B51)</f>
        <v>0</v>
      </c>
      <c r="I10" s="32">
        <f>SUM(B62:B67)</f>
        <v>3980</v>
      </c>
      <c r="J10" s="31">
        <f>SUM(B69:B75)</f>
        <v>0</v>
      </c>
      <c r="K10" s="31">
        <f>SUM(B77:B84)</f>
        <v>8000</v>
      </c>
      <c r="L10" s="31">
        <f>SUM(B86:B92)</f>
        <v>0</v>
      </c>
      <c r="M10" s="33">
        <f>B95</f>
        <v>30000</v>
      </c>
      <c r="N10" s="35">
        <f>SUM(E10:M10)</f>
        <v>142462.98000000001</v>
      </c>
      <c r="O10" s="30">
        <f>(N10-N9)/N9</f>
        <v>-0.59139703096466545</v>
      </c>
    </row>
    <row r="11" spans="1:15" s="5020" customFormat="1">
      <c r="A11" s="5018"/>
      <c r="B11" s="5019"/>
      <c r="C11" s="5019"/>
      <c r="D11" s="4278" t="s">
        <v>1168</v>
      </c>
      <c r="E11" s="4997">
        <v>63495</v>
      </c>
      <c r="F11" s="4997">
        <v>0</v>
      </c>
      <c r="G11" s="4997">
        <v>40001.85</v>
      </c>
      <c r="H11" s="4997">
        <v>0</v>
      </c>
      <c r="I11" s="4996">
        <v>4079</v>
      </c>
      <c r="J11" s="4997">
        <v>0</v>
      </c>
      <c r="K11" s="4997">
        <v>8000</v>
      </c>
      <c r="L11" s="4997">
        <v>0</v>
      </c>
      <c r="M11" s="4994">
        <v>0</v>
      </c>
      <c r="N11" s="4992">
        <v>115575.85</v>
      </c>
      <c r="O11" s="1346">
        <v>-0.18873064426983069</v>
      </c>
    </row>
    <row r="12" spans="1:15" s="34" customFormat="1">
      <c r="A12" s="20"/>
      <c r="B12" s="21"/>
      <c r="C12" s="21"/>
      <c r="D12" s="4279" t="s">
        <v>1169</v>
      </c>
      <c r="E12" s="4236">
        <f>SUM(C25:C27)</f>
        <v>63495</v>
      </c>
      <c r="F12" s="4236">
        <f>SUM(C31:C34)</f>
        <v>0</v>
      </c>
      <c r="G12" s="4236">
        <f>(E12+F12)*0.707</f>
        <v>44890.964999999997</v>
      </c>
      <c r="H12" s="4236">
        <f>SUM(C46:C51)</f>
        <v>0</v>
      </c>
      <c r="I12" s="4237">
        <f>SUM(C62:C67)</f>
        <v>4079</v>
      </c>
      <c r="J12" s="4236">
        <f>SUM(C69:C75)</f>
        <v>0</v>
      </c>
      <c r="K12" s="4236">
        <f>SUM(C77:C84)</f>
        <v>8000</v>
      </c>
      <c r="L12" s="4236">
        <f>SUM(C86:C92)</f>
        <v>0</v>
      </c>
      <c r="M12" s="4238">
        <f>C95</f>
        <v>0</v>
      </c>
      <c r="N12" s="4239">
        <f>SUM(E12:M12)</f>
        <v>120464.965</v>
      </c>
      <c r="O12" s="30">
        <f>(N12-N10)/N10</f>
        <v>-0.1544121497388305</v>
      </c>
    </row>
    <row r="13" spans="1:15" ht="13.5" thickBot="1">
      <c r="A13" s="10"/>
      <c r="B13" s="36"/>
      <c r="C13" s="36"/>
      <c r="D13" s="1311" t="s">
        <v>1172</v>
      </c>
      <c r="E13" s="37">
        <f>SUM(E10+E12)</f>
        <v>125141</v>
      </c>
      <c r="F13" s="37">
        <f t="shared" ref="F13:M13" si="0">SUM(F10+F12)</f>
        <v>0</v>
      </c>
      <c r="G13" s="37">
        <f t="shared" si="0"/>
        <v>83727.945000000007</v>
      </c>
      <c r="H13" s="37">
        <f t="shared" si="0"/>
        <v>0</v>
      </c>
      <c r="I13" s="37">
        <f t="shared" si="0"/>
        <v>8059</v>
      </c>
      <c r="J13" s="37">
        <f t="shared" si="0"/>
        <v>0</v>
      </c>
      <c r="K13" s="37">
        <f t="shared" si="0"/>
        <v>16000</v>
      </c>
      <c r="L13" s="37">
        <f t="shared" si="0"/>
        <v>0</v>
      </c>
      <c r="M13" s="37">
        <f t="shared" si="0"/>
        <v>30000</v>
      </c>
      <c r="N13" s="38">
        <f>SUM(N10+N12)</f>
        <v>262927.94500000001</v>
      </c>
    </row>
    <row r="14" spans="1:15" ht="25.5">
      <c r="A14" s="10"/>
      <c r="B14" s="11"/>
      <c r="C14" s="11"/>
      <c r="D14" s="12"/>
      <c r="E14" s="28"/>
      <c r="F14" s="11"/>
      <c r="G14" s="11"/>
      <c r="H14" s="11"/>
      <c r="I14" s="11"/>
      <c r="J14" s="11"/>
      <c r="K14" s="11"/>
      <c r="L14" s="11"/>
      <c r="M14" s="10" t="s">
        <v>23</v>
      </c>
      <c r="N14" s="11"/>
    </row>
    <row r="15" spans="1:15">
      <c r="A15" s="10"/>
      <c r="B15" s="11"/>
      <c r="C15" s="11"/>
      <c r="D15" s="12"/>
      <c r="E15" s="28"/>
      <c r="F15" s="11"/>
      <c r="G15" s="11"/>
      <c r="H15" s="11"/>
      <c r="I15" s="11"/>
      <c r="J15" s="11"/>
      <c r="K15" s="11"/>
      <c r="L15" s="11"/>
      <c r="M15" s="10" t="s">
        <v>24</v>
      </c>
      <c r="N15" s="11"/>
    </row>
    <row r="16" spans="1:15" ht="15.75">
      <c r="A16" s="10"/>
      <c r="B16" s="5165" t="s">
        <v>25</v>
      </c>
      <c r="C16" s="5166"/>
      <c r="D16" s="5166"/>
      <c r="E16" s="5167"/>
      <c r="F16" s="1319"/>
      <c r="G16" s="1319"/>
      <c r="H16" s="11"/>
      <c r="I16" s="11"/>
      <c r="J16" s="11"/>
      <c r="K16" s="11"/>
      <c r="L16" s="11"/>
      <c r="M16" s="11"/>
      <c r="N16" s="11"/>
    </row>
    <row r="17" spans="1:14" ht="15.75">
      <c r="A17" s="39"/>
      <c r="B17" s="40"/>
      <c r="C17" s="41"/>
      <c r="D17" s="41"/>
      <c r="E17" s="41"/>
      <c r="F17" s="41"/>
      <c r="G17" s="41"/>
      <c r="H17" s="42"/>
      <c r="I17" s="42"/>
      <c r="J17" s="42"/>
      <c r="K17" s="42"/>
      <c r="L17" s="42"/>
      <c r="M17" s="42"/>
      <c r="N17" s="42"/>
    </row>
    <row r="18" spans="1:14" ht="15.75">
      <c r="A18" s="39"/>
      <c r="B18" s="41"/>
      <c r="C18" s="41"/>
      <c r="D18" s="41"/>
      <c r="E18" s="41"/>
      <c r="F18" s="41"/>
      <c r="G18" s="41"/>
      <c r="H18" s="42"/>
      <c r="I18" s="42"/>
      <c r="J18" s="42"/>
      <c r="K18" s="42"/>
      <c r="L18" s="42"/>
      <c r="M18" s="42"/>
      <c r="N18" s="42"/>
    </row>
    <row r="19" spans="1:14" ht="15.75">
      <c r="A19" s="10"/>
      <c r="B19" s="5162" t="s">
        <v>26</v>
      </c>
      <c r="C19" s="5162"/>
      <c r="D19" s="43" t="s">
        <v>27</v>
      </c>
      <c r="E19" s="44" t="s">
        <v>28</v>
      </c>
      <c r="F19" s="11"/>
      <c r="G19" s="11"/>
      <c r="H19" s="11"/>
      <c r="I19" s="11"/>
      <c r="J19" s="11"/>
      <c r="K19" s="11"/>
      <c r="L19" s="11"/>
      <c r="M19" s="11"/>
      <c r="N19" s="11"/>
    </row>
    <row r="20" spans="1:14" ht="15.75">
      <c r="A20" s="10"/>
      <c r="B20" s="5142" t="s">
        <v>29</v>
      </c>
      <c r="C20" s="5142"/>
      <c r="D20" s="43"/>
      <c r="E20" s="44"/>
      <c r="F20" s="11"/>
      <c r="G20" s="11"/>
    </row>
    <row r="21" spans="1:14" ht="45.75">
      <c r="A21" s="10"/>
      <c r="B21" s="45">
        <v>2012</v>
      </c>
      <c r="C21" s="45">
        <v>2013</v>
      </c>
      <c r="D21" s="46" t="s">
        <v>30</v>
      </c>
      <c r="E21" s="47" t="s">
        <v>31</v>
      </c>
      <c r="F21" s="11"/>
      <c r="G21" s="11"/>
    </row>
    <row r="22" spans="1:14">
      <c r="A22" s="10"/>
      <c r="B22" s="48" t="s">
        <v>9</v>
      </c>
      <c r="C22" s="48" t="s">
        <v>9</v>
      </c>
      <c r="D22" s="49"/>
      <c r="E22" s="50">
        <f>SUM(B25:B27)+SUM(C25:C27)</f>
        <v>125141</v>
      </c>
      <c r="F22" s="11"/>
      <c r="G22" s="11"/>
    </row>
    <row r="23" spans="1:14" s="53" customFormat="1">
      <c r="A23" s="10"/>
      <c r="B23" s="51"/>
      <c r="C23" s="51"/>
      <c r="D23" s="12"/>
      <c r="E23" s="52"/>
      <c r="F23" s="11"/>
      <c r="G23" s="11"/>
      <c r="H23"/>
      <c r="I23"/>
      <c r="J23"/>
      <c r="K23"/>
      <c r="L23"/>
      <c r="M23"/>
      <c r="N23"/>
    </row>
    <row r="24" spans="1:14">
      <c r="A24" s="10"/>
      <c r="B24" s="54" t="s">
        <v>32</v>
      </c>
      <c r="C24" s="54" t="s">
        <v>32</v>
      </c>
      <c r="D24" s="55" t="s">
        <v>7</v>
      </c>
      <c r="E24" s="52"/>
      <c r="F24" s="56" t="s">
        <v>7</v>
      </c>
      <c r="G24" s="11"/>
    </row>
    <row r="25" spans="1:14">
      <c r="A25" s="10"/>
      <c r="B25" s="60">
        <v>32184</v>
      </c>
      <c r="C25" s="57">
        <v>33149</v>
      </c>
      <c r="D25" s="1309" t="s">
        <v>976</v>
      </c>
      <c r="E25" s="52"/>
      <c r="F25" s="59"/>
      <c r="G25" s="11"/>
    </row>
    <row r="26" spans="1:14">
      <c r="A26" s="10"/>
      <c r="B26" s="60">
        <v>29462</v>
      </c>
      <c r="C26" s="60">
        <v>30346</v>
      </c>
      <c r="D26" s="61" t="s">
        <v>35</v>
      </c>
      <c r="E26" s="52"/>
      <c r="F26" s="11"/>
      <c r="G26" s="11"/>
    </row>
    <row r="27" spans="1:14" ht="21" customHeight="1">
      <c r="A27" s="10"/>
      <c r="B27" s="60">
        <v>0</v>
      </c>
      <c r="C27" s="60">
        <v>0</v>
      </c>
      <c r="D27" s="61" t="s">
        <v>59</v>
      </c>
      <c r="E27" s="52"/>
      <c r="F27" s="11"/>
      <c r="G27" s="11"/>
    </row>
    <row r="28" spans="1:14" s="53" customFormat="1" ht="21" customHeight="1">
      <c r="A28" s="39"/>
      <c r="B28" s="48" t="s">
        <v>10</v>
      </c>
      <c r="C28" s="48" t="s">
        <v>10</v>
      </c>
      <c r="D28" s="49"/>
      <c r="E28" s="62">
        <f>SUM(B31:B34)+SUM(C31:C34)</f>
        <v>0</v>
      </c>
      <c r="F28" s="42"/>
      <c r="G28" s="42"/>
    </row>
    <row r="29" spans="1:14">
      <c r="A29" s="10"/>
      <c r="B29" s="63"/>
      <c r="C29" s="63"/>
      <c r="D29" s="64"/>
      <c r="E29" s="52"/>
      <c r="F29" s="11"/>
      <c r="G29" s="11"/>
    </row>
    <row r="30" spans="1:14">
      <c r="A30" s="39"/>
      <c r="B30" s="54" t="s">
        <v>32</v>
      </c>
      <c r="C30" s="54" t="s">
        <v>32</v>
      </c>
      <c r="D30" s="64"/>
      <c r="E30" s="52"/>
      <c r="F30" s="42"/>
      <c r="G30" s="42"/>
    </row>
    <row r="31" spans="1:14">
      <c r="A31" s="10"/>
      <c r="B31" s="58"/>
      <c r="C31" s="67"/>
      <c r="D31" s="66"/>
      <c r="E31" s="52"/>
      <c r="F31" s="11"/>
      <c r="G31" s="11"/>
    </row>
    <row r="32" spans="1:14">
      <c r="A32" s="10"/>
      <c r="B32" s="67"/>
      <c r="C32" s="67"/>
      <c r="D32" s="66"/>
      <c r="E32" s="52"/>
      <c r="F32" s="11"/>
      <c r="G32" s="11"/>
    </row>
    <row r="33" spans="1:14">
      <c r="A33" s="10"/>
      <c r="B33" s="36"/>
      <c r="C33" s="36"/>
      <c r="D33" s="66"/>
      <c r="E33" s="52"/>
      <c r="F33" s="11"/>
      <c r="G33" s="11"/>
    </row>
    <row r="34" spans="1:14">
      <c r="A34" s="10"/>
      <c r="B34" s="36"/>
      <c r="C34" s="36"/>
      <c r="D34" s="66"/>
      <c r="E34" s="52"/>
      <c r="F34" s="11"/>
      <c r="G34" s="11"/>
    </row>
    <row r="35" spans="1:14">
      <c r="A35" s="10"/>
      <c r="B35" s="48" t="s">
        <v>11</v>
      </c>
      <c r="C35" s="48" t="s">
        <v>11</v>
      </c>
      <c r="D35" s="49"/>
      <c r="E35" s="62">
        <f>B38+C38</f>
        <v>83727.945000000007</v>
      </c>
      <c r="F35" s="11"/>
      <c r="G35" s="11"/>
    </row>
    <row r="36" spans="1:14">
      <c r="A36" s="10"/>
      <c r="B36" s="51"/>
      <c r="C36" s="51"/>
      <c r="D36" s="12"/>
      <c r="E36" s="68"/>
      <c r="F36" s="11"/>
      <c r="G36" s="11"/>
    </row>
    <row r="37" spans="1:14">
      <c r="A37" s="69"/>
      <c r="B37" s="70" t="s">
        <v>37</v>
      </c>
      <c r="C37" s="1307" t="s">
        <v>1204</v>
      </c>
      <c r="D37" s="55" t="s">
        <v>7</v>
      </c>
      <c r="E37" s="52"/>
      <c r="F37" s="71"/>
    </row>
    <row r="38" spans="1:14">
      <c r="A38" s="10"/>
      <c r="B38" s="57">
        <f>SUM(B25:B27)*0.63</f>
        <v>38836.980000000003</v>
      </c>
      <c r="C38" s="57">
        <f>SUM(C25:C27)*0.707</f>
        <v>44890.964999999997</v>
      </c>
      <c r="D38" s="66" t="s">
        <v>7</v>
      </c>
      <c r="E38" s="52"/>
      <c r="F38" s="11"/>
    </row>
    <row r="39" spans="1:14" s="53" customFormat="1">
      <c r="A39" s="39"/>
      <c r="B39" s="48" t="s">
        <v>38</v>
      </c>
      <c r="C39" s="48" t="s">
        <v>38</v>
      </c>
      <c r="D39" s="49"/>
      <c r="E39" s="62">
        <f>SUM(B41:B43)+SUM(C41:C43)</f>
        <v>0</v>
      </c>
      <c r="F39" s="42"/>
      <c r="G39"/>
      <c r="H39"/>
      <c r="I39"/>
      <c r="J39"/>
      <c r="K39"/>
      <c r="L39"/>
      <c r="M39"/>
      <c r="N39"/>
    </row>
    <row r="40" spans="1:14">
      <c r="A40" s="10"/>
      <c r="B40" s="63"/>
      <c r="C40" s="63"/>
      <c r="D40" s="64"/>
      <c r="E40" s="52"/>
      <c r="F40" s="11"/>
    </row>
    <row r="41" spans="1:14">
      <c r="A41" s="10"/>
      <c r="B41" s="11"/>
      <c r="C41" s="67"/>
      <c r="D41" s="66"/>
      <c r="E41" s="52"/>
      <c r="F41" s="11"/>
    </row>
    <row r="42" spans="1:14">
      <c r="A42" s="10"/>
      <c r="B42" s="36"/>
      <c r="C42" s="36"/>
      <c r="D42" s="66"/>
      <c r="E42" s="52"/>
      <c r="F42" s="11"/>
    </row>
    <row r="43" spans="1:14">
      <c r="A43" s="10"/>
      <c r="B43" s="36"/>
      <c r="C43" s="36"/>
      <c r="D43" s="66"/>
      <c r="E43" s="52"/>
      <c r="F43" s="11"/>
    </row>
    <row r="44" spans="1:14">
      <c r="A44" s="10"/>
      <c r="B44" s="48" t="s">
        <v>12</v>
      </c>
      <c r="C44" s="48" t="s">
        <v>12</v>
      </c>
      <c r="D44" s="49"/>
      <c r="E44" s="62">
        <f>SUM(B46:B51)+SUM(C46:C51)</f>
        <v>0</v>
      </c>
      <c r="F44" s="11"/>
      <c r="G44" s="53"/>
      <c r="H44" s="53"/>
      <c r="I44" s="53"/>
      <c r="J44" s="53"/>
      <c r="K44" s="53"/>
      <c r="L44" s="53"/>
      <c r="M44" s="53"/>
      <c r="N44" s="53"/>
    </row>
    <row r="45" spans="1:14">
      <c r="A45" s="10"/>
      <c r="B45" s="72"/>
      <c r="C45" s="72"/>
      <c r="D45" s="66"/>
      <c r="E45" s="52"/>
      <c r="F45" s="11"/>
    </row>
    <row r="46" spans="1:14">
      <c r="A46" s="10"/>
      <c r="B46" s="36"/>
      <c r="C46" s="36"/>
      <c r="D46" s="66"/>
      <c r="E46" s="52"/>
      <c r="F46" s="11"/>
    </row>
    <row r="47" spans="1:14">
      <c r="A47" s="10"/>
      <c r="B47" s="36"/>
      <c r="C47" s="36"/>
      <c r="D47" s="66"/>
      <c r="E47" s="52"/>
      <c r="F47" s="11"/>
    </row>
    <row r="48" spans="1:14">
      <c r="A48" s="10"/>
      <c r="B48" s="36"/>
      <c r="C48" s="36"/>
      <c r="D48" s="66"/>
      <c r="E48" s="52"/>
      <c r="F48" s="11"/>
    </row>
    <row r="49" spans="1:14">
      <c r="A49" s="10"/>
      <c r="B49" s="36"/>
      <c r="C49" s="36"/>
      <c r="D49" s="66"/>
      <c r="E49" s="52"/>
      <c r="F49" s="11"/>
    </row>
    <row r="50" spans="1:14">
      <c r="A50" s="10"/>
      <c r="B50" s="36"/>
      <c r="C50" s="36"/>
      <c r="D50" s="66"/>
      <c r="E50" s="52"/>
      <c r="F50" s="11"/>
    </row>
    <row r="51" spans="1:14">
      <c r="A51" s="10"/>
      <c r="B51" s="36"/>
      <c r="C51" s="36"/>
      <c r="D51" s="66"/>
      <c r="E51" s="52"/>
      <c r="F51" s="11"/>
    </row>
    <row r="52" spans="1:14">
      <c r="A52" s="10"/>
      <c r="B52" s="48" t="s">
        <v>39</v>
      </c>
      <c r="C52" s="48" t="s">
        <v>39</v>
      </c>
      <c r="D52" s="49"/>
      <c r="E52" s="62">
        <f>SUM(B54:B59)+SUM(C54:C59)</f>
        <v>0</v>
      </c>
      <c r="F52" s="11"/>
    </row>
    <row r="53" spans="1:14">
      <c r="A53" s="10"/>
      <c r="B53" s="63"/>
      <c r="C53" s="63"/>
      <c r="D53" s="11"/>
      <c r="E53" s="73"/>
      <c r="F53" s="11"/>
    </row>
    <row r="54" spans="1:14">
      <c r="A54" s="10"/>
      <c r="B54" s="74"/>
      <c r="C54" s="74"/>
      <c r="D54" s="11"/>
      <c r="E54" s="73"/>
      <c r="F54" s="11"/>
    </row>
    <row r="55" spans="1:14" s="53" customFormat="1">
      <c r="A55" s="10"/>
      <c r="B55" s="74"/>
      <c r="C55" s="74"/>
      <c r="D55" s="11"/>
      <c r="E55" s="73"/>
      <c r="F55"/>
      <c r="G55"/>
      <c r="H55"/>
      <c r="I55"/>
      <c r="J55"/>
      <c r="K55"/>
      <c r="L55"/>
      <c r="M55"/>
      <c r="N55"/>
    </row>
    <row r="56" spans="1:14">
      <c r="A56" s="10"/>
      <c r="B56" s="74"/>
      <c r="C56" s="74"/>
      <c r="D56" s="11"/>
      <c r="E56" s="73"/>
    </row>
    <row r="57" spans="1:14">
      <c r="A57" s="10"/>
      <c r="B57" s="74"/>
      <c r="C57" s="74"/>
      <c r="D57" s="11"/>
      <c r="E57" s="73"/>
    </row>
    <row r="58" spans="1:14">
      <c r="A58" s="10"/>
      <c r="B58" s="11"/>
      <c r="C58" s="11"/>
      <c r="D58" s="11"/>
      <c r="E58" s="73"/>
    </row>
    <row r="59" spans="1:14">
      <c r="A59" s="10"/>
      <c r="B59" s="11"/>
      <c r="C59" s="11"/>
      <c r="D59" s="12"/>
      <c r="E59" s="52"/>
    </row>
    <row r="60" spans="1:14">
      <c r="A60" s="10"/>
      <c r="B60" s="48" t="s">
        <v>13</v>
      </c>
      <c r="C60" s="48" t="s">
        <v>13</v>
      </c>
      <c r="D60" s="49"/>
      <c r="E60" s="62">
        <f>SUM(B62:B67)+SUM(C62:C67)</f>
        <v>8059</v>
      </c>
    </row>
    <row r="61" spans="1:14">
      <c r="A61" s="10"/>
      <c r="B61" s="51"/>
      <c r="C61" s="51"/>
      <c r="D61" s="12"/>
      <c r="E61" s="52"/>
    </row>
    <row r="62" spans="1:14">
      <c r="A62" s="10"/>
      <c r="B62" s="60">
        <v>1980</v>
      </c>
      <c r="C62" s="60">
        <v>2079</v>
      </c>
      <c r="D62" s="61" t="s">
        <v>60</v>
      </c>
      <c r="E62" s="52"/>
    </row>
    <row r="63" spans="1:14">
      <c r="A63" s="10"/>
      <c r="B63" s="60" t="s">
        <v>7</v>
      </c>
      <c r="C63" s="60"/>
      <c r="D63" s="61" t="s">
        <v>41</v>
      </c>
      <c r="E63" s="52"/>
    </row>
    <row r="64" spans="1:14">
      <c r="A64" s="10"/>
      <c r="B64" s="60"/>
      <c r="C64" s="60"/>
      <c r="D64" s="61" t="s">
        <v>42</v>
      </c>
      <c r="E64" s="52"/>
    </row>
    <row r="65" spans="1:5">
      <c r="A65" s="10"/>
      <c r="B65" s="60">
        <v>2000</v>
      </c>
      <c r="C65" s="60">
        <v>2000</v>
      </c>
      <c r="D65" s="61" t="s">
        <v>61</v>
      </c>
      <c r="E65" s="52"/>
    </row>
    <row r="66" spans="1:5">
      <c r="A66" s="10"/>
      <c r="B66" s="75"/>
      <c r="C66" s="75"/>
      <c r="D66" s="61" t="s">
        <v>44</v>
      </c>
      <c r="E66" s="52"/>
    </row>
    <row r="67" spans="1:5">
      <c r="A67" s="10"/>
      <c r="B67" s="75"/>
      <c r="C67" s="75"/>
      <c r="D67" s="61"/>
      <c r="E67" s="52"/>
    </row>
    <row r="68" spans="1:5">
      <c r="A68" s="10"/>
      <c r="B68" s="48" t="s">
        <v>14</v>
      </c>
      <c r="C68" s="48" t="s">
        <v>14</v>
      </c>
      <c r="D68" s="49"/>
      <c r="E68" s="62">
        <f>SUM(B70:B75)+SUM(C70:C75)</f>
        <v>0</v>
      </c>
    </row>
    <row r="69" spans="1:5">
      <c r="A69" s="76"/>
      <c r="B69" s="51"/>
      <c r="C69" s="51"/>
      <c r="D69" s="12"/>
      <c r="E69" s="52"/>
    </row>
    <row r="70" spans="1:5">
      <c r="A70" s="10"/>
      <c r="B70" s="11" t="s">
        <v>7</v>
      </c>
      <c r="C70" s="11"/>
      <c r="D70" s="12"/>
      <c r="E70" s="52"/>
    </row>
    <row r="71" spans="1:5">
      <c r="A71" s="10"/>
      <c r="B71" s="11"/>
      <c r="C71" s="11"/>
      <c r="D71" s="12"/>
      <c r="E71" s="52"/>
    </row>
    <row r="72" spans="1:5">
      <c r="A72" s="10"/>
      <c r="B72" s="11"/>
      <c r="C72" s="11"/>
      <c r="D72" s="12"/>
      <c r="E72" s="52"/>
    </row>
    <row r="73" spans="1:5">
      <c r="A73" s="10"/>
      <c r="B73" s="11"/>
      <c r="C73" s="11"/>
      <c r="D73" s="12"/>
      <c r="E73" s="52"/>
    </row>
    <row r="74" spans="1:5">
      <c r="A74" s="10"/>
      <c r="B74" s="11"/>
      <c r="C74" s="11"/>
      <c r="D74" s="12"/>
      <c r="E74" s="52"/>
    </row>
    <row r="75" spans="1:5">
      <c r="A75" s="10"/>
      <c r="B75" s="11" t="s">
        <v>7</v>
      </c>
      <c r="C75" s="11"/>
      <c r="D75" s="12"/>
      <c r="E75" s="52"/>
    </row>
    <row r="76" spans="1:5">
      <c r="A76" s="10"/>
      <c r="B76" s="48" t="s">
        <v>15</v>
      </c>
      <c r="C76" s="48" t="s">
        <v>15</v>
      </c>
      <c r="D76" s="49"/>
      <c r="E76" s="62">
        <f>SUM(B78:B84)+SUM(C78:C84)</f>
        <v>16000</v>
      </c>
    </row>
    <row r="77" spans="1:5">
      <c r="A77" s="10"/>
      <c r="B77" s="63"/>
      <c r="C77" s="63"/>
      <c r="D77" s="12"/>
      <c r="E77" s="52"/>
    </row>
    <row r="78" spans="1:5">
      <c r="A78" s="39"/>
      <c r="B78" s="80">
        <v>8000</v>
      </c>
      <c r="C78" s="80">
        <v>8000</v>
      </c>
      <c r="D78" s="81" t="s">
        <v>62</v>
      </c>
      <c r="E78" s="52"/>
    </row>
    <row r="79" spans="1:5">
      <c r="A79" s="39"/>
      <c r="B79" s="74"/>
      <c r="C79" s="74"/>
      <c r="D79" s="79"/>
      <c r="E79" s="52"/>
    </row>
    <row r="80" spans="1:5">
      <c r="A80" s="39"/>
      <c r="B80" s="74"/>
      <c r="C80" s="74"/>
      <c r="D80" s="79"/>
      <c r="E80" s="52"/>
    </row>
    <row r="81" spans="1:5">
      <c r="A81" s="39"/>
      <c r="B81" s="74"/>
      <c r="C81" s="74"/>
      <c r="D81" s="79"/>
      <c r="E81" s="52"/>
    </row>
    <row r="82" spans="1:5">
      <c r="A82" s="39"/>
      <c r="B82" s="74"/>
      <c r="C82" s="74"/>
      <c r="D82" s="79"/>
      <c r="E82" s="52"/>
    </row>
    <row r="83" spans="1:5">
      <c r="A83" s="10"/>
      <c r="B83" s="11"/>
      <c r="C83" s="11"/>
      <c r="D83" s="66"/>
      <c r="E83" s="52"/>
    </row>
    <row r="84" spans="1:5">
      <c r="A84" s="10"/>
      <c r="B84" s="11"/>
      <c r="C84" s="11"/>
      <c r="D84" s="66"/>
      <c r="E84" s="52"/>
    </row>
    <row r="85" spans="1:5">
      <c r="A85" s="10"/>
      <c r="B85" s="48" t="s">
        <v>16</v>
      </c>
      <c r="C85" s="48" t="s">
        <v>16</v>
      </c>
      <c r="D85" s="12"/>
      <c r="E85" s="89">
        <f>SUM(B87:B92)+SUM(C87:C92)</f>
        <v>0</v>
      </c>
    </row>
    <row r="86" spans="1:5">
      <c r="A86" s="39"/>
      <c r="B86" s="63"/>
      <c r="C86" s="63"/>
      <c r="D86" s="79"/>
      <c r="E86" s="52"/>
    </row>
    <row r="87" spans="1:5">
      <c r="A87" s="39"/>
      <c r="B87" s="74"/>
      <c r="C87" s="74"/>
      <c r="D87" s="79"/>
      <c r="E87" s="52"/>
    </row>
    <row r="88" spans="1:5">
      <c r="A88" s="39"/>
      <c r="B88" s="74"/>
      <c r="C88" s="74"/>
      <c r="D88" s="79"/>
      <c r="E88" s="52"/>
    </row>
    <row r="89" spans="1:5">
      <c r="A89" s="39"/>
      <c r="B89" s="74"/>
      <c r="C89" s="74"/>
      <c r="D89" s="79"/>
      <c r="E89" s="52"/>
    </row>
    <row r="90" spans="1:5">
      <c r="A90" s="39"/>
      <c r="B90" s="74"/>
      <c r="C90" s="74"/>
      <c r="D90" s="79"/>
      <c r="E90" s="52"/>
    </row>
    <row r="91" spans="1:5">
      <c r="A91" s="39"/>
      <c r="B91" s="74"/>
      <c r="C91" s="74"/>
      <c r="D91" s="79"/>
      <c r="E91" s="52"/>
    </row>
    <row r="92" spans="1:5">
      <c r="A92" s="10"/>
      <c r="B92" s="11"/>
      <c r="C92" s="11"/>
      <c r="D92" s="12"/>
      <c r="E92" s="52"/>
    </row>
    <row r="93" spans="1:5" ht="25.5">
      <c r="A93" s="10"/>
      <c r="B93" s="48" t="s">
        <v>17</v>
      </c>
      <c r="C93" s="48" t="s">
        <v>17</v>
      </c>
      <c r="D93" s="12"/>
      <c r="E93" s="52"/>
    </row>
    <row r="94" spans="1:5">
      <c r="A94" s="39"/>
      <c r="B94" s="63"/>
      <c r="C94" s="63"/>
      <c r="D94" s="79"/>
      <c r="E94" s="90"/>
    </row>
    <row r="95" spans="1:5" ht="25.5">
      <c r="A95" s="39"/>
      <c r="B95" s="80">
        <v>30000</v>
      </c>
      <c r="C95" s="80">
        <v>0</v>
      </c>
      <c r="D95" s="81" t="s">
        <v>63</v>
      </c>
      <c r="E95" s="91">
        <f>SUM(B95:C95)</f>
        <v>30000</v>
      </c>
    </row>
    <row r="96" spans="1:5">
      <c r="A96" s="39"/>
      <c r="B96" s="74"/>
      <c r="C96" s="74"/>
      <c r="D96" s="79"/>
      <c r="E96" s="92"/>
    </row>
    <row r="97" spans="1:5">
      <c r="A97" s="10"/>
      <c r="B97" s="58" t="s">
        <v>54</v>
      </c>
      <c r="C97" s="11"/>
      <c r="D97" s="12"/>
      <c r="E97" s="28"/>
    </row>
    <row r="98" spans="1:5">
      <c r="A98" s="10"/>
      <c r="B98" s="58" t="s">
        <v>55</v>
      </c>
      <c r="C98" s="11"/>
      <c r="D98" s="12"/>
      <c r="E98" s="28"/>
    </row>
    <row r="99" spans="1:5">
      <c r="A99" s="10"/>
      <c r="B99" s="58" t="s">
        <v>56</v>
      </c>
      <c r="C99" s="11"/>
      <c r="D99" s="12"/>
    </row>
    <row r="101" spans="1:5">
      <c r="B101" s="84"/>
      <c r="C101" s="84"/>
    </row>
    <row r="102" spans="1:5">
      <c r="B102" s="84"/>
      <c r="C102" s="85"/>
    </row>
    <row r="103" spans="1:5">
      <c r="B103" s="84"/>
      <c r="C103" s="84"/>
    </row>
  </sheetData>
  <sheetProtection password="9E1F" sheet="1" objects="1" scenarios="1"/>
  <customSheetViews>
    <customSheetView guid="{074EB09C-6289-46D7-9513-012B68BCA7BF}" fitToPage="1">
      <pane xSplit="1" ySplit="1" topLeftCell="B2" activePane="bottomRight" state="frozen"/>
      <selection pane="bottomRight" activeCell="B5" sqref="B5"/>
      <pageMargins left="0.18" right="0.7" top="0.28000000000000003" bottom="0.32" header="0.3" footer="0.3"/>
      <pageSetup paperSize="17" scale="53" orientation="landscape" r:id="rId1"/>
    </customSheetView>
    <customSheetView guid="{AF9F1D33-B8C2-423F-86A1-47612B8F532C}" fitToPage="1">
      <pane xSplit="1" ySplit="1" topLeftCell="B26" activePane="bottomRight" state="frozenSplit"/>
      <selection pane="bottomRight" activeCell="G13" sqref="G13"/>
      <pageMargins left="0.7" right="0.7" top="0.75" bottom="0.75" header="0.3" footer="0.3"/>
      <pageSetup paperSize="17" scale="53" orientation="landscape"/>
    </customSheetView>
  </customSheetViews>
  <mergeCells count="3">
    <mergeCell ref="B19:C19"/>
    <mergeCell ref="B20:C20"/>
    <mergeCell ref="B16:E16"/>
  </mergeCells>
  <pageMargins left="0.18" right="0.7" top="0.28000000000000003" bottom="0.32" header="0.3" footer="0.3"/>
  <pageSetup paperSize="17" scale="54" orientation="landscape" r:id="rId2"/>
  <drawing r:id="rId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enableFormatConditionsCalculation="0">
    <tabColor theme="3" tint="0.59999389629810485"/>
    <pageSetUpPr fitToPage="1"/>
  </sheetPr>
  <dimension ref="A1:Z105"/>
  <sheetViews>
    <sheetView zoomScaleNormal="100" workbookViewId="0">
      <pane xSplit="1" ySplit="1" topLeftCell="B2" activePane="bottomRight" state="frozen"/>
      <selection pane="topRight" activeCell="B1" sqref="B1"/>
      <selection pane="bottomLeft" activeCell="A2" sqref="A2"/>
      <selection pane="bottomRight" activeCell="C26" sqref="C26"/>
    </sheetView>
  </sheetViews>
  <sheetFormatPr defaultColWidth="8.85546875" defaultRowHeight="12.75"/>
  <cols>
    <col min="1" max="1" width="15.85546875" style="3064" customWidth="1"/>
    <col min="2" max="2" width="19.28515625" customWidth="1"/>
    <col min="3" max="3" width="37.85546875" customWidth="1"/>
    <col min="4" max="4" width="19.7109375" style="19" bestFit="1" customWidth="1"/>
    <col min="5" max="5" width="15.28515625" bestFit="1" customWidth="1"/>
    <col min="6" max="6" width="15.85546875" bestFit="1" customWidth="1"/>
    <col min="7" max="7" width="13.42578125" customWidth="1"/>
    <col min="8" max="8" width="15.28515625" bestFit="1" customWidth="1"/>
    <col min="9" max="9" width="14.140625" bestFit="1" customWidth="1"/>
    <col min="10" max="10" width="15.28515625" customWidth="1"/>
    <col min="11" max="11" width="15.85546875" customWidth="1"/>
    <col min="12" max="12" width="17" bestFit="1" customWidth="1"/>
    <col min="13" max="13" width="12.7109375" customWidth="1"/>
    <col min="14" max="14" width="13.7109375" customWidth="1"/>
    <col min="15" max="15" width="13.85546875" bestFit="1" customWidth="1"/>
    <col min="16" max="16" width="15.42578125" bestFit="1" customWidth="1"/>
    <col min="17" max="17" width="16.140625" customWidth="1"/>
    <col min="18" max="18" width="16.7109375" bestFit="1" customWidth="1"/>
    <col min="19" max="20" width="15.42578125" bestFit="1" customWidth="1"/>
    <col min="21" max="21" width="16.42578125" bestFit="1" customWidth="1"/>
    <col min="22" max="22" width="14.28515625" customWidth="1"/>
    <col min="23" max="23" width="12.85546875" bestFit="1" customWidth="1"/>
    <col min="24" max="24" width="11.28515625" bestFit="1" customWidth="1"/>
    <col min="25" max="25" width="12.42578125" bestFit="1" customWidth="1"/>
    <col min="26" max="26" width="14" bestFit="1" customWidth="1"/>
    <col min="27" max="27" width="6" bestFit="1" customWidth="1"/>
    <col min="28" max="28" width="15" customWidth="1"/>
    <col min="29" max="29" width="14.85546875" bestFit="1" customWidth="1"/>
    <col min="30" max="30" width="16.140625" bestFit="1" customWidth="1"/>
    <col min="258" max="258" width="24" bestFit="1" customWidth="1"/>
    <col min="259" max="259" width="45.7109375" bestFit="1" customWidth="1"/>
    <col min="260" max="260" width="19.7109375" bestFit="1" customWidth="1"/>
    <col min="261" max="261" width="15.28515625" bestFit="1" customWidth="1"/>
    <col min="262" max="262" width="15.85546875" bestFit="1" customWidth="1"/>
    <col min="263" max="263" width="13.42578125" customWidth="1"/>
    <col min="264" max="264" width="15.28515625" bestFit="1" customWidth="1"/>
    <col min="265" max="265" width="14.140625" bestFit="1" customWidth="1"/>
    <col min="266" max="266" width="15.28515625" customWidth="1"/>
    <col min="267" max="267" width="15.85546875" customWidth="1"/>
    <col min="268" max="268" width="17" bestFit="1" customWidth="1"/>
    <col min="269" max="269" width="12.7109375" customWidth="1"/>
    <col min="270" max="270" width="13.7109375" customWidth="1"/>
    <col min="271" max="271" width="13.85546875" bestFit="1" customWidth="1"/>
    <col min="272" max="272" width="15.42578125" bestFit="1" customWidth="1"/>
    <col min="273" max="273" width="16.140625" customWidth="1"/>
    <col min="274" max="274" width="16.7109375" bestFit="1" customWidth="1"/>
    <col min="275" max="276" width="15.42578125" bestFit="1" customWidth="1"/>
    <col min="277" max="277" width="16.42578125" bestFit="1" customWidth="1"/>
    <col min="278" max="278" width="14.28515625" customWidth="1"/>
    <col min="279" max="279" width="12.85546875" bestFit="1" customWidth="1"/>
    <col min="280" max="280" width="11.28515625" bestFit="1" customWidth="1"/>
    <col min="281" max="281" width="12.42578125" bestFit="1" customWidth="1"/>
    <col min="282" max="282" width="14" bestFit="1" customWidth="1"/>
    <col min="283" max="283" width="6" bestFit="1" customWidth="1"/>
    <col min="284" max="284" width="15" customWidth="1"/>
    <col min="285" max="285" width="14.85546875" bestFit="1" customWidth="1"/>
    <col min="286" max="286" width="16.140625" bestFit="1" customWidth="1"/>
    <col min="514" max="514" width="24" bestFit="1" customWidth="1"/>
    <col min="515" max="515" width="45.7109375" bestFit="1" customWidth="1"/>
    <col min="516" max="516" width="19.7109375" bestFit="1" customWidth="1"/>
    <col min="517" max="517" width="15.28515625" bestFit="1" customWidth="1"/>
    <col min="518" max="518" width="15.85546875" bestFit="1" customWidth="1"/>
    <col min="519" max="519" width="13.42578125" customWidth="1"/>
    <col min="520" max="520" width="15.28515625" bestFit="1" customWidth="1"/>
    <col min="521" max="521" width="14.140625" bestFit="1" customWidth="1"/>
    <col min="522" max="522" width="15.28515625" customWidth="1"/>
    <col min="523" max="523" width="15.85546875" customWidth="1"/>
    <col min="524" max="524" width="17" bestFit="1" customWidth="1"/>
    <col min="525" max="525" width="12.7109375" customWidth="1"/>
    <col min="526" max="526" width="13.7109375" customWidth="1"/>
    <col min="527" max="527" width="13.85546875" bestFit="1" customWidth="1"/>
    <col min="528" max="528" width="15.42578125" bestFit="1" customWidth="1"/>
    <col min="529" max="529" width="16.140625" customWidth="1"/>
    <col min="530" max="530" width="16.7109375" bestFit="1" customWidth="1"/>
    <col min="531" max="532" width="15.42578125" bestFit="1" customWidth="1"/>
    <col min="533" max="533" width="16.42578125" bestFit="1" customWidth="1"/>
    <col min="534" max="534" width="14.28515625" customWidth="1"/>
    <col min="535" max="535" width="12.85546875" bestFit="1" customWidth="1"/>
    <col min="536" max="536" width="11.28515625" bestFit="1" customWidth="1"/>
    <col min="537" max="537" width="12.42578125" bestFit="1" customWidth="1"/>
    <col min="538" max="538" width="14" bestFit="1" customWidth="1"/>
    <col min="539" max="539" width="6" bestFit="1" customWidth="1"/>
    <col min="540" max="540" width="15" customWidth="1"/>
    <col min="541" max="541" width="14.85546875" bestFit="1" customWidth="1"/>
    <col min="542" max="542" width="16.140625" bestFit="1" customWidth="1"/>
    <col min="770" max="770" width="24" bestFit="1" customWidth="1"/>
    <col min="771" max="771" width="45.7109375" bestFit="1" customWidth="1"/>
    <col min="772" max="772" width="19.7109375" bestFit="1" customWidth="1"/>
    <col min="773" max="773" width="15.28515625" bestFit="1" customWidth="1"/>
    <col min="774" max="774" width="15.85546875" bestFit="1" customWidth="1"/>
    <col min="775" max="775" width="13.42578125" customWidth="1"/>
    <col min="776" max="776" width="15.28515625" bestFit="1" customWidth="1"/>
    <col min="777" max="777" width="14.140625" bestFit="1" customWidth="1"/>
    <col min="778" max="778" width="15.28515625" customWidth="1"/>
    <col min="779" max="779" width="15.85546875" customWidth="1"/>
    <col min="780" max="780" width="17" bestFit="1" customWidth="1"/>
    <col min="781" max="781" width="12.7109375" customWidth="1"/>
    <col min="782" max="782" width="13.7109375" customWidth="1"/>
    <col min="783" max="783" width="13.85546875" bestFit="1" customWidth="1"/>
    <col min="784" max="784" width="15.42578125" bestFit="1" customWidth="1"/>
    <col min="785" max="785" width="16.140625" customWidth="1"/>
    <col min="786" max="786" width="16.7109375" bestFit="1" customWidth="1"/>
    <col min="787" max="788" width="15.42578125" bestFit="1" customWidth="1"/>
    <col min="789" max="789" width="16.42578125" bestFit="1" customWidth="1"/>
    <col min="790" max="790" width="14.28515625" customWidth="1"/>
    <col min="791" max="791" width="12.85546875" bestFit="1" customWidth="1"/>
    <col min="792" max="792" width="11.28515625" bestFit="1" customWidth="1"/>
    <col min="793" max="793" width="12.42578125" bestFit="1" customWidth="1"/>
    <col min="794" max="794" width="14" bestFit="1" customWidth="1"/>
    <col min="795" max="795" width="6" bestFit="1" customWidth="1"/>
    <col min="796" max="796" width="15" customWidth="1"/>
    <col min="797" max="797" width="14.85546875" bestFit="1" customWidth="1"/>
    <col min="798" max="798" width="16.140625" bestFit="1" customWidth="1"/>
    <col min="1026" max="1026" width="24" bestFit="1" customWidth="1"/>
    <col min="1027" max="1027" width="45.7109375" bestFit="1" customWidth="1"/>
    <col min="1028" max="1028" width="19.7109375" bestFit="1" customWidth="1"/>
    <col min="1029" max="1029" width="15.28515625" bestFit="1" customWidth="1"/>
    <col min="1030" max="1030" width="15.85546875" bestFit="1" customWidth="1"/>
    <col min="1031" max="1031" width="13.42578125" customWidth="1"/>
    <col min="1032" max="1032" width="15.28515625" bestFit="1" customWidth="1"/>
    <col min="1033" max="1033" width="14.140625" bestFit="1" customWidth="1"/>
    <col min="1034" max="1034" width="15.28515625" customWidth="1"/>
    <col min="1035" max="1035" width="15.85546875" customWidth="1"/>
    <col min="1036" max="1036" width="17" bestFit="1" customWidth="1"/>
    <col min="1037" max="1037" width="12.7109375" customWidth="1"/>
    <col min="1038" max="1038" width="13.7109375" customWidth="1"/>
    <col min="1039" max="1039" width="13.85546875" bestFit="1" customWidth="1"/>
    <col min="1040" max="1040" width="15.42578125" bestFit="1" customWidth="1"/>
    <col min="1041" max="1041" width="16.140625" customWidth="1"/>
    <col min="1042" max="1042" width="16.7109375" bestFit="1" customWidth="1"/>
    <col min="1043" max="1044" width="15.42578125" bestFit="1" customWidth="1"/>
    <col min="1045" max="1045" width="16.42578125" bestFit="1" customWidth="1"/>
    <col min="1046" max="1046" width="14.28515625" customWidth="1"/>
    <col min="1047" max="1047" width="12.85546875" bestFit="1" customWidth="1"/>
    <col min="1048" max="1048" width="11.28515625" bestFit="1" customWidth="1"/>
    <col min="1049" max="1049" width="12.42578125" bestFit="1" customWidth="1"/>
    <col min="1050" max="1050" width="14" bestFit="1" customWidth="1"/>
    <col min="1051" max="1051" width="6" bestFit="1" customWidth="1"/>
    <col min="1052" max="1052" width="15" customWidth="1"/>
    <col min="1053" max="1053" width="14.85546875" bestFit="1" customWidth="1"/>
    <col min="1054" max="1054" width="16.140625" bestFit="1" customWidth="1"/>
    <col min="1282" max="1282" width="24" bestFit="1" customWidth="1"/>
    <col min="1283" max="1283" width="45.7109375" bestFit="1" customWidth="1"/>
    <col min="1284" max="1284" width="19.7109375" bestFit="1" customWidth="1"/>
    <col min="1285" max="1285" width="15.28515625" bestFit="1" customWidth="1"/>
    <col min="1286" max="1286" width="15.85546875" bestFit="1" customWidth="1"/>
    <col min="1287" max="1287" width="13.42578125" customWidth="1"/>
    <col min="1288" max="1288" width="15.28515625" bestFit="1" customWidth="1"/>
    <col min="1289" max="1289" width="14.140625" bestFit="1" customWidth="1"/>
    <col min="1290" max="1290" width="15.28515625" customWidth="1"/>
    <col min="1291" max="1291" width="15.85546875" customWidth="1"/>
    <col min="1292" max="1292" width="17" bestFit="1" customWidth="1"/>
    <col min="1293" max="1293" width="12.7109375" customWidth="1"/>
    <col min="1294" max="1294" width="13.7109375" customWidth="1"/>
    <col min="1295" max="1295" width="13.85546875" bestFit="1" customWidth="1"/>
    <col min="1296" max="1296" width="15.42578125" bestFit="1" customWidth="1"/>
    <col min="1297" max="1297" width="16.140625" customWidth="1"/>
    <col min="1298" max="1298" width="16.7109375" bestFit="1" customWidth="1"/>
    <col min="1299" max="1300" width="15.42578125" bestFit="1" customWidth="1"/>
    <col min="1301" max="1301" width="16.42578125" bestFit="1" customWidth="1"/>
    <col min="1302" max="1302" width="14.28515625" customWidth="1"/>
    <col min="1303" max="1303" width="12.85546875" bestFit="1" customWidth="1"/>
    <col min="1304" max="1304" width="11.28515625" bestFit="1" customWidth="1"/>
    <col min="1305" max="1305" width="12.42578125" bestFit="1" customWidth="1"/>
    <col min="1306" max="1306" width="14" bestFit="1" customWidth="1"/>
    <col min="1307" max="1307" width="6" bestFit="1" customWidth="1"/>
    <col min="1308" max="1308" width="15" customWidth="1"/>
    <col min="1309" max="1309" width="14.85546875" bestFit="1" customWidth="1"/>
    <col min="1310" max="1310" width="16.140625" bestFit="1" customWidth="1"/>
    <col min="1538" max="1538" width="24" bestFit="1" customWidth="1"/>
    <col min="1539" max="1539" width="45.7109375" bestFit="1" customWidth="1"/>
    <col min="1540" max="1540" width="19.7109375" bestFit="1" customWidth="1"/>
    <col min="1541" max="1541" width="15.28515625" bestFit="1" customWidth="1"/>
    <col min="1542" max="1542" width="15.85546875" bestFit="1" customWidth="1"/>
    <col min="1543" max="1543" width="13.42578125" customWidth="1"/>
    <col min="1544" max="1544" width="15.28515625" bestFit="1" customWidth="1"/>
    <col min="1545" max="1545" width="14.140625" bestFit="1" customWidth="1"/>
    <col min="1546" max="1546" width="15.28515625" customWidth="1"/>
    <col min="1547" max="1547" width="15.85546875" customWidth="1"/>
    <col min="1548" max="1548" width="17" bestFit="1" customWidth="1"/>
    <col min="1549" max="1549" width="12.7109375" customWidth="1"/>
    <col min="1550" max="1550" width="13.7109375" customWidth="1"/>
    <col min="1551" max="1551" width="13.85546875" bestFit="1" customWidth="1"/>
    <col min="1552" max="1552" width="15.42578125" bestFit="1" customWidth="1"/>
    <col min="1553" max="1553" width="16.140625" customWidth="1"/>
    <col min="1554" max="1554" width="16.7109375" bestFit="1" customWidth="1"/>
    <col min="1555" max="1556" width="15.42578125" bestFit="1" customWidth="1"/>
    <col min="1557" max="1557" width="16.42578125" bestFit="1" customWidth="1"/>
    <col min="1558" max="1558" width="14.28515625" customWidth="1"/>
    <col min="1559" max="1559" width="12.85546875" bestFit="1" customWidth="1"/>
    <col min="1560" max="1560" width="11.28515625" bestFit="1" customWidth="1"/>
    <col min="1561" max="1561" width="12.42578125" bestFit="1" customWidth="1"/>
    <col min="1562" max="1562" width="14" bestFit="1" customWidth="1"/>
    <col min="1563" max="1563" width="6" bestFit="1" customWidth="1"/>
    <col min="1564" max="1564" width="15" customWidth="1"/>
    <col min="1565" max="1565" width="14.85546875" bestFit="1" customWidth="1"/>
    <col min="1566" max="1566" width="16.140625" bestFit="1" customWidth="1"/>
    <col min="1794" max="1794" width="24" bestFit="1" customWidth="1"/>
    <col min="1795" max="1795" width="45.7109375" bestFit="1" customWidth="1"/>
    <col min="1796" max="1796" width="19.7109375" bestFit="1" customWidth="1"/>
    <col min="1797" max="1797" width="15.28515625" bestFit="1" customWidth="1"/>
    <col min="1798" max="1798" width="15.85546875" bestFit="1" customWidth="1"/>
    <col min="1799" max="1799" width="13.42578125" customWidth="1"/>
    <col min="1800" max="1800" width="15.28515625" bestFit="1" customWidth="1"/>
    <col min="1801" max="1801" width="14.140625" bestFit="1" customWidth="1"/>
    <col min="1802" max="1802" width="15.28515625" customWidth="1"/>
    <col min="1803" max="1803" width="15.85546875" customWidth="1"/>
    <col min="1804" max="1804" width="17" bestFit="1" customWidth="1"/>
    <col min="1805" max="1805" width="12.7109375" customWidth="1"/>
    <col min="1806" max="1806" width="13.7109375" customWidth="1"/>
    <col min="1807" max="1807" width="13.85546875" bestFit="1" customWidth="1"/>
    <col min="1808" max="1808" width="15.42578125" bestFit="1" customWidth="1"/>
    <col min="1809" max="1809" width="16.140625" customWidth="1"/>
    <col min="1810" max="1810" width="16.7109375" bestFit="1" customWidth="1"/>
    <col min="1811" max="1812" width="15.42578125" bestFit="1" customWidth="1"/>
    <col min="1813" max="1813" width="16.42578125" bestFit="1" customWidth="1"/>
    <col min="1814" max="1814" width="14.28515625" customWidth="1"/>
    <col min="1815" max="1815" width="12.85546875" bestFit="1" customWidth="1"/>
    <col min="1816" max="1816" width="11.28515625" bestFit="1" customWidth="1"/>
    <col min="1817" max="1817" width="12.42578125" bestFit="1" customWidth="1"/>
    <col min="1818" max="1818" width="14" bestFit="1" customWidth="1"/>
    <col min="1819" max="1819" width="6" bestFit="1" customWidth="1"/>
    <col min="1820" max="1820" width="15" customWidth="1"/>
    <col min="1821" max="1821" width="14.85546875" bestFit="1" customWidth="1"/>
    <col min="1822" max="1822" width="16.140625" bestFit="1" customWidth="1"/>
    <col min="2050" max="2050" width="24" bestFit="1" customWidth="1"/>
    <col min="2051" max="2051" width="45.7109375" bestFit="1" customWidth="1"/>
    <col min="2052" max="2052" width="19.7109375" bestFit="1" customWidth="1"/>
    <col min="2053" max="2053" width="15.28515625" bestFit="1" customWidth="1"/>
    <col min="2054" max="2054" width="15.85546875" bestFit="1" customWidth="1"/>
    <col min="2055" max="2055" width="13.42578125" customWidth="1"/>
    <col min="2056" max="2056" width="15.28515625" bestFit="1" customWidth="1"/>
    <col min="2057" max="2057" width="14.140625" bestFit="1" customWidth="1"/>
    <col min="2058" max="2058" width="15.28515625" customWidth="1"/>
    <col min="2059" max="2059" width="15.85546875" customWidth="1"/>
    <col min="2060" max="2060" width="17" bestFit="1" customWidth="1"/>
    <col min="2061" max="2061" width="12.7109375" customWidth="1"/>
    <col min="2062" max="2062" width="13.7109375" customWidth="1"/>
    <col min="2063" max="2063" width="13.85546875" bestFit="1" customWidth="1"/>
    <col min="2064" max="2064" width="15.42578125" bestFit="1" customWidth="1"/>
    <col min="2065" max="2065" width="16.140625" customWidth="1"/>
    <col min="2066" max="2066" width="16.7109375" bestFit="1" customWidth="1"/>
    <col min="2067" max="2068" width="15.42578125" bestFit="1" customWidth="1"/>
    <col min="2069" max="2069" width="16.42578125" bestFit="1" customWidth="1"/>
    <col min="2070" max="2070" width="14.28515625" customWidth="1"/>
    <col min="2071" max="2071" width="12.85546875" bestFit="1" customWidth="1"/>
    <col min="2072" max="2072" width="11.28515625" bestFit="1" customWidth="1"/>
    <col min="2073" max="2073" width="12.42578125" bestFit="1" customWidth="1"/>
    <col min="2074" max="2074" width="14" bestFit="1" customWidth="1"/>
    <col min="2075" max="2075" width="6" bestFit="1" customWidth="1"/>
    <col min="2076" max="2076" width="15" customWidth="1"/>
    <col min="2077" max="2077" width="14.85546875" bestFit="1" customWidth="1"/>
    <col min="2078" max="2078" width="16.140625" bestFit="1" customWidth="1"/>
    <col min="2306" max="2306" width="24" bestFit="1" customWidth="1"/>
    <col min="2307" max="2307" width="45.7109375" bestFit="1" customWidth="1"/>
    <col min="2308" max="2308" width="19.7109375" bestFit="1" customWidth="1"/>
    <col min="2309" max="2309" width="15.28515625" bestFit="1" customWidth="1"/>
    <col min="2310" max="2310" width="15.85546875" bestFit="1" customWidth="1"/>
    <col min="2311" max="2311" width="13.42578125" customWidth="1"/>
    <col min="2312" max="2312" width="15.28515625" bestFit="1" customWidth="1"/>
    <col min="2313" max="2313" width="14.140625" bestFit="1" customWidth="1"/>
    <col min="2314" max="2314" width="15.28515625" customWidth="1"/>
    <col min="2315" max="2315" width="15.85546875" customWidth="1"/>
    <col min="2316" max="2316" width="17" bestFit="1" customWidth="1"/>
    <col min="2317" max="2317" width="12.7109375" customWidth="1"/>
    <col min="2318" max="2318" width="13.7109375" customWidth="1"/>
    <col min="2319" max="2319" width="13.85546875" bestFit="1" customWidth="1"/>
    <col min="2320" max="2320" width="15.42578125" bestFit="1" customWidth="1"/>
    <col min="2321" max="2321" width="16.140625" customWidth="1"/>
    <col min="2322" max="2322" width="16.7109375" bestFit="1" customWidth="1"/>
    <col min="2323" max="2324" width="15.42578125" bestFit="1" customWidth="1"/>
    <col min="2325" max="2325" width="16.42578125" bestFit="1" customWidth="1"/>
    <col min="2326" max="2326" width="14.28515625" customWidth="1"/>
    <col min="2327" max="2327" width="12.85546875" bestFit="1" customWidth="1"/>
    <col min="2328" max="2328" width="11.28515625" bestFit="1" customWidth="1"/>
    <col min="2329" max="2329" width="12.42578125" bestFit="1" customWidth="1"/>
    <col min="2330" max="2330" width="14" bestFit="1" customWidth="1"/>
    <col min="2331" max="2331" width="6" bestFit="1" customWidth="1"/>
    <col min="2332" max="2332" width="15" customWidth="1"/>
    <col min="2333" max="2333" width="14.85546875" bestFit="1" customWidth="1"/>
    <col min="2334" max="2334" width="16.140625" bestFit="1" customWidth="1"/>
    <col min="2562" max="2562" width="24" bestFit="1" customWidth="1"/>
    <col min="2563" max="2563" width="45.7109375" bestFit="1" customWidth="1"/>
    <col min="2564" max="2564" width="19.7109375" bestFit="1" customWidth="1"/>
    <col min="2565" max="2565" width="15.28515625" bestFit="1" customWidth="1"/>
    <col min="2566" max="2566" width="15.85546875" bestFit="1" customWidth="1"/>
    <col min="2567" max="2567" width="13.42578125" customWidth="1"/>
    <col min="2568" max="2568" width="15.28515625" bestFit="1" customWidth="1"/>
    <col min="2569" max="2569" width="14.140625" bestFit="1" customWidth="1"/>
    <col min="2570" max="2570" width="15.28515625" customWidth="1"/>
    <col min="2571" max="2571" width="15.85546875" customWidth="1"/>
    <col min="2572" max="2572" width="17" bestFit="1" customWidth="1"/>
    <col min="2573" max="2573" width="12.7109375" customWidth="1"/>
    <col min="2574" max="2574" width="13.7109375" customWidth="1"/>
    <col min="2575" max="2575" width="13.85546875" bestFit="1" customWidth="1"/>
    <col min="2576" max="2576" width="15.42578125" bestFit="1" customWidth="1"/>
    <col min="2577" max="2577" width="16.140625" customWidth="1"/>
    <col min="2578" max="2578" width="16.7109375" bestFit="1" customWidth="1"/>
    <col min="2579" max="2580" width="15.42578125" bestFit="1" customWidth="1"/>
    <col min="2581" max="2581" width="16.42578125" bestFit="1" customWidth="1"/>
    <col min="2582" max="2582" width="14.28515625" customWidth="1"/>
    <col min="2583" max="2583" width="12.85546875" bestFit="1" customWidth="1"/>
    <col min="2584" max="2584" width="11.28515625" bestFit="1" customWidth="1"/>
    <col min="2585" max="2585" width="12.42578125" bestFit="1" customWidth="1"/>
    <col min="2586" max="2586" width="14" bestFit="1" customWidth="1"/>
    <col min="2587" max="2587" width="6" bestFit="1" customWidth="1"/>
    <col min="2588" max="2588" width="15" customWidth="1"/>
    <col min="2589" max="2589" width="14.85546875" bestFit="1" customWidth="1"/>
    <col min="2590" max="2590" width="16.140625" bestFit="1" customWidth="1"/>
    <col min="2818" max="2818" width="24" bestFit="1" customWidth="1"/>
    <col min="2819" max="2819" width="45.7109375" bestFit="1" customWidth="1"/>
    <col min="2820" max="2820" width="19.7109375" bestFit="1" customWidth="1"/>
    <col min="2821" max="2821" width="15.28515625" bestFit="1" customWidth="1"/>
    <col min="2822" max="2822" width="15.85546875" bestFit="1" customWidth="1"/>
    <col min="2823" max="2823" width="13.42578125" customWidth="1"/>
    <col min="2824" max="2824" width="15.28515625" bestFit="1" customWidth="1"/>
    <col min="2825" max="2825" width="14.140625" bestFit="1" customWidth="1"/>
    <col min="2826" max="2826" width="15.28515625" customWidth="1"/>
    <col min="2827" max="2827" width="15.85546875" customWidth="1"/>
    <col min="2828" max="2828" width="17" bestFit="1" customWidth="1"/>
    <col min="2829" max="2829" width="12.7109375" customWidth="1"/>
    <col min="2830" max="2830" width="13.7109375" customWidth="1"/>
    <col min="2831" max="2831" width="13.85546875" bestFit="1" customWidth="1"/>
    <col min="2832" max="2832" width="15.42578125" bestFit="1" customWidth="1"/>
    <col min="2833" max="2833" width="16.140625" customWidth="1"/>
    <col min="2834" max="2834" width="16.7109375" bestFit="1" customWidth="1"/>
    <col min="2835" max="2836" width="15.42578125" bestFit="1" customWidth="1"/>
    <col min="2837" max="2837" width="16.42578125" bestFit="1" customWidth="1"/>
    <col min="2838" max="2838" width="14.28515625" customWidth="1"/>
    <col min="2839" max="2839" width="12.85546875" bestFit="1" customWidth="1"/>
    <col min="2840" max="2840" width="11.28515625" bestFit="1" customWidth="1"/>
    <col min="2841" max="2841" width="12.42578125" bestFit="1" customWidth="1"/>
    <col min="2842" max="2842" width="14" bestFit="1" customWidth="1"/>
    <col min="2843" max="2843" width="6" bestFit="1" customWidth="1"/>
    <col min="2844" max="2844" width="15" customWidth="1"/>
    <col min="2845" max="2845" width="14.85546875" bestFit="1" customWidth="1"/>
    <col min="2846" max="2846" width="16.140625" bestFit="1" customWidth="1"/>
    <col min="3074" max="3074" width="24" bestFit="1" customWidth="1"/>
    <col min="3075" max="3075" width="45.7109375" bestFit="1" customWidth="1"/>
    <col min="3076" max="3076" width="19.7109375" bestFit="1" customWidth="1"/>
    <col min="3077" max="3077" width="15.28515625" bestFit="1" customWidth="1"/>
    <col min="3078" max="3078" width="15.85546875" bestFit="1" customWidth="1"/>
    <col min="3079" max="3079" width="13.42578125" customWidth="1"/>
    <col min="3080" max="3080" width="15.28515625" bestFit="1" customWidth="1"/>
    <col min="3081" max="3081" width="14.140625" bestFit="1" customWidth="1"/>
    <col min="3082" max="3082" width="15.28515625" customWidth="1"/>
    <col min="3083" max="3083" width="15.85546875" customWidth="1"/>
    <col min="3084" max="3084" width="17" bestFit="1" customWidth="1"/>
    <col min="3085" max="3085" width="12.7109375" customWidth="1"/>
    <col min="3086" max="3086" width="13.7109375" customWidth="1"/>
    <col min="3087" max="3087" width="13.85546875" bestFit="1" customWidth="1"/>
    <col min="3088" max="3088" width="15.42578125" bestFit="1" customWidth="1"/>
    <col min="3089" max="3089" width="16.140625" customWidth="1"/>
    <col min="3090" max="3090" width="16.7109375" bestFit="1" customWidth="1"/>
    <col min="3091" max="3092" width="15.42578125" bestFit="1" customWidth="1"/>
    <col min="3093" max="3093" width="16.42578125" bestFit="1" customWidth="1"/>
    <col min="3094" max="3094" width="14.28515625" customWidth="1"/>
    <col min="3095" max="3095" width="12.85546875" bestFit="1" customWidth="1"/>
    <col min="3096" max="3096" width="11.28515625" bestFit="1" customWidth="1"/>
    <col min="3097" max="3097" width="12.42578125" bestFit="1" customWidth="1"/>
    <col min="3098" max="3098" width="14" bestFit="1" customWidth="1"/>
    <col min="3099" max="3099" width="6" bestFit="1" customWidth="1"/>
    <col min="3100" max="3100" width="15" customWidth="1"/>
    <col min="3101" max="3101" width="14.85546875" bestFit="1" customWidth="1"/>
    <col min="3102" max="3102" width="16.140625" bestFit="1" customWidth="1"/>
    <col min="3330" max="3330" width="24" bestFit="1" customWidth="1"/>
    <col min="3331" max="3331" width="45.7109375" bestFit="1" customWidth="1"/>
    <col min="3332" max="3332" width="19.7109375" bestFit="1" customWidth="1"/>
    <col min="3333" max="3333" width="15.28515625" bestFit="1" customWidth="1"/>
    <col min="3334" max="3334" width="15.85546875" bestFit="1" customWidth="1"/>
    <col min="3335" max="3335" width="13.42578125" customWidth="1"/>
    <col min="3336" max="3336" width="15.28515625" bestFit="1" customWidth="1"/>
    <col min="3337" max="3337" width="14.140625" bestFit="1" customWidth="1"/>
    <col min="3338" max="3338" width="15.28515625" customWidth="1"/>
    <col min="3339" max="3339" width="15.85546875" customWidth="1"/>
    <col min="3340" max="3340" width="17" bestFit="1" customWidth="1"/>
    <col min="3341" max="3341" width="12.7109375" customWidth="1"/>
    <col min="3342" max="3342" width="13.7109375" customWidth="1"/>
    <col min="3343" max="3343" width="13.85546875" bestFit="1" customWidth="1"/>
    <col min="3344" max="3344" width="15.42578125" bestFit="1" customWidth="1"/>
    <col min="3345" max="3345" width="16.140625" customWidth="1"/>
    <col min="3346" max="3346" width="16.7109375" bestFit="1" customWidth="1"/>
    <col min="3347" max="3348" width="15.42578125" bestFit="1" customWidth="1"/>
    <col min="3349" max="3349" width="16.42578125" bestFit="1" customWidth="1"/>
    <col min="3350" max="3350" width="14.28515625" customWidth="1"/>
    <col min="3351" max="3351" width="12.85546875" bestFit="1" customWidth="1"/>
    <col min="3352" max="3352" width="11.28515625" bestFit="1" customWidth="1"/>
    <col min="3353" max="3353" width="12.42578125" bestFit="1" customWidth="1"/>
    <col min="3354" max="3354" width="14" bestFit="1" customWidth="1"/>
    <col min="3355" max="3355" width="6" bestFit="1" customWidth="1"/>
    <col min="3356" max="3356" width="15" customWidth="1"/>
    <col min="3357" max="3357" width="14.85546875" bestFit="1" customWidth="1"/>
    <col min="3358" max="3358" width="16.140625" bestFit="1" customWidth="1"/>
    <col min="3586" max="3586" width="24" bestFit="1" customWidth="1"/>
    <col min="3587" max="3587" width="45.7109375" bestFit="1" customWidth="1"/>
    <col min="3588" max="3588" width="19.7109375" bestFit="1" customWidth="1"/>
    <col min="3589" max="3589" width="15.28515625" bestFit="1" customWidth="1"/>
    <col min="3590" max="3590" width="15.85546875" bestFit="1" customWidth="1"/>
    <col min="3591" max="3591" width="13.42578125" customWidth="1"/>
    <col min="3592" max="3592" width="15.28515625" bestFit="1" customWidth="1"/>
    <col min="3593" max="3593" width="14.140625" bestFit="1" customWidth="1"/>
    <col min="3594" max="3594" width="15.28515625" customWidth="1"/>
    <col min="3595" max="3595" width="15.85546875" customWidth="1"/>
    <col min="3596" max="3596" width="17" bestFit="1" customWidth="1"/>
    <col min="3597" max="3597" width="12.7109375" customWidth="1"/>
    <col min="3598" max="3598" width="13.7109375" customWidth="1"/>
    <col min="3599" max="3599" width="13.85546875" bestFit="1" customWidth="1"/>
    <col min="3600" max="3600" width="15.42578125" bestFit="1" customWidth="1"/>
    <col min="3601" max="3601" width="16.140625" customWidth="1"/>
    <col min="3602" max="3602" width="16.7109375" bestFit="1" customWidth="1"/>
    <col min="3603" max="3604" width="15.42578125" bestFit="1" customWidth="1"/>
    <col min="3605" max="3605" width="16.42578125" bestFit="1" customWidth="1"/>
    <col min="3606" max="3606" width="14.28515625" customWidth="1"/>
    <col min="3607" max="3607" width="12.85546875" bestFit="1" customWidth="1"/>
    <col min="3608" max="3608" width="11.28515625" bestFit="1" customWidth="1"/>
    <col min="3609" max="3609" width="12.42578125" bestFit="1" customWidth="1"/>
    <col min="3610" max="3610" width="14" bestFit="1" customWidth="1"/>
    <col min="3611" max="3611" width="6" bestFit="1" customWidth="1"/>
    <col min="3612" max="3612" width="15" customWidth="1"/>
    <col min="3613" max="3613" width="14.85546875" bestFit="1" customWidth="1"/>
    <col min="3614" max="3614" width="16.140625" bestFit="1" customWidth="1"/>
    <col min="3842" max="3842" width="24" bestFit="1" customWidth="1"/>
    <col min="3843" max="3843" width="45.7109375" bestFit="1" customWidth="1"/>
    <col min="3844" max="3844" width="19.7109375" bestFit="1" customWidth="1"/>
    <col min="3845" max="3845" width="15.28515625" bestFit="1" customWidth="1"/>
    <col min="3846" max="3846" width="15.85546875" bestFit="1" customWidth="1"/>
    <col min="3847" max="3847" width="13.42578125" customWidth="1"/>
    <col min="3848" max="3848" width="15.28515625" bestFit="1" customWidth="1"/>
    <col min="3849" max="3849" width="14.140625" bestFit="1" customWidth="1"/>
    <col min="3850" max="3850" width="15.28515625" customWidth="1"/>
    <col min="3851" max="3851" width="15.85546875" customWidth="1"/>
    <col min="3852" max="3852" width="17" bestFit="1" customWidth="1"/>
    <col min="3853" max="3853" width="12.7109375" customWidth="1"/>
    <col min="3854" max="3854" width="13.7109375" customWidth="1"/>
    <col min="3855" max="3855" width="13.85546875" bestFit="1" customWidth="1"/>
    <col min="3856" max="3856" width="15.42578125" bestFit="1" customWidth="1"/>
    <col min="3857" max="3857" width="16.140625" customWidth="1"/>
    <col min="3858" max="3858" width="16.7109375" bestFit="1" customWidth="1"/>
    <col min="3859" max="3860" width="15.42578125" bestFit="1" customWidth="1"/>
    <col min="3861" max="3861" width="16.42578125" bestFit="1" customWidth="1"/>
    <col min="3862" max="3862" width="14.28515625" customWidth="1"/>
    <col min="3863" max="3863" width="12.85546875" bestFit="1" customWidth="1"/>
    <col min="3864" max="3864" width="11.28515625" bestFit="1" customWidth="1"/>
    <col min="3865" max="3865" width="12.42578125" bestFit="1" customWidth="1"/>
    <col min="3866" max="3866" width="14" bestFit="1" customWidth="1"/>
    <col min="3867" max="3867" width="6" bestFit="1" customWidth="1"/>
    <col min="3868" max="3868" width="15" customWidth="1"/>
    <col min="3869" max="3869" width="14.85546875" bestFit="1" customWidth="1"/>
    <col min="3870" max="3870" width="16.140625" bestFit="1" customWidth="1"/>
    <col min="4098" max="4098" width="24" bestFit="1" customWidth="1"/>
    <col min="4099" max="4099" width="45.7109375" bestFit="1" customWidth="1"/>
    <col min="4100" max="4100" width="19.7109375" bestFit="1" customWidth="1"/>
    <col min="4101" max="4101" width="15.28515625" bestFit="1" customWidth="1"/>
    <col min="4102" max="4102" width="15.85546875" bestFit="1" customWidth="1"/>
    <col min="4103" max="4103" width="13.42578125" customWidth="1"/>
    <col min="4104" max="4104" width="15.28515625" bestFit="1" customWidth="1"/>
    <col min="4105" max="4105" width="14.140625" bestFit="1" customWidth="1"/>
    <col min="4106" max="4106" width="15.28515625" customWidth="1"/>
    <col min="4107" max="4107" width="15.85546875" customWidth="1"/>
    <col min="4108" max="4108" width="17" bestFit="1" customWidth="1"/>
    <col min="4109" max="4109" width="12.7109375" customWidth="1"/>
    <col min="4110" max="4110" width="13.7109375" customWidth="1"/>
    <col min="4111" max="4111" width="13.85546875" bestFit="1" customWidth="1"/>
    <col min="4112" max="4112" width="15.42578125" bestFit="1" customWidth="1"/>
    <col min="4113" max="4113" width="16.140625" customWidth="1"/>
    <col min="4114" max="4114" width="16.7109375" bestFit="1" customWidth="1"/>
    <col min="4115" max="4116" width="15.42578125" bestFit="1" customWidth="1"/>
    <col min="4117" max="4117" width="16.42578125" bestFit="1" customWidth="1"/>
    <col min="4118" max="4118" width="14.28515625" customWidth="1"/>
    <col min="4119" max="4119" width="12.85546875" bestFit="1" customWidth="1"/>
    <col min="4120" max="4120" width="11.28515625" bestFit="1" customWidth="1"/>
    <col min="4121" max="4121" width="12.42578125" bestFit="1" customWidth="1"/>
    <col min="4122" max="4122" width="14" bestFit="1" customWidth="1"/>
    <col min="4123" max="4123" width="6" bestFit="1" customWidth="1"/>
    <col min="4124" max="4124" width="15" customWidth="1"/>
    <col min="4125" max="4125" width="14.85546875" bestFit="1" customWidth="1"/>
    <col min="4126" max="4126" width="16.140625" bestFit="1" customWidth="1"/>
    <col min="4354" max="4354" width="24" bestFit="1" customWidth="1"/>
    <col min="4355" max="4355" width="45.7109375" bestFit="1" customWidth="1"/>
    <col min="4356" max="4356" width="19.7109375" bestFit="1" customWidth="1"/>
    <col min="4357" max="4357" width="15.28515625" bestFit="1" customWidth="1"/>
    <col min="4358" max="4358" width="15.85546875" bestFit="1" customWidth="1"/>
    <col min="4359" max="4359" width="13.42578125" customWidth="1"/>
    <col min="4360" max="4360" width="15.28515625" bestFit="1" customWidth="1"/>
    <col min="4361" max="4361" width="14.140625" bestFit="1" customWidth="1"/>
    <col min="4362" max="4362" width="15.28515625" customWidth="1"/>
    <col min="4363" max="4363" width="15.85546875" customWidth="1"/>
    <col min="4364" max="4364" width="17" bestFit="1" customWidth="1"/>
    <col min="4365" max="4365" width="12.7109375" customWidth="1"/>
    <col min="4366" max="4366" width="13.7109375" customWidth="1"/>
    <col min="4367" max="4367" width="13.85546875" bestFit="1" customWidth="1"/>
    <col min="4368" max="4368" width="15.42578125" bestFit="1" customWidth="1"/>
    <col min="4369" max="4369" width="16.140625" customWidth="1"/>
    <col min="4370" max="4370" width="16.7109375" bestFit="1" customWidth="1"/>
    <col min="4371" max="4372" width="15.42578125" bestFit="1" customWidth="1"/>
    <col min="4373" max="4373" width="16.42578125" bestFit="1" customWidth="1"/>
    <col min="4374" max="4374" width="14.28515625" customWidth="1"/>
    <col min="4375" max="4375" width="12.85546875" bestFit="1" customWidth="1"/>
    <col min="4376" max="4376" width="11.28515625" bestFit="1" customWidth="1"/>
    <col min="4377" max="4377" width="12.42578125" bestFit="1" customWidth="1"/>
    <col min="4378" max="4378" width="14" bestFit="1" customWidth="1"/>
    <col min="4379" max="4379" width="6" bestFit="1" customWidth="1"/>
    <col min="4380" max="4380" width="15" customWidth="1"/>
    <col min="4381" max="4381" width="14.85546875" bestFit="1" customWidth="1"/>
    <col min="4382" max="4382" width="16.140625" bestFit="1" customWidth="1"/>
    <col min="4610" max="4610" width="24" bestFit="1" customWidth="1"/>
    <col min="4611" max="4611" width="45.7109375" bestFit="1" customWidth="1"/>
    <col min="4612" max="4612" width="19.7109375" bestFit="1" customWidth="1"/>
    <col min="4613" max="4613" width="15.28515625" bestFit="1" customWidth="1"/>
    <col min="4614" max="4614" width="15.85546875" bestFit="1" customWidth="1"/>
    <col min="4615" max="4615" width="13.42578125" customWidth="1"/>
    <col min="4616" max="4616" width="15.28515625" bestFit="1" customWidth="1"/>
    <col min="4617" max="4617" width="14.140625" bestFit="1" customWidth="1"/>
    <col min="4618" max="4618" width="15.28515625" customWidth="1"/>
    <col min="4619" max="4619" width="15.85546875" customWidth="1"/>
    <col min="4620" max="4620" width="17" bestFit="1" customWidth="1"/>
    <col min="4621" max="4621" width="12.7109375" customWidth="1"/>
    <col min="4622" max="4622" width="13.7109375" customWidth="1"/>
    <col min="4623" max="4623" width="13.85546875" bestFit="1" customWidth="1"/>
    <col min="4624" max="4624" width="15.42578125" bestFit="1" customWidth="1"/>
    <col min="4625" max="4625" width="16.140625" customWidth="1"/>
    <col min="4626" max="4626" width="16.7109375" bestFit="1" customWidth="1"/>
    <col min="4627" max="4628" width="15.42578125" bestFit="1" customWidth="1"/>
    <col min="4629" max="4629" width="16.42578125" bestFit="1" customWidth="1"/>
    <col min="4630" max="4630" width="14.28515625" customWidth="1"/>
    <col min="4631" max="4631" width="12.85546875" bestFit="1" customWidth="1"/>
    <col min="4632" max="4632" width="11.28515625" bestFit="1" customWidth="1"/>
    <col min="4633" max="4633" width="12.42578125" bestFit="1" customWidth="1"/>
    <col min="4634" max="4634" width="14" bestFit="1" customWidth="1"/>
    <col min="4635" max="4635" width="6" bestFit="1" customWidth="1"/>
    <col min="4636" max="4636" width="15" customWidth="1"/>
    <col min="4637" max="4637" width="14.85546875" bestFit="1" customWidth="1"/>
    <col min="4638" max="4638" width="16.140625" bestFit="1" customWidth="1"/>
    <col min="4866" max="4866" width="24" bestFit="1" customWidth="1"/>
    <col min="4867" max="4867" width="45.7109375" bestFit="1" customWidth="1"/>
    <col min="4868" max="4868" width="19.7109375" bestFit="1" customWidth="1"/>
    <col min="4869" max="4869" width="15.28515625" bestFit="1" customWidth="1"/>
    <col min="4870" max="4870" width="15.85546875" bestFit="1" customWidth="1"/>
    <col min="4871" max="4871" width="13.42578125" customWidth="1"/>
    <col min="4872" max="4872" width="15.28515625" bestFit="1" customWidth="1"/>
    <col min="4873" max="4873" width="14.140625" bestFit="1" customWidth="1"/>
    <col min="4874" max="4874" width="15.28515625" customWidth="1"/>
    <col min="4875" max="4875" width="15.85546875" customWidth="1"/>
    <col min="4876" max="4876" width="17" bestFit="1" customWidth="1"/>
    <col min="4877" max="4877" width="12.7109375" customWidth="1"/>
    <col min="4878" max="4878" width="13.7109375" customWidth="1"/>
    <col min="4879" max="4879" width="13.85546875" bestFit="1" customWidth="1"/>
    <col min="4880" max="4880" width="15.42578125" bestFit="1" customWidth="1"/>
    <col min="4881" max="4881" width="16.140625" customWidth="1"/>
    <col min="4882" max="4882" width="16.7109375" bestFit="1" customWidth="1"/>
    <col min="4883" max="4884" width="15.42578125" bestFit="1" customWidth="1"/>
    <col min="4885" max="4885" width="16.42578125" bestFit="1" customWidth="1"/>
    <col min="4886" max="4886" width="14.28515625" customWidth="1"/>
    <col min="4887" max="4887" width="12.85546875" bestFit="1" customWidth="1"/>
    <col min="4888" max="4888" width="11.28515625" bestFit="1" customWidth="1"/>
    <col min="4889" max="4889" width="12.42578125" bestFit="1" customWidth="1"/>
    <col min="4890" max="4890" width="14" bestFit="1" customWidth="1"/>
    <col min="4891" max="4891" width="6" bestFit="1" customWidth="1"/>
    <col min="4892" max="4892" width="15" customWidth="1"/>
    <col min="4893" max="4893" width="14.85546875" bestFit="1" customWidth="1"/>
    <col min="4894" max="4894" width="16.140625" bestFit="1" customWidth="1"/>
    <col min="5122" max="5122" width="24" bestFit="1" customWidth="1"/>
    <col min="5123" max="5123" width="45.7109375" bestFit="1" customWidth="1"/>
    <col min="5124" max="5124" width="19.7109375" bestFit="1" customWidth="1"/>
    <col min="5125" max="5125" width="15.28515625" bestFit="1" customWidth="1"/>
    <col min="5126" max="5126" width="15.85546875" bestFit="1" customWidth="1"/>
    <col min="5127" max="5127" width="13.42578125" customWidth="1"/>
    <col min="5128" max="5128" width="15.28515625" bestFit="1" customWidth="1"/>
    <col min="5129" max="5129" width="14.140625" bestFit="1" customWidth="1"/>
    <col min="5130" max="5130" width="15.28515625" customWidth="1"/>
    <col min="5131" max="5131" width="15.85546875" customWidth="1"/>
    <col min="5132" max="5132" width="17" bestFit="1" customWidth="1"/>
    <col min="5133" max="5133" width="12.7109375" customWidth="1"/>
    <col min="5134" max="5134" width="13.7109375" customWidth="1"/>
    <col min="5135" max="5135" width="13.85546875" bestFit="1" customWidth="1"/>
    <col min="5136" max="5136" width="15.42578125" bestFit="1" customWidth="1"/>
    <col min="5137" max="5137" width="16.140625" customWidth="1"/>
    <col min="5138" max="5138" width="16.7109375" bestFit="1" customWidth="1"/>
    <col min="5139" max="5140" width="15.42578125" bestFit="1" customWidth="1"/>
    <col min="5141" max="5141" width="16.42578125" bestFit="1" customWidth="1"/>
    <col min="5142" max="5142" width="14.28515625" customWidth="1"/>
    <col min="5143" max="5143" width="12.85546875" bestFit="1" customWidth="1"/>
    <col min="5144" max="5144" width="11.28515625" bestFit="1" customWidth="1"/>
    <col min="5145" max="5145" width="12.42578125" bestFit="1" customWidth="1"/>
    <col min="5146" max="5146" width="14" bestFit="1" customWidth="1"/>
    <col min="5147" max="5147" width="6" bestFit="1" customWidth="1"/>
    <col min="5148" max="5148" width="15" customWidth="1"/>
    <col min="5149" max="5149" width="14.85546875" bestFit="1" customWidth="1"/>
    <col min="5150" max="5150" width="16.140625" bestFit="1" customWidth="1"/>
    <col min="5378" max="5378" width="24" bestFit="1" customWidth="1"/>
    <col min="5379" max="5379" width="45.7109375" bestFit="1" customWidth="1"/>
    <col min="5380" max="5380" width="19.7109375" bestFit="1" customWidth="1"/>
    <col min="5381" max="5381" width="15.28515625" bestFit="1" customWidth="1"/>
    <col min="5382" max="5382" width="15.85546875" bestFit="1" customWidth="1"/>
    <col min="5383" max="5383" width="13.42578125" customWidth="1"/>
    <col min="5384" max="5384" width="15.28515625" bestFit="1" customWidth="1"/>
    <col min="5385" max="5385" width="14.140625" bestFit="1" customWidth="1"/>
    <col min="5386" max="5386" width="15.28515625" customWidth="1"/>
    <col min="5387" max="5387" width="15.85546875" customWidth="1"/>
    <col min="5388" max="5388" width="17" bestFit="1" customWidth="1"/>
    <col min="5389" max="5389" width="12.7109375" customWidth="1"/>
    <col min="5390" max="5390" width="13.7109375" customWidth="1"/>
    <col min="5391" max="5391" width="13.85546875" bestFit="1" customWidth="1"/>
    <col min="5392" max="5392" width="15.42578125" bestFit="1" customWidth="1"/>
    <col min="5393" max="5393" width="16.140625" customWidth="1"/>
    <col min="5394" max="5394" width="16.7109375" bestFit="1" customWidth="1"/>
    <col min="5395" max="5396" width="15.42578125" bestFit="1" customWidth="1"/>
    <col min="5397" max="5397" width="16.42578125" bestFit="1" customWidth="1"/>
    <col min="5398" max="5398" width="14.28515625" customWidth="1"/>
    <col min="5399" max="5399" width="12.85546875" bestFit="1" customWidth="1"/>
    <col min="5400" max="5400" width="11.28515625" bestFit="1" customWidth="1"/>
    <col min="5401" max="5401" width="12.42578125" bestFit="1" customWidth="1"/>
    <col min="5402" max="5402" width="14" bestFit="1" customWidth="1"/>
    <col min="5403" max="5403" width="6" bestFit="1" customWidth="1"/>
    <col min="5404" max="5404" width="15" customWidth="1"/>
    <col min="5405" max="5405" width="14.85546875" bestFit="1" customWidth="1"/>
    <col min="5406" max="5406" width="16.140625" bestFit="1" customWidth="1"/>
    <col min="5634" max="5634" width="24" bestFit="1" customWidth="1"/>
    <col min="5635" max="5635" width="45.7109375" bestFit="1" customWidth="1"/>
    <col min="5636" max="5636" width="19.7109375" bestFit="1" customWidth="1"/>
    <col min="5637" max="5637" width="15.28515625" bestFit="1" customWidth="1"/>
    <col min="5638" max="5638" width="15.85546875" bestFit="1" customWidth="1"/>
    <col min="5639" max="5639" width="13.42578125" customWidth="1"/>
    <col min="5640" max="5640" width="15.28515625" bestFit="1" customWidth="1"/>
    <col min="5641" max="5641" width="14.140625" bestFit="1" customWidth="1"/>
    <col min="5642" max="5642" width="15.28515625" customWidth="1"/>
    <col min="5643" max="5643" width="15.85546875" customWidth="1"/>
    <col min="5644" max="5644" width="17" bestFit="1" customWidth="1"/>
    <col min="5645" max="5645" width="12.7109375" customWidth="1"/>
    <col min="5646" max="5646" width="13.7109375" customWidth="1"/>
    <col min="5647" max="5647" width="13.85546875" bestFit="1" customWidth="1"/>
    <col min="5648" max="5648" width="15.42578125" bestFit="1" customWidth="1"/>
    <col min="5649" max="5649" width="16.140625" customWidth="1"/>
    <col min="5650" max="5650" width="16.7109375" bestFit="1" customWidth="1"/>
    <col min="5651" max="5652" width="15.42578125" bestFit="1" customWidth="1"/>
    <col min="5653" max="5653" width="16.42578125" bestFit="1" customWidth="1"/>
    <col min="5654" max="5654" width="14.28515625" customWidth="1"/>
    <col min="5655" max="5655" width="12.85546875" bestFit="1" customWidth="1"/>
    <col min="5656" max="5656" width="11.28515625" bestFit="1" customWidth="1"/>
    <col min="5657" max="5657" width="12.42578125" bestFit="1" customWidth="1"/>
    <col min="5658" max="5658" width="14" bestFit="1" customWidth="1"/>
    <col min="5659" max="5659" width="6" bestFit="1" customWidth="1"/>
    <col min="5660" max="5660" width="15" customWidth="1"/>
    <col min="5661" max="5661" width="14.85546875" bestFit="1" customWidth="1"/>
    <col min="5662" max="5662" width="16.140625" bestFit="1" customWidth="1"/>
    <col min="5890" max="5890" width="24" bestFit="1" customWidth="1"/>
    <col min="5891" max="5891" width="45.7109375" bestFit="1" customWidth="1"/>
    <col min="5892" max="5892" width="19.7109375" bestFit="1" customWidth="1"/>
    <col min="5893" max="5893" width="15.28515625" bestFit="1" customWidth="1"/>
    <col min="5894" max="5894" width="15.85546875" bestFit="1" customWidth="1"/>
    <col min="5895" max="5895" width="13.42578125" customWidth="1"/>
    <col min="5896" max="5896" width="15.28515625" bestFit="1" customWidth="1"/>
    <col min="5897" max="5897" width="14.140625" bestFit="1" customWidth="1"/>
    <col min="5898" max="5898" width="15.28515625" customWidth="1"/>
    <col min="5899" max="5899" width="15.85546875" customWidth="1"/>
    <col min="5900" max="5900" width="17" bestFit="1" customWidth="1"/>
    <col min="5901" max="5901" width="12.7109375" customWidth="1"/>
    <col min="5902" max="5902" width="13.7109375" customWidth="1"/>
    <col min="5903" max="5903" width="13.85546875" bestFit="1" customWidth="1"/>
    <col min="5904" max="5904" width="15.42578125" bestFit="1" customWidth="1"/>
    <col min="5905" max="5905" width="16.140625" customWidth="1"/>
    <col min="5906" max="5906" width="16.7109375" bestFit="1" customWidth="1"/>
    <col min="5907" max="5908" width="15.42578125" bestFit="1" customWidth="1"/>
    <col min="5909" max="5909" width="16.42578125" bestFit="1" customWidth="1"/>
    <col min="5910" max="5910" width="14.28515625" customWidth="1"/>
    <col min="5911" max="5911" width="12.85546875" bestFit="1" customWidth="1"/>
    <col min="5912" max="5912" width="11.28515625" bestFit="1" customWidth="1"/>
    <col min="5913" max="5913" width="12.42578125" bestFit="1" customWidth="1"/>
    <col min="5914" max="5914" width="14" bestFit="1" customWidth="1"/>
    <col min="5915" max="5915" width="6" bestFit="1" customWidth="1"/>
    <col min="5916" max="5916" width="15" customWidth="1"/>
    <col min="5917" max="5917" width="14.85546875" bestFit="1" customWidth="1"/>
    <col min="5918" max="5918" width="16.140625" bestFit="1" customWidth="1"/>
    <col min="6146" max="6146" width="24" bestFit="1" customWidth="1"/>
    <col min="6147" max="6147" width="45.7109375" bestFit="1" customWidth="1"/>
    <col min="6148" max="6148" width="19.7109375" bestFit="1" customWidth="1"/>
    <col min="6149" max="6149" width="15.28515625" bestFit="1" customWidth="1"/>
    <col min="6150" max="6150" width="15.85546875" bestFit="1" customWidth="1"/>
    <col min="6151" max="6151" width="13.42578125" customWidth="1"/>
    <col min="6152" max="6152" width="15.28515625" bestFit="1" customWidth="1"/>
    <col min="6153" max="6153" width="14.140625" bestFit="1" customWidth="1"/>
    <col min="6154" max="6154" width="15.28515625" customWidth="1"/>
    <col min="6155" max="6155" width="15.85546875" customWidth="1"/>
    <col min="6156" max="6156" width="17" bestFit="1" customWidth="1"/>
    <col min="6157" max="6157" width="12.7109375" customWidth="1"/>
    <col min="6158" max="6158" width="13.7109375" customWidth="1"/>
    <col min="6159" max="6159" width="13.85546875" bestFit="1" customWidth="1"/>
    <col min="6160" max="6160" width="15.42578125" bestFit="1" customWidth="1"/>
    <col min="6161" max="6161" width="16.140625" customWidth="1"/>
    <col min="6162" max="6162" width="16.7109375" bestFit="1" customWidth="1"/>
    <col min="6163" max="6164" width="15.42578125" bestFit="1" customWidth="1"/>
    <col min="6165" max="6165" width="16.42578125" bestFit="1" customWidth="1"/>
    <col min="6166" max="6166" width="14.28515625" customWidth="1"/>
    <col min="6167" max="6167" width="12.85546875" bestFit="1" customWidth="1"/>
    <col min="6168" max="6168" width="11.28515625" bestFit="1" customWidth="1"/>
    <col min="6169" max="6169" width="12.42578125" bestFit="1" customWidth="1"/>
    <col min="6170" max="6170" width="14" bestFit="1" customWidth="1"/>
    <col min="6171" max="6171" width="6" bestFit="1" customWidth="1"/>
    <col min="6172" max="6172" width="15" customWidth="1"/>
    <col min="6173" max="6173" width="14.85546875" bestFit="1" customWidth="1"/>
    <col min="6174" max="6174" width="16.140625" bestFit="1" customWidth="1"/>
    <col min="6402" max="6402" width="24" bestFit="1" customWidth="1"/>
    <col min="6403" max="6403" width="45.7109375" bestFit="1" customWidth="1"/>
    <col min="6404" max="6404" width="19.7109375" bestFit="1" customWidth="1"/>
    <col min="6405" max="6405" width="15.28515625" bestFit="1" customWidth="1"/>
    <col min="6406" max="6406" width="15.85546875" bestFit="1" customWidth="1"/>
    <col min="6407" max="6407" width="13.42578125" customWidth="1"/>
    <col min="6408" max="6408" width="15.28515625" bestFit="1" customWidth="1"/>
    <col min="6409" max="6409" width="14.140625" bestFit="1" customWidth="1"/>
    <col min="6410" max="6410" width="15.28515625" customWidth="1"/>
    <col min="6411" max="6411" width="15.85546875" customWidth="1"/>
    <col min="6412" max="6412" width="17" bestFit="1" customWidth="1"/>
    <col min="6413" max="6413" width="12.7109375" customWidth="1"/>
    <col min="6414" max="6414" width="13.7109375" customWidth="1"/>
    <col min="6415" max="6415" width="13.85546875" bestFit="1" customWidth="1"/>
    <col min="6416" max="6416" width="15.42578125" bestFit="1" customWidth="1"/>
    <col min="6417" max="6417" width="16.140625" customWidth="1"/>
    <col min="6418" max="6418" width="16.7109375" bestFit="1" customWidth="1"/>
    <col min="6419" max="6420" width="15.42578125" bestFit="1" customWidth="1"/>
    <col min="6421" max="6421" width="16.42578125" bestFit="1" customWidth="1"/>
    <col min="6422" max="6422" width="14.28515625" customWidth="1"/>
    <col min="6423" max="6423" width="12.85546875" bestFit="1" customWidth="1"/>
    <col min="6424" max="6424" width="11.28515625" bestFit="1" customWidth="1"/>
    <col min="6425" max="6425" width="12.42578125" bestFit="1" customWidth="1"/>
    <col min="6426" max="6426" width="14" bestFit="1" customWidth="1"/>
    <col min="6427" max="6427" width="6" bestFit="1" customWidth="1"/>
    <col min="6428" max="6428" width="15" customWidth="1"/>
    <col min="6429" max="6429" width="14.85546875" bestFit="1" customWidth="1"/>
    <col min="6430" max="6430" width="16.140625" bestFit="1" customWidth="1"/>
    <col min="6658" max="6658" width="24" bestFit="1" customWidth="1"/>
    <col min="6659" max="6659" width="45.7109375" bestFit="1" customWidth="1"/>
    <col min="6660" max="6660" width="19.7109375" bestFit="1" customWidth="1"/>
    <col min="6661" max="6661" width="15.28515625" bestFit="1" customWidth="1"/>
    <col min="6662" max="6662" width="15.85546875" bestFit="1" customWidth="1"/>
    <col min="6663" max="6663" width="13.42578125" customWidth="1"/>
    <col min="6664" max="6664" width="15.28515625" bestFit="1" customWidth="1"/>
    <col min="6665" max="6665" width="14.140625" bestFit="1" customWidth="1"/>
    <col min="6666" max="6666" width="15.28515625" customWidth="1"/>
    <col min="6667" max="6667" width="15.85546875" customWidth="1"/>
    <col min="6668" max="6668" width="17" bestFit="1" customWidth="1"/>
    <col min="6669" max="6669" width="12.7109375" customWidth="1"/>
    <col min="6670" max="6670" width="13.7109375" customWidth="1"/>
    <col min="6671" max="6671" width="13.85546875" bestFit="1" customWidth="1"/>
    <col min="6672" max="6672" width="15.42578125" bestFit="1" customWidth="1"/>
    <col min="6673" max="6673" width="16.140625" customWidth="1"/>
    <col min="6674" max="6674" width="16.7109375" bestFit="1" customWidth="1"/>
    <col min="6675" max="6676" width="15.42578125" bestFit="1" customWidth="1"/>
    <col min="6677" max="6677" width="16.42578125" bestFit="1" customWidth="1"/>
    <col min="6678" max="6678" width="14.28515625" customWidth="1"/>
    <col min="6679" max="6679" width="12.85546875" bestFit="1" customWidth="1"/>
    <col min="6680" max="6680" width="11.28515625" bestFit="1" customWidth="1"/>
    <col min="6681" max="6681" width="12.42578125" bestFit="1" customWidth="1"/>
    <col min="6682" max="6682" width="14" bestFit="1" customWidth="1"/>
    <col min="6683" max="6683" width="6" bestFit="1" customWidth="1"/>
    <col min="6684" max="6684" width="15" customWidth="1"/>
    <col min="6685" max="6685" width="14.85546875" bestFit="1" customWidth="1"/>
    <col min="6686" max="6686" width="16.140625" bestFit="1" customWidth="1"/>
    <col min="6914" max="6914" width="24" bestFit="1" customWidth="1"/>
    <col min="6915" max="6915" width="45.7109375" bestFit="1" customWidth="1"/>
    <col min="6916" max="6916" width="19.7109375" bestFit="1" customWidth="1"/>
    <col min="6917" max="6917" width="15.28515625" bestFit="1" customWidth="1"/>
    <col min="6918" max="6918" width="15.85546875" bestFit="1" customWidth="1"/>
    <col min="6919" max="6919" width="13.42578125" customWidth="1"/>
    <col min="6920" max="6920" width="15.28515625" bestFit="1" customWidth="1"/>
    <col min="6921" max="6921" width="14.140625" bestFit="1" customWidth="1"/>
    <col min="6922" max="6922" width="15.28515625" customWidth="1"/>
    <col min="6923" max="6923" width="15.85546875" customWidth="1"/>
    <col min="6924" max="6924" width="17" bestFit="1" customWidth="1"/>
    <col min="6925" max="6925" width="12.7109375" customWidth="1"/>
    <col min="6926" max="6926" width="13.7109375" customWidth="1"/>
    <col min="6927" max="6927" width="13.85546875" bestFit="1" customWidth="1"/>
    <col min="6928" max="6928" width="15.42578125" bestFit="1" customWidth="1"/>
    <col min="6929" max="6929" width="16.140625" customWidth="1"/>
    <col min="6930" max="6930" width="16.7109375" bestFit="1" customWidth="1"/>
    <col min="6931" max="6932" width="15.42578125" bestFit="1" customWidth="1"/>
    <col min="6933" max="6933" width="16.42578125" bestFit="1" customWidth="1"/>
    <col min="6934" max="6934" width="14.28515625" customWidth="1"/>
    <col min="6935" max="6935" width="12.85546875" bestFit="1" customWidth="1"/>
    <col min="6936" max="6936" width="11.28515625" bestFit="1" customWidth="1"/>
    <col min="6937" max="6937" width="12.42578125" bestFit="1" customWidth="1"/>
    <col min="6938" max="6938" width="14" bestFit="1" customWidth="1"/>
    <col min="6939" max="6939" width="6" bestFit="1" customWidth="1"/>
    <col min="6940" max="6940" width="15" customWidth="1"/>
    <col min="6941" max="6941" width="14.85546875" bestFit="1" customWidth="1"/>
    <col min="6942" max="6942" width="16.140625" bestFit="1" customWidth="1"/>
    <col min="7170" max="7170" width="24" bestFit="1" customWidth="1"/>
    <col min="7171" max="7171" width="45.7109375" bestFit="1" customWidth="1"/>
    <col min="7172" max="7172" width="19.7109375" bestFit="1" customWidth="1"/>
    <col min="7173" max="7173" width="15.28515625" bestFit="1" customWidth="1"/>
    <col min="7174" max="7174" width="15.85546875" bestFit="1" customWidth="1"/>
    <col min="7175" max="7175" width="13.42578125" customWidth="1"/>
    <col min="7176" max="7176" width="15.28515625" bestFit="1" customWidth="1"/>
    <col min="7177" max="7177" width="14.140625" bestFit="1" customWidth="1"/>
    <col min="7178" max="7178" width="15.28515625" customWidth="1"/>
    <col min="7179" max="7179" width="15.85546875" customWidth="1"/>
    <col min="7180" max="7180" width="17" bestFit="1" customWidth="1"/>
    <col min="7181" max="7181" width="12.7109375" customWidth="1"/>
    <col min="7182" max="7182" width="13.7109375" customWidth="1"/>
    <col min="7183" max="7183" width="13.85546875" bestFit="1" customWidth="1"/>
    <col min="7184" max="7184" width="15.42578125" bestFit="1" customWidth="1"/>
    <col min="7185" max="7185" width="16.140625" customWidth="1"/>
    <col min="7186" max="7186" width="16.7109375" bestFit="1" customWidth="1"/>
    <col min="7187" max="7188" width="15.42578125" bestFit="1" customWidth="1"/>
    <col min="7189" max="7189" width="16.42578125" bestFit="1" customWidth="1"/>
    <col min="7190" max="7190" width="14.28515625" customWidth="1"/>
    <col min="7191" max="7191" width="12.85546875" bestFit="1" customWidth="1"/>
    <col min="7192" max="7192" width="11.28515625" bestFit="1" customWidth="1"/>
    <col min="7193" max="7193" width="12.42578125" bestFit="1" customWidth="1"/>
    <col min="7194" max="7194" width="14" bestFit="1" customWidth="1"/>
    <col min="7195" max="7195" width="6" bestFit="1" customWidth="1"/>
    <col min="7196" max="7196" width="15" customWidth="1"/>
    <col min="7197" max="7197" width="14.85546875" bestFit="1" customWidth="1"/>
    <col min="7198" max="7198" width="16.140625" bestFit="1" customWidth="1"/>
    <col min="7426" max="7426" width="24" bestFit="1" customWidth="1"/>
    <col min="7427" max="7427" width="45.7109375" bestFit="1" customWidth="1"/>
    <col min="7428" max="7428" width="19.7109375" bestFit="1" customWidth="1"/>
    <col min="7429" max="7429" width="15.28515625" bestFit="1" customWidth="1"/>
    <col min="7430" max="7430" width="15.85546875" bestFit="1" customWidth="1"/>
    <col min="7431" max="7431" width="13.42578125" customWidth="1"/>
    <col min="7432" max="7432" width="15.28515625" bestFit="1" customWidth="1"/>
    <col min="7433" max="7433" width="14.140625" bestFit="1" customWidth="1"/>
    <col min="7434" max="7434" width="15.28515625" customWidth="1"/>
    <col min="7435" max="7435" width="15.85546875" customWidth="1"/>
    <col min="7436" max="7436" width="17" bestFit="1" customWidth="1"/>
    <col min="7437" max="7437" width="12.7109375" customWidth="1"/>
    <col min="7438" max="7438" width="13.7109375" customWidth="1"/>
    <col min="7439" max="7439" width="13.85546875" bestFit="1" customWidth="1"/>
    <col min="7440" max="7440" width="15.42578125" bestFit="1" customWidth="1"/>
    <col min="7441" max="7441" width="16.140625" customWidth="1"/>
    <col min="7442" max="7442" width="16.7109375" bestFit="1" customWidth="1"/>
    <col min="7443" max="7444" width="15.42578125" bestFit="1" customWidth="1"/>
    <col min="7445" max="7445" width="16.42578125" bestFit="1" customWidth="1"/>
    <col min="7446" max="7446" width="14.28515625" customWidth="1"/>
    <col min="7447" max="7447" width="12.85546875" bestFit="1" customWidth="1"/>
    <col min="7448" max="7448" width="11.28515625" bestFit="1" customWidth="1"/>
    <col min="7449" max="7449" width="12.42578125" bestFit="1" customWidth="1"/>
    <col min="7450" max="7450" width="14" bestFit="1" customWidth="1"/>
    <col min="7451" max="7451" width="6" bestFit="1" customWidth="1"/>
    <col min="7452" max="7452" width="15" customWidth="1"/>
    <col min="7453" max="7453" width="14.85546875" bestFit="1" customWidth="1"/>
    <col min="7454" max="7454" width="16.140625" bestFit="1" customWidth="1"/>
    <col min="7682" max="7682" width="24" bestFit="1" customWidth="1"/>
    <col min="7683" max="7683" width="45.7109375" bestFit="1" customWidth="1"/>
    <col min="7684" max="7684" width="19.7109375" bestFit="1" customWidth="1"/>
    <col min="7685" max="7685" width="15.28515625" bestFit="1" customWidth="1"/>
    <col min="7686" max="7686" width="15.85546875" bestFit="1" customWidth="1"/>
    <col min="7687" max="7687" width="13.42578125" customWidth="1"/>
    <col min="7688" max="7688" width="15.28515625" bestFit="1" customWidth="1"/>
    <col min="7689" max="7689" width="14.140625" bestFit="1" customWidth="1"/>
    <col min="7690" max="7690" width="15.28515625" customWidth="1"/>
    <col min="7691" max="7691" width="15.85546875" customWidth="1"/>
    <col min="7692" max="7692" width="17" bestFit="1" customWidth="1"/>
    <col min="7693" max="7693" width="12.7109375" customWidth="1"/>
    <col min="7694" max="7694" width="13.7109375" customWidth="1"/>
    <col min="7695" max="7695" width="13.85546875" bestFit="1" customWidth="1"/>
    <col min="7696" max="7696" width="15.42578125" bestFit="1" customWidth="1"/>
    <col min="7697" max="7697" width="16.140625" customWidth="1"/>
    <col min="7698" max="7698" width="16.7109375" bestFit="1" customWidth="1"/>
    <col min="7699" max="7700" width="15.42578125" bestFit="1" customWidth="1"/>
    <col min="7701" max="7701" width="16.42578125" bestFit="1" customWidth="1"/>
    <col min="7702" max="7702" width="14.28515625" customWidth="1"/>
    <col min="7703" max="7703" width="12.85546875" bestFit="1" customWidth="1"/>
    <col min="7704" max="7704" width="11.28515625" bestFit="1" customWidth="1"/>
    <col min="7705" max="7705" width="12.42578125" bestFit="1" customWidth="1"/>
    <col min="7706" max="7706" width="14" bestFit="1" customWidth="1"/>
    <col min="7707" max="7707" width="6" bestFit="1" customWidth="1"/>
    <col min="7708" max="7708" width="15" customWidth="1"/>
    <col min="7709" max="7709" width="14.85546875" bestFit="1" customWidth="1"/>
    <col min="7710" max="7710" width="16.140625" bestFit="1" customWidth="1"/>
    <col min="7938" max="7938" width="24" bestFit="1" customWidth="1"/>
    <col min="7939" max="7939" width="45.7109375" bestFit="1" customWidth="1"/>
    <col min="7940" max="7940" width="19.7109375" bestFit="1" customWidth="1"/>
    <col min="7941" max="7941" width="15.28515625" bestFit="1" customWidth="1"/>
    <col min="7942" max="7942" width="15.85546875" bestFit="1" customWidth="1"/>
    <col min="7943" max="7943" width="13.42578125" customWidth="1"/>
    <col min="7944" max="7944" width="15.28515625" bestFit="1" customWidth="1"/>
    <col min="7945" max="7945" width="14.140625" bestFit="1" customWidth="1"/>
    <col min="7946" max="7946" width="15.28515625" customWidth="1"/>
    <col min="7947" max="7947" width="15.85546875" customWidth="1"/>
    <col min="7948" max="7948" width="17" bestFit="1" customWidth="1"/>
    <col min="7949" max="7949" width="12.7109375" customWidth="1"/>
    <col min="7950" max="7950" width="13.7109375" customWidth="1"/>
    <col min="7951" max="7951" width="13.85546875" bestFit="1" customWidth="1"/>
    <col min="7952" max="7952" width="15.42578125" bestFit="1" customWidth="1"/>
    <col min="7953" max="7953" width="16.140625" customWidth="1"/>
    <col min="7954" max="7954" width="16.7109375" bestFit="1" customWidth="1"/>
    <col min="7955" max="7956" width="15.42578125" bestFit="1" customWidth="1"/>
    <col min="7957" max="7957" width="16.42578125" bestFit="1" customWidth="1"/>
    <col min="7958" max="7958" width="14.28515625" customWidth="1"/>
    <col min="7959" max="7959" width="12.85546875" bestFit="1" customWidth="1"/>
    <col min="7960" max="7960" width="11.28515625" bestFit="1" customWidth="1"/>
    <col min="7961" max="7961" width="12.42578125" bestFit="1" customWidth="1"/>
    <col min="7962" max="7962" width="14" bestFit="1" customWidth="1"/>
    <col min="7963" max="7963" width="6" bestFit="1" customWidth="1"/>
    <col min="7964" max="7964" width="15" customWidth="1"/>
    <col min="7965" max="7965" width="14.85546875" bestFit="1" customWidth="1"/>
    <col min="7966" max="7966" width="16.140625" bestFit="1" customWidth="1"/>
    <col min="8194" max="8194" width="24" bestFit="1" customWidth="1"/>
    <col min="8195" max="8195" width="45.7109375" bestFit="1" customWidth="1"/>
    <col min="8196" max="8196" width="19.7109375" bestFit="1" customWidth="1"/>
    <col min="8197" max="8197" width="15.28515625" bestFit="1" customWidth="1"/>
    <col min="8198" max="8198" width="15.85546875" bestFit="1" customWidth="1"/>
    <col min="8199" max="8199" width="13.42578125" customWidth="1"/>
    <col min="8200" max="8200" width="15.28515625" bestFit="1" customWidth="1"/>
    <col min="8201" max="8201" width="14.140625" bestFit="1" customWidth="1"/>
    <col min="8202" max="8202" width="15.28515625" customWidth="1"/>
    <col min="8203" max="8203" width="15.85546875" customWidth="1"/>
    <col min="8204" max="8204" width="17" bestFit="1" customWidth="1"/>
    <col min="8205" max="8205" width="12.7109375" customWidth="1"/>
    <col min="8206" max="8206" width="13.7109375" customWidth="1"/>
    <col min="8207" max="8207" width="13.85546875" bestFit="1" customWidth="1"/>
    <col min="8208" max="8208" width="15.42578125" bestFit="1" customWidth="1"/>
    <col min="8209" max="8209" width="16.140625" customWidth="1"/>
    <col min="8210" max="8210" width="16.7109375" bestFit="1" customWidth="1"/>
    <col min="8211" max="8212" width="15.42578125" bestFit="1" customWidth="1"/>
    <col min="8213" max="8213" width="16.42578125" bestFit="1" customWidth="1"/>
    <col min="8214" max="8214" width="14.28515625" customWidth="1"/>
    <col min="8215" max="8215" width="12.85546875" bestFit="1" customWidth="1"/>
    <col min="8216" max="8216" width="11.28515625" bestFit="1" customWidth="1"/>
    <col min="8217" max="8217" width="12.42578125" bestFit="1" customWidth="1"/>
    <col min="8218" max="8218" width="14" bestFit="1" customWidth="1"/>
    <col min="8219" max="8219" width="6" bestFit="1" customWidth="1"/>
    <col min="8220" max="8220" width="15" customWidth="1"/>
    <col min="8221" max="8221" width="14.85546875" bestFit="1" customWidth="1"/>
    <col min="8222" max="8222" width="16.140625" bestFit="1" customWidth="1"/>
    <col min="8450" max="8450" width="24" bestFit="1" customWidth="1"/>
    <col min="8451" max="8451" width="45.7109375" bestFit="1" customWidth="1"/>
    <col min="8452" max="8452" width="19.7109375" bestFit="1" customWidth="1"/>
    <col min="8453" max="8453" width="15.28515625" bestFit="1" customWidth="1"/>
    <col min="8454" max="8454" width="15.85546875" bestFit="1" customWidth="1"/>
    <col min="8455" max="8455" width="13.42578125" customWidth="1"/>
    <col min="8456" max="8456" width="15.28515625" bestFit="1" customWidth="1"/>
    <col min="8457" max="8457" width="14.140625" bestFit="1" customWidth="1"/>
    <col min="8458" max="8458" width="15.28515625" customWidth="1"/>
    <col min="8459" max="8459" width="15.85546875" customWidth="1"/>
    <col min="8460" max="8460" width="17" bestFit="1" customWidth="1"/>
    <col min="8461" max="8461" width="12.7109375" customWidth="1"/>
    <col min="8462" max="8462" width="13.7109375" customWidth="1"/>
    <col min="8463" max="8463" width="13.85546875" bestFit="1" customWidth="1"/>
    <col min="8464" max="8464" width="15.42578125" bestFit="1" customWidth="1"/>
    <col min="8465" max="8465" width="16.140625" customWidth="1"/>
    <col min="8466" max="8466" width="16.7109375" bestFit="1" customWidth="1"/>
    <col min="8467" max="8468" width="15.42578125" bestFit="1" customWidth="1"/>
    <col min="8469" max="8469" width="16.42578125" bestFit="1" customWidth="1"/>
    <col min="8470" max="8470" width="14.28515625" customWidth="1"/>
    <col min="8471" max="8471" width="12.85546875" bestFit="1" customWidth="1"/>
    <col min="8472" max="8472" width="11.28515625" bestFit="1" customWidth="1"/>
    <col min="8473" max="8473" width="12.42578125" bestFit="1" customWidth="1"/>
    <col min="8474" max="8474" width="14" bestFit="1" customWidth="1"/>
    <col min="8475" max="8475" width="6" bestFit="1" customWidth="1"/>
    <col min="8476" max="8476" width="15" customWidth="1"/>
    <col min="8477" max="8477" width="14.85546875" bestFit="1" customWidth="1"/>
    <col min="8478" max="8478" width="16.140625" bestFit="1" customWidth="1"/>
    <col min="8706" max="8706" width="24" bestFit="1" customWidth="1"/>
    <col min="8707" max="8707" width="45.7109375" bestFit="1" customWidth="1"/>
    <col min="8708" max="8708" width="19.7109375" bestFit="1" customWidth="1"/>
    <col min="8709" max="8709" width="15.28515625" bestFit="1" customWidth="1"/>
    <col min="8710" max="8710" width="15.85546875" bestFit="1" customWidth="1"/>
    <col min="8711" max="8711" width="13.42578125" customWidth="1"/>
    <col min="8712" max="8712" width="15.28515625" bestFit="1" customWidth="1"/>
    <col min="8713" max="8713" width="14.140625" bestFit="1" customWidth="1"/>
    <col min="8714" max="8714" width="15.28515625" customWidth="1"/>
    <col min="8715" max="8715" width="15.85546875" customWidth="1"/>
    <col min="8716" max="8716" width="17" bestFit="1" customWidth="1"/>
    <col min="8717" max="8717" width="12.7109375" customWidth="1"/>
    <col min="8718" max="8718" width="13.7109375" customWidth="1"/>
    <col min="8719" max="8719" width="13.85546875" bestFit="1" customWidth="1"/>
    <col min="8720" max="8720" width="15.42578125" bestFit="1" customWidth="1"/>
    <col min="8721" max="8721" width="16.140625" customWidth="1"/>
    <col min="8722" max="8722" width="16.7109375" bestFit="1" customWidth="1"/>
    <col min="8723" max="8724" width="15.42578125" bestFit="1" customWidth="1"/>
    <col min="8725" max="8725" width="16.42578125" bestFit="1" customWidth="1"/>
    <col min="8726" max="8726" width="14.28515625" customWidth="1"/>
    <col min="8727" max="8727" width="12.85546875" bestFit="1" customWidth="1"/>
    <col min="8728" max="8728" width="11.28515625" bestFit="1" customWidth="1"/>
    <col min="8729" max="8729" width="12.42578125" bestFit="1" customWidth="1"/>
    <col min="8730" max="8730" width="14" bestFit="1" customWidth="1"/>
    <col min="8731" max="8731" width="6" bestFit="1" customWidth="1"/>
    <col min="8732" max="8732" width="15" customWidth="1"/>
    <col min="8733" max="8733" width="14.85546875" bestFit="1" customWidth="1"/>
    <col min="8734" max="8734" width="16.140625" bestFit="1" customWidth="1"/>
    <col min="8962" max="8962" width="24" bestFit="1" customWidth="1"/>
    <col min="8963" max="8963" width="45.7109375" bestFit="1" customWidth="1"/>
    <col min="8964" max="8964" width="19.7109375" bestFit="1" customWidth="1"/>
    <col min="8965" max="8965" width="15.28515625" bestFit="1" customWidth="1"/>
    <col min="8966" max="8966" width="15.85546875" bestFit="1" customWidth="1"/>
    <col min="8967" max="8967" width="13.42578125" customWidth="1"/>
    <col min="8968" max="8968" width="15.28515625" bestFit="1" customWidth="1"/>
    <col min="8969" max="8969" width="14.140625" bestFit="1" customWidth="1"/>
    <col min="8970" max="8970" width="15.28515625" customWidth="1"/>
    <col min="8971" max="8971" width="15.85546875" customWidth="1"/>
    <col min="8972" max="8972" width="17" bestFit="1" customWidth="1"/>
    <col min="8973" max="8973" width="12.7109375" customWidth="1"/>
    <col min="8974" max="8974" width="13.7109375" customWidth="1"/>
    <col min="8975" max="8975" width="13.85546875" bestFit="1" customWidth="1"/>
    <col min="8976" max="8976" width="15.42578125" bestFit="1" customWidth="1"/>
    <col min="8977" max="8977" width="16.140625" customWidth="1"/>
    <col min="8978" max="8978" width="16.7109375" bestFit="1" customWidth="1"/>
    <col min="8979" max="8980" width="15.42578125" bestFit="1" customWidth="1"/>
    <col min="8981" max="8981" width="16.42578125" bestFit="1" customWidth="1"/>
    <col min="8982" max="8982" width="14.28515625" customWidth="1"/>
    <col min="8983" max="8983" width="12.85546875" bestFit="1" customWidth="1"/>
    <col min="8984" max="8984" width="11.28515625" bestFit="1" customWidth="1"/>
    <col min="8985" max="8985" width="12.42578125" bestFit="1" customWidth="1"/>
    <col min="8986" max="8986" width="14" bestFit="1" customWidth="1"/>
    <col min="8987" max="8987" width="6" bestFit="1" customWidth="1"/>
    <col min="8988" max="8988" width="15" customWidth="1"/>
    <col min="8989" max="8989" width="14.85546875" bestFit="1" customWidth="1"/>
    <col min="8990" max="8990" width="16.140625" bestFit="1" customWidth="1"/>
    <col min="9218" max="9218" width="24" bestFit="1" customWidth="1"/>
    <col min="9219" max="9219" width="45.7109375" bestFit="1" customWidth="1"/>
    <col min="9220" max="9220" width="19.7109375" bestFit="1" customWidth="1"/>
    <col min="9221" max="9221" width="15.28515625" bestFit="1" customWidth="1"/>
    <col min="9222" max="9222" width="15.85546875" bestFit="1" customWidth="1"/>
    <col min="9223" max="9223" width="13.42578125" customWidth="1"/>
    <col min="9224" max="9224" width="15.28515625" bestFit="1" customWidth="1"/>
    <col min="9225" max="9225" width="14.140625" bestFit="1" customWidth="1"/>
    <col min="9226" max="9226" width="15.28515625" customWidth="1"/>
    <col min="9227" max="9227" width="15.85546875" customWidth="1"/>
    <col min="9228" max="9228" width="17" bestFit="1" customWidth="1"/>
    <col min="9229" max="9229" width="12.7109375" customWidth="1"/>
    <col min="9230" max="9230" width="13.7109375" customWidth="1"/>
    <col min="9231" max="9231" width="13.85546875" bestFit="1" customWidth="1"/>
    <col min="9232" max="9232" width="15.42578125" bestFit="1" customWidth="1"/>
    <col min="9233" max="9233" width="16.140625" customWidth="1"/>
    <col min="9234" max="9234" width="16.7109375" bestFit="1" customWidth="1"/>
    <col min="9235" max="9236" width="15.42578125" bestFit="1" customWidth="1"/>
    <col min="9237" max="9237" width="16.42578125" bestFit="1" customWidth="1"/>
    <col min="9238" max="9238" width="14.28515625" customWidth="1"/>
    <col min="9239" max="9239" width="12.85546875" bestFit="1" customWidth="1"/>
    <col min="9240" max="9240" width="11.28515625" bestFit="1" customWidth="1"/>
    <col min="9241" max="9241" width="12.42578125" bestFit="1" customWidth="1"/>
    <col min="9242" max="9242" width="14" bestFit="1" customWidth="1"/>
    <col min="9243" max="9243" width="6" bestFit="1" customWidth="1"/>
    <col min="9244" max="9244" width="15" customWidth="1"/>
    <col min="9245" max="9245" width="14.85546875" bestFit="1" customWidth="1"/>
    <col min="9246" max="9246" width="16.140625" bestFit="1" customWidth="1"/>
    <col min="9474" max="9474" width="24" bestFit="1" customWidth="1"/>
    <col min="9475" max="9475" width="45.7109375" bestFit="1" customWidth="1"/>
    <col min="9476" max="9476" width="19.7109375" bestFit="1" customWidth="1"/>
    <col min="9477" max="9477" width="15.28515625" bestFit="1" customWidth="1"/>
    <col min="9478" max="9478" width="15.85546875" bestFit="1" customWidth="1"/>
    <col min="9479" max="9479" width="13.42578125" customWidth="1"/>
    <col min="9480" max="9480" width="15.28515625" bestFit="1" customWidth="1"/>
    <col min="9481" max="9481" width="14.140625" bestFit="1" customWidth="1"/>
    <col min="9482" max="9482" width="15.28515625" customWidth="1"/>
    <col min="9483" max="9483" width="15.85546875" customWidth="1"/>
    <col min="9484" max="9484" width="17" bestFit="1" customWidth="1"/>
    <col min="9485" max="9485" width="12.7109375" customWidth="1"/>
    <col min="9486" max="9486" width="13.7109375" customWidth="1"/>
    <col min="9487" max="9487" width="13.85546875" bestFit="1" customWidth="1"/>
    <col min="9488" max="9488" width="15.42578125" bestFit="1" customWidth="1"/>
    <col min="9489" max="9489" width="16.140625" customWidth="1"/>
    <col min="9490" max="9490" width="16.7109375" bestFit="1" customWidth="1"/>
    <col min="9491" max="9492" width="15.42578125" bestFit="1" customWidth="1"/>
    <col min="9493" max="9493" width="16.42578125" bestFit="1" customWidth="1"/>
    <col min="9494" max="9494" width="14.28515625" customWidth="1"/>
    <col min="9495" max="9495" width="12.85546875" bestFit="1" customWidth="1"/>
    <col min="9496" max="9496" width="11.28515625" bestFit="1" customWidth="1"/>
    <col min="9497" max="9497" width="12.42578125" bestFit="1" customWidth="1"/>
    <col min="9498" max="9498" width="14" bestFit="1" customWidth="1"/>
    <col min="9499" max="9499" width="6" bestFit="1" customWidth="1"/>
    <col min="9500" max="9500" width="15" customWidth="1"/>
    <col min="9501" max="9501" width="14.85546875" bestFit="1" customWidth="1"/>
    <col min="9502" max="9502" width="16.140625" bestFit="1" customWidth="1"/>
    <col min="9730" max="9730" width="24" bestFit="1" customWidth="1"/>
    <col min="9731" max="9731" width="45.7109375" bestFit="1" customWidth="1"/>
    <col min="9732" max="9732" width="19.7109375" bestFit="1" customWidth="1"/>
    <col min="9733" max="9733" width="15.28515625" bestFit="1" customWidth="1"/>
    <col min="9734" max="9734" width="15.85546875" bestFit="1" customWidth="1"/>
    <col min="9735" max="9735" width="13.42578125" customWidth="1"/>
    <col min="9736" max="9736" width="15.28515625" bestFit="1" customWidth="1"/>
    <col min="9737" max="9737" width="14.140625" bestFit="1" customWidth="1"/>
    <col min="9738" max="9738" width="15.28515625" customWidth="1"/>
    <col min="9739" max="9739" width="15.85546875" customWidth="1"/>
    <col min="9740" max="9740" width="17" bestFit="1" customWidth="1"/>
    <col min="9741" max="9741" width="12.7109375" customWidth="1"/>
    <col min="9742" max="9742" width="13.7109375" customWidth="1"/>
    <col min="9743" max="9743" width="13.85546875" bestFit="1" customWidth="1"/>
    <col min="9744" max="9744" width="15.42578125" bestFit="1" customWidth="1"/>
    <col min="9745" max="9745" width="16.140625" customWidth="1"/>
    <col min="9746" max="9746" width="16.7109375" bestFit="1" customWidth="1"/>
    <col min="9747" max="9748" width="15.42578125" bestFit="1" customWidth="1"/>
    <col min="9749" max="9749" width="16.42578125" bestFit="1" customWidth="1"/>
    <col min="9750" max="9750" width="14.28515625" customWidth="1"/>
    <col min="9751" max="9751" width="12.85546875" bestFit="1" customWidth="1"/>
    <col min="9752" max="9752" width="11.28515625" bestFit="1" customWidth="1"/>
    <col min="9753" max="9753" width="12.42578125" bestFit="1" customWidth="1"/>
    <col min="9754" max="9754" width="14" bestFit="1" customWidth="1"/>
    <col min="9755" max="9755" width="6" bestFit="1" customWidth="1"/>
    <col min="9756" max="9756" width="15" customWidth="1"/>
    <col min="9757" max="9757" width="14.85546875" bestFit="1" customWidth="1"/>
    <col min="9758" max="9758" width="16.140625" bestFit="1" customWidth="1"/>
    <col min="9986" max="9986" width="24" bestFit="1" customWidth="1"/>
    <col min="9987" max="9987" width="45.7109375" bestFit="1" customWidth="1"/>
    <col min="9988" max="9988" width="19.7109375" bestFit="1" customWidth="1"/>
    <col min="9989" max="9989" width="15.28515625" bestFit="1" customWidth="1"/>
    <col min="9990" max="9990" width="15.85546875" bestFit="1" customWidth="1"/>
    <col min="9991" max="9991" width="13.42578125" customWidth="1"/>
    <col min="9992" max="9992" width="15.28515625" bestFit="1" customWidth="1"/>
    <col min="9993" max="9993" width="14.140625" bestFit="1" customWidth="1"/>
    <col min="9994" max="9994" width="15.28515625" customWidth="1"/>
    <col min="9995" max="9995" width="15.85546875" customWidth="1"/>
    <col min="9996" max="9996" width="17" bestFit="1" customWidth="1"/>
    <col min="9997" max="9997" width="12.7109375" customWidth="1"/>
    <col min="9998" max="9998" width="13.7109375" customWidth="1"/>
    <col min="9999" max="9999" width="13.85546875" bestFit="1" customWidth="1"/>
    <col min="10000" max="10000" width="15.42578125" bestFit="1" customWidth="1"/>
    <col min="10001" max="10001" width="16.140625" customWidth="1"/>
    <col min="10002" max="10002" width="16.7109375" bestFit="1" customWidth="1"/>
    <col min="10003" max="10004" width="15.42578125" bestFit="1" customWidth="1"/>
    <col min="10005" max="10005" width="16.42578125" bestFit="1" customWidth="1"/>
    <col min="10006" max="10006" width="14.28515625" customWidth="1"/>
    <col min="10007" max="10007" width="12.85546875" bestFit="1" customWidth="1"/>
    <col min="10008" max="10008" width="11.28515625" bestFit="1" customWidth="1"/>
    <col min="10009" max="10009" width="12.42578125" bestFit="1" customWidth="1"/>
    <col min="10010" max="10010" width="14" bestFit="1" customWidth="1"/>
    <col min="10011" max="10011" width="6" bestFit="1" customWidth="1"/>
    <col min="10012" max="10012" width="15" customWidth="1"/>
    <col min="10013" max="10013" width="14.85546875" bestFit="1" customWidth="1"/>
    <col min="10014" max="10014" width="16.140625" bestFit="1" customWidth="1"/>
    <col min="10242" max="10242" width="24" bestFit="1" customWidth="1"/>
    <col min="10243" max="10243" width="45.7109375" bestFit="1" customWidth="1"/>
    <col min="10244" max="10244" width="19.7109375" bestFit="1" customWidth="1"/>
    <col min="10245" max="10245" width="15.28515625" bestFit="1" customWidth="1"/>
    <col min="10246" max="10246" width="15.85546875" bestFit="1" customWidth="1"/>
    <col min="10247" max="10247" width="13.42578125" customWidth="1"/>
    <col min="10248" max="10248" width="15.28515625" bestFit="1" customWidth="1"/>
    <col min="10249" max="10249" width="14.140625" bestFit="1" customWidth="1"/>
    <col min="10250" max="10250" width="15.28515625" customWidth="1"/>
    <col min="10251" max="10251" width="15.85546875" customWidth="1"/>
    <col min="10252" max="10252" width="17" bestFit="1" customWidth="1"/>
    <col min="10253" max="10253" width="12.7109375" customWidth="1"/>
    <col min="10254" max="10254" width="13.7109375" customWidth="1"/>
    <col min="10255" max="10255" width="13.85546875" bestFit="1" customWidth="1"/>
    <col min="10256" max="10256" width="15.42578125" bestFit="1" customWidth="1"/>
    <col min="10257" max="10257" width="16.140625" customWidth="1"/>
    <col min="10258" max="10258" width="16.7109375" bestFit="1" customWidth="1"/>
    <col min="10259" max="10260" width="15.42578125" bestFit="1" customWidth="1"/>
    <col min="10261" max="10261" width="16.42578125" bestFit="1" customWidth="1"/>
    <col min="10262" max="10262" width="14.28515625" customWidth="1"/>
    <col min="10263" max="10263" width="12.85546875" bestFit="1" customWidth="1"/>
    <col min="10264" max="10264" width="11.28515625" bestFit="1" customWidth="1"/>
    <col min="10265" max="10265" width="12.42578125" bestFit="1" customWidth="1"/>
    <col min="10266" max="10266" width="14" bestFit="1" customWidth="1"/>
    <col min="10267" max="10267" width="6" bestFit="1" customWidth="1"/>
    <col min="10268" max="10268" width="15" customWidth="1"/>
    <col min="10269" max="10269" width="14.85546875" bestFit="1" customWidth="1"/>
    <col min="10270" max="10270" width="16.140625" bestFit="1" customWidth="1"/>
    <col min="10498" max="10498" width="24" bestFit="1" customWidth="1"/>
    <col min="10499" max="10499" width="45.7109375" bestFit="1" customWidth="1"/>
    <col min="10500" max="10500" width="19.7109375" bestFit="1" customWidth="1"/>
    <col min="10501" max="10501" width="15.28515625" bestFit="1" customWidth="1"/>
    <col min="10502" max="10502" width="15.85546875" bestFit="1" customWidth="1"/>
    <col min="10503" max="10503" width="13.42578125" customWidth="1"/>
    <col min="10504" max="10504" width="15.28515625" bestFit="1" customWidth="1"/>
    <col min="10505" max="10505" width="14.140625" bestFit="1" customWidth="1"/>
    <col min="10506" max="10506" width="15.28515625" customWidth="1"/>
    <col min="10507" max="10507" width="15.85546875" customWidth="1"/>
    <col min="10508" max="10508" width="17" bestFit="1" customWidth="1"/>
    <col min="10509" max="10509" width="12.7109375" customWidth="1"/>
    <col min="10510" max="10510" width="13.7109375" customWidth="1"/>
    <col min="10511" max="10511" width="13.85546875" bestFit="1" customWidth="1"/>
    <col min="10512" max="10512" width="15.42578125" bestFit="1" customWidth="1"/>
    <col min="10513" max="10513" width="16.140625" customWidth="1"/>
    <col min="10514" max="10514" width="16.7109375" bestFit="1" customWidth="1"/>
    <col min="10515" max="10516" width="15.42578125" bestFit="1" customWidth="1"/>
    <col min="10517" max="10517" width="16.42578125" bestFit="1" customWidth="1"/>
    <col min="10518" max="10518" width="14.28515625" customWidth="1"/>
    <col min="10519" max="10519" width="12.85546875" bestFit="1" customWidth="1"/>
    <col min="10520" max="10520" width="11.28515625" bestFit="1" customWidth="1"/>
    <col min="10521" max="10521" width="12.42578125" bestFit="1" customWidth="1"/>
    <col min="10522" max="10522" width="14" bestFit="1" customWidth="1"/>
    <col min="10523" max="10523" width="6" bestFit="1" customWidth="1"/>
    <col min="10524" max="10524" width="15" customWidth="1"/>
    <col min="10525" max="10525" width="14.85546875" bestFit="1" customWidth="1"/>
    <col min="10526" max="10526" width="16.140625" bestFit="1" customWidth="1"/>
    <col min="10754" max="10754" width="24" bestFit="1" customWidth="1"/>
    <col min="10755" max="10755" width="45.7109375" bestFit="1" customWidth="1"/>
    <col min="10756" max="10756" width="19.7109375" bestFit="1" customWidth="1"/>
    <col min="10757" max="10757" width="15.28515625" bestFit="1" customWidth="1"/>
    <col min="10758" max="10758" width="15.85546875" bestFit="1" customWidth="1"/>
    <col min="10759" max="10759" width="13.42578125" customWidth="1"/>
    <col min="10760" max="10760" width="15.28515625" bestFit="1" customWidth="1"/>
    <col min="10761" max="10761" width="14.140625" bestFit="1" customWidth="1"/>
    <col min="10762" max="10762" width="15.28515625" customWidth="1"/>
    <col min="10763" max="10763" width="15.85546875" customWidth="1"/>
    <col min="10764" max="10764" width="17" bestFit="1" customWidth="1"/>
    <col min="10765" max="10765" width="12.7109375" customWidth="1"/>
    <col min="10766" max="10766" width="13.7109375" customWidth="1"/>
    <col min="10767" max="10767" width="13.85546875" bestFit="1" customWidth="1"/>
    <col min="10768" max="10768" width="15.42578125" bestFit="1" customWidth="1"/>
    <col min="10769" max="10769" width="16.140625" customWidth="1"/>
    <col min="10770" max="10770" width="16.7109375" bestFit="1" customWidth="1"/>
    <col min="10771" max="10772" width="15.42578125" bestFit="1" customWidth="1"/>
    <col min="10773" max="10773" width="16.42578125" bestFit="1" customWidth="1"/>
    <col min="10774" max="10774" width="14.28515625" customWidth="1"/>
    <col min="10775" max="10775" width="12.85546875" bestFit="1" customWidth="1"/>
    <col min="10776" max="10776" width="11.28515625" bestFit="1" customWidth="1"/>
    <col min="10777" max="10777" width="12.42578125" bestFit="1" customWidth="1"/>
    <col min="10778" max="10778" width="14" bestFit="1" customWidth="1"/>
    <col min="10779" max="10779" width="6" bestFit="1" customWidth="1"/>
    <col min="10780" max="10780" width="15" customWidth="1"/>
    <col min="10781" max="10781" width="14.85546875" bestFit="1" customWidth="1"/>
    <col min="10782" max="10782" width="16.140625" bestFit="1" customWidth="1"/>
    <col min="11010" max="11010" width="24" bestFit="1" customWidth="1"/>
    <col min="11011" max="11011" width="45.7109375" bestFit="1" customWidth="1"/>
    <col min="11012" max="11012" width="19.7109375" bestFit="1" customWidth="1"/>
    <col min="11013" max="11013" width="15.28515625" bestFit="1" customWidth="1"/>
    <col min="11014" max="11014" width="15.85546875" bestFit="1" customWidth="1"/>
    <col min="11015" max="11015" width="13.42578125" customWidth="1"/>
    <col min="11016" max="11016" width="15.28515625" bestFit="1" customWidth="1"/>
    <col min="11017" max="11017" width="14.140625" bestFit="1" customWidth="1"/>
    <col min="11018" max="11018" width="15.28515625" customWidth="1"/>
    <col min="11019" max="11019" width="15.85546875" customWidth="1"/>
    <col min="11020" max="11020" width="17" bestFit="1" customWidth="1"/>
    <col min="11021" max="11021" width="12.7109375" customWidth="1"/>
    <col min="11022" max="11022" width="13.7109375" customWidth="1"/>
    <col min="11023" max="11023" width="13.85546875" bestFit="1" customWidth="1"/>
    <col min="11024" max="11024" width="15.42578125" bestFit="1" customWidth="1"/>
    <col min="11025" max="11025" width="16.140625" customWidth="1"/>
    <col min="11026" max="11026" width="16.7109375" bestFit="1" customWidth="1"/>
    <col min="11027" max="11028" width="15.42578125" bestFit="1" customWidth="1"/>
    <col min="11029" max="11029" width="16.42578125" bestFit="1" customWidth="1"/>
    <col min="11030" max="11030" width="14.28515625" customWidth="1"/>
    <col min="11031" max="11031" width="12.85546875" bestFit="1" customWidth="1"/>
    <col min="11032" max="11032" width="11.28515625" bestFit="1" customWidth="1"/>
    <col min="11033" max="11033" width="12.42578125" bestFit="1" customWidth="1"/>
    <col min="11034" max="11034" width="14" bestFit="1" customWidth="1"/>
    <col min="11035" max="11035" width="6" bestFit="1" customWidth="1"/>
    <col min="11036" max="11036" width="15" customWidth="1"/>
    <col min="11037" max="11037" width="14.85546875" bestFit="1" customWidth="1"/>
    <col min="11038" max="11038" width="16.140625" bestFit="1" customWidth="1"/>
    <col min="11266" max="11266" width="24" bestFit="1" customWidth="1"/>
    <col min="11267" max="11267" width="45.7109375" bestFit="1" customWidth="1"/>
    <col min="11268" max="11268" width="19.7109375" bestFit="1" customWidth="1"/>
    <col min="11269" max="11269" width="15.28515625" bestFit="1" customWidth="1"/>
    <col min="11270" max="11270" width="15.85546875" bestFit="1" customWidth="1"/>
    <col min="11271" max="11271" width="13.42578125" customWidth="1"/>
    <col min="11272" max="11272" width="15.28515625" bestFit="1" customWidth="1"/>
    <col min="11273" max="11273" width="14.140625" bestFit="1" customWidth="1"/>
    <col min="11274" max="11274" width="15.28515625" customWidth="1"/>
    <col min="11275" max="11275" width="15.85546875" customWidth="1"/>
    <col min="11276" max="11276" width="17" bestFit="1" customWidth="1"/>
    <col min="11277" max="11277" width="12.7109375" customWidth="1"/>
    <col min="11278" max="11278" width="13.7109375" customWidth="1"/>
    <col min="11279" max="11279" width="13.85546875" bestFit="1" customWidth="1"/>
    <col min="11280" max="11280" width="15.42578125" bestFit="1" customWidth="1"/>
    <col min="11281" max="11281" width="16.140625" customWidth="1"/>
    <col min="11282" max="11282" width="16.7109375" bestFit="1" customWidth="1"/>
    <col min="11283" max="11284" width="15.42578125" bestFit="1" customWidth="1"/>
    <col min="11285" max="11285" width="16.42578125" bestFit="1" customWidth="1"/>
    <col min="11286" max="11286" width="14.28515625" customWidth="1"/>
    <col min="11287" max="11287" width="12.85546875" bestFit="1" customWidth="1"/>
    <col min="11288" max="11288" width="11.28515625" bestFit="1" customWidth="1"/>
    <col min="11289" max="11289" width="12.42578125" bestFit="1" customWidth="1"/>
    <col min="11290" max="11290" width="14" bestFit="1" customWidth="1"/>
    <col min="11291" max="11291" width="6" bestFit="1" customWidth="1"/>
    <col min="11292" max="11292" width="15" customWidth="1"/>
    <col min="11293" max="11293" width="14.85546875" bestFit="1" customWidth="1"/>
    <col min="11294" max="11294" width="16.140625" bestFit="1" customWidth="1"/>
    <col min="11522" max="11522" width="24" bestFit="1" customWidth="1"/>
    <col min="11523" max="11523" width="45.7109375" bestFit="1" customWidth="1"/>
    <col min="11524" max="11524" width="19.7109375" bestFit="1" customWidth="1"/>
    <col min="11525" max="11525" width="15.28515625" bestFit="1" customWidth="1"/>
    <col min="11526" max="11526" width="15.85546875" bestFit="1" customWidth="1"/>
    <col min="11527" max="11527" width="13.42578125" customWidth="1"/>
    <col min="11528" max="11528" width="15.28515625" bestFit="1" customWidth="1"/>
    <col min="11529" max="11529" width="14.140625" bestFit="1" customWidth="1"/>
    <col min="11530" max="11530" width="15.28515625" customWidth="1"/>
    <col min="11531" max="11531" width="15.85546875" customWidth="1"/>
    <col min="11532" max="11532" width="17" bestFit="1" customWidth="1"/>
    <col min="11533" max="11533" width="12.7109375" customWidth="1"/>
    <col min="11534" max="11534" width="13.7109375" customWidth="1"/>
    <col min="11535" max="11535" width="13.85546875" bestFit="1" customWidth="1"/>
    <col min="11536" max="11536" width="15.42578125" bestFit="1" customWidth="1"/>
    <col min="11537" max="11537" width="16.140625" customWidth="1"/>
    <col min="11538" max="11538" width="16.7109375" bestFit="1" customWidth="1"/>
    <col min="11539" max="11540" width="15.42578125" bestFit="1" customWidth="1"/>
    <col min="11541" max="11541" width="16.42578125" bestFit="1" customWidth="1"/>
    <col min="11542" max="11542" width="14.28515625" customWidth="1"/>
    <col min="11543" max="11543" width="12.85546875" bestFit="1" customWidth="1"/>
    <col min="11544" max="11544" width="11.28515625" bestFit="1" customWidth="1"/>
    <col min="11545" max="11545" width="12.42578125" bestFit="1" customWidth="1"/>
    <col min="11546" max="11546" width="14" bestFit="1" customWidth="1"/>
    <col min="11547" max="11547" width="6" bestFit="1" customWidth="1"/>
    <col min="11548" max="11548" width="15" customWidth="1"/>
    <col min="11549" max="11549" width="14.85546875" bestFit="1" customWidth="1"/>
    <col min="11550" max="11550" width="16.140625" bestFit="1" customWidth="1"/>
    <col min="11778" max="11778" width="24" bestFit="1" customWidth="1"/>
    <col min="11779" max="11779" width="45.7109375" bestFit="1" customWidth="1"/>
    <col min="11780" max="11780" width="19.7109375" bestFit="1" customWidth="1"/>
    <col min="11781" max="11781" width="15.28515625" bestFit="1" customWidth="1"/>
    <col min="11782" max="11782" width="15.85546875" bestFit="1" customWidth="1"/>
    <col min="11783" max="11783" width="13.42578125" customWidth="1"/>
    <col min="11784" max="11784" width="15.28515625" bestFit="1" customWidth="1"/>
    <col min="11785" max="11785" width="14.140625" bestFit="1" customWidth="1"/>
    <col min="11786" max="11786" width="15.28515625" customWidth="1"/>
    <col min="11787" max="11787" width="15.85546875" customWidth="1"/>
    <col min="11788" max="11788" width="17" bestFit="1" customWidth="1"/>
    <col min="11789" max="11789" width="12.7109375" customWidth="1"/>
    <col min="11790" max="11790" width="13.7109375" customWidth="1"/>
    <col min="11791" max="11791" width="13.85546875" bestFit="1" customWidth="1"/>
    <col min="11792" max="11792" width="15.42578125" bestFit="1" customWidth="1"/>
    <col min="11793" max="11793" width="16.140625" customWidth="1"/>
    <col min="11794" max="11794" width="16.7109375" bestFit="1" customWidth="1"/>
    <col min="11795" max="11796" width="15.42578125" bestFit="1" customWidth="1"/>
    <col min="11797" max="11797" width="16.42578125" bestFit="1" customWidth="1"/>
    <col min="11798" max="11798" width="14.28515625" customWidth="1"/>
    <col min="11799" max="11799" width="12.85546875" bestFit="1" customWidth="1"/>
    <col min="11800" max="11800" width="11.28515625" bestFit="1" customWidth="1"/>
    <col min="11801" max="11801" width="12.42578125" bestFit="1" customWidth="1"/>
    <col min="11802" max="11802" width="14" bestFit="1" customWidth="1"/>
    <col min="11803" max="11803" width="6" bestFit="1" customWidth="1"/>
    <col min="11804" max="11804" width="15" customWidth="1"/>
    <col min="11805" max="11805" width="14.85546875" bestFit="1" customWidth="1"/>
    <col min="11806" max="11806" width="16.140625" bestFit="1" customWidth="1"/>
    <col min="12034" max="12034" width="24" bestFit="1" customWidth="1"/>
    <col min="12035" max="12035" width="45.7109375" bestFit="1" customWidth="1"/>
    <col min="12036" max="12036" width="19.7109375" bestFit="1" customWidth="1"/>
    <col min="12037" max="12037" width="15.28515625" bestFit="1" customWidth="1"/>
    <col min="12038" max="12038" width="15.85546875" bestFit="1" customWidth="1"/>
    <col min="12039" max="12039" width="13.42578125" customWidth="1"/>
    <col min="12040" max="12040" width="15.28515625" bestFit="1" customWidth="1"/>
    <col min="12041" max="12041" width="14.140625" bestFit="1" customWidth="1"/>
    <col min="12042" max="12042" width="15.28515625" customWidth="1"/>
    <col min="12043" max="12043" width="15.85546875" customWidth="1"/>
    <col min="12044" max="12044" width="17" bestFit="1" customWidth="1"/>
    <col min="12045" max="12045" width="12.7109375" customWidth="1"/>
    <col min="12046" max="12046" width="13.7109375" customWidth="1"/>
    <col min="12047" max="12047" width="13.85546875" bestFit="1" customWidth="1"/>
    <col min="12048" max="12048" width="15.42578125" bestFit="1" customWidth="1"/>
    <col min="12049" max="12049" width="16.140625" customWidth="1"/>
    <col min="12050" max="12050" width="16.7109375" bestFit="1" customWidth="1"/>
    <col min="12051" max="12052" width="15.42578125" bestFit="1" customWidth="1"/>
    <col min="12053" max="12053" width="16.42578125" bestFit="1" customWidth="1"/>
    <col min="12054" max="12054" width="14.28515625" customWidth="1"/>
    <col min="12055" max="12055" width="12.85546875" bestFit="1" customWidth="1"/>
    <col min="12056" max="12056" width="11.28515625" bestFit="1" customWidth="1"/>
    <col min="12057" max="12057" width="12.42578125" bestFit="1" customWidth="1"/>
    <col min="12058" max="12058" width="14" bestFit="1" customWidth="1"/>
    <col min="12059" max="12059" width="6" bestFit="1" customWidth="1"/>
    <col min="12060" max="12060" width="15" customWidth="1"/>
    <col min="12061" max="12061" width="14.85546875" bestFit="1" customWidth="1"/>
    <col min="12062" max="12062" width="16.140625" bestFit="1" customWidth="1"/>
    <col min="12290" max="12290" width="24" bestFit="1" customWidth="1"/>
    <col min="12291" max="12291" width="45.7109375" bestFit="1" customWidth="1"/>
    <col min="12292" max="12292" width="19.7109375" bestFit="1" customWidth="1"/>
    <col min="12293" max="12293" width="15.28515625" bestFit="1" customWidth="1"/>
    <col min="12294" max="12294" width="15.85546875" bestFit="1" customWidth="1"/>
    <col min="12295" max="12295" width="13.42578125" customWidth="1"/>
    <col min="12296" max="12296" width="15.28515625" bestFit="1" customWidth="1"/>
    <col min="12297" max="12297" width="14.140625" bestFit="1" customWidth="1"/>
    <col min="12298" max="12298" width="15.28515625" customWidth="1"/>
    <col min="12299" max="12299" width="15.85546875" customWidth="1"/>
    <col min="12300" max="12300" width="17" bestFit="1" customWidth="1"/>
    <col min="12301" max="12301" width="12.7109375" customWidth="1"/>
    <col min="12302" max="12302" width="13.7109375" customWidth="1"/>
    <col min="12303" max="12303" width="13.85546875" bestFit="1" customWidth="1"/>
    <col min="12304" max="12304" width="15.42578125" bestFit="1" customWidth="1"/>
    <col min="12305" max="12305" width="16.140625" customWidth="1"/>
    <col min="12306" max="12306" width="16.7109375" bestFit="1" customWidth="1"/>
    <col min="12307" max="12308" width="15.42578125" bestFit="1" customWidth="1"/>
    <col min="12309" max="12309" width="16.42578125" bestFit="1" customWidth="1"/>
    <col min="12310" max="12310" width="14.28515625" customWidth="1"/>
    <col min="12311" max="12311" width="12.85546875" bestFit="1" customWidth="1"/>
    <col min="12312" max="12312" width="11.28515625" bestFit="1" customWidth="1"/>
    <col min="12313" max="12313" width="12.42578125" bestFit="1" customWidth="1"/>
    <col min="12314" max="12314" width="14" bestFit="1" customWidth="1"/>
    <col min="12315" max="12315" width="6" bestFit="1" customWidth="1"/>
    <col min="12316" max="12316" width="15" customWidth="1"/>
    <col min="12317" max="12317" width="14.85546875" bestFit="1" customWidth="1"/>
    <col min="12318" max="12318" width="16.140625" bestFit="1" customWidth="1"/>
    <col min="12546" max="12546" width="24" bestFit="1" customWidth="1"/>
    <col min="12547" max="12547" width="45.7109375" bestFit="1" customWidth="1"/>
    <col min="12548" max="12548" width="19.7109375" bestFit="1" customWidth="1"/>
    <col min="12549" max="12549" width="15.28515625" bestFit="1" customWidth="1"/>
    <col min="12550" max="12550" width="15.85546875" bestFit="1" customWidth="1"/>
    <col min="12551" max="12551" width="13.42578125" customWidth="1"/>
    <col min="12552" max="12552" width="15.28515625" bestFit="1" customWidth="1"/>
    <col min="12553" max="12553" width="14.140625" bestFit="1" customWidth="1"/>
    <col min="12554" max="12554" width="15.28515625" customWidth="1"/>
    <col min="12555" max="12555" width="15.85546875" customWidth="1"/>
    <col min="12556" max="12556" width="17" bestFit="1" customWidth="1"/>
    <col min="12557" max="12557" width="12.7109375" customWidth="1"/>
    <col min="12558" max="12558" width="13.7109375" customWidth="1"/>
    <col min="12559" max="12559" width="13.85546875" bestFit="1" customWidth="1"/>
    <col min="12560" max="12560" width="15.42578125" bestFit="1" customWidth="1"/>
    <col min="12561" max="12561" width="16.140625" customWidth="1"/>
    <col min="12562" max="12562" width="16.7109375" bestFit="1" customWidth="1"/>
    <col min="12563" max="12564" width="15.42578125" bestFit="1" customWidth="1"/>
    <col min="12565" max="12565" width="16.42578125" bestFit="1" customWidth="1"/>
    <col min="12566" max="12566" width="14.28515625" customWidth="1"/>
    <col min="12567" max="12567" width="12.85546875" bestFit="1" customWidth="1"/>
    <col min="12568" max="12568" width="11.28515625" bestFit="1" customWidth="1"/>
    <col min="12569" max="12569" width="12.42578125" bestFit="1" customWidth="1"/>
    <col min="12570" max="12570" width="14" bestFit="1" customWidth="1"/>
    <col min="12571" max="12571" width="6" bestFit="1" customWidth="1"/>
    <col min="12572" max="12572" width="15" customWidth="1"/>
    <col min="12573" max="12573" width="14.85546875" bestFit="1" customWidth="1"/>
    <col min="12574" max="12574" width="16.140625" bestFit="1" customWidth="1"/>
    <col min="12802" max="12802" width="24" bestFit="1" customWidth="1"/>
    <col min="12803" max="12803" width="45.7109375" bestFit="1" customWidth="1"/>
    <col min="12804" max="12804" width="19.7109375" bestFit="1" customWidth="1"/>
    <col min="12805" max="12805" width="15.28515625" bestFit="1" customWidth="1"/>
    <col min="12806" max="12806" width="15.85546875" bestFit="1" customWidth="1"/>
    <col min="12807" max="12807" width="13.42578125" customWidth="1"/>
    <col min="12808" max="12808" width="15.28515625" bestFit="1" customWidth="1"/>
    <col min="12809" max="12809" width="14.140625" bestFit="1" customWidth="1"/>
    <col min="12810" max="12810" width="15.28515625" customWidth="1"/>
    <col min="12811" max="12811" width="15.85546875" customWidth="1"/>
    <col min="12812" max="12812" width="17" bestFit="1" customWidth="1"/>
    <col min="12813" max="12813" width="12.7109375" customWidth="1"/>
    <col min="12814" max="12814" width="13.7109375" customWidth="1"/>
    <col min="12815" max="12815" width="13.85546875" bestFit="1" customWidth="1"/>
    <col min="12816" max="12816" width="15.42578125" bestFit="1" customWidth="1"/>
    <col min="12817" max="12817" width="16.140625" customWidth="1"/>
    <col min="12818" max="12818" width="16.7109375" bestFit="1" customWidth="1"/>
    <col min="12819" max="12820" width="15.42578125" bestFit="1" customWidth="1"/>
    <col min="12821" max="12821" width="16.42578125" bestFit="1" customWidth="1"/>
    <col min="12822" max="12822" width="14.28515625" customWidth="1"/>
    <col min="12823" max="12823" width="12.85546875" bestFit="1" customWidth="1"/>
    <col min="12824" max="12824" width="11.28515625" bestFit="1" customWidth="1"/>
    <col min="12825" max="12825" width="12.42578125" bestFit="1" customWidth="1"/>
    <col min="12826" max="12826" width="14" bestFit="1" customWidth="1"/>
    <col min="12827" max="12827" width="6" bestFit="1" customWidth="1"/>
    <col min="12828" max="12828" width="15" customWidth="1"/>
    <col min="12829" max="12829" width="14.85546875" bestFit="1" customWidth="1"/>
    <col min="12830" max="12830" width="16.140625" bestFit="1" customWidth="1"/>
    <col min="13058" max="13058" width="24" bestFit="1" customWidth="1"/>
    <col min="13059" max="13059" width="45.7109375" bestFit="1" customWidth="1"/>
    <col min="13060" max="13060" width="19.7109375" bestFit="1" customWidth="1"/>
    <col min="13061" max="13061" width="15.28515625" bestFit="1" customWidth="1"/>
    <col min="13062" max="13062" width="15.85546875" bestFit="1" customWidth="1"/>
    <col min="13063" max="13063" width="13.42578125" customWidth="1"/>
    <col min="13064" max="13064" width="15.28515625" bestFit="1" customWidth="1"/>
    <col min="13065" max="13065" width="14.140625" bestFit="1" customWidth="1"/>
    <col min="13066" max="13066" width="15.28515625" customWidth="1"/>
    <col min="13067" max="13067" width="15.85546875" customWidth="1"/>
    <col min="13068" max="13068" width="17" bestFit="1" customWidth="1"/>
    <col min="13069" max="13069" width="12.7109375" customWidth="1"/>
    <col min="13070" max="13070" width="13.7109375" customWidth="1"/>
    <col min="13071" max="13071" width="13.85546875" bestFit="1" customWidth="1"/>
    <col min="13072" max="13072" width="15.42578125" bestFit="1" customWidth="1"/>
    <col min="13073" max="13073" width="16.140625" customWidth="1"/>
    <col min="13074" max="13074" width="16.7109375" bestFit="1" customWidth="1"/>
    <col min="13075" max="13076" width="15.42578125" bestFit="1" customWidth="1"/>
    <col min="13077" max="13077" width="16.42578125" bestFit="1" customWidth="1"/>
    <col min="13078" max="13078" width="14.28515625" customWidth="1"/>
    <col min="13079" max="13079" width="12.85546875" bestFit="1" customWidth="1"/>
    <col min="13080" max="13080" width="11.28515625" bestFit="1" customWidth="1"/>
    <col min="13081" max="13081" width="12.42578125" bestFit="1" customWidth="1"/>
    <col min="13082" max="13082" width="14" bestFit="1" customWidth="1"/>
    <col min="13083" max="13083" width="6" bestFit="1" customWidth="1"/>
    <col min="13084" max="13084" width="15" customWidth="1"/>
    <col min="13085" max="13085" width="14.85546875" bestFit="1" customWidth="1"/>
    <col min="13086" max="13086" width="16.140625" bestFit="1" customWidth="1"/>
    <col min="13314" max="13314" width="24" bestFit="1" customWidth="1"/>
    <col min="13315" max="13315" width="45.7109375" bestFit="1" customWidth="1"/>
    <col min="13316" max="13316" width="19.7109375" bestFit="1" customWidth="1"/>
    <col min="13317" max="13317" width="15.28515625" bestFit="1" customWidth="1"/>
    <col min="13318" max="13318" width="15.85546875" bestFit="1" customWidth="1"/>
    <col min="13319" max="13319" width="13.42578125" customWidth="1"/>
    <col min="13320" max="13320" width="15.28515625" bestFit="1" customWidth="1"/>
    <col min="13321" max="13321" width="14.140625" bestFit="1" customWidth="1"/>
    <col min="13322" max="13322" width="15.28515625" customWidth="1"/>
    <col min="13323" max="13323" width="15.85546875" customWidth="1"/>
    <col min="13324" max="13324" width="17" bestFit="1" customWidth="1"/>
    <col min="13325" max="13325" width="12.7109375" customWidth="1"/>
    <col min="13326" max="13326" width="13.7109375" customWidth="1"/>
    <col min="13327" max="13327" width="13.85546875" bestFit="1" customWidth="1"/>
    <col min="13328" max="13328" width="15.42578125" bestFit="1" customWidth="1"/>
    <col min="13329" max="13329" width="16.140625" customWidth="1"/>
    <col min="13330" max="13330" width="16.7109375" bestFit="1" customWidth="1"/>
    <col min="13331" max="13332" width="15.42578125" bestFit="1" customWidth="1"/>
    <col min="13333" max="13333" width="16.42578125" bestFit="1" customWidth="1"/>
    <col min="13334" max="13334" width="14.28515625" customWidth="1"/>
    <col min="13335" max="13335" width="12.85546875" bestFit="1" customWidth="1"/>
    <col min="13336" max="13336" width="11.28515625" bestFit="1" customWidth="1"/>
    <col min="13337" max="13337" width="12.42578125" bestFit="1" customWidth="1"/>
    <col min="13338" max="13338" width="14" bestFit="1" customWidth="1"/>
    <col min="13339" max="13339" width="6" bestFit="1" customWidth="1"/>
    <col min="13340" max="13340" width="15" customWidth="1"/>
    <col min="13341" max="13341" width="14.85546875" bestFit="1" customWidth="1"/>
    <col min="13342" max="13342" width="16.140625" bestFit="1" customWidth="1"/>
    <col min="13570" max="13570" width="24" bestFit="1" customWidth="1"/>
    <col min="13571" max="13571" width="45.7109375" bestFit="1" customWidth="1"/>
    <col min="13572" max="13572" width="19.7109375" bestFit="1" customWidth="1"/>
    <col min="13573" max="13573" width="15.28515625" bestFit="1" customWidth="1"/>
    <col min="13574" max="13574" width="15.85546875" bestFit="1" customWidth="1"/>
    <col min="13575" max="13575" width="13.42578125" customWidth="1"/>
    <col min="13576" max="13576" width="15.28515625" bestFit="1" customWidth="1"/>
    <col min="13577" max="13577" width="14.140625" bestFit="1" customWidth="1"/>
    <col min="13578" max="13578" width="15.28515625" customWidth="1"/>
    <col min="13579" max="13579" width="15.85546875" customWidth="1"/>
    <col min="13580" max="13580" width="17" bestFit="1" customWidth="1"/>
    <col min="13581" max="13581" width="12.7109375" customWidth="1"/>
    <col min="13582" max="13582" width="13.7109375" customWidth="1"/>
    <col min="13583" max="13583" width="13.85546875" bestFit="1" customWidth="1"/>
    <col min="13584" max="13584" width="15.42578125" bestFit="1" customWidth="1"/>
    <col min="13585" max="13585" width="16.140625" customWidth="1"/>
    <col min="13586" max="13586" width="16.7109375" bestFit="1" customWidth="1"/>
    <col min="13587" max="13588" width="15.42578125" bestFit="1" customWidth="1"/>
    <col min="13589" max="13589" width="16.42578125" bestFit="1" customWidth="1"/>
    <col min="13590" max="13590" width="14.28515625" customWidth="1"/>
    <col min="13591" max="13591" width="12.85546875" bestFit="1" customWidth="1"/>
    <col min="13592" max="13592" width="11.28515625" bestFit="1" customWidth="1"/>
    <col min="13593" max="13593" width="12.42578125" bestFit="1" customWidth="1"/>
    <col min="13594" max="13594" width="14" bestFit="1" customWidth="1"/>
    <col min="13595" max="13595" width="6" bestFit="1" customWidth="1"/>
    <col min="13596" max="13596" width="15" customWidth="1"/>
    <col min="13597" max="13597" width="14.85546875" bestFit="1" customWidth="1"/>
    <col min="13598" max="13598" width="16.140625" bestFit="1" customWidth="1"/>
    <col min="13826" max="13826" width="24" bestFit="1" customWidth="1"/>
    <col min="13827" max="13827" width="45.7109375" bestFit="1" customWidth="1"/>
    <col min="13828" max="13828" width="19.7109375" bestFit="1" customWidth="1"/>
    <col min="13829" max="13829" width="15.28515625" bestFit="1" customWidth="1"/>
    <col min="13830" max="13830" width="15.85546875" bestFit="1" customWidth="1"/>
    <col min="13831" max="13831" width="13.42578125" customWidth="1"/>
    <col min="13832" max="13832" width="15.28515625" bestFit="1" customWidth="1"/>
    <col min="13833" max="13833" width="14.140625" bestFit="1" customWidth="1"/>
    <col min="13834" max="13834" width="15.28515625" customWidth="1"/>
    <col min="13835" max="13835" width="15.85546875" customWidth="1"/>
    <col min="13836" max="13836" width="17" bestFit="1" customWidth="1"/>
    <col min="13837" max="13837" width="12.7109375" customWidth="1"/>
    <col min="13838" max="13838" width="13.7109375" customWidth="1"/>
    <col min="13839" max="13839" width="13.85546875" bestFit="1" customWidth="1"/>
    <col min="13840" max="13840" width="15.42578125" bestFit="1" customWidth="1"/>
    <col min="13841" max="13841" width="16.140625" customWidth="1"/>
    <col min="13842" max="13842" width="16.7109375" bestFit="1" customWidth="1"/>
    <col min="13843" max="13844" width="15.42578125" bestFit="1" customWidth="1"/>
    <col min="13845" max="13845" width="16.42578125" bestFit="1" customWidth="1"/>
    <col min="13846" max="13846" width="14.28515625" customWidth="1"/>
    <col min="13847" max="13847" width="12.85546875" bestFit="1" customWidth="1"/>
    <col min="13848" max="13848" width="11.28515625" bestFit="1" customWidth="1"/>
    <col min="13849" max="13849" width="12.42578125" bestFit="1" customWidth="1"/>
    <col min="13850" max="13850" width="14" bestFit="1" customWidth="1"/>
    <col min="13851" max="13851" width="6" bestFit="1" customWidth="1"/>
    <col min="13852" max="13852" width="15" customWidth="1"/>
    <col min="13853" max="13853" width="14.85546875" bestFit="1" customWidth="1"/>
    <col min="13854" max="13854" width="16.140625" bestFit="1" customWidth="1"/>
    <col min="14082" max="14082" width="24" bestFit="1" customWidth="1"/>
    <col min="14083" max="14083" width="45.7109375" bestFit="1" customWidth="1"/>
    <col min="14084" max="14084" width="19.7109375" bestFit="1" customWidth="1"/>
    <col min="14085" max="14085" width="15.28515625" bestFit="1" customWidth="1"/>
    <col min="14086" max="14086" width="15.85546875" bestFit="1" customWidth="1"/>
    <col min="14087" max="14087" width="13.42578125" customWidth="1"/>
    <col min="14088" max="14088" width="15.28515625" bestFit="1" customWidth="1"/>
    <col min="14089" max="14089" width="14.140625" bestFit="1" customWidth="1"/>
    <col min="14090" max="14090" width="15.28515625" customWidth="1"/>
    <col min="14091" max="14091" width="15.85546875" customWidth="1"/>
    <col min="14092" max="14092" width="17" bestFit="1" customWidth="1"/>
    <col min="14093" max="14093" width="12.7109375" customWidth="1"/>
    <col min="14094" max="14094" width="13.7109375" customWidth="1"/>
    <col min="14095" max="14095" width="13.85546875" bestFit="1" customWidth="1"/>
    <col min="14096" max="14096" width="15.42578125" bestFit="1" customWidth="1"/>
    <col min="14097" max="14097" width="16.140625" customWidth="1"/>
    <col min="14098" max="14098" width="16.7109375" bestFit="1" customWidth="1"/>
    <col min="14099" max="14100" width="15.42578125" bestFit="1" customWidth="1"/>
    <col min="14101" max="14101" width="16.42578125" bestFit="1" customWidth="1"/>
    <col min="14102" max="14102" width="14.28515625" customWidth="1"/>
    <col min="14103" max="14103" width="12.85546875" bestFit="1" customWidth="1"/>
    <col min="14104" max="14104" width="11.28515625" bestFit="1" customWidth="1"/>
    <col min="14105" max="14105" width="12.42578125" bestFit="1" customWidth="1"/>
    <col min="14106" max="14106" width="14" bestFit="1" customWidth="1"/>
    <col min="14107" max="14107" width="6" bestFit="1" customWidth="1"/>
    <col min="14108" max="14108" width="15" customWidth="1"/>
    <col min="14109" max="14109" width="14.85546875" bestFit="1" customWidth="1"/>
    <col min="14110" max="14110" width="16.140625" bestFit="1" customWidth="1"/>
    <col min="14338" max="14338" width="24" bestFit="1" customWidth="1"/>
    <col min="14339" max="14339" width="45.7109375" bestFit="1" customWidth="1"/>
    <col min="14340" max="14340" width="19.7109375" bestFit="1" customWidth="1"/>
    <col min="14341" max="14341" width="15.28515625" bestFit="1" customWidth="1"/>
    <col min="14342" max="14342" width="15.85546875" bestFit="1" customWidth="1"/>
    <col min="14343" max="14343" width="13.42578125" customWidth="1"/>
    <col min="14344" max="14344" width="15.28515625" bestFit="1" customWidth="1"/>
    <col min="14345" max="14345" width="14.140625" bestFit="1" customWidth="1"/>
    <col min="14346" max="14346" width="15.28515625" customWidth="1"/>
    <col min="14347" max="14347" width="15.85546875" customWidth="1"/>
    <col min="14348" max="14348" width="17" bestFit="1" customWidth="1"/>
    <col min="14349" max="14349" width="12.7109375" customWidth="1"/>
    <col min="14350" max="14350" width="13.7109375" customWidth="1"/>
    <col min="14351" max="14351" width="13.85546875" bestFit="1" customWidth="1"/>
    <col min="14352" max="14352" width="15.42578125" bestFit="1" customWidth="1"/>
    <col min="14353" max="14353" width="16.140625" customWidth="1"/>
    <col min="14354" max="14354" width="16.7109375" bestFit="1" customWidth="1"/>
    <col min="14355" max="14356" width="15.42578125" bestFit="1" customWidth="1"/>
    <col min="14357" max="14357" width="16.42578125" bestFit="1" customWidth="1"/>
    <col min="14358" max="14358" width="14.28515625" customWidth="1"/>
    <col min="14359" max="14359" width="12.85546875" bestFit="1" customWidth="1"/>
    <col min="14360" max="14360" width="11.28515625" bestFit="1" customWidth="1"/>
    <col min="14361" max="14361" width="12.42578125" bestFit="1" customWidth="1"/>
    <col min="14362" max="14362" width="14" bestFit="1" customWidth="1"/>
    <col min="14363" max="14363" width="6" bestFit="1" customWidth="1"/>
    <col min="14364" max="14364" width="15" customWidth="1"/>
    <col min="14365" max="14365" width="14.85546875" bestFit="1" customWidth="1"/>
    <col min="14366" max="14366" width="16.140625" bestFit="1" customWidth="1"/>
    <col min="14594" max="14594" width="24" bestFit="1" customWidth="1"/>
    <col min="14595" max="14595" width="45.7109375" bestFit="1" customWidth="1"/>
    <col min="14596" max="14596" width="19.7109375" bestFit="1" customWidth="1"/>
    <col min="14597" max="14597" width="15.28515625" bestFit="1" customWidth="1"/>
    <col min="14598" max="14598" width="15.85546875" bestFit="1" customWidth="1"/>
    <col min="14599" max="14599" width="13.42578125" customWidth="1"/>
    <col min="14600" max="14600" width="15.28515625" bestFit="1" customWidth="1"/>
    <col min="14601" max="14601" width="14.140625" bestFit="1" customWidth="1"/>
    <col min="14602" max="14602" width="15.28515625" customWidth="1"/>
    <col min="14603" max="14603" width="15.85546875" customWidth="1"/>
    <col min="14604" max="14604" width="17" bestFit="1" customWidth="1"/>
    <col min="14605" max="14605" width="12.7109375" customWidth="1"/>
    <col min="14606" max="14606" width="13.7109375" customWidth="1"/>
    <col min="14607" max="14607" width="13.85546875" bestFit="1" customWidth="1"/>
    <col min="14608" max="14608" width="15.42578125" bestFit="1" customWidth="1"/>
    <col min="14609" max="14609" width="16.140625" customWidth="1"/>
    <col min="14610" max="14610" width="16.7109375" bestFit="1" customWidth="1"/>
    <col min="14611" max="14612" width="15.42578125" bestFit="1" customWidth="1"/>
    <col min="14613" max="14613" width="16.42578125" bestFit="1" customWidth="1"/>
    <col min="14614" max="14614" width="14.28515625" customWidth="1"/>
    <col min="14615" max="14615" width="12.85546875" bestFit="1" customWidth="1"/>
    <col min="14616" max="14616" width="11.28515625" bestFit="1" customWidth="1"/>
    <col min="14617" max="14617" width="12.42578125" bestFit="1" customWidth="1"/>
    <col min="14618" max="14618" width="14" bestFit="1" customWidth="1"/>
    <col min="14619" max="14619" width="6" bestFit="1" customWidth="1"/>
    <col min="14620" max="14620" width="15" customWidth="1"/>
    <col min="14621" max="14621" width="14.85546875" bestFit="1" customWidth="1"/>
    <col min="14622" max="14622" width="16.140625" bestFit="1" customWidth="1"/>
    <col min="14850" max="14850" width="24" bestFit="1" customWidth="1"/>
    <col min="14851" max="14851" width="45.7109375" bestFit="1" customWidth="1"/>
    <col min="14852" max="14852" width="19.7109375" bestFit="1" customWidth="1"/>
    <col min="14853" max="14853" width="15.28515625" bestFit="1" customWidth="1"/>
    <col min="14854" max="14854" width="15.85546875" bestFit="1" customWidth="1"/>
    <col min="14855" max="14855" width="13.42578125" customWidth="1"/>
    <col min="14856" max="14856" width="15.28515625" bestFit="1" customWidth="1"/>
    <col min="14857" max="14857" width="14.140625" bestFit="1" customWidth="1"/>
    <col min="14858" max="14858" width="15.28515625" customWidth="1"/>
    <col min="14859" max="14859" width="15.85546875" customWidth="1"/>
    <col min="14860" max="14860" width="17" bestFit="1" customWidth="1"/>
    <col min="14861" max="14861" width="12.7109375" customWidth="1"/>
    <col min="14862" max="14862" width="13.7109375" customWidth="1"/>
    <col min="14863" max="14863" width="13.85546875" bestFit="1" customWidth="1"/>
    <col min="14864" max="14864" width="15.42578125" bestFit="1" customWidth="1"/>
    <col min="14865" max="14865" width="16.140625" customWidth="1"/>
    <col min="14866" max="14866" width="16.7109375" bestFit="1" customWidth="1"/>
    <col min="14867" max="14868" width="15.42578125" bestFit="1" customWidth="1"/>
    <col min="14869" max="14869" width="16.42578125" bestFit="1" customWidth="1"/>
    <col min="14870" max="14870" width="14.28515625" customWidth="1"/>
    <col min="14871" max="14871" width="12.85546875" bestFit="1" customWidth="1"/>
    <col min="14872" max="14872" width="11.28515625" bestFit="1" customWidth="1"/>
    <col min="14873" max="14873" width="12.42578125" bestFit="1" customWidth="1"/>
    <col min="14874" max="14874" width="14" bestFit="1" customWidth="1"/>
    <col min="14875" max="14875" width="6" bestFit="1" customWidth="1"/>
    <col min="14876" max="14876" width="15" customWidth="1"/>
    <col min="14877" max="14877" width="14.85546875" bestFit="1" customWidth="1"/>
    <col min="14878" max="14878" width="16.140625" bestFit="1" customWidth="1"/>
    <col min="15106" max="15106" width="24" bestFit="1" customWidth="1"/>
    <col min="15107" max="15107" width="45.7109375" bestFit="1" customWidth="1"/>
    <col min="15108" max="15108" width="19.7109375" bestFit="1" customWidth="1"/>
    <col min="15109" max="15109" width="15.28515625" bestFit="1" customWidth="1"/>
    <col min="15110" max="15110" width="15.85546875" bestFit="1" customWidth="1"/>
    <col min="15111" max="15111" width="13.42578125" customWidth="1"/>
    <col min="15112" max="15112" width="15.28515625" bestFit="1" customWidth="1"/>
    <col min="15113" max="15113" width="14.140625" bestFit="1" customWidth="1"/>
    <col min="15114" max="15114" width="15.28515625" customWidth="1"/>
    <col min="15115" max="15115" width="15.85546875" customWidth="1"/>
    <col min="15116" max="15116" width="17" bestFit="1" customWidth="1"/>
    <col min="15117" max="15117" width="12.7109375" customWidth="1"/>
    <col min="15118" max="15118" width="13.7109375" customWidth="1"/>
    <col min="15119" max="15119" width="13.85546875" bestFit="1" customWidth="1"/>
    <col min="15120" max="15120" width="15.42578125" bestFit="1" customWidth="1"/>
    <col min="15121" max="15121" width="16.140625" customWidth="1"/>
    <col min="15122" max="15122" width="16.7109375" bestFit="1" customWidth="1"/>
    <col min="15123" max="15124" width="15.42578125" bestFit="1" customWidth="1"/>
    <col min="15125" max="15125" width="16.42578125" bestFit="1" customWidth="1"/>
    <col min="15126" max="15126" width="14.28515625" customWidth="1"/>
    <col min="15127" max="15127" width="12.85546875" bestFit="1" customWidth="1"/>
    <col min="15128" max="15128" width="11.28515625" bestFit="1" customWidth="1"/>
    <col min="15129" max="15129" width="12.42578125" bestFit="1" customWidth="1"/>
    <col min="15130" max="15130" width="14" bestFit="1" customWidth="1"/>
    <col min="15131" max="15131" width="6" bestFit="1" customWidth="1"/>
    <col min="15132" max="15132" width="15" customWidth="1"/>
    <col min="15133" max="15133" width="14.85546875" bestFit="1" customWidth="1"/>
    <col min="15134" max="15134" width="16.140625" bestFit="1" customWidth="1"/>
    <col min="15362" max="15362" width="24" bestFit="1" customWidth="1"/>
    <col min="15363" max="15363" width="45.7109375" bestFit="1" customWidth="1"/>
    <col min="15364" max="15364" width="19.7109375" bestFit="1" customWidth="1"/>
    <col min="15365" max="15365" width="15.28515625" bestFit="1" customWidth="1"/>
    <col min="15366" max="15366" width="15.85546875" bestFit="1" customWidth="1"/>
    <col min="15367" max="15367" width="13.42578125" customWidth="1"/>
    <col min="15368" max="15368" width="15.28515625" bestFit="1" customWidth="1"/>
    <col min="15369" max="15369" width="14.140625" bestFit="1" customWidth="1"/>
    <col min="15370" max="15370" width="15.28515625" customWidth="1"/>
    <col min="15371" max="15371" width="15.85546875" customWidth="1"/>
    <col min="15372" max="15372" width="17" bestFit="1" customWidth="1"/>
    <col min="15373" max="15373" width="12.7109375" customWidth="1"/>
    <col min="15374" max="15374" width="13.7109375" customWidth="1"/>
    <col min="15375" max="15375" width="13.85546875" bestFit="1" customWidth="1"/>
    <col min="15376" max="15376" width="15.42578125" bestFit="1" customWidth="1"/>
    <col min="15377" max="15377" width="16.140625" customWidth="1"/>
    <col min="15378" max="15378" width="16.7109375" bestFit="1" customWidth="1"/>
    <col min="15379" max="15380" width="15.42578125" bestFit="1" customWidth="1"/>
    <col min="15381" max="15381" width="16.42578125" bestFit="1" customWidth="1"/>
    <col min="15382" max="15382" width="14.28515625" customWidth="1"/>
    <col min="15383" max="15383" width="12.85546875" bestFit="1" customWidth="1"/>
    <col min="15384" max="15384" width="11.28515625" bestFit="1" customWidth="1"/>
    <col min="15385" max="15385" width="12.42578125" bestFit="1" customWidth="1"/>
    <col min="15386" max="15386" width="14" bestFit="1" customWidth="1"/>
    <col min="15387" max="15387" width="6" bestFit="1" customWidth="1"/>
    <col min="15388" max="15388" width="15" customWidth="1"/>
    <col min="15389" max="15389" width="14.85546875" bestFit="1" customWidth="1"/>
    <col min="15390" max="15390" width="16.140625" bestFit="1" customWidth="1"/>
    <col min="15618" max="15618" width="24" bestFit="1" customWidth="1"/>
    <col min="15619" max="15619" width="45.7109375" bestFit="1" customWidth="1"/>
    <col min="15620" max="15620" width="19.7109375" bestFit="1" customWidth="1"/>
    <col min="15621" max="15621" width="15.28515625" bestFit="1" customWidth="1"/>
    <col min="15622" max="15622" width="15.85546875" bestFit="1" customWidth="1"/>
    <col min="15623" max="15623" width="13.42578125" customWidth="1"/>
    <col min="15624" max="15624" width="15.28515625" bestFit="1" customWidth="1"/>
    <col min="15625" max="15625" width="14.140625" bestFit="1" customWidth="1"/>
    <col min="15626" max="15626" width="15.28515625" customWidth="1"/>
    <col min="15627" max="15627" width="15.85546875" customWidth="1"/>
    <col min="15628" max="15628" width="17" bestFit="1" customWidth="1"/>
    <col min="15629" max="15629" width="12.7109375" customWidth="1"/>
    <col min="15630" max="15630" width="13.7109375" customWidth="1"/>
    <col min="15631" max="15631" width="13.85546875" bestFit="1" customWidth="1"/>
    <col min="15632" max="15632" width="15.42578125" bestFit="1" customWidth="1"/>
    <col min="15633" max="15633" width="16.140625" customWidth="1"/>
    <col min="15634" max="15634" width="16.7109375" bestFit="1" customWidth="1"/>
    <col min="15635" max="15636" width="15.42578125" bestFit="1" customWidth="1"/>
    <col min="15637" max="15637" width="16.42578125" bestFit="1" customWidth="1"/>
    <col min="15638" max="15638" width="14.28515625" customWidth="1"/>
    <col min="15639" max="15639" width="12.85546875" bestFit="1" customWidth="1"/>
    <col min="15640" max="15640" width="11.28515625" bestFit="1" customWidth="1"/>
    <col min="15641" max="15641" width="12.42578125" bestFit="1" customWidth="1"/>
    <col min="15642" max="15642" width="14" bestFit="1" customWidth="1"/>
    <col min="15643" max="15643" width="6" bestFit="1" customWidth="1"/>
    <col min="15644" max="15644" width="15" customWidth="1"/>
    <col min="15645" max="15645" width="14.85546875" bestFit="1" customWidth="1"/>
    <col min="15646" max="15646" width="16.140625" bestFit="1" customWidth="1"/>
    <col min="15874" max="15874" width="24" bestFit="1" customWidth="1"/>
    <col min="15875" max="15875" width="45.7109375" bestFit="1" customWidth="1"/>
    <col min="15876" max="15876" width="19.7109375" bestFit="1" customWidth="1"/>
    <col min="15877" max="15877" width="15.28515625" bestFit="1" customWidth="1"/>
    <col min="15878" max="15878" width="15.85546875" bestFit="1" customWidth="1"/>
    <col min="15879" max="15879" width="13.42578125" customWidth="1"/>
    <col min="15880" max="15880" width="15.28515625" bestFit="1" customWidth="1"/>
    <col min="15881" max="15881" width="14.140625" bestFit="1" customWidth="1"/>
    <col min="15882" max="15882" width="15.28515625" customWidth="1"/>
    <col min="15883" max="15883" width="15.85546875" customWidth="1"/>
    <col min="15884" max="15884" width="17" bestFit="1" customWidth="1"/>
    <col min="15885" max="15885" width="12.7109375" customWidth="1"/>
    <col min="15886" max="15886" width="13.7109375" customWidth="1"/>
    <col min="15887" max="15887" width="13.85546875" bestFit="1" customWidth="1"/>
    <col min="15888" max="15888" width="15.42578125" bestFit="1" customWidth="1"/>
    <col min="15889" max="15889" width="16.140625" customWidth="1"/>
    <col min="15890" max="15890" width="16.7109375" bestFit="1" customWidth="1"/>
    <col min="15891" max="15892" width="15.42578125" bestFit="1" customWidth="1"/>
    <col min="15893" max="15893" width="16.42578125" bestFit="1" customWidth="1"/>
    <col min="15894" max="15894" width="14.28515625" customWidth="1"/>
    <col min="15895" max="15895" width="12.85546875" bestFit="1" customWidth="1"/>
    <col min="15896" max="15896" width="11.28515625" bestFit="1" customWidth="1"/>
    <col min="15897" max="15897" width="12.42578125" bestFit="1" customWidth="1"/>
    <col min="15898" max="15898" width="14" bestFit="1" customWidth="1"/>
    <col min="15899" max="15899" width="6" bestFit="1" customWidth="1"/>
    <col min="15900" max="15900" width="15" customWidth="1"/>
    <col min="15901" max="15901" width="14.85546875" bestFit="1" customWidth="1"/>
    <col min="15902" max="15902" width="16.140625" bestFit="1" customWidth="1"/>
    <col min="16130" max="16130" width="24" bestFit="1" customWidth="1"/>
    <col min="16131" max="16131" width="45.7109375" bestFit="1" customWidth="1"/>
    <col min="16132" max="16132" width="19.7109375" bestFit="1" customWidth="1"/>
    <col min="16133" max="16133" width="15.28515625" bestFit="1" customWidth="1"/>
    <col min="16134" max="16134" width="15.85546875" bestFit="1" customWidth="1"/>
    <col min="16135" max="16135" width="13.42578125" customWidth="1"/>
    <col min="16136" max="16136" width="15.28515625" bestFit="1" customWidth="1"/>
    <col min="16137" max="16137" width="14.140625" bestFit="1" customWidth="1"/>
    <col min="16138" max="16138" width="15.28515625" customWidth="1"/>
    <col min="16139" max="16139" width="15.85546875" customWidth="1"/>
    <col min="16140" max="16140" width="17" bestFit="1" customWidth="1"/>
    <col min="16141" max="16141" width="12.7109375" customWidth="1"/>
    <col min="16142" max="16142" width="13.7109375" customWidth="1"/>
    <col min="16143" max="16143" width="13.85546875" bestFit="1" customWidth="1"/>
    <col min="16144" max="16144" width="15.42578125" bestFit="1" customWidth="1"/>
    <col min="16145" max="16145" width="16.140625" customWidth="1"/>
    <col min="16146" max="16146" width="16.7109375" bestFit="1" customWidth="1"/>
    <col min="16147" max="16148" width="15.42578125" bestFit="1" customWidth="1"/>
    <col min="16149" max="16149" width="16.42578125" bestFit="1" customWidth="1"/>
    <col min="16150" max="16150" width="14.28515625" customWidth="1"/>
    <col min="16151" max="16151" width="12.85546875" bestFit="1" customWidth="1"/>
    <col min="16152" max="16152" width="11.28515625" bestFit="1" customWidth="1"/>
    <col min="16153" max="16153" width="12.42578125" bestFit="1" customWidth="1"/>
    <col min="16154" max="16154" width="14" bestFit="1" customWidth="1"/>
    <col min="16155" max="16155" width="6" bestFit="1" customWidth="1"/>
    <col min="16156" max="16156" width="15" customWidth="1"/>
    <col min="16157" max="16157" width="14.85546875" bestFit="1" customWidth="1"/>
    <col min="16158" max="16158" width="16.140625" bestFit="1" customWidth="1"/>
  </cols>
  <sheetData>
    <row r="1" spans="2:22" ht="44.25" customHeight="1" thickBot="1">
      <c r="B1" s="3461"/>
      <c r="F1" s="198"/>
      <c r="G1" s="198">
        <f>C3</f>
        <v>18230626</v>
      </c>
      <c r="H1" s="198" t="str">
        <f>C4</f>
        <v>SF Existing Water Heat - Electric</v>
      </c>
      <c r="I1" s="198"/>
    </row>
    <row r="2" spans="2:22" ht="16.5" thickBot="1">
      <c r="B2" s="198" t="s">
        <v>109</v>
      </c>
      <c r="C2" s="199" t="s">
        <v>227</v>
      </c>
      <c r="G2" s="200" t="s">
        <v>8</v>
      </c>
      <c r="Q2" s="5133"/>
      <c r="R2" s="5133"/>
      <c r="S2" s="5124" t="s">
        <v>110</v>
      </c>
      <c r="T2" s="5125"/>
      <c r="U2" s="5126"/>
      <c r="V2" s="5118" t="s">
        <v>111</v>
      </c>
    </row>
    <row r="3" spans="2:22" ht="16.5" thickBot="1">
      <c r="B3" s="199" t="s">
        <v>6</v>
      </c>
      <c r="C3" s="199">
        <v>18230626</v>
      </c>
      <c r="G3" s="201" t="s">
        <v>9</v>
      </c>
      <c r="H3" s="202" t="s">
        <v>10</v>
      </c>
      <c r="I3" s="202" t="s">
        <v>11</v>
      </c>
      <c r="J3" s="202" t="s">
        <v>12</v>
      </c>
      <c r="K3" s="202" t="s">
        <v>13</v>
      </c>
      <c r="L3" s="202" t="s">
        <v>14</v>
      </c>
      <c r="M3" s="202" t="s">
        <v>15</v>
      </c>
      <c r="N3" s="202" t="s">
        <v>16</v>
      </c>
      <c r="O3" s="202" t="s">
        <v>112</v>
      </c>
      <c r="P3" s="202" t="s">
        <v>113</v>
      </c>
      <c r="Q3" s="203" t="s">
        <v>18</v>
      </c>
      <c r="R3" s="203" t="s">
        <v>114</v>
      </c>
      <c r="S3" s="204" t="s">
        <v>115</v>
      </c>
      <c r="T3" s="204" t="s">
        <v>12</v>
      </c>
      <c r="U3" s="205" t="s">
        <v>116</v>
      </c>
      <c r="V3" s="5119"/>
    </row>
    <row r="4" spans="2:22" ht="16.5" thickBot="1">
      <c r="B4" s="199" t="s">
        <v>117</v>
      </c>
      <c r="C4" s="199" t="s">
        <v>237</v>
      </c>
      <c r="F4" s="198">
        <v>2011</v>
      </c>
      <c r="G4" s="206">
        <f>B13</f>
        <v>25366</v>
      </c>
      <c r="H4" s="207">
        <f>B18</f>
        <v>4612</v>
      </c>
      <c r="I4" s="207">
        <f>B23</f>
        <v>18886</v>
      </c>
      <c r="J4" s="207">
        <f>B28</f>
        <v>31200</v>
      </c>
      <c r="K4" s="207">
        <f>B33</f>
        <v>1200</v>
      </c>
      <c r="L4" s="207">
        <f>B38</f>
        <v>18000</v>
      </c>
      <c r="M4" s="207">
        <f>B43</f>
        <v>2400</v>
      </c>
      <c r="N4" s="207">
        <f>B48</f>
        <v>2400</v>
      </c>
      <c r="O4" s="207">
        <f>B53</f>
        <v>146000</v>
      </c>
      <c r="P4" s="207">
        <f>B54</f>
        <v>0</v>
      </c>
      <c r="Q4" s="209">
        <f>B55</f>
        <v>250064</v>
      </c>
      <c r="R4" s="210">
        <f>T55</f>
        <v>0</v>
      </c>
      <c r="S4" s="211">
        <f>O4/Q4</f>
        <v>0.58385053426322864</v>
      </c>
      <c r="T4" s="211">
        <f>(J4+(H4*1.63))/Q4</f>
        <v>0.15483060336553842</v>
      </c>
      <c r="U4" s="211">
        <f>L4/Q4</f>
        <v>7.1981572717384354E-2</v>
      </c>
      <c r="V4" s="212" t="e">
        <f>Q4/R4</f>
        <v>#DIV/0!</v>
      </c>
    </row>
    <row r="5" spans="2:22" ht="16.5" thickBot="1">
      <c r="B5" s="198" t="s">
        <v>33</v>
      </c>
      <c r="C5" s="4361" t="s">
        <v>1191</v>
      </c>
      <c r="F5" s="198">
        <v>2012</v>
      </c>
      <c r="G5" s="213">
        <f>D13</f>
        <v>0</v>
      </c>
      <c r="H5" s="214">
        <f>D18</f>
        <v>0</v>
      </c>
      <c r="I5" s="214">
        <f>D23</f>
        <v>0</v>
      </c>
      <c r="J5" s="214">
        <f>D28</f>
        <v>0</v>
      </c>
      <c r="K5" s="214">
        <f>D33</f>
        <v>0</v>
      </c>
      <c r="L5" s="214">
        <f>D38</f>
        <v>0</v>
      </c>
      <c r="M5" s="214">
        <f>D43</f>
        <v>0</v>
      </c>
      <c r="N5" s="214">
        <f>D48</f>
        <v>0</v>
      </c>
      <c r="O5" s="214">
        <f>D53</f>
        <v>0</v>
      </c>
      <c r="P5" s="214">
        <f>D54</f>
        <v>0</v>
      </c>
      <c r="Q5" s="215">
        <f>SUM(G5:P5)</f>
        <v>0</v>
      </c>
      <c r="R5" s="216">
        <f>P55</f>
        <v>0</v>
      </c>
      <c r="S5" s="217" t="e">
        <f>O5/Q5</f>
        <v>#DIV/0!</v>
      </c>
      <c r="T5" s="217" t="e">
        <f>(J5+(H5*1.63))/Q5</f>
        <v>#DIV/0!</v>
      </c>
      <c r="U5" s="217" t="e">
        <f>L5/Q5</f>
        <v>#DIV/0!</v>
      </c>
      <c r="V5" s="218" t="e">
        <f>Q5/R5</f>
        <v>#DIV/0!</v>
      </c>
    </row>
    <row r="6" spans="2:22" s="3532" customFormat="1" ht="16.5" thickBot="1">
      <c r="B6" s="3536"/>
      <c r="D6" s="3533"/>
      <c r="F6" s="4249" t="s">
        <v>1168</v>
      </c>
      <c r="G6" s="4241">
        <v>30772.68</v>
      </c>
      <c r="H6" s="4242">
        <v>9225</v>
      </c>
      <c r="I6" s="4242">
        <v>25198.538400000001</v>
      </c>
      <c r="J6" s="4242">
        <v>20000</v>
      </c>
      <c r="K6" s="4242">
        <v>1200</v>
      </c>
      <c r="L6" s="4242">
        <v>4000</v>
      </c>
      <c r="M6" s="4242">
        <v>5000</v>
      </c>
      <c r="N6" s="4242">
        <v>2400</v>
      </c>
      <c r="O6" s="4242">
        <v>223630</v>
      </c>
      <c r="P6" s="4242">
        <v>0</v>
      </c>
      <c r="Q6" s="4243">
        <v>321426.21840000001</v>
      </c>
      <c r="R6" s="219">
        <v>860165</v>
      </c>
      <c r="S6" s="217">
        <v>0.69574287098665621</v>
      </c>
      <c r="T6" s="217">
        <v>0.10900402018978549</v>
      </c>
      <c r="U6" s="217">
        <v>1.2444535545081719E-2</v>
      </c>
      <c r="V6" s="3498">
        <v>0.37367972237884595</v>
      </c>
    </row>
    <row r="7" spans="2:22" ht="16.5" thickBot="1">
      <c r="C7" s="3537" t="s">
        <v>229</v>
      </c>
      <c r="F7" s="4191" t="s">
        <v>1169</v>
      </c>
      <c r="G7" s="4192">
        <f>E13</f>
        <v>63000</v>
      </c>
      <c r="H7" s="4193">
        <f>E18</f>
        <v>30700</v>
      </c>
      <c r="I7" s="4193">
        <f>E23</f>
        <v>66245.899999999994</v>
      </c>
      <c r="J7" s="4193">
        <f>E28</f>
        <v>105000</v>
      </c>
      <c r="K7" s="4193">
        <f>E33</f>
        <v>1200</v>
      </c>
      <c r="L7" s="4193">
        <f>E38</f>
        <v>4000</v>
      </c>
      <c r="M7" s="4193">
        <f>E43</f>
        <v>5000</v>
      </c>
      <c r="N7" s="4193">
        <f>E48</f>
        <v>2400</v>
      </c>
      <c r="O7" s="4193">
        <f>E53</f>
        <v>311300</v>
      </c>
      <c r="P7" s="4193">
        <f>E54</f>
        <v>0</v>
      </c>
      <c r="Q7" s="4244">
        <f>SUM(G7:P7)</f>
        <v>588845.9</v>
      </c>
      <c r="R7" s="4245">
        <f>Q55</f>
        <v>857890</v>
      </c>
      <c r="S7" s="217">
        <f>O7/Q7</f>
        <v>0.52866123377949981</v>
      </c>
      <c r="T7" s="217">
        <f>(J7+(H7*1.63))/Q7</f>
        <v>0.26329639044782344</v>
      </c>
      <c r="U7" s="217">
        <f>L7/Q7</f>
        <v>6.7929487154449065E-3</v>
      </c>
      <c r="V7" s="218">
        <f>Q7/R7</f>
        <v>0.68638858128664515</v>
      </c>
    </row>
    <row r="8" spans="2:22" ht="16.5" thickBot="1">
      <c r="C8" s="220" t="s">
        <v>230</v>
      </c>
      <c r="F8" s="221" t="s">
        <v>1170</v>
      </c>
      <c r="G8" s="222">
        <f>SUM(G5+G7)</f>
        <v>63000</v>
      </c>
      <c r="H8" s="222">
        <f t="shared" ref="H8:R8" si="0">SUM(H5+H7)</f>
        <v>30700</v>
      </c>
      <c r="I8" s="222">
        <f t="shared" si="0"/>
        <v>66245.899999999994</v>
      </c>
      <c r="J8" s="222">
        <f t="shared" si="0"/>
        <v>105000</v>
      </c>
      <c r="K8" s="222">
        <f t="shared" si="0"/>
        <v>1200</v>
      </c>
      <c r="L8" s="222">
        <f t="shared" si="0"/>
        <v>4000</v>
      </c>
      <c r="M8" s="222">
        <f t="shared" si="0"/>
        <v>5000</v>
      </c>
      <c r="N8" s="222">
        <f t="shared" si="0"/>
        <v>2400</v>
      </c>
      <c r="O8" s="222">
        <f t="shared" si="0"/>
        <v>311300</v>
      </c>
      <c r="P8" s="222">
        <f t="shared" si="0"/>
        <v>0</v>
      </c>
      <c r="Q8" s="4248">
        <f t="shared" si="0"/>
        <v>588845.9</v>
      </c>
      <c r="R8" s="223">
        <f t="shared" si="0"/>
        <v>857890</v>
      </c>
      <c r="S8" s="217">
        <f>O8/Q8</f>
        <v>0.52866123377949981</v>
      </c>
      <c r="T8" s="217">
        <f>(J8+(H8*1.63))/Q8</f>
        <v>0.26329639044782344</v>
      </c>
      <c r="U8" s="217">
        <f>L8/Q8</f>
        <v>6.7929487154449065E-3</v>
      </c>
      <c r="V8" s="218">
        <f>Q8/R8</f>
        <v>0.68638858128664515</v>
      </c>
    </row>
    <row r="10" spans="2:22" ht="20.25" customHeight="1" thickBot="1">
      <c r="C10" s="224" t="s">
        <v>118</v>
      </c>
      <c r="D10" s="5120" t="s">
        <v>119</v>
      </c>
      <c r="E10" s="5120"/>
      <c r="I10" s="5121" t="s">
        <v>120</v>
      </c>
      <c r="J10" s="5121"/>
      <c r="K10" s="5121"/>
      <c r="L10" s="5121"/>
      <c r="M10" s="5131" t="s">
        <v>119</v>
      </c>
      <c r="N10" s="5131"/>
    </row>
    <row r="11" spans="2:22" ht="16.5" thickBot="1">
      <c r="B11" s="225" t="s">
        <v>121</v>
      </c>
      <c r="C11" s="5122" t="s">
        <v>122</v>
      </c>
      <c r="D11" s="5122"/>
      <c r="E11" s="5122"/>
      <c r="F11" s="5123"/>
      <c r="I11" s="5124" t="s">
        <v>123</v>
      </c>
      <c r="J11" s="5125"/>
      <c r="K11" s="5125"/>
      <c r="L11" s="5126"/>
      <c r="M11" s="5124" t="s">
        <v>124</v>
      </c>
      <c r="N11" s="5125"/>
      <c r="O11" s="5126"/>
      <c r="P11" s="5124" t="s">
        <v>125</v>
      </c>
      <c r="Q11" s="5125"/>
      <c r="R11" s="5126"/>
      <c r="T11" s="4883"/>
    </row>
    <row r="12" spans="2:22" ht="16.5" thickBot="1">
      <c r="B12" s="227">
        <v>2011</v>
      </c>
      <c r="C12" s="228" t="s">
        <v>127</v>
      </c>
      <c r="D12" s="229">
        <v>2012</v>
      </c>
      <c r="E12" s="229">
        <v>2013</v>
      </c>
      <c r="F12" s="229" t="s">
        <v>128</v>
      </c>
      <c r="H12" s="230"/>
      <c r="I12" s="5127" t="s">
        <v>129</v>
      </c>
      <c r="J12" s="5128"/>
      <c r="K12" s="5129"/>
      <c r="L12" s="231" t="s">
        <v>130</v>
      </c>
      <c r="M12" s="232" t="s">
        <v>131</v>
      </c>
      <c r="N12" s="233" t="s">
        <v>132</v>
      </c>
      <c r="O12" s="234" t="s">
        <v>133</v>
      </c>
      <c r="P12" s="232" t="s">
        <v>134</v>
      </c>
      <c r="Q12" s="232" t="s">
        <v>135</v>
      </c>
      <c r="R12" s="234" t="s">
        <v>136</v>
      </c>
      <c r="T12" s="4861"/>
    </row>
    <row r="13" spans="2:22" ht="13.5" thickBot="1">
      <c r="B13" s="262">
        <v>25366</v>
      </c>
      <c r="C13" s="236" t="s">
        <v>138</v>
      </c>
      <c r="D13" s="237">
        <f>SUM(D14:D17)</f>
        <v>0</v>
      </c>
      <c r="E13" s="4468">
        <f>SUM(E14:E17)</f>
        <v>63000</v>
      </c>
      <c r="F13" s="238">
        <f>D13+E13</f>
        <v>63000</v>
      </c>
      <c r="H13" s="132"/>
      <c r="I13" s="4471" t="str">
        <f t="shared" ref="I13:I54" si="1">C63</f>
        <v>NEEA Northern Climate Specs Heat Pump Water Heater - Tier 1</v>
      </c>
      <c r="J13" s="4472"/>
      <c r="K13" s="4473"/>
      <c r="L13" s="4474">
        <f t="shared" ref="L13:L54" si="2">D63</f>
        <v>881</v>
      </c>
      <c r="M13" s="257">
        <v>0</v>
      </c>
      <c r="N13" s="4444">
        <v>100</v>
      </c>
      <c r="O13" s="244">
        <f>M13+N13</f>
        <v>100</v>
      </c>
      <c r="P13" s="245">
        <f t="shared" ref="P13:R28" si="3">M13*$D63</f>
        <v>0</v>
      </c>
      <c r="Q13" s="245">
        <f t="shared" si="3"/>
        <v>88100</v>
      </c>
      <c r="R13" s="246">
        <f t="shared" si="3"/>
        <v>88100</v>
      </c>
      <c r="T13" s="4891"/>
    </row>
    <row r="14" spans="2:22">
      <c r="B14" s="247"/>
      <c r="C14" s="248" t="s">
        <v>139</v>
      </c>
      <c r="D14" s="249">
        <v>0</v>
      </c>
      <c r="E14" s="4447">
        <v>63000</v>
      </c>
      <c r="F14" s="249">
        <f>SUM(D14:E14)</f>
        <v>63000</v>
      </c>
      <c r="H14" s="132"/>
      <c r="I14" s="250" t="str">
        <f t="shared" si="1"/>
        <v>High Efficiency Electric Water Heater (=&gt; .94 EF)</v>
      </c>
      <c r="J14" s="251"/>
      <c r="K14" s="252"/>
      <c r="L14" s="4474">
        <f t="shared" si="2"/>
        <v>111</v>
      </c>
      <c r="M14" s="257">
        <v>0</v>
      </c>
      <c r="N14" s="4444">
        <v>150</v>
      </c>
      <c r="O14" s="244">
        <f t="shared" ref="O14:O54" si="4">M14+N14</f>
        <v>150</v>
      </c>
      <c r="P14" s="245">
        <f t="shared" si="3"/>
        <v>0</v>
      </c>
      <c r="Q14" s="245">
        <f t="shared" si="3"/>
        <v>16650</v>
      </c>
      <c r="R14" s="246">
        <f t="shared" si="3"/>
        <v>16650</v>
      </c>
      <c r="T14" s="4891"/>
    </row>
    <row r="15" spans="2:22">
      <c r="B15" s="254"/>
      <c r="C15" s="255" t="s">
        <v>140</v>
      </c>
      <c r="D15" s="256">
        <v>0</v>
      </c>
      <c r="E15" s="256"/>
      <c r="F15" s="249">
        <f t="shared" ref="F15:F25" si="5">SUM(D15:E15)</f>
        <v>0</v>
      </c>
      <c r="H15" s="132"/>
      <c r="I15" s="250" t="str">
        <f t="shared" si="1"/>
        <v>Waste Water Heat Recovery (models with an efficiency of 42% or greater)</v>
      </c>
      <c r="J15" s="251"/>
      <c r="K15" s="252"/>
      <c r="L15" s="242">
        <f t="shared" si="2"/>
        <v>373</v>
      </c>
      <c r="M15" s="257">
        <v>0</v>
      </c>
      <c r="N15" s="4444">
        <v>20</v>
      </c>
      <c r="O15" s="244">
        <f t="shared" si="4"/>
        <v>20</v>
      </c>
      <c r="P15" s="245">
        <f t="shared" si="3"/>
        <v>0</v>
      </c>
      <c r="Q15" s="245">
        <f t="shared" si="3"/>
        <v>7460</v>
      </c>
      <c r="R15" s="246">
        <f t="shared" si="3"/>
        <v>7460</v>
      </c>
      <c r="T15" s="4891"/>
    </row>
    <row r="16" spans="2:22">
      <c r="B16" s="254"/>
      <c r="C16" s="255" t="s">
        <v>141</v>
      </c>
      <c r="D16" s="258">
        <v>0</v>
      </c>
      <c r="E16" s="258"/>
      <c r="F16" s="249">
        <f t="shared" si="5"/>
        <v>0</v>
      </c>
      <c r="H16" s="132"/>
      <c r="I16" s="250" t="str">
        <f t="shared" si="1"/>
        <v>New: Direct Install Showerhead</v>
      </c>
      <c r="J16" s="251"/>
      <c r="K16" s="252"/>
      <c r="L16" s="4474">
        <f t="shared" si="2"/>
        <v>307</v>
      </c>
      <c r="M16" s="257">
        <v>0</v>
      </c>
      <c r="N16" s="4444">
        <v>800</v>
      </c>
      <c r="O16" s="244">
        <f t="shared" si="4"/>
        <v>800</v>
      </c>
      <c r="P16" s="245">
        <f t="shared" si="3"/>
        <v>0</v>
      </c>
      <c r="Q16" s="245">
        <f t="shared" si="3"/>
        <v>245600</v>
      </c>
      <c r="R16" s="246">
        <f t="shared" si="3"/>
        <v>245600</v>
      </c>
      <c r="T16" s="4891"/>
    </row>
    <row r="17" spans="2:20" ht="13.5" thickBot="1">
      <c r="B17" s="254"/>
      <c r="C17" s="255" t="s">
        <v>142</v>
      </c>
      <c r="D17" s="258">
        <v>0</v>
      </c>
      <c r="E17" s="258"/>
      <c r="F17" s="249">
        <f t="shared" si="5"/>
        <v>0</v>
      </c>
      <c r="H17" s="132"/>
      <c r="I17" s="4475" t="str">
        <f t="shared" si="1"/>
        <v>NEEA Northern Climate Specs Heat Pump Water Heater - Tier 2</v>
      </c>
      <c r="J17" s="4476"/>
      <c r="K17" s="4477"/>
      <c r="L17" s="4474">
        <f t="shared" si="2"/>
        <v>1786</v>
      </c>
      <c r="M17" s="257">
        <v>0</v>
      </c>
      <c r="N17" s="4444">
        <v>280</v>
      </c>
      <c r="O17" s="244">
        <f t="shared" si="4"/>
        <v>280</v>
      </c>
      <c r="P17" s="245">
        <f t="shared" si="3"/>
        <v>0</v>
      </c>
      <c r="Q17" s="245">
        <f t="shared" si="3"/>
        <v>500080</v>
      </c>
      <c r="R17" s="246">
        <f t="shared" si="3"/>
        <v>500080</v>
      </c>
      <c r="T17" s="4891"/>
    </row>
    <row r="18" spans="2:20" ht="13.5" thickBot="1">
      <c r="B18" s="262">
        <v>4612</v>
      </c>
      <c r="C18" s="236" t="s">
        <v>143</v>
      </c>
      <c r="D18" s="237">
        <f>SUM(D19:D22)</f>
        <v>0</v>
      </c>
      <c r="E18" s="4468">
        <f>SUM(E19:E22)</f>
        <v>30700</v>
      </c>
      <c r="F18" s="238">
        <f>D18+E18</f>
        <v>30700</v>
      </c>
      <c r="H18" s="132"/>
      <c r="I18" s="250" t="str">
        <f t="shared" si="1"/>
        <v>Measure 6</v>
      </c>
      <c r="J18" s="251"/>
      <c r="K18" s="252"/>
      <c r="L18" s="242">
        <f t="shared" si="2"/>
        <v>0</v>
      </c>
      <c r="M18" s="257">
        <v>0</v>
      </c>
      <c r="N18" s="257">
        <v>0</v>
      </c>
      <c r="O18" s="244">
        <f t="shared" si="4"/>
        <v>0</v>
      </c>
      <c r="P18" s="245">
        <f t="shared" si="3"/>
        <v>0</v>
      </c>
      <c r="Q18" s="245">
        <f t="shared" si="3"/>
        <v>0</v>
      </c>
      <c r="R18" s="246">
        <f t="shared" si="3"/>
        <v>0</v>
      </c>
      <c r="T18" s="4891"/>
    </row>
    <row r="19" spans="2:20">
      <c r="B19" s="247"/>
      <c r="C19" s="248" t="s">
        <v>139</v>
      </c>
      <c r="D19" s="249">
        <v>0</v>
      </c>
      <c r="E19" s="4447">
        <v>30700</v>
      </c>
      <c r="F19" s="249">
        <f t="shared" si="5"/>
        <v>30700</v>
      </c>
      <c r="H19" s="132"/>
      <c r="I19" s="250" t="str">
        <f t="shared" si="1"/>
        <v>Measure 7</v>
      </c>
      <c r="J19" s="251"/>
      <c r="K19" s="252"/>
      <c r="L19" s="242">
        <f t="shared" si="2"/>
        <v>0</v>
      </c>
      <c r="M19" s="257">
        <v>0</v>
      </c>
      <c r="N19" s="257">
        <v>0</v>
      </c>
      <c r="O19" s="244">
        <f t="shared" si="4"/>
        <v>0</v>
      </c>
      <c r="P19" s="245">
        <f t="shared" si="3"/>
        <v>0</v>
      </c>
      <c r="Q19" s="245">
        <f t="shared" si="3"/>
        <v>0</v>
      </c>
      <c r="R19" s="246">
        <f t="shared" si="3"/>
        <v>0</v>
      </c>
      <c r="T19" s="4891"/>
    </row>
    <row r="20" spans="2:20">
      <c r="B20" s="254"/>
      <c r="C20" s="255" t="s">
        <v>140</v>
      </c>
      <c r="D20" s="256">
        <v>0</v>
      </c>
      <c r="E20" s="256"/>
      <c r="F20" s="249">
        <f t="shared" si="5"/>
        <v>0</v>
      </c>
      <c r="H20" s="132"/>
      <c r="I20" s="250" t="str">
        <f t="shared" si="1"/>
        <v>Measure 8</v>
      </c>
      <c r="J20" s="251"/>
      <c r="K20" s="252"/>
      <c r="L20" s="242">
        <f t="shared" si="2"/>
        <v>0</v>
      </c>
      <c r="M20" s="257">
        <v>0</v>
      </c>
      <c r="N20" s="257">
        <v>0</v>
      </c>
      <c r="O20" s="244">
        <f t="shared" si="4"/>
        <v>0</v>
      </c>
      <c r="P20" s="245">
        <f t="shared" si="3"/>
        <v>0</v>
      </c>
      <c r="Q20" s="245">
        <f t="shared" si="3"/>
        <v>0</v>
      </c>
      <c r="R20" s="246">
        <f t="shared" si="3"/>
        <v>0</v>
      </c>
      <c r="T20" s="4891"/>
    </row>
    <row r="21" spans="2:20">
      <c r="B21" s="254"/>
      <c r="C21" s="255" t="s">
        <v>141</v>
      </c>
      <c r="D21" s="258">
        <v>0</v>
      </c>
      <c r="E21" s="258"/>
      <c r="F21" s="249">
        <f t="shared" si="5"/>
        <v>0</v>
      </c>
      <c r="H21" s="132"/>
      <c r="I21" s="250" t="str">
        <f t="shared" si="1"/>
        <v>Measure 9</v>
      </c>
      <c r="J21" s="251"/>
      <c r="K21" s="252"/>
      <c r="L21" s="242">
        <f t="shared" si="2"/>
        <v>0</v>
      </c>
      <c r="M21" s="257">
        <v>0</v>
      </c>
      <c r="N21" s="257">
        <v>0</v>
      </c>
      <c r="O21" s="244">
        <f t="shared" si="4"/>
        <v>0</v>
      </c>
      <c r="P21" s="245">
        <f t="shared" si="3"/>
        <v>0</v>
      </c>
      <c r="Q21" s="245">
        <f t="shared" si="3"/>
        <v>0</v>
      </c>
      <c r="R21" s="246">
        <f t="shared" si="3"/>
        <v>0</v>
      </c>
      <c r="T21" s="4891"/>
    </row>
    <row r="22" spans="2:20" ht="13.5" thickBot="1">
      <c r="B22" s="254"/>
      <c r="C22" s="255" t="s">
        <v>142</v>
      </c>
      <c r="D22" s="258">
        <v>0</v>
      </c>
      <c r="E22" s="258"/>
      <c r="F22" s="249">
        <f t="shared" si="5"/>
        <v>0</v>
      </c>
      <c r="H22" s="132"/>
      <c r="I22" s="250" t="str">
        <f t="shared" si="1"/>
        <v>Measure 10</v>
      </c>
      <c r="J22" s="251"/>
      <c r="K22" s="252"/>
      <c r="L22" s="242">
        <f t="shared" si="2"/>
        <v>0</v>
      </c>
      <c r="M22" s="257">
        <v>0</v>
      </c>
      <c r="N22" s="257">
        <v>0</v>
      </c>
      <c r="O22" s="244">
        <f t="shared" si="4"/>
        <v>0</v>
      </c>
      <c r="P22" s="245">
        <f t="shared" si="3"/>
        <v>0</v>
      </c>
      <c r="Q22" s="245">
        <f t="shared" si="3"/>
        <v>0</v>
      </c>
      <c r="R22" s="246">
        <f t="shared" si="3"/>
        <v>0</v>
      </c>
      <c r="T22" s="4891"/>
    </row>
    <row r="23" spans="2:20" ht="13.5" thickBot="1">
      <c r="B23" s="262">
        <v>18886</v>
      </c>
      <c r="C23" s="236" t="s">
        <v>144</v>
      </c>
      <c r="D23" s="237">
        <f>SUM(D24:D27)</f>
        <v>0</v>
      </c>
      <c r="E23" s="237">
        <f>SUM(E24:E27)</f>
        <v>66245.899999999994</v>
      </c>
      <c r="F23" s="238">
        <f>D23+E23</f>
        <v>66245.899999999994</v>
      </c>
      <c r="G23" s="53"/>
      <c r="H23" s="132"/>
      <c r="I23" s="250" t="str">
        <f t="shared" si="1"/>
        <v>Measure 11</v>
      </c>
      <c r="J23" s="251"/>
      <c r="K23" s="252"/>
      <c r="L23" s="242">
        <f t="shared" si="2"/>
        <v>0</v>
      </c>
      <c r="M23" s="257">
        <v>0</v>
      </c>
      <c r="N23" s="257">
        <v>0</v>
      </c>
      <c r="O23" s="244">
        <f t="shared" si="4"/>
        <v>0</v>
      </c>
      <c r="P23" s="245">
        <f t="shared" si="3"/>
        <v>0</v>
      </c>
      <c r="Q23" s="245">
        <f t="shared" si="3"/>
        <v>0</v>
      </c>
      <c r="R23" s="246">
        <f t="shared" si="3"/>
        <v>0</v>
      </c>
      <c r="T23" s="4891"/>
    </row>
    <row r="24" spans="2:20">
      <c r="B24" s="247"/>
      <c r="C24" s="3566" t="s">
        <v>1434</v>
      </c>
      <c r="D24" s="249">
        <v>0</v>
      </c>
      <c r="E24" s="249">
        <f>0.707*E13</f>
        <v>44541</v>
      </c>
      <c r="F24" s="249">
        <f t="shared" si="5"/>
        <v>44541</v>
      </c>
      <c r="H24" s="132"/>
      <c r="I24" s="250" t="str">
        <f t="shared" si="1"/>
        <v>Measure 12</v>
      </c>
      <c r="J24" s="251"/>
      <c r="K24" s="252"/>
      <c r="L24" s="242">
        <f t="shared" si="2"/>
        <v>0</v>
      </c>
      <c r="M24" s="257">
        <v>0</v>
      </c>
      <c r="N24" s="257">
        <v>0</v>
      </c>
      <c r="O24" s="244">
        <f t="shared" si="4"/>
        <v>0</v>
      </c>
      <c r="P24" s="245">
        <f t="shared" si="3"/>
        <v>0</v>
      </c>
      <c r="Q24" s="245">
        <f t="shared" si="3"/>
        <v>0</v>
      </c>
      <c r="R24" s="246">
        <f t="shared" si="3"/>
        <v>0</v>
      </c>
      <c r="T24" s="4891"/>
    </row>
    <row r="25" spans="2:20">
      <c r="B25" s="247"/>
      <c r="C25" s="3566" t="s">
        <v>1435</v>
      </c>
      <c r="D25" s="256">
        <v>0</v>
      </c>
      <c r="E25" s="256">
        <f>0.707*E18</f>
        <v>21704.899999999998</v>
      </c>
      <c r="F25" s="249">
        <f t="shared" si="5"/>
        <v>21704.899999999998</v>
      </c>
      <c r="H25" s="132"/>
      <c r="I25" s="250" t="str">
        <f t="shared" si="1"/>
        <v>Measure 13</v>
      </c>
      <c r="J25" s="251"/>
      <c r="K25" s="252"/>
      <c r="L25" s="242">
        <f t="shared" si="2"/>
        <v>0</v>
      </c>
      <c r="M25" s="257">
        <v>0</v>
      </c>
      <c r="N25" s="257">
        <v>0</v>
      </c>
      <c r="O25" s="244">
        <f t="shared" si="4"/>
        <v>0</v>
      </c>
      <c r="P25" s="245">
        <f t="shared" si="3"/>
        <v>0</v>
      </c>
      <c r="Q25" s="245">
        <f t="shared" si="3"/>
        <v>0</v>
      </c>
      <c r="R25" s="246">
        <f t="shared" si="3"/>
        <v>0</v>
      </c>
      <c r="T25" s="4891"/>
    </row>
    <row r="26" spans="2:20">
      <c r="B26" s="254"/>
      <c r="C26" s="255"/>
      <c r="D26" s="258"/>
      <c r="E26" s="258"/>
      <c r="F26" s="258"/>
      <c r="H26" s="132"/>
      <c r="I26" s="250" t="str">
        <f t="shared" si="1"/>
        <v>Measure 14</v>
      </c>
      <c r="J26" s="251"/>
      <c r="K26" s="252"/>
      <c r="L26" s="242">
        <f t="shared" si="2"/>
        <v>0</v>
      </c>
      <c r="M26" s="257">
        <v>0</v>
      </c>
      <c r="N26" s="257">
        <v>0</v>
      </c>
      <c r="O26" s="244">
        <f t="shared" si="4"/>
        <v>0</v>
      </c>
      <c r="P26" s="245">
        <f t="shared" si="3"/>
        <v>0</v>
      </c>
      <c r="Q26" s="245">
        <f t="shared" si="3"/>
        <v>0</v>
      </c>
      <c r="R26" s="246">
        <f t="shared" si="3"/>
        <v>0</v>
      </c>
      <c r="T26" s="4891"/>
    </row>
    <row r="27" spans="2:20" ht="13.5" thickBot="1">
      <c r="B27" s="254"/>
      <c r="C27" s="255"/>
      <c r="D27" s="258"/>
      <c r="E27" s="258"/>
      <c r="F27" s="258"/>
      <c r="H27" s="132"/>
      <c r="I27" s="250" t="str">
        <f t="shared" si="1"/>
        <v>Measure 15</v>
      </c>
      <c r="J27" s="251"/>
      <c r="K27" s="252"/>
      <c r="L27" s="242">
        <f t="shared" si="2"/>
        <v>0</v>
      </c>
      <c r="M27" s="257">
        <v>0</v>
      </c>
      <c r="N27" s="257">
        <v>0</v>
      </c>
      <c r="O27" s="244">
        <f t="shared" si="4"/>
        <v>0</v>
      </c>
      <c r="P27" s="245">
        <f t="shared" si="3"/>
        <v>0</v>
      </c>
      <c r="Q27" s="245">
        <f t="shared" si="3"/>
        <v>0</v>
      </c>
      <c r="R27" s="246">
        <f t="shared" si="3"/>
        <v>0</v>
      </c>
      <c r="T27" s="4891"/>
    </row>
    <row r="28" spans="2:20" ht="13.5" thickBot="1">
      <c r="B28" s="262">
        <v>31200</v>
      </c>
      <c r="C28" s="236" t="s">
        <v>145</v>
      </c>
      <c r="D28" s="237">
        <f>SUM(D29:D32)</f>
        <v>0</v>
      </c>
      <c r="E28" s="4468">
        <f>SUM(E29:E32)</f>
        <v>105000</v>
      </c>
      <c r="F28" s="238">
        <f>D28+E28</f>
        <v>105000</v>
      </c>
      <c r="H28" s="132"/>
      <c r="I28" s="250" t="str">
        <f t="shared" si="1"/>
        <v>Measure 16</v>
      </c>
      <c r="J28" s="251"/>
      <c r="K28" s="252"/>
      <c r="L28" s="242">
        <f t="shared" si="2"/>
        <v>0</v>
      </c>
      <c r="M28" s="257">
        <v>0</v>
      </c>
      <c r="N28" s="257">
        <v>0</v>
      </c>
      <c r="O28" s="244">
        <f t="shared" si="4"/>
        <v>0</v>
      </c>
      <c r="P28" s="245">
        <f t="shared" si="3"/>
        <v>0</v>
      </c>
      <c r="Q28" s="245">
        <f t="shared" si="3"/>
        <v>0</v>
      </c>
      <c r="R28" s="246">
        <f t="shared" si="3"/>
        <v>0</v>
      </c>
      <c r="T28" s="4891"/>
    </row>
    <row r="29" spans="2:20">
      <c r="B29" s="247"/>
      <c r="C29" s="248" t="s">
        <v>139</v>
      </c>
      <c r="D29" s="249">
        <v>0</v>
      </c>
      <c r="E29" s="4447">
        <v>95000</v>
      </c>
      <c r="F29" s="249">
        <f t="shared" ref="F29:F37" si="6">SUM(D29:E29)</f>
        <v>95000</v>
      </c>
      <c r="H29" s="132"/>
      <c r="I29" s="250" t="str">
        <f t="shared" si="1"/>
        <v>Measure 17</v>
      </c>
      <c r="J29" s="251"/>
      <c r="K29" s="252"/>
      <c r="L29" s="242">
        <f t="shared" si="2"/>
        <v>0</v>
      </c>
      <c r="M29" s="257">
        <v>0</v>
      </c>
      <c r="N29" s="257">
        <v>0</v>
      </c>
      <c r="O29" s="244">
        <f t="shared" si="4"/>
        <v>0</v>
      </c>
      <c r="P29" s="245">
        <f t="shared" ref="P29:R44" si="7">M29*$D79</f>
        <v>0</v>
      </c>
      <c r="Q29" s="245">
        <f t="shared" si="7"/>
        <v>0</v>
      </c>
      <c r="R29" s="246">
        <f t="shared" si="7"/>
        <v>0</v>
      </c>
      <c r="T29" s="4891"/>
    </row>
    <row r="30" spans="2:20">
      <c r="B30" s="254"/>
      <c r="C30" s="3572" t="s">
        <v>1263</v>
      </c>
      <c r="D30" s="256">
        <v>0</v>
      </c>
      <c r="E30" s="4449">
        <v>10000</v>
      </c>
      <c r="F30" s="249">
        <f t="shared" si="6"/>
        <v>10000</v>
      </c>
      <c r="H30" s="132"/>
      <c r="I30" s="250" t="str">
        <f t="shared" si="1"/>
        <v>Measure 18</v>
      </c>
      <c r="J30" s="251"/>
      <c r="K30" s="252"/>
      <c r="L30" s="242">
        <f t="shared" si="2"/>
        <v>0</v>
      </c>
      <c r="M30" s="257">
        <v>0</v>
      </c>
      <c r="N30" s="257">
        <v>0</v>
      </c>
      <c r="O30" s="244">
        <f t="shared" si="4"/>
        <v>0</v>
      </c>
      <c r="P30" s="245">
        <f t="shared" si="7"/>
        <v>0</v>
      </c>
      <c r="Q30" s="245">
        <f t="shared" si="7"/>
        <v>0</v>
      </c>
      <c r="R30" s="246">
        <f t="shared" si="7"/>
        <v>0</v>
      </c>
      <c r="T30" s="4891"/>
    </row>
    <row r="31" spans="2:20">
      <c r="B31" s="254"/>
      <c r="C31" s="255" t="s">
        <v>141</v>
      </c>
      <c r="D31" s="256">
        <v>0</v>
      </c>
      <c r="E31" s="256"/>
      <c r="F31" s="249">
        <f t="shared" si="6"/>
        <v>0</v>
      </c>
      <c r="H31" s="132"/>
      <c r="I31" s="250" t="str">
        <f t="shared" si="1"/>
        <v>Measure 19</v>
      </c>
      <c r="J31" s="251"/>
      <c r="K31" s="252"/>
      <c r="L31" s="242">
        <f t="shared" si="2"/>
        <v>0</v>
      </c>
      <c r="M31" s="257">
        <v>0</v>
      </c>
      <c r="N31" s="257">
        <v>0</v>
      </c>
      <c r="O31" s="244">
        <f t="shared" si="4"/>
        <v>0</v>
      </c>
      <c r="P31" s="245">
        <f t="shared" si="7"/>
        <v>0</v>
      </c>
      <c r="Q31" s="245">
        <f t="shared" si="7"/>
        <v>0</v>
      </c>
      <c r="R31" s="246">
        <f t="shared" si="7"/>
        <v>0</v>
      </c>
      <c r="T31" s="4891"/>
    </row>
    <row r="32" spans="2:20" ht="13.5" thickBot="1">
      <c r="B32" s="254"/>
      <c r="C32" s="255" t="s">
        <v>142</v>
      </c>
      <c r="D32" s="256">
        <v>0</v>
      </c>
      <c r="E32" s="256"/>
      <c r="F32" s="249">
        <f t="shared" si="6"/>
        <v>0</v>
      </c>
      <c r="H32" s="132"/>
      <c r="I32" s="250" t="str">
        <f t="shared" si="1"/>
        <v>Measure 20</v>
      </c>
      <c r="J32" s="251"/>
      <c r="K32" s="252"/>
      <c r="L32" s="242">
        <f t="shared" si="2"/>
        <v>0</v>
      </c>
      <c r="M32" s="257">
        <v>0</v>
      </c>
      <c r="N32" s="257">
        <v>0</v>
      </c>
      <c r="O32" s="244">
        <f t="shared" si="4"/>
        <v>0</v>
      </c>
      <c r="P32" s="245">
        <f t="shared" si="7"/>
        <v>0</v>
      </c>
      <c r="Q32" s="245">
        <f t="shared" si="7"/>
        <v>0</v>
      </c>
      <c r="R32" s="246">
        <f t="shared" si="7"/>
        <v>0</v>
      </c>
      <c r="T32" s="4891"/>
    </row>
    <row r="33" spans="2:20" ht="13.5" thickBot="1">
      <c r="B33" s="262">
        <v>1200</v>
      </c>
      <c r="C33" s="236" t="s">
        <v>146</v>
      </c>
      <c r="D33" s="237">
        <f>SUM(D34:D37)</f>
        <v>0</v>
      </c>
      <c r="E33" s="237">
        <f>SUM(E34:E37)</f>
        <v>1200</v>
      </c>
      <c r="F33" s="238">
        <f>D33+E33</f>
        <v>1200</v>
      </c>
      <c r="H33" s="132"/>
      <c r="I33" s="250" t="str">
        <f t="shared" si="1"/>
        <v>Measure 21</v>
      </c>
      <c r="J33" s="251"/>
      <c r="K33" s="252"/>
      <c r="L33" s="242">
        <f t="shared" si="2"/>
        <v>0</v>
      </c>
      <c r="M33" s="257">
        <v>0</v>
      </c>
      <c r="N33" s="257">
        <v>0</v>
      </c>
      <c r="O33" s="244">
        <f t="shared" si="4"/>
        <v>0</v>
      </c>
      <c r="P33" s="245">
        <f t="shared" si="7"/>
        <v>0</v>
      </c>
      <c r="Q33" s="245">
        <f t="shared" si="7"/>
        <v>0</v>
      </c>
      <c r="R33" s="246">
        <f t="shared" si="7"/>
        <v>0</v>
      </c>
      <c r="T33" s="4891"/>
    </row>
    <row r="34" spans="2:20">
      <c r="B34" s="254"/>
      <c r="C34" s="255" t="s">
        <v>139</v>
      </c>
      <c r="D34" s="256">
        <v>0</v>
      </c>
      <c r="E34" s="256">
        <v>1200</v>
      </c>
      <c r="F34" s="249">
        <f t="shared" si="6"/>
        <v>1200</v>
      </c>
      <c r="H34" s="132"/>
      <c r="I34" s="250" t="str">
        <f t="shared" si="1"/>
        <v>Measure 22</v>
      </c>
      <c r="J34" s="251"/>
      <c r="K34" s="252"/>
      <c r="L34" s="242">
        <f t="shared" si="2"/>
        <v>0</v>
      </c>
      <c r="M34" s="257">
        <v>0</v>
      </c>
      <c r="N34" s="257">
        <v>0</v>
      </c>
      <c r="O34" s="244">
        <f t="shared" si="4"/>
        <v>0</v>
      </c>
      <c r="P34" s="245">
        <f t="shared" si="7"/>
        <v>0</v>
      </c>
      <c r="Q34" s="245">
        <f t="shared" si="7"/>
        <v>0</v>
      </c>
      <c r="R34" s="246">
        <f t="shared" si="7"/>
        <v>0</v>
      </c>
      <c r="T34" s="4891"/>
    </row>
    <row r="35" spans="2:20">
      <c r="B35" s="254"/>
      <c r="C35" s="255" t="s">
        <v>140</v>
      </c>
      <c r="D35" s="256">
        <v>0</v>
      </c>
      <c r="E35" s="256"/>
      <c r="F35" s="249">
        <f t="shared" si="6"/>
        <v>0</v>
      </c>
      <c r="H35" s="132"/>
      <c r="I35" s="250" t="str">
        <f t="shared" si="1"/>
        <v>Measure 23</v>
      </c>
      <c r="J35" s="251"/>
      <c r="K35" s="252"/>
      <c r="L35" s="242">
        <f t="shared" si="2"/>
        <v>0</v>
      </c>
      <c r="M35" s="257">
        <v>0</v>
      </c>
      <c r="N35" s="257">
        <v>0</v>
      </c>
      <c r="O35" s="244">
        <f t="shared" si="4"/>
        <v>0</v>
      </c>
      <c r="P35" s="245">
        <f t="shared" si="7"/>
        <v>0</v>
      </c>
      <c r="Q35" s="245">
        <f t="shared" si="7"/>
        <v>0</v>
      </c>
      <c r="R35" s="246">
        <f t="shared" si="7"/>
        <v>0</v>
      </c>
      <c r="T35" s="4891"/>
    </row>
    <row r="36" spans="2:20">
      <c r="B36" s="254"/>
      <c r="C36" s="255" t="s">
        <v>141</v>
      </c>
      <c r="D36" s="256">
        <v>0</v>
      </c>
      <c r="E36" s="256"/>
      <c r="F36" s="249">
        <f t="shared" si="6"/>
        <v>0</v>
      </c>
      <c r="H36" s="132"/>
      <c r="I36" s="250" t="str">
        <f t="shared" si="1"/>
        <v>Measure 24</v>
      </c>
      <c r="J36" s="251"/>
      <c r="K36" s="252"/>
      <c r="L36" s="242">
        <f t="shared" si="2"/>
        <v>0</v>
      </c>
      <c r="M36" s="257">
        <v>0</v>
      </c>
      <c r="N36" s="257">
        <v>0</v>
      </c>
      <c r="O36" s="244">
        <f t="shared" si="4"/>
        <v>0</v>
      </c>
      <c r="P36" s="245">
        <f t="shared" si="7"/>
        <v>0</v>
      </c>
      <c r="Q36" s="245">
        <f t="shared" si="7"/>
        <v>0</v>
      </c>
      <c r="R36" s="246">
        <f t="shared" si="7"/>
        <v>0</v>
      </c>
      <c r="T36" s="4891"/>
    </row>
    <row r="37" spans="2:20" ht="13.5" thickBot="1">
      <c r="B37" s="254"/>
      <c r="C37" s="255" t="s">
        <v>142</v>
      </c>
      <c r="D37" s="256">
        <v>0</v>
      </c>
      <c r="E37" s="256"/>
      <c r="F37" s="249">
        <f t="shared" si="6"/>
        <v>0</v>
      </c>
      <c r="H37" s="132"/>
      <c r="I37" s="250" t="str">
        <f t="shared" si="1"/>
        <v>Measure 25</v>
      </c>
      <c r="J37" s="251"/>
      <c r="K37" s="252"/>
      <c r="L37" s="242">
        <f t="shared" si="2"/>
        <v>0</v>
      </c>
      <c r="M37" s="257">
        <v>0</v>
      </c>
      <c r="N37" s="257">
        <v>0</v>
      </c>
      <c r="O37" s="244">
        <f t="shared" si="4"/>
        <v>0</v>
      </c>
      <c r="P37" s="245">
        <f t="shared" si="7"/>
        <v>0</v>
      </c>
      <c r="Q37" s="245">
        <f t="shared" si="7"/>
        <v>0</v>
      </c>
      <c r="R37" s="246">
        <f t="shared" si="7"/>
        <v>0</v>
      </c>
      <c r="T37" s="4891"/>
    </row>
    <row r="38" spans="2:20" ht="13.5" thickBot="1">
      <c r="B38" s="262">
        <v>18000</v>
      </c>
      <c r="C38" s="236" t="s">
        <v>147</v>
      </c>
      <c r="D38" s="237">
        <f>SUM(D39:D42)</f>
        <v>0</v>
      </c>
      <c r="E38" s="237">
        <f>SUM(E39:E42)</f>
        <v>4000</v>
      </c>
      <c r="F38" s="238">
        <f>D38+E38</f>
        <v>4000</v>
      </c>
      <c r="H38" s="132"/>
      <c r="I38" s="250" t="str">
        <f t="shared" si="1"/>
        <v>Measure 26</v>
      </c>
      <c r="J38" s="251"/>
      <c r="K38" s="260"/>
      <c r="L38" s="242">
        <f t="shared" si="2"/>
        <v>0</v>
      </c>
      <c r="M38" s="257">
        <v>0</v>
      </c>
      <c r="N38" s="257">
        <v>0</v>
      </c>
      <c r="O38" s="244">
        <f t="shared" si="4"/>
        <v>0</v>
      </c>
      <c r="P38" s="245">
        <f t="shared" si="7"/>
        <v>0</v>
      </c>
      <c r="Q38" s="245">
        <f t="shared" si="7"/>
        <v>0</v>
      </c>
      <c r="R38" s="246">
        <f t="shared" si="7"/>
        <v>0</v>
      </c>
      <c r="T38" s="4891"/>
    </row>
    <row r="39" spans="2:20">
      <c r="B39" s="254"/>
      <c r="C39" s="255" t="s">
        <v>139</v>
      </c>
      <c r="D39" s="256">
        <v>0</v>
      </c>
      <c r="E39" s="256">
        <v>4000</v>
      </c>
      <c r="F39" s="249">
        <f t="shared" ref="F39:F52" si="8">SUM(D39:E39)</f>
        <v>4000</v>
      </c>
      <c r="H39" s="132"/>
      <c r="I39" s="250" t="str">
        <f t="shared" si="1"/>
        <v>Measure 27</v>
      </c>
      <c r="J39" s="251"/>
      <c r="K39" s="260"/>
      <c r="L39" s="242">
        <f t="shared" si="2"/>
        <v>0</v>
      </c>
      <c r="M39" s="257">
        <v>0</v>
      </c>
      <c r="N39" s="257">
        <v>0</v>
      </c>
      <c r="O39" s="244">
        <f t="shared" si="4"/>
        <v>0</v>
      </c>
      <c r="P39" s="245">
        <f t="shared" si="7"/>
        <v>0</v>
      </c>
      <c r="Q39" s="245">
        <f t="shared" si="7"/>
        <v>0</v>
      </c>
      <c r="R39" s="246">
        <f t="shared" si="7"/>
        <v>0</v>
      </c>
      <c r="T39" s="4891"/>
    </row>
    <row r="40" spans="2:20">
      <c r="B40" s="254"/>
      <c r="C40" s="255" t="s">
        <v>140</v>
      </c>
      <c r="D40" s="256">
        <v>0</v>
      </c>
      <c r="E40" s="256"/>
      <c r="F40" s="249">
        <f t="shared" si="8"/>
        <v>0</v>
      </c>
      <c r="H40" s="132"/>
      <c r="I40" s="250" t="str">
        <f t="shared" si="1"/>
        <v>Measure 28</v>
      </c>
      <c r="J40" s="251"/>
      <c r="K40" s="260"/>
      <c r="L40" s="242">
        <f t="shared" si="2"/>
        <v>0</v>
      </c>
      <c r="M40" s="257">
        <v>0</v>
      </c>
      <c r="N40" s="257">
        <v>0</v>
      </c>
      <c r="O40" s="244">
        <f t="shared" si="4"/>
        <v>0</v>
      </c>
      <c r="P40" s="245">
        <f t="shared" si="7"/>
        <v>0</v>
      </c>
      <c r="Q40" s="245">
        <f t="shared" si="7"/>
        <v>0</v>
      </c>
      <c r="R40" s="246">
        <f t="shared" si="7"/>
        <v>0</v>
      </c>
      <c r="T40" s="4891"/>
    </row>
    <row r="41" spans="2:20">
      <c r="B41" s="254"/>
      <c r="C41" s="255" t="s">
        <v>141</v>
      </c>
      <c r="D41" s="256">
        <v>0</v>
      </c>
      <c r="E41" s="256"/>
      <c r="F41" s="249">
        <f t="shared" si="8"/>
        <v>0</v>
      </c>
      <c r="H41" s="132"/>
      <c r="I41" s="250" t="str">
        <f t="shared" si="1"/>
        <v>Measure 29</v>
      </c>
      <c r="J41" s="251"/>
      <c r="K41" s="260"/>
      <c r="L41" s="242">
        <f t="shared" si="2"/>
        <v>0</v>
      </c>
      <c r="M41" s="257">
        <v>0</v>
      </c>
      <c r="N41" s="257">
        <v>0</v>
      </c>
      <c r="O41" s="244">
        <f t="shared" si="4"/>
        <v>0</v>
      </c>
      <c r="P41" s="245">
        <f t="shared" si="7"/>
        <v>0</v>
      </c>
      <c r="Q41" s="245">
        <f t="shared" si="7"/>
        <v>0</v>
      </c>
      <c r="R41" s="246">
        <f t="shared" si="7"/>
        <v>0</v>
      </c>
      <c r="T41" s="4891"/>
    </row>
    <row r="42" spans="2:20" ht="13.5" thickBot="1">
      <c r="B42" s="254"/>
      <c r="C42" s="255" t="s">
        <v>142</v>
      </c>
      <c r="D42" s="256">
        <v>0</v>
      </c>
      <c r="E42" s="256"/>
      <c r="F42" s="249">
        <f t="shared" si="8"/>
        <v>0</v>
      </c>
      <c r="H42" s="132"/>
      <c r="I42" s="250" t="str">
        <f t="shared" si="1"/>
        <v>Measure 30</v>
      </c>
      <c r="J42" s="251"/>
      <c r="K42" s="260"/>
      <c r="L42" s="242">
        <f t="shared" si="2"/>
        <v>0</v>
      </c>
      <c r="M42" s="257">
        <v>0</v>
      </c>
      <c r="N42" s="257">
        <v>0</v>
      </c>
      <c r="O42" s="244">
        <f t="shared" si="4"/>
        <v>0</v>
      </c>
      <c r="P42" s="245">
        <f t="shared" si="7"/>
        <v>0</v>
      </c>
      <c r="Q42" s="245">
        <f t="shared" si="7"/>
        <v>0</v>
      </c>
      <c r="R42" s="246">
        <f t="shared" si="7"/>
        <v>0</v>
      </c>
      <c r="T42" s="4891"/>
    </row>
    <row r="43" spans="2:20" ht="13.5" thickBot="1">
      <c r="B43" s="262">
        <v>2400</v>
      </c>
      <c r="C43" s="236" t="s">
        <v>148</v>
      </c>
      <c r="D43" s="237">
        <f>SUM(D44:D47)</f>
        <v>0</v>
      </c>
      <c r="E43" s="237">
        <f>SUM(E44:E47)</f>
        <v>5000</v>
      </c>
      <c r="F43" s="238">
        <f>D43+E43</f>
        <v>5000</v>
      </c>
      <c r="H43" s="132"/>
      <c r="I43" s="250" t="str">
        <f t="shared" si="1"/>
        <v>Measure 31</v>
      </c>
      <c r="J43" s="251"/>
      <c r="K43" s="260"/>
      <c r="L43" s="242">
        <f t="shared" si="2"/>
        <v>0</v>
      </c>
      <c r="M43" s="257">
        <v>0</v>
      </c>
      <c r="N43" s="257">
        <v>0</v>
      </c>
      <c r="O43" s="244">
        <f t="shared" si="4"/>
        <v>0</v>
      </c>
      <c r="P43" s="245">
        <f t="shared" si="7"/>
        <v>0</v>
      </c>
      <c r="Q43" s="245">
        <f t="shared" si="7"/>
        <v>0</v>
      </c>
      <c r="R43" s="246">
        <f t="shared" si="7"/>
        <v>0</v>
      </c>
      <c r="T43" s="4891"/>
    </row>
    <row r="44" spans="2:20">
      <c r="B44" s="254"/>
      <c r="C44" s="255" t="s">
        <v>139</v>
      </c>
      <c r="D44" s="256">
        <v>0</v>
      </c>
      <c r="E44" s="256">
        <v>5000</v>
      </c>
      <c r="F44" s="249">
        <f t="shared" si="8"/>
        <v>5000</v>
      </c>
      <c r="H44" s="132"/>
      <c r="I44" s="250" t="str">
        <f t="shared" si="1"/>
        <v>Measure 32</v>
      </c>
      <c r="J44" s="251"/>
      <c r="K44" s="260"/>
      <c r="L44" s="242">
        <f t="shared" si="2"/>
        <v>0</v>
      </c>
      <c r="M44" s="257">
        <v>0</v>
      </c>
      <c r="N44" s="257">
        <v>0</v>
      </c>
      <c r="O44" s="244">
        <f t="shared" si="4"/>
        <v>0</v>
      </c>
      <c r="P44" s="245">
        <f t="shared" si="7"/>
        <v>0</v>
      </c>
      <c r="Q44" s="245">
        <f t="shared" si="7"/>
        <v>0</v>
      </c>
      <c r="R44" s="246">
        <f t="shared" si="7"/>
        <v>0</v>
      </c>
      <c r="T44" s="4891"/>
    </row>
    <row r="45" spans="2:20">
      <c r="B45" s="254"/>
      <c r="C45" s="255" t="s">
        <v>140</v>
      </c>
      <c r="D45" s="256">
        <v>0</v>
      </c>
      <c r="E45" s="256"/>
      <c r="F45" s="249">
        <f t="shared" si="8"/>
        <v>0</v>
      </c>
      <c r="H45" s="132"/>
      <c r="I45" s="250" t="str">
        <f t="shared" si="1"/>
        <v>Measure 33</v>
      </c>
      <c r="J45" s="251"/>
      <c r="K45" s="260"/>
      <c r="L45" s="242">
        <f t="shared" si="2"/>
        <v>0</v>
      </c>
      <c r="M45" s="257">
        <v>0</v>
      </c>
      <c r="N45" s="257">
        <v>0</v>
      </c>
      <c r="O45" s="244">
        <f t="shared" si="4"/>
        <v>0</v>
      </c>
      <c r="P45" s="245">
        <f t="shared" ref="P45:R54" si="9">M45*$D95</f>
        <v>0</v>
      </c>
      <c r="Q45" s="245">
        <f t="shared" si="9"/>
        <v>0</v>
      </c>
      <c r="R45" s="246">
        <f t="shared" si="9"/>
        <v>0</v>
      </c>
      <c r="T45" s="4891"/>
    </row>
    <row r="46" spans="2:20">
      <c r="B46" s="254"/>
      <c r="C46" s="255" t="s">
        <v>141</v>
      </c>
      <c r="D46" s="256">
        <v>0</v>
      </c>
      <c r="E46" s="256"/>
      <c r="F46" s="249">
        <f t="shared" si="8"/>
        <v>0</v>
      </c>
      <c r="H46" s="132"/>
      <c r="I46" s="250" t="str">
        <f t="shared" si="1"/>
        <v>Measure 34</v>
      </c>
      <c r="J46" s="251"/>
      <c r="K46" s="260"/>
      <c r="L46" s="242">
        <f t="shared" si="2"/>
        <v>0</v>
      </c>
      <c r="M46" s="257">
        <v>0</v>
      </c>
      <c r="N46" s="257">
        <v>0</v>
      </c>
      <c r="O46" s="244">
        <f t="shared" si="4"/>
        <v>0</v>
      </c>
      <c r="P46" s="245">
        <f t="shared" si="9"/>
        <v>0</v>
      </c>
      <c r="Q46" s="245">
        <f t="shared" si="9"/>
        <v>0</v>
      </c>
      <c r="R46" s="246">
        <f t="shared" si="9"/>
        <v>0</v>
      </c>
      <c r="T46" s="4891"/>
    </row>
    <row r="47" spans="2:20" ht="13.5" thickBot="1">
      <c r="B47" s="254"/>
      <c r="C47" s="255" t="s">
        <v>142</v>
      </c>
      <c r="D47" s="256">
        <v>0</v>
      </c>
      <c r="E47" s="256"/>
      <c r="F47" s="249">
        <f t="shared" si="8"/>
        <v>0</v>
      </c>
      <c r="H47" s="132"/>
      <c r="I47" s="250" t="str">
        <f t="shared" si="1"/>
        <v>Measure 35</v>
      </c>
      <c r="J47" s="251"/>
      <c r="K47" s="260"/>
      <c r="L47" s="242">
        <f t="shared" si="2"/>
        <v>0</v>
      </c>
      <c r="M47" s="257">
        <v>0</v>
      </c>
      <c r="N47" s="257">
        <v>0</v>
      </c>
      <c r="O47" s="244">
        <f t="shared" si="4"/>
        <v>0</v>
      </c>
      <c r="P47" s="245">
        <f t="shared" si="9"/>
        <v>0</v>
      </c>
      <c r="Q47" s="245">
        <f t="shared" si="9"/>
        <v>0</v>
      </c>
      <c r="R47" s="246">
        <f t="shared" si="9"/>
        <v>0</v>
      </c>
      <c r="T47" s="4891"/>
    </row>
    <row r="48" spans="2:20" ht="13.5" thickBot="1">
      <c r="B48" s="262">
        <v>2400</v>
      </c>
      <c r="C48" s="236" t="s">
        <v>149</v>
      </c>
      <c r="D48" s="237">
        <f>SUM(D49:D52)</f>
        <v>0</v>
      </c>
      <c r="E48" s="237">
        <f>SUM(E49:E52)</f>
        <v>2400</v>
      </c>
      <c r="F48" s="238">
        <f>D48+E48</f>
        <v>2400</v>
      </c>
      <c r="H48" s="132"/>
      <c r="I48" s="250" t="str">
        <f t="shared" si="1"/>
        <v>Measure 36</v>
      </c>
      <c r="J48" s="251"/>
      <c r="K48" s="260"/>
      <c r="L48" s="242">
        <f t="shared" si="2"/>
        <v>0</v>
      </c>
      <c r="M48" s="257">
        <v>0</v>
      </c>
      <c r="N48" s="257">
        <v>0</v>
      </c>
      <c r="O48" s="244">
        <f t="shared" si="4"/>
        <v>0</v>
      </c>
      <c r="P48" s="245">
        <f t="shared" si="9"/>
        <v>0</v>
      </c>
      <c r="Q48" s="245">
        <f t="shared" si="9"/>
        <v>0</v>
      </c>
      <c r="R48" s="246">
        <f t="shared" si="9"/>
        <v>0</v>
      </c>
      <c r="T48" s="4891"/>
    </row>
    <row r="49" spans="2:26">
      <c r="B49" s="254"/>
      <c r="C49" s="255" t="s">
        <v>139</v>
      </c>
      <c r="D49" s="256">
        <v>0</v>
      </c>
      <c r="E49" s="256">
        <v>2400</v>
      </c>
      <c r="F49" s="249">
        <f t="shared" si="8"/>
        <v>2400</v>
      </c>
      <c r="H49" s="132"/>
      <c r="I49" s="250" t="str">
        <f t="shared" si="1"/>
        <v>Measure 37</v>
      </c>
      <c r="J49" s="251"/>
      <c r="K49" s="260"/>
      <c r="L49" s="242">
        <f t="shared" si="2"/>
        <v>0</v>
      </c>
      <c r="M49" s="257">
        <v>0</v>
      </c>
      <c r="N49" s="257">
        <v>0</v>
      </c>
      <c r="O49" s="244">
        <f t="shared" si="4"/>
        <v>0</v>
      </c>
      <c r="P49" s="245">
        <f t="shared" si="9"/>
        <v>0</v>
      </c>
      <c r="Q49" s="245">
        <f t="shared" si="9"/>
        <v>0</v>
      </c>
      <c r="R49" s="246">
        <f t="shared" si="9"/>
        <v>0</v>
      </c>
      <c r="T49" s="4891"/>
    </row>
    <row r="50" spans="2:26">
      <c r="B50" s="254"/>
      <c r="C50" s="255" t="s">
        <v>140</v>
      </c>
      <c r="D50" s="256">
        <v>0</v>
      </c>
      <c r="E50" s="256"/>
      <c r="F50" s="249">
        <f t="shared" si="8"/>
        <v>0</v>
      </c>
      <c r="I50" s="250" t="str">
        <f t="shared" si="1"/>
        <v>Measure 38</v>
      </c>
      <c r="J50" s="251"/>
      <c r="K50" s="252"/>
      <c r="L50" s="242">
        <f t="shared" si="2"/>
        <v>0</v>
      </c>
      <c r="M50" s="257">
        <v>0</v>
      </c>
      <c r="N50" s="257">
        <v>0</v>
      </c>
      <c r="O50" s="244">
        <f t="shared" si="4"/>
        <v>0</v>
      </c>
      <c r="P50" s="245">
        <f t="shared" si="9"/>
        <v>0</v>
      </c>
      <c r="Q50" s="245">
        <f t="shared" si="9"/>
        <v>0</v>
      </c>
      <c r="R50" s="246">
        <f t="shared" si="9"/>
        <v>0</v>
      </c>
      <c r="T50" s="4891"/>
    </row>
    <row r="51" spans="2:26">
      <c r="B51" s="254"/>
      <c r="C51" s="255" t="s">
        <v>141</v>
      </c>
      <c r="D51" s="256">
        <v>0</v>
      </c>
      <c r="E51" s="256"/>
      <c r="F51" s="249">
        <f t="shared" si="8"/>
        <v>0</v>
      </c>
      <c r="I51" s="250" t="str">
        <f t="shared" si="1"/>
        <v>Measure 39</v>
      </c>
      <c r="J51" s="251"/>
      <c r="K51" s="252"/>
      <c r="L51" s="242">
        <f t="shared" si="2"/>
        <v>0</v>
      </c>
      <c r="M51" s="257">
        <v>0</v>
      </c>
      <c r="N51" s="257">
        <v>0</v>
      </c>
      <c r="O51" s="244">
        <f t="shared" si="4"/>
        <v>0</v>
      </c>
      <c r="P51" s="245">
        <f t="shared" si="9"/>
        <v>0</v>
      </c>
      <c r="Q51" s="245">
        <f t="shared" si="9"/>
        <v>0</v>
      </c>
      <c r="R51" s="246">
        <f t="shared" si="9"/>
        <v>0</v>
      </c>
      <c r="T51" s="4891"/>
    </row>
    <row r="52" spans="2:26" ht="13.5" thickBot="1">
      <c r="B52" s="254"/>
      <c r="C52" s="255" t="s">
        <v>142</v>
      </c>
      <c r="D52" s="256">
        <v>0</v>
      </c>
      <c r="E52" s="256"/>
      <c r="F52" s="249">
        <f t="shared" si="8"/>
        <v>0</v>
      </c>
      <c r="I52" s="250" t="str">
        <f t="shared" si="1"/>
        <v>Measure 40</v>
      </c>
      <c r="J52" s="251"/>
      <c r="K52" s="252"/>
      <c r="L52" s="242">
        <f t="shared" si="2"/>
        <v>0</v>
      </c>
      <c r="M52" s="257">
        <v>0</v>
      </c>
      <c r="N52" s="257">
        <v>0</v>
      </c>
      <c r="O52" s="244">
        <f t="shared" si="4"/>
        <v>0</v>
      </c>
      <c r="P52" s="245">
        <f t="shared" si="9"/>
        <v>0</v>
      </c>
      <c r="Q52" s="245">
        <f t="shared" si="9"/>
        <v>0</v>
      </c>
      <c r="R52" s="246">
        <f t="shared" si="9"/>
        <v>0</v>
      </c>
      <c r="T52" s="4891"/>
    </row>
    <row r="53" spans="2:26" ht="13.5" thickBot="1">
      <c r="B53" s="262">
        <v>146000</v>
      </c>
      <c r="C53" s="236" t="s">
        <v>150</v>
      </c>
      <c r="D53" s="237">
        <f>T105</f>
        <v>0</v>
      </c>
      <c r="E53" s="237">
        <f>U105</f>
        <v>311300</v>
      </c>
      <c r="F53" s="238">
        <f>V105</f>
        <v>311300</v>
      </c>
      <c r="G53" s="261" t="s">
        <v>151</v>
      </c>
      <c r="I53" s="250" t="str">
        <f t="shared" si="1"/>
        <v>Measure 41</v>
      </c>
      <c r="J53" s="251"/>
      <c r="K53" s="252"/>
      <c r="L53" s="242">
        <f t="shared" si="2"/>
        <v>0</v>
      </c>
      <c r="M53" s="257">
        <v>0</v>
      </c>
      <c r="N53" s="257">
        <v>0</v>
      </c>
      <c r="O53" s="244">
        <f t="shared" si="4"/>
        <v>0</v>
      </c>
      <c r="P53" s="245">
        <f t="shared" si="9"/>
        <v>0</v>
      </c>
      <c r="Q53" s="245">
        <f t="shared" si="9"/>
        <v>0</v>
      </c>
      <c r="R53" s="246">
        <f t="shared" si="9"/>
        <v>0</v>
      </c>
      <c r="T53" s="4891"/>
    </row>
    <row r="54" spans="2:26" ht="13.5" thickBot="1">
      <c r="B54" s="262">
        <v>0</v>
      </c>
      <c r="C54" s="236" t="s">
        <v>152</v>
      </c>
      <c r="D54" s="237">
        <v>0</v>
      </c>
      <c r="E54" s="237">
        <v>0</v>
      </c>
      <c r="F54" s="238">
        <v>0</v>
      </c>
      <c r="I54" s="250" t="str">
        <f t="shared" si="1"/>
        <v>Measure 42</v>
      </c>
      <c r="J54" s="251"/>
      <c r="K54" s="252"/>
      <c r="L54" s="242">
        <f t="shared" si="2"/>
        <v>0</v>
      </c>
      <c r="M54" s="257">
        <v>0</v>
      </c>
      <c r="N54" s="257">
        <v>0</v>
      </c>
      <c r="O54" s="244">
        <f t="shared" si="4"/>
        <v>0</v>
      </c>
      <c r="P54" s="245">
        <f t="shared" si="9"/>
        <v>0</v>
      </c>
      <c r="Q54" s="245">
        <f t="shared" si="9"/>
        <v>0</v>
      </c>
      <c r="R54" s="246">
        <f t="shared" si="9"/>
        <v>0</v>
      </c>
      <c r="T54" s="4891"/>
    </row>
    <row r="55" spans="2:26">
      <c r="B55" s="263">
        <f>B13+B18+B23+B28+B33+B38+B43+B48+B53+B54</f>
        <v>250064</v>
      </c>
      <c r="C55" s="264" t="s">
        <v>153</v>
      </c>
      <c r="D55" s="263">
        <f>D13+D18+D23+D28+D33+D38+D43+D48+D53+D54</f>
        <v>0</v>
      </c>
      <c r="E55" s="263">
        <f>E13+E18+E23+E28+E33+E38+E43+E48+E53+E54</f>
        <v>588845.9</v>
      </c>
      <c r="F55" s="263">
        <f>F13+F18+F23+F28+F33+F38+F43+F48+F53+F54</f>
        <v>588845.9</v>
      </c>
      <c r="P55" s="265">
        <f>SUM(P13:P54)</f>
        <v>0</v>
      </c>
      <c r="Q55" s="265">
        <f>SUM(Q13:Q54)</f>
        <v>857890</v>
      </c>
      <c r="R55" s="265">
        <f>SUM(R13:R54)</f>
        <v>857890</v>
      </c>
      <c r="T55" s="4892"/>
    </row>
    <row r="56" spans="2:26">
      <c r="C56" s="264"/>
      <c r="D56" s="263"/>
      <c r="E56" s="263"/>
      <c r="F56" s="263"/>
    </row>
    <row r="57" spans="2:26">
      <c r="C57" s="264" t="s">
        <v>154</v>
      </c>
      <c r="D57" s="263">
        <f>D55-D53</f>
        <v>0</v>
      </c>
      <c r="E57" s="263">
        <f>E55-E53</f>
        <v>277545.90000000002</v>
      </c>
      <c r="F57" s="263">
        <f>F55-F53</f>
        <v>277545.90000000002</v>
      </c>
    </row>
    <row r="58" spans="2:26">
      <c r="C58" s="264" t="s">
        <v>155</v>
      </c>
      <c r="D58" s="266">
        <f>D53</f>
        <v>0</v>
      </c>
      <c r="E58" s="266">
        <f>E53</f>
        <v>311300</v>
      </c>
      <c r="F58" s="266">
        <f>F53</f>
        <v>311300</v>
      </c>
      <c r="G58" s="267">
        <f>F58/(F57+F58)</f>
        <v>0.52866123377949981</v>
      </c>
      <c r="H58" s="268" t="s">
        <v>156</v>
      </c>
    </row>
    <row r="59" spans="2:26" ht="13.5" thickBot="1"/>
    <row r="60" spans="2:26" ht="16.5" thickBot="1">
      <c r="B60" s="269" t="s">
        <v>157</v>
      </c>
      <c r="C60" s="270"/>
      <c r="D60" s="5130" t="s">
        <v>158</v>
      </c>
      <c r="E60" s="5131"/>
      <c r="F60" s="5131"/>
      <c r="G60" s="5131"/>
      <c r="H60" s="5131"/>
      <c r="K60" s="271"/>
    </row>
    <row r="61" spans="2:26" ht="16.5" thickBot="1">
      <c r="B61" s="5124" t="s">
        <v>159</v>
      </c>
      <c r="C61" s="5125"/>
      <c r="D61" s="5125"/>
      <c r="E61" s="5125"/>
      <c r="F61" s="5125"/>
      <c r="G61" s="5125"/>
      <c r="H61" s="5125"/>
      <c r="I61" s="5125"/>
      <c r="J61" s="5125"/>
      <c r="K61" s="5126"/>
      <c r="L61" s="5124" t="s">
        <v>160</v>
      </c>
      <c r="M61" s="5125"/>
      <c r="N61" s="5125"/>
      <c r="O61" s="5125"/>
      <c r="P61" s="5125"/>
      <c r="Q61" s="5125"/>
      <c r="R61" s="5126"/>
      <c r="S61" s="5124" t="s">
        <v>161</v>
      </c>
      <c r="T61" s="5125"/>
      <c r="U61" s="5126"/>
      <c r="V61" s="5124" t="s">
        <v>110</v>
      </c>
      <c r="W61" s="5125"/>
      <c r="X61" s="5126"/>
    </row>
    <row r="62" spans="2:26" ht="13.5" thickBot="1">
      <c r="B62" s="272" t="s">
        <v>162</v>
      </c>
      <c r="C62" s="273" t="s">
        <v>129</v>
      </c>
      <c r="D62" s="273" t="s">
        <v>130</v>
      </c>
      <c r="E62" s="273" t="s">
        <v>163</v>
      </c>
      <c r="F62" s="273" t="s">
        <v>164</v>
      </c>
      <c r="G62" s="273" t="s">
        <v>165</v>
      </c>
      <c r="H62" s="273" t="s">
        <v>166</v>
      </c>
      <c r="I62" s="273" t="s">
        <v>167</v>
      </c>
      <c r="J62" s="273" t="s">
        <v>168</v>
      </c>
      <c r="K62" s="274" t="s">
        <v>169</v>
      </c>
      <c r="L62" s="4441" t="s">
        <v>1211</v>
      </c>
      <c r="M62" s="275" t="s">
        <v>170</v>
      </c>
      <c r="N62" s="276" t="s">
        <v>171</v>
      </c>
      <c r="O62" s="276" t="s">
        <v>172</v>
      </c>
      <c r="P62" s="276" t="s">
        <v>173</v>
      </c>
      <c r="Q62" s="277" t="s">
        <v>174</v>
      </c>
      <c r="R62" s="277" t="s">
        <v>175</v>
      </c>
      <c r="S62" s="277" t="s">
        <v>176</v>
      </c>
      <c r="T62" s="204" t="s">
        <v>177</v>
      </c>
      <c r="U62" s="204" t="s">
        <v>178</v>
      </c>
      <c r="V62" s="205" t="s">
        <v>179</v>
      </c>
      <c r="W62" s="204" t="s">
        <v>115</v>
      </c>
      <c r="X62" s="204" t="s">
        <v>12</v>
      </c>
      <c r="Y62" s="205" t="s">
        <v>116</v>
      </c>
      <c r="Z62" s="296" t="s">
        <v>231</v>
      </c>
    </row>
    <row r="63" spans="2:26">
      <c r="B63" s="282">
        <v>70</v>
      </c>
      <c r="C63" s="4469" t="s">
        <v>1213</v>
      </c>
      <c r="D63" s="4469">
        <v>881</v>
      </c>
      <c r="E63" s="282" t="s">
        <v>181</v>
      </c>
      <c r="F63" s="282" t="s">
        <v>232</v>
      </c>
      <c r="G63" s="4470">
        <v>900</v>
      </c>
      <c r="H63" s="283">
        <v>500</v>
      </c>
      <c r="I63" s="284">
        <v>0.1</v>
      </c>
      <c r="J63" s="257">
        <v>15</v>
      </c>
      <c r="K63" s="257" t="s">
        <v>233</v>
      </c>
      <c r="L63" s="3574"/>
      <c r="M63" s="278">
        <f>Q63/O63</f>
        <v>1.1413755785965596</v>
      </c>
      <c r="N63" s="278">
        <f>R63/P63</f>
        <v>0.8290284834312367</v>
      </c>
      <c r="O63" s="214">
        <f t="shared" ref="O63:O104" si="10">(($I63*$F$57)+$V63)/$S63</f>
        <v>71928.39037927844</v>
      </c>
      <c r="P63" s="214">
        <f t="shared" ref="P63:P104" si="11">(($I63*$F$57)+($G63*$O13))/$S63</f>
        <v>108931.16558741906</v>
      </c>
      <c r="Q63" s="214">
        <f>IF(K63=0, 0, (HLOOKUP(K63,'[1]E-CESTDWO'!$A$5:$O$35,J63+1,FALSE)*R13))</f>
        <v>82097.308186668146</v>
      </c>
      <c r="R63" s="214">
        <f>IF(K63=0, 0, (HLOOKUP(K63,'[1]E-CESTD'!$A$5:$O$35,J63+1,FALSE)*R13))</f>
        <v>90307.03900533494</v>
      </c>
      <c r="S63" s="279">
        <v>1.081</v>
      </c>
      <c r="T63" s="280">
        <f t="shared" ref="T63:T104" si="12">M13*$H63</f>
        <v>0</v>
      </c>
      <c r="U63" s="280">
        <f t="shared" ref="U63:U104" si="13">N13*$H63</f>
        <v>50000</v>
      </c>
      <c r="V63" s="280">
        <f t="shared" ref="V63:V104" si="14">O13*$H63</f>
        <v>50000</v>
      </c>
      <c r="W63" s="281">
        <f t="shared" ref="W63:W81" si="15">V63/(V63+(I63*F$57))</f>
        <v>0.64304885409337253</v>
      </c>
      <c r="X63" s="281">
        <f t="shared" ref="X63:X81" si="16">(I63*((F$18*1.63)+F$28))/(V63+(I63*F$57))</f>
        <v>0.19939787477498114</v>
      </c>
      <c r="Y63" s="281">
        <f t="shared" ref="Y63:Y81" si="17">(I63*F$38)/(V63+(I63*F$57))</f>
        <v>5.1443908327469803E-3</v>
      </c>
      <c r="Z63" s="287">
        <f>I63*F$57</f>
        <v>27754.590000000004</v>
      </c>
    </row>
    <row r="64" spans="2:26">
      <c r="B64" s="282">
        <v>71</v>
      </c>
      <c r="C64" s="3593" t="s">
        <v>234</v>
      </c>
      <c r="D64" s="4469">
        <v>111</v>
      </c>
      <c r="E64" s="282" t="s">
        <v>181</v>
      </c>
      <c r="F64" s="282" t="s">
        <v>186</v>
      </c>
      <c r="G64" s="4470">
        <v>56</v>
      </c>
      <c r="H64" s="283">
        <v>50</v>
      </c>
      <c r="I64" s="284">
        <v>0.02</v>
      </c>
      <c r="J64" s="257">
        <v>15</v>
      </c>
      <c r="K64" s="257" t="s">
        <v>233</v>
      </c>
      <c r="L64" s="3574"/>
      <c r="M64" s="278">
        <f t="shared" ref="M64:N104" si="18">Q64/O64</f>
        <v>1.2851442578087497</v>
      </c>
      <c r="N64" s="278">
        <f t="shared" si="18"/>
        <v>1.3224608989541859</v>
      </c>
      <c r="O64" s="214">
        <f t="shared" si="10"/>
        <v>12073.004625346903</v>
      </c>
      <c r="P64" s="214">
        <f t="shared" si="11"/>
        <v>12905.567067530066</v>
      </c>
      <c r="Q64" s="214">
        <f>IF(K64=0, 0, (HLOOKUP(K64,'[1]E-CESTDWO'!$A$5:$O$35,J64+1,FALSE)*R14))</f>
        <v>15515.552568763049</v>
      </c>
      <c r="R64" s="214">
        <f>IF(K64=0, 0, (HLOOKUP(K64,'[1]E-CESTD'!$A$5:$O$35,J64+1,FALSE)*R14))</f>
        <v>17067.107825639348</v>
      </c>
      <c r="S64" s="279">
        <v>1.081</v>
      </c>
      <c r="T64" s="280">
        <f t="shared" si="12"/>
        <v>0</v>
      </c>
      <c r="U64" s="280">
        <f t="shared" si="13"/>
        <v>7500</v>
      </c>
      <c r="V64" s="280">
        <f t="shared" si="14"/>
        <v>7500</v>
      </c>
      <c r="W64" s="281">
        <f t="shared" si="15"/>
        <v>0.57467221846003469</v>
      </c>
      <c r="X64" s="281">
        <f t="shared" si="16"/>
        <v>0.23759401445936598</v>
      </c>
      <c r="Y64" s="281">
        <f t="shared" si="17"/>
        <v>6.1298369969070366E-3</v>
      </c>
      <c r="Z64" s="287">
        <f>I64*F$57</f>
        <v>5550.9180000000006</v>
      </c>
    </row>
    <row r="65" spans="2:26">
      <c r="B65" s="282">
        <v>72</v>
      </c>
      <c r="C65" s="3593" t="s">
        <v>235</v>
      </c>
      <c r="D65" s="3593">
        <v>373</v>
      </c>
      <c r="E65" s="282" t="s">
        <v>181</v>
      </c>
      <c r="F65" s="282" t="s">
        <v>232</v>
      </c>
      <c r="G65" s="283">
        <v>537</v>
      </c>
      <c r="H65" s="283">
        <v>250</v>
      </c>
      <c r="I65" s="284">
        <v>0.01</v>
      </c>
      <c r="J65" s="257">
        <v>30</v>
      </c>
      <c r="K65" s="257" t="s">
        <v>233</v>
      </c>
      <c r="L65" s="3574"/>
      <c r="M65" s="278">
        <f t="shared" si="18"/>
        <v>1.3964618334115193</v>
      </c>
      <c r="N65" s="278">
        <f t="shared" si="18"/>
        <v>0.88372469657387909</v>
      </c>
      <c r="O65" s="214">
        <f t="shared" si="10"/>
        <v>7192.8390379278453</v>
      </c>
      <c r="P65" s="214">
        <f t="shared" si="11"/>
        <v>12502.737280296024</v>
      </c>
      <c r="Q65" s="214">
        <f>IF(K65=0, 0, (HLOOKUP(K65,'[1]E-CESTDWO'!$A$5:$O$35,J65+1,FALSE)*R15))</f>
        <v>10044.525190338667</v>
      </c>
      <c r="R65" s="214">
        <f>IF(K65=0, 0, (HLOOKUP(K65,'[1]E-CESTD'!$A$5:$O$35,J65+1,FALSE)*R15))</f>
        <v>11048.97770937253</v>
      </c>
      <c r="S65" s="279">
        <v>1.081</v>
      </c>
      <c r="T65" s="280">
        <f t="shared" si="12"/>
        <v>0</v>
      </c>
      <c r="U65" s="280">
        <f t="shared" si="13"/>
        <v>5000</v>
      </c>
      <c r="V65" s="280">
        <f t="shared" si="14"/>
        <v>5000</v>
      </c>
      <c r="W65" s="281">
        <f t="shared" si="15"/>
        <v>0.64304885409337242</v>
      </c>
      <c r="X65" s="281">
        <f t="shared" si="16"/>
        <v>0.19939787477498111</v>
      </c>
      <c r="Y65" s="281">
        <f t="shared" si="17"/>
        <v>5.1443908327469794E-3</v>
      </c>
      <c r="Z65" s="287">
        <f>I65*F$57</f>
        <v>2775.4590000000003</v>
      </c>
    </row>
    <row r="66" spans="2:26">
      <c r="B66" s="282"/>
      <c r="C66" s="3593" t="s">
        <v>236</v>
      </c>
      <c r="D66" s="4469">
        <v>307</v>
      </c>
      <c r="E66" s="282" t="s">
        <v>181</v>
      </c>
      <c r="F66" s="282" t="s">
        <v>186</v>
      </c>
      <c r="G66" s="283">
        <v>31</v>
      </c>
      <c r="H66" s="283">
        <v>31</v>
      </c>
      <c r="I66" s="284">
        <v>0.28999999999999998</v>
      </c>
      <c r="J66" s="257">
        <v>10</v>
      </c>
      <c r="K66" s="257" t="s">
        <v>233</v>
      </c>
      <c r="L66" s="3574"/>
      <c r="M66" s="278">
        <f t="shared" si="18"/>
        <v>1.770795448639128</v>
      </c>
      <c r="N66" s="278">
        <f t="shared" si="18"/>
        <v>1.9478749935030408</v>
      </c>
      <c r="O66" s="214">
        <f t="shared" si="10"/>
        <v>97398.992599444959</v>
      </c>
      <c r="P66" s="214">
        <f t="shared" si="11"/>
        <v>97398.992599444959</v>
      </c>
      <c r="Q66" s="214">
        <f>IF(K66=0, 0, (HLOOKUP(K66,'[1]E-CESTDWO'!$A$5:$O$35,J66+1,FALSE)*R16))</f>
        <v>172473.69279713323</v>
      </c>
      <c r="R66" s="214">
        <f>IF(K66=0, 0, (HLOOKUP(K66,'[1]E-CESTD'!$A$5:$O$35,J66+1,FALSE)*R16))</f>
        <v>189721.06207684657</v>
      </c>
      <c r="S66" s="279">
        <v>1.081</v>
      </c>
      <c r="T66" s="280">
        <f t="shared" si="12"/>
        <v>0</v>
      </c>
      <c r="U66" s="280">
        <f t="shared" si="13"/>
        <v>24800</v>
      </c>
      <c r="V66" s="280">
        <f t="shared" si="14"/>
        <v>24800</v>
      </c>
      <c r="W66" s="281">
        <f t="shared" si="15"/>
        <v>0.23554371576917024</v>
      </c>
      <c r="X66" s="281">
        <f t="shared" si="16"/>
        <v>0.42703591284696357</v>
      </c>
      <c r="Y66" s="281">
        <f t="shared" si="17"/>
        <v>1.1017367350493447E-2</v>
      </c>
    </row>
    <row r="67" spans="2:26">
      <c r="B67" s="282"/>
      <c r="C67" s="4469" t="s">
        <v>1214</v>
      </c>
      <c r="D67" s="4469">
        <v>1786</v>
      </c>
      <c r="E67" s="282" t="s">
        <v>181</v>
      </c>
      <c r="F67" s="282" t="s">
        <v>186</v>
      </c>
      <c r="G67" s="4470">
        <v>1369</v>
      </c>
      <c r="H67" s="4470">
        <v>800</v>
      </c>
      <c r="I67" s="284">
        <v>0.57999999999999996</v>
      </c>
      <c r="J67" s="257">
        <v>15</v>
      </c>
      <c r="K67" s="3574" t="s">
        <v>233</v>
      </c>
      <c r="L67" s="3574"/>
      <c r="M67" s="278">
        <f t="shared" si="18"/>
        <v>1.3085304450894402</v>
      </c>
      <c r="N67" s="278">
        <f t="shared" si="18"/>
        <v>1.0180643626852381</v>
      </c>
      <c r="O67" s="214">
        <f t="shared" si="10"/>
        <v>356130.08510638296</v>
      </c>
      <c r="P67" s="214">
        <f t="shared" si="11"/>
        <v>503512.13876040705</v>
      </c>
      <c r="Q67" s="214">
        <f>IF(K67=0, 0, (HLOOKUP(K67,'[1]E-CESTDWO'!$A$5:$O$35,J67+1,FALSE)*R17))</f>
        <v>466007.05877399549</v>
      </c>
      <c r="R67" s="214">
        <f>IF(K67=0, 0, (HLOOKUP(K67,'[1]E-CESTD'!$A$5:$O$35,J67+1,FALSE)*R17))</f>
        <v>512607.76465139497</v>
      </c>
      <c r="S67" s="279">
        <v>1.081</v>
      </c>
      <c r="T67" s="280">
        <f t="shared" si="12"/>
        <v>0</v>
      </c>
      <c r="U67" s="280">
        <f t="shared" si="13"/>
        <v>224000</v>
      </c>
      <c r="V67" s="280">
        <f t="shared" si="14"/>
        <v>224000</v>
      </c>
      <c r="W67" s="281">
        <f t="shared" si="15"/>
        <v>0.58185351317254796</v>
      </c>
      <c r="X67" s="281">
        <f t="shared" si="16"/>
        <v>0.23358244335158618</v>
      </c>
      <c r="Y67" s="281">
        <f t="shared" si="17"/>
        <v>6.0263399578585324E-3</v>
      </c>
    </row>
    <row r="68" spans="2:26">
      <c r="B68" s="282"/>
      <c r="C68" s="282" t="s">
        <v>190</v>
      </c>
      <c r="D68" s="282">
        <v>0</v>
      </c>
      <c r="E68" s="282" t="s">
        <v>181</v>
      </c>
      <c r="F68" s="282" t="s">
        <v>186</v>
      </c>
      <c r="G68" s="283"/>
      <c r="H68" s="283"/>
      <c r="I68" s="284">
        <v>0</v>
      </c>
      <c r="J68" s="257"/>
      <c r="K68" s="257"/>
      <c r="L68" s="3574"/>
      <c r="M68" s="278" t="e">
        <f t="shared" si="18"/>
        <v>#DIV/0!</v>
      </c>
      <c r="N68" s="278" t="e">
        <f t="shared" si="18"/>
        <v>#DIV/0!</v>
      </c>
      <c r="O68" s="214">
        <f t="shared" si="10"/>
        <v>0</v>
      </c>
      <c r="P68" s="214">
        <f t="shared" si="11"/>
        <v>0</v>
      </c>
      <c r="Q68" s="214">
        <f>IF(K68=0, 0, (HLOOKUP(K68,'[1]E-CESTDWO'!$A$5:$O$35,J68+1,FALSE)*R18))</f>
        <v>0</v>
      </c>
      <c r="R68" s="214">
        <f>IF(K68=0, 0, (HLOOKUP(K68,'[1]E-CESTD'!$A$5:$O$35,J68+1,FALSE)*R18))</f>
        <v>0</v>
      </c>
      <c r="S68" s="279">
        <v>1.081</v>
      </c>
      <c r="T68" s="280">
        <f t="shared" si="12"/>
        <v>0</v>
      </c>
      <c r="U68" s="280">
        <f t="shared" si="13"/>
        <v>0</v>
      </c>
      <c r="V68" s="280">
        <f t="shared" si="14"/>
        <v>0</v>
      </c>
      <c r="W68" s="281" t="e">
        <f t="shared" si="15"/>
        <v>#DIV/0!</v>
      </c>
      <c r="X68" s="281" t="e">
        <f t="shared" si="16"/>
        <v>#DIV/0!</v>
      </c>
      <c r="Y68" s="281" t="e">
        <f t="shared" si="17"/>
        <v>#DIV/0!</v>
      </c>
    </row>
    <row r="69" spans="2:26">
      <c r="B69" s="282"/>
      <c r="C69" s="282" t="s">
        <v>191</v>
      </c>
      <c r="D69" s="282">
        <v>0</v>
      </c>
      <c r="E69" s="282" t="s">
        <v>181</v>
      </c>
      <c r="F69" s="282" t="s">
        <v>186</v>
      </c>
      <c r="G69" s="283"/>
      <c r="H69" s="283"/>
      <c r="I69" s="284">
        <v>0</v>
      </c>
      <c r="J69" s="257"/>
      <c r="K69" s="257"/>
      <c r="L69" s="3574"/>
      <c r="M69" s="278" t="e">
        <f t="shared" si="18"/>
        <v>#DIV/0!</v>
      </c>
      <c r="N69" s="278" t="e">
        <f t="shared" si="18"/>
        <v>#DIV/0!</v>
      </c>
      <c r="O69" s="214">
        <f t="shared" si="10"/>
        <v>0</v>
      </c>
      <c r="P69" s="214">
        <f t="shared" si="11"/>
        <v>0</v>
      </c>
      <c r="Q69" s="214">
        <f>IF(K69=0, 0, (HLOOKUP(K69,'[1]E-CESTDWO'!$A$5:$O$35,J69+1,FALSE)*R19))</f>
        <v>0</v>
      </c>
      <c r="R69" s="214">
        <f>IF(K69=0, 0, (HLOOKUP(K69,'[1]E-CESTD'!$A$5:$O$35,J69+1,FALSE)*R19))</f>
        <v>0</v>
      </c>
      <c r="S69" s="279">
        <v>1.081</v>
      </c>
      <c r="T69" s="280">
        <f t="shared" si="12"/>
        <v>0</v>
      </c>
      <c r="U69" s="280">
        <f t="shared" si="13"/>
        <v>0</v>
      </c>
      <c r="V69" s="280">
        <f t="shared" si="14"/>
        <v>0</v>
      </c>
      <c r="W69" s="281" t="e">
        <f t="shared" si="15"/>
        <v>#DIV/0!</v>
      </c>
      <c r="X69" s="281" t="e">
        <f t="shared" si="16"/>
        <v>#DIV/0!</v>
      </c>
      <c r="Y69" s="281" t="e">
        <f t="shared" si="17"/>
        <v>#DIV/0!</v>
      </c>
    </row>
    <row r="70" spans="2:26">
      <c r="B70" s="282"/>
      <c r="C70" s="282" t="s">
        <v>192</v>
      </c>
      <c r="D70" s="282">
        <v>0</v>
      </c>
      <c r="E70" s="282" t="s">
        <v>181</v>
      </c>
      <c r="F70" s="282" t="s">
        <v>186</v>
      </c>
      <c r="G70" s="283"/>
      <c r="H70" s="283"/>
      <c r="I70" s="284">
        <v>0</v>
      </c>
      <c r="J70" s="257"/>
      <c r="K70" s="257"/>
      <c r="L70" s="3574"/>
      <c r="M70" s="278" t="e">
        <f t="shared" si="18"/>
        <v>#DIV/0!</v>
      </c>
      <c r="N70" s="278" t="e">
        <f t="shared" si="18"/>
        <v>#DIV/0!</v>
      </c>
      <c r="O70" s="214">
        <f t="shared" si="10"/>
        <v>0</v>
      </c>
      <c r="P70" s="214">
        <f t="shared" si="11"/>
        <v>0</v>
      </c>
      <c r="Q70" s="214">
        <f>IF(K70=0, 0, (HLOOKUP(K70,'[1]E-CESTDWO'!$A$5:$O$35,J70+1,FALSE)*R20))</f>
        <v>0</v>
      </c>
      <c r="R70" s="214">
        <f>IF(K70=0, 0, (HLOOKUP(K70,'[1]E-CESTD'!$A$5:$O$35,J70+1,FALSE)*R20))</f>
        <v>0</v>
      </c>
      <c r="S70" s="279">
        <v>1.081</v>
      </c>
      <c r="T70" s="280">
        <f t="shared" si="12"/>
        <v>0</v>
      </c>
      <c r="U70" s="280">
        <f t="shared" si="13"/>
        <v>0</v>
      </c>
      <c r="V70" s="280">
        <f t="shared" si="14"/>
        <v>0</v>
      </c>
      <c r="W70" s="281" t="e">
        <f t="shared" si="15"/>
        <v>#DIV/0!</v>
      </c>
      <c r="X70" s="281" t="e">
        <f t="shared" si="16"/>
        <v>#DIV/0!</v>
      </c>
      <c r="Y70" s="281" t="e">
        <f t="shared" si="17"/>
        <v>#DIV/0!</v>
      </c>
    </row>
    <row r="71" spans="2:26">
      <c r="B71" s="282"/>
      <c r="C71" s="282" t="s">
        <v>193</v>
      </c>
      <c r="D71" s="282">
        <v>0</v>
      </c>
      <c r="E71" s="282" t="s">
        <v>181</v>
      </c>
      <c r="F71" s="282" t="s">
        <v>186</v>
      </c>
      <c r="G71" s="283"/>
      <c r="H71" s="283"/>
      <c r="I71" s="284">
        <v>0</v>
      </c>
      <c r="J71" s="257"/>
      <c r="K71" s="257"/>
      <c r="L71" s="3574"/>
      <c r="M71" s="278" t="e">
        <f t="shared" si="18"/>
        <v>#DIV/0!</v>
      </c>
      <c r="N71" s="278" t="e">
        <f t="shared" si="18"/>
        <v>#DIV/0!</v>
      </c>
      <c r="O71" s="214">
        <f t="shared" si="10"/>
        <v>0</v>
      </c>
      <c r="P71" s="214">
        <f t="shared" si="11"/>
        <v>0</v>
      </c>
      <c r="Q71" s="214">
        <f>IF(K71=0, 0, (HLOOKUP(K71,'[1]E-CESTDWO'!$A$5:$O$35,J71+1,FALSE)*R21))</f>
        <v>0</v>
      </c>
      <c r="R71" s="214">
        <f>IF(K71=0, 0, (HLOOKUP(K71,'[1]E-CESTD'!$A$5:$O$35,J71+1,FALSE)*R21))</f>
        <v>0</v>
      </c>
      <c r="S71" s="279">
        <v>1.081</v>
      </c>
      <c r="T71" s="280">
        <f t="shared" si="12"/>
        <v>0</v>
      </c>
      <c r="U71" s="280">
        <f t="shared" si="13"/>
        <v>0</v>
      </c>
      <c r="V71" s="280">
        <f t="shared" si="14"/>
        <v>0</v>
      </c>
      <c r="W71" s="281" t="e">
        <f t="shared" si="15"/>
        <v>#DIV/0!</v>
      </c>
      <c r="X71" s="281" t="e">
        <f t="shared" si="16"/>
        <v>#DIV/0!</v>
      </c>
      <c r="Y71" s="281" t="e">
        <f t="shared" si="17"/>
        <v>#DIV/0!</v>
      </c>
    </row>
    <row r="72" spans="2:26">
      <c r="B72" s="282"/>
      <c r="C72" s="282" t="s">
        <v>194</v>
      </c>
      <c r="D72" s="282">
        <v>0</v>
      </c>
      <c r="E72" s="282" t="s">
        <v>181</v>
      </c>
      <c r="F72" s="282" t="s">
        <v>186</v>
      </c>
      <c r="G72" s="283"/>
      <c r="H72" s="283"/>
      <c r="I72" s="284">
        <v>0</v>
      </c>
      <c r="J72" s="257"/>
      <c r="K72" s="257"/>
      <c r="L72" s="3574"/>
      <c r="M72" s="278" t="e">
        <f t="shared" si="18"/>
        <v>#DIV/0!</v>
      </c>
      <c r="N72" s="278" t="e">
        <f t="shared" si="18"/>
        <v>#DIV/0!</v>
      </c>
      <c r="O72" s="214">
        <f t="shared" si="10"/>
        <v>0</v>
      </c>
      <c r="P72" s="214">
        <f t="shared" si="11"/>
        <v>0</v>
      </c>
      <c r="Q72" s="214">
        <f>IF(K72=0, 0, (HLOOKUP(K72,'[1]E-CESTDWO'!$A$5:$O$35,J72+1,FALSE)*R22))</f>
        <v>0</v>
      </c>
      <c r="R72" s="214">
        <f>IF(K72=0, 0, (HLOOKUP(K72,'[1]E-CESTD'!$A$5:$O$35,J72+1,FALSE)*R22))</f>
        <v>0</v>
      </c>
      <c r="S72" s="279">
        <v>1.081</v>
      </c>
      <c r="T72" s="280">
        <f t="shared" si="12"/>
        <v>0</v>
      </c>
      <c r="U72" s="280">
        <f t="shared" si="13"/>
        <v>0</v>
      </c>
      <c r="V72" s="280">
        <f t="shared" si="14"/>
        <v>0</v>
      </c>
      <c r="W72" s="281" t="e">
        <f t="shared" si="15"/>
        <v>#DIV/0!</v>
      </c>
      <c r="X72" s="281" t="e">
        <f t="shared" si="16"/>
        <v>#DIV/0!</v>
      </c>
      <c r="Y72" s="281" t="e">
        <f t="shared" si="17"/>
        <v>#DIV/0!</v>
      </c>
    </row>
    <row r="73" spans="2:26">
      <c r="B73" s="282"/>
      <c r="C73" s="282" t="s">
        <v>195</v>
      </c>
      <c r="D73" s="282">
        <v>0</v>
      </c>
      <c r="E73" s="282" t="s">
        <v>181</v>
      </c>
      <c r="F73" s="282" t="s">
        <v>186</v>
      </c>
      <c r="G73" s="283"/>
      <c r="H73" s="283"/>
      <c r="I73" s="284">
        <v>0</v>
      </c>
      <c r="J73" s="257"/>
      <c r="K73" s="257"/>
      <c r="L73" s="3574"/>
      <c r="M73" s="278" t="e">
        <f t="shared" si="18"/>
        <v>#DIV/0!</v>
      </c>
      <c r="N73" s="278" t="e">
        <f t="shared" si="18"/>
        <v>#DIV/0!</v>
      </c>
      <c r="O73" s="214">
        <f t="shared" si="10"/>
        <v>0</v>
      </c>
      <c r="P73" s="214">
        <f t="shared" si="11"/>
        <v>0</v>
      </c>
      <c r="Q73" s="214">
        <f>IF(K73=0, 0, (HLOOKUP(K73,'[1]E-CESTDWO'!$A$5:$O$35,J73+1,FALSE)*R23))</f>
        <v>0</v>
      </c>
      <c r="R73" s="214">
        <f>IF(K73=0, 0, (HLOOKUP(K73,'[1]E-CESTD'!$A$5:$O$35,J73+1,FALSE)*R23))</f>
        <v>0</v>
      </c>
      <c r="S73" s="279">
        <v>1.081</v>
      </c>
      <c r="T73" s="280">
        <f t="shared" si="12"/>
        <v>0</v>
      </c>
      <c r="U73" s="280">
        <f t="shared" si="13"/>
        <v>0</v>
      </c>
      <c r="V73" s="280">
        <f t="shared" si="14"/>
        <v>0</v>
      </c>
      <c r="W73" s="281" t="e">
        <f t="shared" si="15"/>
        <v>#DIV/0!</v>
      </c>
      <c r="X73" s="281" t="e">
        <f t="shared" si="16"/>
        <v>#DIV/0!</v>
      </c>
      <c r="Y73" s="281" t="e">
        <f t="shared" si="17"/>
        <v>#DIV/0!</v>
      </c>
    </row>
    <row r="74" spans="2:26">
      <c r="B74" s="282"/>
      <c r="C74" s="282" t="s">
        <v>196</v>
      </c>
      <c r="D74" s="282">
        <v>0</v>
      </c>
      <c r="E74" s="282" t="s">
        <v>181</v>
      </c>
      <c r="F74" s="282" t="s">
        <v>186</v>
      </c>
      <c r="G74" s="283"/>
      <c r="H74" s="283"/>
      <c r="I74" s="284">
        <v>0</v>
      </c>
      <c r="J74" s="257"/>
      <c r="K74" s="257"/>
      <c r="L74" s="3574"/>
      <c r="M74" s="278" t="e">
        <f t="shared" si="18"/>
        <v>#DIV/0!</v>
      </c>
      <c r="N74" s="278" t="e">
        <f t="shared" si="18"/>
        <v>#DIV/0!</v>
      </c>
      <c r="O74" s="214">
        <f t="shared" si="10"/>
        <v>0</v>
      </c>
      <c r="P74" s="214">
        <f t="shared" si="11"/>
        <v>0</v>
      </c>
      <c r="Q74" s="214">
        <f>IF(K74=0, 0, (HLOOKUP(K74,'[1]E-CESTDWO'!$A$5:$O$35,J74+1,FALSE)*R24))</f>
        <v>0</v>
      </c>
      <c r="R74" s="214">
        <f>IF(K74=0, 0, (HLOOKUP(K74,'[1]E-CESTD'!$A$5:$O$35,J74+1,FALSE)*R24))</f>
        <v>0</v>
      </c>
      <c r="S74" s="279">
        <v>1.081</v>
      </c>
      <c r="T74" s="280">
        <f t="shared" si="12"/>
        <v>0</v>
      </c>
      <c r="U74" s="280">
        <f t="shared" si="13"/>
        <v>0</v>
      </c>
      <c r="V74" s="280">
        <f t="shared" si="14"/>
        <v>0</v>
      </c>
      <c r="W74" s="281" t="e">
        <f t="shared" si="15"/>
        <v>#DIV/0!</v>
      </c>
      <c r="X74" s="281" t="e">
        <f t="shared" si="16"/>
        <v>#DIV/0!</v>
      </c>
      <c r="Y74" s="281" t="e">
        <f t="shared" si="17"/>
        <v>#DIV/0!</v>
      </c>
    </row>
    <row r="75" spans="2:26">
      <c r="B75" s="282"/>
      <c r="C75" s="282" t="s">
        <v>197</v>
      </c>
      <c r="D75" s="282">
        <v>0</v>
      </c>
      <c r="E75" s="282" t="s">
        <v>181</v>
      </c>
      <c r="F75" s="282" t="s">
        <v>186</v>
      </c>
      <c r="G75" s="283"/>
      <c r="H75" s="283"/>
      <c r="I75" s="284">
        <v>0</v>
      </c>
      <c r="J75" s="257"/>
      <c r="K75" s="257"/>
      <c r="L75" s="3574"/>
      <c r="M75" s="278" t="e">
        <f t="shared" si="18"/>
        <v>#DIV/0!</v>
      </c>
      <c r="N75" s="278" t="e">
        <f t="shared" si="18"/>
        <v>#DIV/0!</v>
      </c>
      <c r="O75" s="214">
        <f t="shared" si="10"/>
        <v>0</v>
      </c>
      <c r="P75" s="214">
        <f t="shared" si="11"/>
        <v>0</v>
      </c>
      <c r="Q75" s="214">
        <f>IF(K75=0, 0, (HLOOKUP(K75,'[1]E-CESTDWO'!$A$5:$O$35,J75+1,FALSE)*R25))</f>
        <v>0</v>
      </c>
      <c r="R75" s="214">
        <f>IF(K75=0, 0, (HLOOKUP(K75,'[1]E-CESTD'!$A$5:$O$35,J75+1,FALSE)*R25))</f>
        <v>0</v>
      </c>
      <c r="S75" s="279">
        <v>1.081</v>
      </c>
      <c r="T75" s="280">
        <f t="shared" si="12"/>
        <v>0</v>
      </c>
      <c r="U75" s="280">
        <f t="shared" si="13"/>
        <v>0</v>
      </c>
      <c r="V75" s="280">
        <f t="shared" si="14"/>
        <v>0</v>
      </c>
      <c r="W75" s="281" t="e">
        <f t="shared" si="15"/>
        <v>#DIV/0!</v>
      </c>
      <c r="X75" s="281" t="e">
        <f t="shared" si="16"/>
        <v>#DIV/0!</v>
      </c>
      <c r="Y75" s="281" t="e">
        <f t="shared" si="17"/>
        <v>#DIV/0!</v>
      </c>
    </row>
    <row r="76" spans="2:26">
      <c r="B76" s="282"/>
      <c r="C76" s="282" t="s">
        <v>198</v>
      </c>
      <c r="D76" s="282">
        <v>0</v>
      </c>
      <c r="E76" s="282" t="s">
        <v>181</v>
      </c>
      <c r="F76" s="282" t="s">
        <v>186</v>
      </c>
      <c r="G76" s="283"/>
      <c r="H76" s="283"/>
      <c r="I76" s="284">
        <v>0</v>
      </c>
      <c r="J76" s="257"/>
      <c r="K76" s="257"/>
      <c r="L76" s="3574"/>
      <c r="M76" s="278" t="e">
        <f t="shared" si="18"/>
        <v>#DIV/0!</v>
      </c>
      <c r="N76" s="278" t="e">
        <f t="shared" si="18"/>
        <v>#DIV/0!</v>
      </c>
      <c r="O76" s="214">
        <f t="shared" si="10"/>
        <v>0</v>
      </c>
      <c r="P76" s="214">
        <f t="shared" si="11"/>
        <v>0</v>
      </c>
      <c r="Q76" s="214">
        <f>IF(K76=0, 0, (HLOOKUP(K76,'[1]E-CESTDWO'!$A$5:$O$35,J76+1,FALSE)*R26))</f>
        <v>0</v>
      </c>
      <c r="R76" s="214">
        <f>IF(K76=0, 0, (HLOOKUP(K76,'[1]E-CESTD'!$A$5:$O$35,J76+1,FALSE)*R26))</f>
        <v>0</v>
      </c>
      <c r="S76" s="279">
        <v>1.081</v>
      </c>
      <c r="T76" s="280">
        <f t="shared" si="12"/>
        <v>0</v>
      </c>
      <c r="U76" s="280">
        <f t="shared" si="13"/>
        <v>0</v>
      </c>
      <c r="V76" s="280">
        <f t="shared" si="14"/>
        <v>0</v>
      </c>
      <c r="W76" s="281" t="e">
        <f t="shared" si="15"/>
        <v>#DIV/0!</v>
      </c>
      <c r="X76" s="281" t="e">
        <f t="shared" si="16"/>
        <v>#DIV/0!</v>
      </c>
      <c r="Y76" s="281" t="e">
        <f t="shared" si="17"/>
        <v>#DIV/0!</v>
      </c>
    </row>
    <row r="77" spans="2:26">
      <c r="B77" s="282"/>
      <c r="C77" s="282" t="s">
        <v>199</v>
      </c>
      <c r="D77" s="282">
        <v>0</v>
      </c>
      <c r="E77" s="282" t="s">
        <v>181</v>
      </c>
      <c r="F77" s="282" t="s">
        <v>186</v>
      </c>
      <c r="G77" s="283"/>
      <c r="H77" s="283"/>
      <c r="I77" s="284">
        <v>0</v>
      </c>
      <c r="J77" s="257"/>
      <c r="K77" s="257"/>
      <c r="L77" s="3574"/>
      <c r="M77" s="278" t="e">
        <f t="shared" si="18"/>
        <v>#DIV/0!</v>
      </c>
      <c r="N77" s="278" t="e">
        <f t="shared" si="18"/>
        <v>#DIV/0!</v>
      </c>
      <c r="O77" s="214">
        <f t="shared" si="10"/>
        <v>0</v>
      </c>
      <c r="P77" s="214">
        <f t="shared" si="11"/>
        <v>0</v>
      </c>
      <c r="Q77" s="214">
        <f>IF(K77=0, 0, (HLOOKUP(K77,'[1]E-CESTDWO'!$A$5:$O$35,J77+1,FALSE)*R27))</f>
        <v>0</v>
      </c>
      <c r="R77" s="214">
        <f>IF(K77=0, 0, (HLOOKUP(K77,'[1]E-CESTD'!$A$5:$O$35,J77+1,FALSE)*R27))</f>
        <v>0</v>
      </c>
      <c r="S77" s="279">
        <v>1.081</v>
      </c>
      <c r="T77" s="280">
        <f t="shared" si="12"/>
        <v>0</v>
      </c>
      <c r="U77" s="280">
        <f t="shared" si="13"/>
        <v>0</v>
      </c>
      <c r="V77" s="280">
        <f t="shared" si="14"/>
        <v>0</v>
      </c>
      <c r="W77" s="281" t="e">
        <f t="shared" si="15"/>
        <v>#DIV/0!</v>
      </c>
      <c r="X77" s="281" t="e">
        <f t="shared" si="16"/>
        <v>#DIV/0!</v>
      </c>
      <c r="Y77" s="281" t="e">
        <f t="shared" si="17"/>
        <v>#DIV/0!</v>
      </c>
    </row>
    <row r="78" spans="2:26">
      <c r="B78" s="282"/>
      <c r="C78" s="282" t="s">
        <v>200</v>
      </c>
      <c r="D78" s="282">
        <v>0</v>
      </c>
      <c r="E78" s="282" t="s">
        <v>181</v>
      </c>
      <c r="F78" s="282" t="s">
        <v>186</v>
      </c>
      <c r="G78" s="283"/>
      <c r="H78" s="283"/>
      <c r="I78" s="284">
        <v>0</v>
      </c>
      <c r="J78" s="257"/>
      <c r="K78" s="257"/>
      <c r="L78" s="3574"/>
      <c r="M78" s="278" t="e">
        <f t="shared" si="18"/>
        <v>#DIV/0!</v>
      </c>
      <c r="N78" s="278" t="e">
        <f t="shared" si="18"/>
        <v>#DIV/0!</v>
      </c>
      <c r="O78" s="214">
        <f t="shared" si="10"/>
        <v>0</v>
      </c>
      <c r="P78" s="214">
        <f t="shared" si="11"/>
        <v>0</v>
      </c>
      <c r="Q78" s="214">
        <f>IF(K78=0, 0, (HLOOKUP(K78,'[1]E-CESTDWO'!$A$5:$O$35,J78+1,FALSE)*R28))</f>
        <v>0</v>
      </c>
      <c r="R78" s="214">
        <f>IF(K78=0, 0, (HLOOKUP(K78,'[1]E-CESTD'!$A$5:$O$35,J78+1,FALSE)*R28))</f>
        <v>0</v>
      </c>
      <c r="S78" s="279">
        <v>1.081</v>
      </c>
      <c r="T78" s="280">
        <f t="shared" si="12"/>
        <v>0</v>
      </c>
      <c r="U78" s="280">
        <f t="shared" si="13"/>
        <v>0</v>
      </c>
      <c r="V78" s="280">
        <f t="shared" si="14"/>
        <v>0</v>
      </c>
      <c r="W78" s="281" t="e">
        <f t="shared" si="15"/>
        <v>#DIV/0!</v>
      </c>
      <c r="X78" s="281" t="e">
        <f t="shared" si="16"/>
        <v>#DIV/0!</v>
      </c>
      <c r="Y78" s="281" t="e">
        <f t="shared" si="17"/>
        <v>#DIV/0!</v>
      </c>
    </row>
    <row r="79" spans="2:26">
      <c r="B79" s="282"/>
      <c r="C79" s="282" t="s">
        <v>201</v>
      </c>
      <c r="D79" s="282">
        <v>0</v>
      </c>
      <c r="E79" s="282" t="s">
        <v>181</v>
      </c>
      <c r="F79" s="282" t="s">
        <v>186</v>
      </c>
      <c r="G79" s="283"/>
      <c r="H79" s="283"/>
      <c r="I79" s="284">
        <v>0</v>
      </c>
      <c r="J79" s="257"/>
      <c r="K79" s="257"/>
      <c r="L79" s="3574"/>
      <c r="M79" s="278" t="e">
        <f t="shared" si="18"/>
        <v>#DIV/0!</v>
      </c>
      <c r="N79" s="278" t="e">
        <f t="shared" si="18"/>
        <v>#DIV/0!</v>
      </c>
      <c r="O79" s="214">
        <f t="shared" si="10"/>
        <v>0</v>
      </c>
      <c r="P79" s="214">
        <f t="shared" si="11"/>
        <v>0</v>
      </c>
      <c r="Q79" s="214">
        <f>IF(K79=0, 0, (HLOOKUP(K79,'[1]E-CESTDWO'!$A$5:$O$35,J79+1,FALSE)*R29))</f>
        <v>0</v>
      </c>
      <c r="R79" s="214">
        <f>IF(K79=0, 0, (HLOOKUP(K79,'[1]E-CESTD'!$A$5:$O$35,J79+1,FALSE)*R29))</f>
        <v>0</v>
      </c>
      <c r="S79" s="279">
        <v>1.081</v>
      </c>
      <c r="T79" s="280">
        <f t="shared" si="12"/>
        <v>0</v>
      </c>
      <c r="U79" s="280">
        <f t="shared" si="13"/>
        <v>0</v>
      </c>
      <c r="V79" s="280">
        <f t="shared" si="14"/>
        <v>0</v>
      </c>
      <c r="W79" s="281" t="e">
        <f t="shared" si="15"/>
        <v>#DIV/0!</v>
      </c>
      <c r="X79" s="281" t="e">
        <f t="shared" si="16"/>
        <v>#DIV/0!</v>
      </c>
      <c r="Y79" s="281" t="e">
        <f t="shared" si="17"/>
        <v>#DIV/0!</v>
      </c>
    </row>
    <row r="80" spans="2:26">
      <c r="B80" s="282"/>
      <c r="C80" s="282" t="s">
        <v>202</v>
      </c>
      <c r="D80" s="282">
        <v>0</v>
      </c>
      <c r="E80" s="282" t="s">
        <v>181</v>
      </c>
      <c r="F80" s="282" t="s">
        <v>186</v>
      </c>
      <c r="G80" s="283"/>
      <c r="H80" s="283"/>
      <c r="I80" s="284">
        <v>0</v>
      </c>
      <c r="J80" s="257"/>
      <c r="K80" s="257"/>
      <c r="L80" s="3574"/>
      <c r="M80" s="278" t="e">
        <f t="shared" si="18"/>
        <v>#DIV/0!</v>
      </c>
      <c r="N80" s="278" t="e">
        <f t="shared" si="18"/>
        <v>#DIV/0!</v>
      </c>
      <c r="O80" s="214">
        <f t="shared" si="10"/>
        <v>0</v>
      </c>
      <c r="P80" s="214">
        <f t="shared" si="11"/>
        <v>0</v>
      </c>
      <c r="Q80" s="214">
        <f>IF(K80=0, 0, (HLOOKUP(K80,'[1]E-CESTDWO'!$A$5:$O$35,J80+1,FALSE)*R30))</f>
        <v>0</v>
      </c>
      <c r="R80" s="214">
        <f>IF(K80=0, 0, (HLOOKUP(K80,'[1]E-CESTD'!$A$5:$O$35,J80+1,FALSE)*R30))</f>
        <v>0</v>
      </c>
      <c r="S80" s="279">
        <v>1.081</v>
      </c>
      <c r="T80" s="280">
        <f t="shared" si="12"/>
        <v>0</v>
      </c>
      <c r="U80" s="280">
        <f t="shared" si="13"/>
        <v>0</v>
      </c>
      <c r="V80" s="280">
        <f t="shared" si="14"/>
        <v>0</v>
      </c>
      <c r="W80" s="281" t="e">
        <f t="shared" si="15"/>
        <v>#DIV/0!</v>
      </c>
      <c r="X80" s="281" t="e">
        <f t="shared" si="16"/>
        <v>#DIV/0!</v>
      </c>
      <c r="Y80" s="281" t="e">
        <f t="shared" si="17"/>
        <v>#DIV/0!</v>
      </c>
    </row>
    <row r="81" spans="2:25">
      <c r="B81" s="282"/>
      <c r="C81" s="282" t="s">
        <v>203</v>
      </c>
      <c r="D81" s="282">
        <v>0</v>
      </c>
      <c r="E81" s="282" t="s">
        <v>181</v>
      </c>
      <c r="F81" s="282" t="s">
        <v>186</v>
      </c>
      <c r="G81" s="283"/>
      <c r="H81" s="283"/>
      <c r="I81" s="284">
        <v>0</v>
      </c>
      <c r="J81" s="257"/>
      <c r="K81" s="257"/>
      <c r="L81" s="3574"/>
      <c r="M81" s="278" t="e">
        <f t="shared" si="18"/>
        <v>#DIV/0!</v>
      </c>
      <c r="N81" s="278" t="e">
        <f t="shared" si="18"/>
        <v>#DIV/0!</v>
      </c>
      <c r="O81" s="214">
        <f t="shared" si="10"/>
        <v>0</v>
      </c>
      <c r="P81" s="214">
        <f t="shared" si="11"/>
        <v>0</v>
      </c>
      <c r="Q81" s="214">
        <f>IF(K81=0, 0, (HLOOKUP(K81,'[1]E-CESTDWO'!$A$5:$O$35,J81+1,FALSE)*R31))</f>
        <v>0</v>
      </c>
      <c r="R81" s="214">
        <f>IF(K81=0, 0, (HLOOKUP(K81,'[1]E-CESTD'!$A$5:$O$35,J81+1,FALSE)*R31))</f>
        <v>0</v>
      </c>
      <c r="S81" s="279">
        <v>1.081</v>
      </c>
      <c r="T81" s="280">
        <f t="shared" si="12"/>
        <v>0</v>
      </c>
      <c r="U81" s="280">
        <f t="shared" si="13"/>
        <v>0</v>
      </c>
      <c r="V81" s="280">
        <f t="shared" si="14"/>
        <v>0</v>
      </c>
      <c r="W81" s="281" t="e">
        <f t="shared" si="15"/>
        <v>#DIV/0!</v>
      </c>
      <c r="X81" s="281" t="e">
        <f t="shared" si="16"/>
        <v>#DIV/0!</v>
      </c>
      <c r="Y81" s="281" t="e">
        <f t="shared" si="17"/>
        <v>#DIV/0!</v>
      </c>
    </row>
    <row r="82" spans="2:25">
      <c r="B82" s="282"/>
      <c r="C82" s="282" t="s">
        <v>204</v>
      </c>
      <c r="D82" s="282">
        <v>0</v>
      </c>
      <c r="E82" s="282" t="s">
        <v>181</v>
      </c>
      <c r="F82" s="282" t="s">
        <v>186</v>
      </c>
      <c r="G82" s="283"/>
      <c r="H82" s="283"/>
      <c r="I82" s="284">
        <v>0</v>
      </c>
      <c r="J82" s="257"/>
      <c r="K82" s="257"/>
      <c r="L82" s="3574"/>
      <c r="M82" s="278" t="e">
        <f t="shared" si="18"/>
        <v>#DIV/0!</v>
      </c>
      <c r="N82" s="278" t="e">
        <f t="shared" si="18"/>
        <v>#DIV/0!</v>
      </c>
      <c r="O82" s="214">
        <f t="shared" si="10"/>
        <v>0</v>
      </c>
      <c r="P82" s="214">
        <f t="shared" si="11"/>
        <v>0</v>
      </c>
      <c r="Q82" s="214">
        <f>IF(K82=0, 0, (HLOOKUP(K82,'[1]E-CESTDWO'!$A$5:$O$35,J82+1,FALSE)*R32))</f>
        <v>0</v>
      </c>
      <c r="R82" s="214">
        <f>IF(K82=0, 0, (HLOOKUP(K82,'[1]E-CESTD'!$A$5:$O$35,J82+1,FALSE)*R32))</f>
        <v>0</v>
      </c>
      <c r="S82" s="279">
        <v>1.081</v>
      </c>
      <c r="T82" s="280">
        <f t="shared" si="12"/>
        <v>0</v>
      </c>
      <c r="U82" s="280">
        <f t="shared" si="13"/>
        <v>0</v>
      </c>
      <c r="V82" s="280">
        <f t="shared" si="14"/>
        <v>0</v>
      </c>
    </row>
    <row r="83" spans="2:25">
      <c r="B83" s="282"/>
      <c r="C83" s="282" t="s">
        <v>205</v>
      </c>
      <c r="D83" s="285">
        <v>0</v>
      </c>
      <c r="E83" s="282" t="s">
        <v>181</v>
      </c>
      <c r="F83" s="282" t="s">
        <v>186</v>
      </c>
      <c r="G83" s="283"/>
      <c r="H83" s="283"/>
      <c r="I83" s="284">
        <v>0</v>
      </c>
      <c r="J83" s="257"/>
      <c r="K83" s="257"/>
      <c r="L83" s="3574"/>
      <c r="M83" s="278" t="e">
        <f t="shared" si="18"/>
        <v>#DIV/0!</v>
      </c>
      <c r="N83" s="278" t="e">
        <f t="shared" si="18"/>
        <v>#DIV/0!</v>
      </c>
      <c r="O83" s="214">
        <f t="shared" si="10"/>
        <v>0</v>
      </c>
      <c r="P83" s="214">
        <f t="shared" si="11"/>
        <v>0</v>
      </c>
      <c r="Q83" s="214">
        <f>IF(K83=0, 0, (HLOOKUP(K83,'[1]E-CESTDWO'!$A$5:$O$35,J83+1,FALSE)*R33))</f>
        <v>0</v>
      </c>
      <c r="R83" s="214">
        <f>IF(K83=0, 0, (HLOOKUP(K83,'[1]E-CESTD'!$A$5:$O$35,J83+1,FALSE)*R33))</f>
        <v>0</v>
      </c>
      <c r="S83" s="279">
        <v>1.081</v>
      </c>
      <c r="T83" s="280">
        <f t="shared" si="12"/>
        <v>0</v>
      </c>
      <c r="U83" s="280">
        <f t="shared" si="13"/>
        <v>0</v>
      </c>
      <c r="V83" s="280">
        <f t="shared" si="14"/>
        <v>0</v>
      </c>
    </row>
    <row r="84" spans="2:25">
      <c r="B84" s="282"/>
      <c r="C84" s="282" t="s">
        <v>206</v>
      </c>
      <c r="D84" s="285">
        <v>0</v>
      </c>
      <c r="E84" s="282" t="s">
        <v>181</v>
      </c>
      <c r="F84" s="282" t="s">
        <v>186</v>
      </c>
      <c r="G84" s="283"/>
      <c r="H84" s="283"/>
      <c r="I84" s="284">
        <v>0</v>
      </c>
      <c r="J84" s="257"/>
      <c r="K84" s="257"/>
      <c r="L84" s="3574"/>
      <c r="M84" s="278" t="e">
        <f t="shared" si="18"/>
        <v>#DIV/0!</v>
      </c>
      <c r="N84" s="278" t="e">
        <f t="shared" si="18"/>
        <v>#DIV/0!</v>
      </c>
      <c r="O84" s="214">
        <f t="shared" si="10"/>
        <v>0</v>
      </c>
      <c r="P84" s="214">
        <f t="shared" si="11"/>
        <v>0</v>
      </c>
      <c r="Q84" s="214">
        <f>IF(K84=0, 0, (HLOOKUP(K84,'[1]E-CESTDWO'!$A$5:$O$35,J84+1,FALSE)*R34))</f>
        <v>0</v>
      </c>
      <c r="R84" s="214">
        <f>IF(K84=0, 0, (HLOOKUP(K84,'[1]E-CESTD'!$A$5:$O$35,J84+1,FALSE)*R34))</f>
        <v>0</v>
      </c>
      <c r="S84" s="279">
        <v>1.081</v>
      </c>
      <c r="T84" s="280">
        <f t="shared" si="12"/>
        <v>0</v>
      </c>
      <c r="U84" s="280">
        <f t="shared" si="13"/>
        <v>0</v>
      </c>
      <c r="V84" s="280">
        <f t="shared" si="14"/>
        <v>0</v>
      </c>
    </row>
    <row r="85" spans="2:25">
      <c r="B85" s="282"/>
      <c r="C85" s="282" t="s">
        <v>207</v>
      </c>
      <c r="D85" s="285">
        <v>0</v>
      </c>
      <c r="E85" s="282" t="s">
        <v>181</v>
      </c>
      <c r="F85" s="282" t="s">
        <v>186</v>
      </c>
      <c r="G85" s="283"/>
      <c r="H85" s="283"/>
      <c r="I85" s="284">
        <v>0</v>
      </c>
      <c r="J85" s="257"/>
      <c r="K85" s="257"/>
      <c r="L85" s="3574"/>
      <c r="M85" s="278" t="e">
        <f t="shared" si="18"/>
        <v>#DIV/0!</v>
      </c>
      <c r="N85" s="278" t="e">
        <f t="shared" si="18"/>
        <v>#DIV/0!</v>
      </c>
      <c r="O85" s="214">
        <f t="shared" si="10"/>
        <v>0</v>
      </c>
      <c r="P85" s="214">
        <f t="shared" si="11"/>
        <v>0</v>
      </c>
      <c r="Q85" s="214">
        <f>IF(K85=0, 0, (HLOOKUP(K85,'[1]E-CESTDWO'!$A$5:$O$35,J85+1,FALSE)*R35))</f>
        <v>0</v>
      </c>
      <c r="R85" s="214">
        <f>IF(K85=0, 0, (HLOOKUP(K85,'[1]E-CESTD'!$A$5:$O$35,J85+1,FALSE)*R35))</f>
        <v>0</v>
      </c>
      <c r="S85" s="279">
        <v>1.081</v>
      </c>
      <c r="T85" s="280">
        <f t="shared" si="12"/>
        <v>0</v>
      </c>
      <c r="U85" s="280">
        <f t="shared" si="13"/>
        <v>0</v>
      </c>
      <c r="V85" s="280">
        <f t="shared" si="14"/>
        <v>0</v>
      </c>
    </row>
    <row r="86" spans="2:25">
      <c r="B86" s="282"/>
      <c r="C86" s="282" t="s">
        <v>208</v>
      </c>
      <c r="D86" s="285">
        <v>0</v>
      </c>
      <c r="E86" s="282" t="s">
        <v>181</v>
      </c>
      <c r="F86" s="282" t="s">
        <v>186</v>
      </c>
      <c r="G86" s="283"/>
      <c r="H86" s="283"/>
      <c r="I86" s="284">
        <v>0</v>
      </c>
      <c r="J86" s="257"/>
      <c r="K86" s="257"/>
      <c r="L86" s="3574"/>
      <c r="M86" s="278" t="e">
        <f t="shared" si="18"/>
        <v>#DIV/0!</v>
      </c>
      <c r="N86" s="278" t="e">
        <f t="shared" si="18"/>
        <v>#DIV/0!</v>
      </c>
      <c r="O86" s="214">
        <f t="shared" si="10"/>
        <v>0</v>
      </c>
      <c r="P86" s="214">
        <f t="shared" si="11"/>
        <v>0</v>
      </c>
      <c r="Q86" s="214">
        <f>IF(K86=0, 0, (HLOOKUP(K86,'[1]E-CESTDWO'!$A$5:$O$35,J86+1,FALSE)*R36))</f>
        <v>0</v>
      </c>
      <c r="R86" s="214">
        <f>IF(K86=0, 0, (HLOOKUP(K86,'[1]E-CESTD'!$A$5:$O$35,J86+1,FALSE)*R36))</f>
        <v>0</v>
      </c>
      <c r="S86" s="279">
        <v>1.081</v>
      </c>
      <c r="T86" s="280">
        <f t="shared" si="12"/>
        <v>0</v>
      </c>
      <c r="U86" s="280">
        <f t="shared" si="13"/>
        <v>0</v>
      </c>
      <c r="V86" s="280">
        <f t="shared" si="14"/>
        <v>0</v>
      </c>
    </row>
    <row r="87" spans="2:25">
      <c r="B87" s="282"/>
      <c r="C87" s="282" t="s">
        <v>209</v>
      </c>
      <c r="D87" s="285">
        <v>0</v>
      </c>
      <c r="E87" s="282" t="s">
        <v>181</v>
      </c>
      <c r="F87" s="282" t="s">
        <v>186</v>
      </c>
      <c r="G87" s="283"/>
      <c r="H87" s="283"/>
      <c r="I87" s="284">
        <v>0</v>
      </c>
      <c r="J87" s="257"/>
      <c r="K87" s="257"/>
      <c r="L87" s="3574"/>
      <c r="M87" s="278" t="e">
        <f t="shared" si="18"/>
        <v>#DIV/0!</v>
      </c>
      <c r="N87" s="278" t="e">
        <f t="shared" si="18"/>
        <v>#DIV/0!</v>
      </c>
      <c r="O87" s="214">
        <f t="shared" si="10"/>
        <v>0</v>
      </c>
      <c r="P87" s="214">
        <f t="shared" si="11"/>
        <v>0</v>
      </c>
      <c r="Q87" s="214">
        <f>IF(K87=0, 0, (HLOOKUP(K87,'[1]E-CESTDWO'!$A$5:$O$35,J87+1,FALSE)*R37))</f>
        <v>0</v>
      </c>
      <c r="R87" s="214">
        <f>IF(K87=0, 0, (HLOOKUP(K87,'[1]E-CESTD'!$A$5:$O$35,J87+1,FALSE)*R37))</f>
        <v>0</v>
      </c>
      <c r="S87" s="279">
        <v>1.081</v>
      </c>
      <c r="T87" s="280">
        <f t="shared" si="12"/>
        <v>0</v>
      </c>
      <c r="U87" s="280">
        <f t="shared" si="13"/>
        <v>0</v>
      </c>
      <c r="V87" s="280">
        <f t="shared" si="14"/>
        <v>0</v>
      </c>
    </row>
    <row r="88" spans="2:25">
      <c r="B88" s="282"/>
      <c r="C88" s="282" t="s">
        <v>210</v>
      </c>
      <c r="D88" s="285">
        <v>0</v>
      </c>
      <c r="E88" s="282" t="s">
        <v>181</v>
      </c>
      <c r="F88" s="282" t="s">
        <v>186</v>
      </c>
      <c r="G88" s="283"/>
      <c r="H88" s="283"/>
      <c r="I88" s="284">
        <v>0</v>
      </c>
      <c r="J88" s="257"/>
      <c r="K88" s="257"/>
      <c r="L88" s="3574"/>
      <c r="M88" s="278" t="e">
        <f t="shared" si="18"/>
        <v>#DIV/0!</v>
      </c>
      <c r="N88" s="278" t="e">
        <f t="shared" si="18"/>
        <v>#DIV/0!</v>
      </c>
      <c r="O88" s="214">
        <f t="shared" si="10"/>
        <v>0</v>
      </c>
      <c r="P88" s="214">
        <f t="shared" si="11"/>
        <v>0</v>
      </c>
      <c r="Q88" s="214">
        <f>IF(K88=0, 0, (HLOOKUP(K88,'[1]E-CESTDWO'!$A$5:$O$35,J88+1,FALSE)*R38))</f>
        <v>0</v>
      </c>
      <c r="R88" s="214">
        <f>IF(K88=0, 0, (HLOOKUP(K88,'[1]E-CESTD'!$A$5:$O$35,J88+1,FALSE)*R38))</f>
        <v>0</v>
      </c>
      <c r="S88" s="279">
        <v>1.081</v>
      </c>
      <c r="T88" s="280">
        <f t="shared" si="12"/>
        <v>0</v>
      </c>
      <c r="U88" s="280">
        <f t="shared" si="13"/>
        <v>0</v>
      </c>
      <c r="V88" s="280">
        <f t="shared" si="14"/>
        <v>0</v>
      </c>
    </row>
    <row r="89" spans="2:25">
      <c r="B89" s="282"/>
      <c r="C89" s="282" t="s">
        <v>211</v>
      </c>
      <c r="D89" s="285">
        <v>0</v>
      </c>
      <c r="E89" s="282" t="s">
        <v>181</v>
      </c>
      <c r="F89" s="282" t="s">
        <v>186</v>
      </c>
      <c r="G89" s="283"/>
      <c r="H89" s="283"/>
      <c r="I89" s="284">
        <v>0</v>
      </c>
      <c r="J89" s="257"/>
      <c r="K89" s="257"/>
      <c r="L89" s="3574"/>
      <c r="M89" s="278" t="e">
        <f t="shared" si="18"/>
        <v>#DIV/0!</v>
      </c>
      <c r="N89" s="278" t="e">
        <f t="shared" si="18"/>
        <v>#DIV/0!</v>
      </c>
      <c r="O89" s="214">
        <f t="shared" si="10"/>
        <v>0</v>
      </c>
      <c r="P89" s="214">
        <f t="shared" si="11"/>
        <v>0</v>
      </c>
      <c r="Q89" s="214">
        <f>IF(K89=0, 0, (HLOOKUP(K89,'[1]E-CESTDWO'!$A$5:$O$35,J89+1,FALSE)*R39))</f>
        <v>0</v>
      </c>
      <c r="R89" s="214">
        <f>IF(K89=0, 0, (HLOOKUP(K89,'[1]E-CESTD'!$A$5:$O$35,J89+1,FALSE)*R39))</f>
        <v>0</v>
      </c>
      <c r="S89" s="279">
        <v>1.081</v>
      </c>
      <c r="T89" s="280">
        <f t="shared" si="12"/>
        <v>0</v>
      </c>
      <c r="U89" s="280">
        <f t="shared" si="13"/>
        <v>0</v>
      </c>
      <c r="V89" s="280">
        <f t="shared" si="14"/>
        <v>0</v>
      </c>
    </row>
    <row r="90" spans="2:25">
      <c r="B90" s="282"/>
      <c r="C90" s="282" t="s">
        <v>212</v>
      </c>
      <c r="D90" s="285">
        <v>0</v>
      </c>
      <c r="E90" s="282" t="s">
        <v>181</v>
      </c>
      <c r="F90" s="282" t="s">
        <v>186</v>
      </c>
      <c r="G90" s="283"/>
      <c r="H90" s="283"/>
      <c r="I90" s="284">
        <v>0</v>
      </c>
      <c r="J90" s="257"/>
      <c r="K90" s="257"/>
      <c r="L90" s="3574"/>
      <c r="M90" s="278" t="e">
        <f t="shared" si="18"/>
        <v>#DIV/0!</v>
      </c>
      <c r="N90" s="278" t="e">
        <f t="shared" si="18"/>
        <v>#DIV/0!</v>
      </c>
      <c r="O90" s="214">
        <f t="shared" si="10"/>
        <v>0</v>
      </c>
      <c r="P90" s="214">
        <f t="shared" si="11"/>
        <v>0</v>
      </c>
      <c r="Q90" s="214">
        <f>IF(K90=0, 0, (HLOOKUP(K90,'[1]E-CESTDWO'!$A$5:$O$35,J90+1,FALSE)*R40))</f>
        <v>0</v>
      </c>
      <c r="R90" s="214">
        <f>IF(K90=0, 0, (HLOOKUP(K90,'[1]E-CESTD'!$A$5:$O$35,J90+1,FALSE)*R40))</f>
        <v>0</v>
      </c>
      <c r="S90" s="279">
        <v>1.081</v>
      </c>
      <c r="T90" s="280">
        <f t="shared" si="12"/>
        <v>0</v>
      </c>
      <c r="U90" s="280">
        <f t="shared" si="13"/>
        <v>0</v>
      </c>
      <c r="V90" s="280">
        <f t="shared" si="14"/>
        <v>0</v>
      </c>
    </row>
    <row r="91" spans="2:25">
      <c r="B91" s="282"/>
      <c r="C91" s="282" t="s">
        <v>213</v>
      </c>
      <c r="D91" s="285">
        <v>0</v>
      </c>
      <c r="E91" s="282" t="s">
        <v>181</v>
      </c>
      <c r="F91" s="282" t="s">
        <v>186</v>
      </c>
      <c r="G91" s="283"/>
      <c r="H91" s="283"/>
      <c r="I91" s="284">
        <v>0</v>
      </c>
      <c r="J91" s="257"/>
      <c r="K91" s="257"/>
      <c r="L91" s="3574"/>
      <c r="M91" s="278" t="e">
        <f t="shared" si="18"/>
        <v>#DIV/0!</v>
      </c>
      <c r="N91" s="278" t="e">
        <f t="shared" si="18"/>
        <v>#DIV/0!</v>
      </c>
      <c r="O91" s="214">
        <f t="shared" si="10"/>
        <v>0</v>
      </c>
      <c r="P91" s="214">
        <f t="shared" si="11"/>
        <v>0</v>
      </c>
      <c r="Q91" s="214">
        <f>IF(K91=0, 0, (HLOOKUP(K91,'[1]E-CESTDWO'!$A$5:$O$35,J91+1,FALSE)*R41))</f>
        <v>0</v>
      </c>
      <c r="R91" s="214">
        <f>IF(K91=0, 0, (HLOOKUP(K91,'[1]E-CESTD'!$A$5:$O$35,J91+1,FALSE)*R41))</f>
        <v>0</v>
      </c>
      <c r="S91" s="279">
        <v>1.081</v>
      </c>
      <c r="T91" s="280">
        <f t="shared" si="12"/>
        <v>0</v>
      </c>
      <c r="U91" s="280">
        <f t="shared" si="13"/>
        <v>0</v>
      </c>
      <c r="V91" s="280">
        <f t="shared" si="14"/>
        <v>0</v>
      </c>
    </row>
    <row r="92" spans="2:25">
      <c r="B92" s="282"/>
      <c r="C92" s="282" t="s">
        <v>214</v>
      </c>
      <c r="D92" s="285">
        <v>0</v>
      </c>
      <c r="E92" s="282" t="s">
        <v>181</v>
      </c>
      <c r="F92" s="282" t="s">
        <v>186</v>
      </c>
      <c r="G92" s="283"/>
      <c r="H92" s="283"/>
      <c r="I92" s="284">
        <v>0</v>
      </c>
      <c r="J92" s="257"/>
      <c r="K92" s="257"/>
      <c r="L92" s="3574"/>
      <c r="M92" s="278" t="e">
        <f t="shared" si="18"/>
        <v>#DIV/0!</v>
      </c>
      <c r="N92" s="278" t="e">
        <f t="shared" si="18"/>
        <v>#DIV/0!</v>
      </c>
      <c r="O92" s="214">
        <f t="shared" si="10"/>
        <v>0</v>
      </c>
      <c r="P92" s="214">
        <f t="shared" si="11"/>
        <v>0</v>
      </c>
      <c r="Q92" s="214">
        <f>IF(K92=0, 0, (HLOOKUP(K92,'[1]E-CESTDWO'!$A$5:$O$35,J92+1,FALSE)*R42))</f>
        <v>0</v>
      </c>
      <c r="R92" s="214">
        <f>IF(K92=0, 0, (HLOOKUP(K92,'[1]E-CESTD'!$A$5:$O$35,J92+1,FALSE)*R42))</f>
        <v>0</v>
      </c>
      <c r="S92" s="279">
        <v>1.081</v>
      </c>
      <c r="T92" s="280">
        <f t="shared" si="12"/>
        <v>0</v>
      </c>
      <c r="U92" s="280">
        <f t="shared" si="13"/>
        <v>0</v>
      </c>
      <c r="V92" s="280">
        <f t="shared" si="14"/>
        <v>0</v>
      </c>
    </row>
    <row r="93" spans="2:25">
      <c r="B93" s="282"/>
      <c r="C93" s="282" t="s">
        <v>215</v>
      </c>
      <c r="D93" s="285">
        <v>0</v>
      </c>
      <c r="E93" s="282" t="s">
        <v>181</v>
      </c>
      <c r="F93" s="282" t="s">
        <v>186</v>
      </c>
      <c r="G93" s="283"/>
      <c r="H93" s="283"/>
      <c r="I93" s="284">
        <v>0</v>
      </c>
      <c r="J93" s="257"/>
      <c r="K93" s="257"/>
      <c r="L93" s="3574"/>
      <c r="M93" s="278" t="e">
        <f t="shared" si="18"/>
        <v>#DIV/0!</v>
      </c>
      <c r="N93" s="278" t="e">
        <f t="shared" si="18"/>
        <v>#DIV/0!</v>
      </c>
      <c r="O93" s="214">
        <f t="shared" si="10"/>
        <v>0</v>
      </c>
      <c r="P93" s="214">
        <f t="shared" si="11"/>
        <v>0</v>
      </c>
      <c r="Q93" s="214">
        <f>IF(K93=0, 0, (HLOOKUP(K93,'[1]E-CESTDWO'!$A$5:$O$35,J93+1,FALSE)*R43))</f>
        <v>0</v>
      </c>
      <c r="R93" s="214">
        <f>IF(K93=0, 0, (HLOOKUP(K93,'[1]E-CESTD'!$A$5:$O$35,J93+1,FALSE)*R43))</f>
        <v>0</v>
      </c>
      <c r="S93" s="279">
        <v>1.081</v>
      </c>
      <c r="T93" s="280">
        <f t="shared" si="12"/>
        <v>0</v>
      </c>
      <c r="U93" s="280">
        <f t="shared" si="13"/>
        <v>0</v>
      </c>
      <c r="V93" s="280">
        <f t="shared" si="14"/>
        <v>0</v>
      </c>
    </row>
    <row r="94" spans="2:25">
      <c r="B94" s="282"/>
      <c r="C94" s="282" t="s">
        <v>216</v>
      </c>
      <c r="D94" s="285">
        <v>0</v>
      </c>
      <c r="E94" s="282" t="s">
        <v>181</v>
      </c>
      <c r="F94" s="282" t="s">
        <v>186</v>
      </c>
      <c r="G94" s="283"/>
      <c r="H94" s="283"/>
      <c r="I94" s="284">
        <v>0</v>
      </c>
      <c r="J94" s="257"/>
      <c r="K94" s="257"/>
      <c r="L94" s="3574"/>
      <c r="M94" s="278" t="e">
        <f t="shared" si="18"/>
        <v>#DIV/0!</v>
      </c>
      <c r="N94" s="278" t="e">
        <f t="shared" si="18"/>
        <v>#DIV/0!</v>
      </c>
      <c r="O94" s="214">
        <f t="shared" si="10"/>
        <v>0</v>
      </c>
      <c r="P94" s="214">
        <f t="shared" si="11"/>
        <v>0</v>
      </c>
      <c r="Q94" s="214">
        <f>IF(K94=0, 0, (HLOOKUP(K94,'[1]E-CESTDWO'!$A$5:$O$35,J94+1,FALSE)*R44))</f>
        <v>0</v>
      </c>
      <c r="R94" s="214">
        <f>IF(K94=0, 0, (HLOOKUP(K94,'[1]E-CESTD'!$A$5:$O$35,J94+1,FALSE)*R44))</f>
        <v>0</v>
      </c>
      <c r="S94" s="279">
        <v>1.081</v>
      </c>
      <c r="T94" s="280">
        <f t="shared" si="12"/>
        <v>0</v>
      </c>
      <c r="U94" s="280">
        <f t="shared" si="13"/>
        <v>0</v>
      </c>
      <c r="V94" s="280">
        <f t="shared" si="14"/>
        <v>0</v>
      </c>
    </row>
    <row r="95" spans="2:25">
      <c r="B95" s="282"/>
      <c r="C95" s="282" t="s">
        <v>217</v>
      </c>
      <c r="D95" s="285">
        <v>0</v>
      </c>
      <c r="E95" s="282" t="s">
        <v>181</v>
      </c>
      <c r="F95" s="282" t="s">
        <v>186</v>
      </c>
      <c r="G95" s="283"/>
      <c r="H95" s="283"/>
      <c r="I95" s="284">
        <v>0</v>
      </c>
      <c r="J95" s="257"/>
      <c r="K95" s="257"/>
      <c r="L95" s="3574"/>
      <c r="M95" s="278" t="e">
        <f t="shared" si="18"/>
        <v>#DIV/0!</v>
      </c>
      <c r="N95" s="278" t="e">
        <f t="shared" si="18"/>
        <v>#DIV/0!</v>
      </c>
      <c r="O95" s="214">
        <f t="shared" si="10"/>
        <v>0</v>
      </c>
      <c r="P95" s="214">
        <f t="shared" si="11"/>
        <v>0</v>
      </c>
      <c r="Q95" s="214">
        <f>IF(K95=0, 0, (HLOOKUP(K95,'[1]E-CESTDWO'!$A$5:$O$35,J95+1,FALSE)*R45))</f>
        <v>0</v>
      </c>
      <c r="R95" s="214">
        <f>IF(K95=0, 0, (HLOOKUP(K95,'[1]E-CESTD'!$A$5:$O$35,J95+1,FALSE)*R45))</f>
        <v>0</v>
      </c>
      <c r="S95" s="279">
        <v>1.081</v>
      </c>
      <c r="T95" s="280">
        <f t="shared" si="12"/>
        <v>0</v>
      </c>
      <c r="U95" s="280">
        <f t="shared" si="13"/>
        <v>0</v>
      </c>
      <c r="V95" s="280">
        <f t="shared" si="14"/>
        <v>0</v>
      </c>
    </row>
    <row r="96" spans="2:25">
      <c r="B96" s="282"/>
      <c r="C96" s="282" t="s">
        <v>218</v>
      </c>
      <c r="D96" s="285">
        <v>0</v>
      </c>
      <c r="E96" s="282" t="s">
        <v>181</v>
      </c>
      <c r="F96" s="282" t="s">
        <v>186</v>
      </c>
      <c r="G96" s="283"/>
      <c r="H96" s="283"/>
      <c r="I96" s="284">
        <v>0</v>
      </c>
      <c r="J96" s="257"/>
      <c r="K96" s="257"/>
      <c r="L96" s="3574"/>
      <c r="M96" s="278" t="e">
        <f t="shared" si="18"/>
        <v>#DIV/0!</v>
      </c>
      <c r="N96" s="278" t="e">
        <f t="shared" si="18"/>
        <v>#DIV/0!</v>
      </c>
      <c r="O96" s="214">
        <f t="shared" si="10"/>
        <v>0</v>
      </c>
      <c r="P96" s="214">
        <f t="shared" si="11"/>
        <v>0</v>
      </c>
      <c r="Q96" s="214">
        <f>IF(K96=0, 0, (HLOOKUP(K96,'[1]E-CESTDWO'!$A$5:$O$35,J96+1,FALSE)*R46))</f>
        <v>0</v>
      </c>
      <c r="R96" s="214">
        <f>IF(K96=0, 0, (HLOOKUP(K96,'[1]E-CESTD'!$A$5:$O$35,J96+1,FALSE)*R46))</f>
        <v>0</v>
      </c>
      <c r="S96" s="279">
        <v>1.081</v>
      </c>
      <c r="T96" s="280">
        <f t="shared" si="12"/>
        <v>0</v>
      </c>
      <c r="U96" s="280">
        <f t="shared" si="13"/>
        <v>0</v>
      </c>
      <c r="V96" s="280">
        <f t="shared" si="14"/>
        <v>0</v>
      </c>
    </row>
    <row r="97" spans="2:22">
      <c r="B97" s="282"/>
      <c r="C97" s="282" t="s">
        <v>219</v>
      </c>
      <c r="D97" s="285">
        <v>0</v>
      </c>
      <c r="E97" s="282" t="s">
        <v>181</v>
      </c>
      <c r="F97" s="282" t="s">
        <v>186</v>
      </c>
      <c r="G97" s="283"/>
      <c r="H97" s="283"/>
      <c r="I97" s="284">
        <v>0</v>
      </c>
      <c r="J97" s="257"/>
      <c r="K97" s="257"/>
      <c r="L97" s="3574"/>
      <c r="M97" s="278" t="e">
        <f t="shared" si="18"/>
        <v>#DIV/0!</v>
      </c>
      <c r="N97" s="278" t="e">
        <f t="shared" si="18"/>
        <v>#DIV/0!</v>
      </c>
      <c r="O97" s="214">
        <f t="shared" si="10"/>
        <v>0</v>
      </c>
      <c r="P97" s="214">
        <f t="shared" si="11"/>
        <v>0</v>
      </c>
      <c r="Q97" s="214">
        <f>IF(K97=0, 0, (HLOOKUP(K97,'[1]E-CESTDWO'!$A$5:$O$35,J97+1,FALSE)*R47))</f>
        <v>0</v>
      </c>
      <c r="R97" s="214">
        <f>IF(K97=0, 0, (HLOOKUP(K97,'[1]E-CESTD'!$A$5:$O$35,J97+1,FALSE)*R47))</f>
        <v>0</v>
      </c>
      <c r="S97" s="279">
        <v>1.081</v>
      </c>
      <c r="T97" s="280">
        <f t="shared" si="12"/>
        <v>0</v>
      </c>
      <c r="U97" s="280">
        <f t="shared" si="13"/>
        <v>0</v>
      </c>
      <c r="V97" s="280">
        <f t="shared" si="14"/>
        <v>0</v>
      </c>
    </row>
    <row r="98" spans="2:22">
      <c r="B98" s="282"/>
      <c r="C98" s="282" t="s">
        <v>220</v>
      </c>
      <c r="D98" s="285">
        <v>0</v>
      </c>
      <c r="E98" s="282" t="s">
        <v>181</v>
      </c>
      <c r="F98" s="282" t="s">
        <v>186</v>
      </c>
      <c r="G98" s="283"/>
      <c r="H98" s="283"/>
      <c r="I98" s="284">
        <v>0</v>
      </c>
      <c r="J98" s="257"/>
      <c r="K98" s="257"/>
      <c r="L98" s="3574"/>
      <c r="M98" s="278" t="e">
        <f t="shared" si="18"/>
        <v>#DIV/0!</v>
      </c>
      <c r="N98" s="278" t="e">
        <f t="shared" si="18"/>
        <v>#DIV/0!</v>
      </c>
      <c r="O98" s="214">
        <f t="shared" si="10"/>
        <v>0</v>
      </c>
      <c r="P98" s="214">
        <f t="shared" si="11"/>
        <v>0</v>
      </c>
      <c r="Q98" s="214">
        <f>IF(K98=0, 0, (HLOOKUP(K98,'[1]E-CESTDWO'!$A$5:$O$35,J98+1,FALSE)*R48))</f>
        <v>0</v>
      </c>
      <c r="R98" s="214">
        <f>IF(K98=0, 0, (HLOOKUP(K98,'[1]E-CESTD'!$A$5:$O$35,J98+1,FALSE)*R48))</f>
        <v>0</v>
      </c>
      <c r="S98" s="279">
        <v>1.081</v>
      </c>
      <c r="T98" s="280">
        <f t="shared" si="12"/>
        <v>0</v>
      </c>
      <c r="U98" s="280">
        <f t="shared" si="13"/>
        <v>0</v>
      </c>
      <c r="V98" s="280">
        <f t="shared" si="14"/>
        <v>0</v>
      </c>
    </row>
    <row r="99" spans="2:22">
      <c r="B99" s="282"/>
      <c r="C99" s="282" t="s">
        <v>221</v>
      </c>
      <c r="D99" s="285">
        <v>0</v>
      </c>
      <c r="E99" s="282" t="s">
        <v>181</v>
      </c>
      <c r="F99" s="282" t="s">
        <v>186</v>
      </c>
      <c r="G99" s="283"/>
      <c r="H99" s="283"/>
      <c r="I99" s="284">
        <v>0</v>
      </c>
      <c r="J99" s="257"/>
      <c r="K99" s="257"/>
      <c r="L99" s="3574"/>
      <c r="M99" s="278" t="e">
        <f t="shared" si="18"/>
        <v>#DIV/0!</v>
      </c>
      <c r="N99" s="278" t="e">
        <f t="shared" si="18"/>
        <v>#DIV/0!</v>
      </c>
      <c r="O99" s="214">
        <f t="shared" si="10"/>
        <v>0</v>
      </c>
      <c r="P99" s="214">
        <f t="shared" si="11"/>
        <v>0</v>
      </c>
      <c r="Q99" s="214">
        <f>IF(K99=0, 0, (HLOOKUP(K99,'[1]E-CESTDWO'!$A$5:$O$35,J99+1,FALSE)*R49))</f>
        <v>0</v>
      </c>
      <c r="R99" s="214">
        <f>IF(K99=0, 0, (HLOOKUP(K99,'[1]E-CESTD'!$A$5:$O$35,J99+1,FALSE)*R49))</f>
        <v>0</v>
      </c>
      <c r="S99" s="279">
        <v>1.081</v>
      </c>
      <c r="T99" s="280">
        <f t="shared" si="12"/>
        <v>0</v>
      </c>
      <c r="U99" s="280">
        <f t="shared" si="13"/>
        <v>0</v>
      </c>
      <c r="V99" s="280">
        <f t="shared" si="14"/>
        <v>0</v>
      </c>
    </row>
    <row r="100" spans="2:22">
      <c r="B100" s="282"/>
      <c r="C100" s="282" t="s">
        <v>222</v>
      </c>
      <c r="D100" s="285">
        <v>0</v>
      </c>
      <c r="E100" s="282" t="s">
        <v>181</v>
      </c>
      <c r="F100" s="282" t="s">
        <v>186</v>
      </c>
      <c r="G100" s="283"/>
      <c r="H100" s="283"/>
      <c r="I100" s="284">
        <v>0</v>
      </c>
      <c r="J100" s="257"/>
      <c r="K100" s="257"/>
      <c r="L100" s="3574"/>
      <c r="M100" s="278" t="e">
        <f t="shared" si="18"/>
        <v>#DIV/0!</v>
      </c>
      <c r="N100" s="278" t="e">
        <f t="shared" si="18"/>
        <v>#DIV/0!</v>
      </c>
      <c r="O100" s="214">
        <f t="shared" si="10"/>
        <v>0</v>
      </c>
      <c r="P100" s="214">
        <f t="shared" si="11"/>
        <v>0</v>
      </c>
      <c r="Q100" s="214">
        <f>IF(K100=0, 0, (HLOOKUP(K100,'[1]E-CESTDWO'!$A$5:$O$35,J100+1,FALSE)*R50))</f>
        <v>0</v>
      </c>
      <c r="R100" s="214">
        <f>IF(K100=0, 0, (HLOOKUP(K100,'[1]E-CESTD'!$A$5:$O$35,J100+1,FALSE)*R50))</f>
        <v>0</v>
      </c>
      <c r="S100" s="279">
        <v>1.081</v>
      </c>
      <c r="T100" s="280">
        <f t="shared" si="12"/>
        <v>0</v>
      </c>
      <c r="U100" s="280">
        <f t="shared" si="13"/>
        <v>0</v>
      </c>
      <c r="V100" s="280">
        <f t="shared" si="14"/>
        <v>0</v>
      </c>
    </row>
    <row r="101" spans="2:22">
      <c r="B101" s="282"/>
      <c r="C101" s="282" t="s">
        <v>223</v>
      </c>
      <c r="D101" s="285">
        <v>0</v>
      </c>
      <c r="E101" s="282" t="s">
        <v>181</v>
      </c>
      <c r="F101" s="282" t="s">
        <v>186</v>
      </c>
      <c r="G101" s="283"/>
      <c r="H101" s="283"/>
      <c r="I101" s="284">
        <v>0</v>
      </c>
      <c r="J101" s="257"/>
      <c r="K101" s="257"/>
      <c r="L101" s="3574"/>
      <c r="M101" s="278" t="e">
        <f t="shared" si="18"/>
        <v>#DIV/0!</v>
      </c>
      <c r="N101" s="278" t="e">
        <f t="shared" si="18"/>
        <v>#DIV/0!</v>
      </c>
      <c r="O101" s="214">
        <f t="shared" si="10"/>
        <v>0</v>
      </c>
      <c r="P101" s="214">
        <f t="shared" si="11"/>
        <v>0</v>
      </c>
      <c r="Q101" s="214">
        <f>IF(K101=0, 0, (HLOOKUP(K101,'[1]E-CESTDWO'!$A$5:$O$35,J101+1,FALSE)*R51))</f>
        <v>0</v>
      </c>
      <c r="R101" s="214">
        <f>IF(K101=0, 0, (HLOOKUP(K101,'[1]E-CESTD'!$A$5:$O$35,J101+1,FALSE)*R51))</f>
        <v>0</v>
      </c>
      <c r="S101" s="279">
        <v>1.081</v>
      </c>
      <c r="T101" s="280">
        <f t="shared" si="12"/>
        <v>0</v>
      </c>
      <c r="U101" s="280">
        <f t="shared" si="13"/>
        <v>0</v>
      </c>
      <c r="V101" s="280">
        <f t="shared" si="14"/>
        <v>0</v>
      </c>
    </row>
    <row r="102" spans="2:22">
      <c r="B102" s="282"/>
      <c r="C102" s="282" t="s">
        <v>224</v>
      </c>
      <c r="D102" s="285">
        <v>0</v>
      </c>
      <c r="E102" s="282" t="s">
        <v>181</v>
      </c>
      <c r="F102" s="282" t="s">
        <v>186</v>
      </c>
      <c r="G102" s="283"/>
      <c r="H102" s="283"/>
      <c r="I102" s="284">
        <v>0</v>
      </c>
      <c r="J102" s="257"/>
      <c r="K102" s="257"/>
      <c r="L102" s="3574"/>
      <c r="M102" s="278" t="e">
        <f t="shared" si="18"/>
        <v>#DIV/0!</v>
      </c>
      <c r="N102" s="278" t="e">
        <f t="shared" si="18"/>
        <v>#DIV/0!</v>
      </c>
      <c r="O102" s="214">
        <f t="shared" si="10"/>
        <v>0</v>
      </c>
      <c r="P102" s="214">
        <f t="shared" si="11"/>
        <v>0</v>
      </c>
      <c r="Q102" s="214">
        <f>IF(K102=0, 0, (HLOOKUP(K102,'[1]E-CESTDWO'!$A$5:$O$35,J102+1,FALSE)*R52))</f>
        <v>0</v>
      </c>
      <c r="R102" s="214">
        <f>IF(K102=0, 0, (HLOOKUP(K102,'[1]E-CESTD'!$A$5:$O$35,J102+1,FALSE)*R52))</f>
        <v>0</v>
      </c>
      <c r="S102" s="279">
        <v>1.081</v>
      </c>
      <c r="T102" s="280">
        <f t="shared" si="12"/>
        <v>0</v>
      </c>
      <c r="U102" s="280">
        <f t="shared" si="13"/>
        <v>0</v>
      </c>
      <c r="V102" s="280">
        <f t="shared" si="14"/>
        <v>0</v>
      </c>
    </row>
    <row r="103" spans="2:22">
      <c r="B103" s="282"/>
      <c r="C103" s="282" t="s">
        <v>225</v>
      </c>
      <c r="D103" s="285">
        <v>0</v>
      </c>
      <c r="E103" s="282" t="s">
        <v>181</v>
      </c>
      <c r="F103" s="282" t="s">
        <v>186</v>
      </c>
      <c r="G103" s="283"/>
      <c r="H103" s="283"/>
      <c r="I103" s="284">
        <v>0</v>
      </c>
      <c r="J103" s="257"/>
      <c r="K103" s="257"/>
      <c r="L103" s="3574"/>
      <c r="M103" s="278" t="e">
        <f t="shared" si="18"/>
        <v>#DIV/0!</v>
      </c>
      <c r="N103" s="278" t="e">
        <f t="shared" si="18"/>
        <v>#DIV/0!</v>
      </c>
      <c r="O103" s="214">
        <f t="shared" si="10"/>
        <v>0</v>
      </c>
      <c r="P103" s="214">
        <f t="shared" si="11"/>
        <v>0</v>
      </c>
      <c r="Q103" s="214">
        <f>IF(K103=0, 0, (HLOOKUP(K103,'[1]E-CESTDWO'!$A$5:$O$35,J103+1,FALSE)*R53))</f>
        <v>0</v>
      </c>
      <c r="R103" s="214">
        <f>IF(K103=0, 0, (HLOOKUP(K103,'[1]E-CESTD'!$A$5:$O$35,J103+1,FALSE)*R53))</f>
        <v>0</v>
      </c>
      <c r="S103" s="279">
        <v>1.081</v>
      </c>
      <c r="T103" s="280">
        <f t="shared" si="12"/>
        <v>0</v>
      </c>
      <c r="U103" s="280">
        <f t="shared" si="13"/>
        <v>0</v>
      </c>
      <c r="V103" s="280">
        <f t="shared" si="14"/>
        <v>0</v>
      </c>
    </row>
    <row r="104" spans="2:22" ht="13.5" thickBot="1">
      <c r="B104" s="282"/>
      <c r="C104" s="282" t="s">
        <v>226</v>
      </c>
      <c r="D104" s="285">
        <v>0</v>
      </c>
      <c r="E104" s="282" t="s">
        <v>181</v>
      </c>
      <c r="F104" s="282" t="s">
        <v>186</v>
      </c>
      <c r="G104" s="283"/>
      <c r="H104" s="283"/>
      <c r="I104" s="284">
        <v>0</v>
      </c>
      <c r="J104" s="257"/>
      <c r="K104" s="257"/>
      <c r="L104" s="3574"/>
      <c r="M104" s="278" t="e">
        <f t="shared" si="18"/>
        <v>#DIV/0!</v>
      </c>
      <c r="N104" s="278" t="e">
        <f t="shared" si="18"/>
        <v>#DIV/0!</v>
      </c>
      <c r="O104" s="214">
        <f t="shared" si="10"/>
        <v>0</v>
      </c>
      <c r="P104" s="214">
        <f t="shared" si="11"/>
        <v>0</v>
      </c>
      <c r="Q104" s="214">
        <f>IF(K104=0, 0, (HLOOKUP(K104,'[1]E-CESTDWO'!$A$5:$O$35,J104+1,FALSE)*R54))</f>
        <v>0</v>
      </c>
      <c r="R104" s="214">
        <f>IF(K104=0, 0, (HLOOKUP(K104,'[1]E-CESTD'!$A$5:$O$35,J104+1,FALSE)*R54))</f>
        <v>0</v>
      </c>
      <c r="S104" s="279">
        <v>1.081</v>
      </c>
      <c r="T104" s="280">
        <f t="shared" si="12"/>
        <v>0</v>
      </c>
      <c r="U104" s="280">
        <f t="shared" si="13"/>
        <v>0</v>
      </c>
      <c r="V104" s="280">
        <f t="shared" si="14"/>
        <v>0</v>
      </c>
    </row>
    <row r="105" spans="2:22" ht="13.5" thickBot="1">
      <c r="G105" s="286">
        <f>SUMPRODUCT(G63:G104,O13:O54)</f>
        <v>517260</v>
      </c>
      <c r="H105" s="287">
        <f>V105</f>
        <v>311300</v>
      </c>
      <c r="I105" s="288">
        <f>SUM(I63:I104)</f>
        <v>1</v>
      </c>
      <c r="J105" s="289">
        <f>ROUND(SUMPRODUCT(J63:J104,R13:R54)/R55,0)</f>
        <v>14</v>
      </c>
      <c r="K105" s="264"/>
      <c r="L105" s="3580"/>
      <c r="M105" s="290">
        <f>Q105/O105</f>
        <v>1.3697562072789626</v>
      </c>
      <c r="N105" s="291">
        <f>R105/P105</f>
        <v>1.1162887181906225</v>
      </c>
      <c r="O105" s="297">
        <f>SUM(O63:O104)</f>
        <v>544723.31174838112</v>
      </c>
      <c r="P105" s="297">
        <f>SUM(P63:P104)</f>
        <v>735250.60129509715</v>
      </c>
      <c r="Q105" s="297">
        <f>SUM(Q63:Q104)</f>
        <v>746138.13751689857</v>
      </c>
      <c r="R105" s="297">
        <f>SUM(R63:R104)</f>
        <v>820751.95126858843</v>
      </c>
      <c r="S105" s="293"/>
      <c r="T105" s="294">
        <f>SUM(T63:T104)</f>
        <v>0</v>
      </c>
      <c r="U105" s="294">
        <f>SUM(U63:U104)</f>
        <v>311300</v>
      </c>
      <c r="V105" s="294">
        <f>SUM(V63:V104)</f>
        <v>311300</v>
      </c>
    </row>
  </sheetData>
  <sheetProtection password="9E1F" sheet="1" objects="1" scenarios="1"/>
  <customSheetViews>
    <customSheetView guid="{074EB09C-6289-46D7-9513-012B68BCA7BF}" fitToPage="1">
      <pane xSplit="1" ySplit="1" topLeftCell="B2" activePane="bottomRight" state="frozen"/>
      <selection pane="bottomRight" activeCell="C26" sqref="C26"/>
      <pageMargins left="0.27" right="0.28000000000000003" top="0.38" bottom="0.37" header="0.3" footer="0.3"/>
      <pageSetup paperSize="17" scale="51" orientation="landscape" r:id="rId1"/>
    </customSheetView>
    <customSheetView guid="{AF9F1D33-B8C2-423F-86A1-47612B8F532C}" fitToPage="1">
      <pane xSplit="1" ySplit="1" topLeftCell="B2" activePane="bottomRight" state="frozenSplit"/>
      <selection pane="bottomRight" activeCell="N15" sqref="N15"/>
      <pageMargins left="0.7" right="0.7" top="0.75" bottom="0.75" header="0.3" footer="0.3"/>
      <pageSetup paperSize="17" scale="32" orientation="landscape"/>
    </customSheetView>
  </customSheetViews>
  <mergeCells count="16">
    <mergeCell ref="B61:K61"/>
    <mergeCell ref="L61:R61"/>
    <mergeCell ref="S61:U61"/>
    <mergeCell ref="V61:X61"/>
    <mergeCell ref="C11:F11"/>
    <mergeCell ref="I11:L11"/>
    <mergeCell ref="M11:O11"/>
    <mergeCell ref="P11:R11"/>
    <mergeCell ref="I12:K12"/>
    <mergeCell ref="D60:H60"/>
    <mergeCell ref="Q2:R2"/>
    <mergeCell ref="S2:U2"/>
    <mergeCell ref="V2:V3"/>
    <mergeCell ref="D10:E10"/>
    <mergeCell ref="I10:L10"/>
    <mergeCell ref="M10:N10"/>
  </mergeCells>
  <pageMargins left="0.27" right="0.28000000000000003" top="0.38" bottom="0.37" header="0.3" footer="0.3"/>
  <pageSetup paperSize="17" scale="50" orientation="landscape" r:id="rId2"/>
  <drawing r:id="rId3"/>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sheetPr enableFormatConditionsCalculation="0">
    <pageSetUpPr fitToPage="1"/>
  </sheetPr>
  <dimension ref="A1:O98"/>
  <sheetViews>
    <sheetView zoomScale="90" zoomScaleNormal="90" workbookViewId="0">
      <pane xSplit="1" ySplit="1" topLeftCell="B2" activePane="bottomRight" state="frozen"/>
      <selection pane="topRight" activeCell="B1" sqref="B1"/>
      <selection pane="bottomLeft" activeCell="A2" sqref="A2"/>
      <selection pane="bottomRight" activeCell="B4" sqref="B4"/>
    </sheetView>
  </sheetViews>
  <sheetFormatPr defaultColWidth="8.85546875" defaultRowHeight="12.75"/>
  <cols>
    <col min="1" max="1" width="15.28515625" customWidth="1"/>
    <col min="2" max="3" width="20.140625" customWidth="1"/>
    <col min="4" max="4" width="28" customWidth="1"/>
    <col min="5" max="13" width="20.140625" customWidth="1"/>
    <col min="14" max="14" width="14.28515625" customWidth="1"/>
    <col min="15" max="15" width="19.28515625" customWidth="1"/>
  </cols>
  <sheetData>
    <row r="1" spans="1:15" ht="42.75" customHeight="1"/>
    <row r="2" spans="1:15" ht="18.75" thickBot="1">
      <c r="B2" s="1" t="s">
        <v>64</v>
      </c>
      <c r="D2" s="4974" t="s">
        <v>1371</v>
      </c>
      <c r="E2" s="2192"/>
    </row>
    <row r="3" spans="1:15" ht="15.75" thickBot="1">
      <c r="B3" s="5" t="s">
        <v>5</v>
      </c>
      <c r="C3" s="6" t="s">
        <v>66</v>
      </c>
      <c r="D3" s="7">
        <v>18230438</v>
      </c>
    </row>
    <row r="4" spans="1:15" ht="18">
      <c r="B4" s="1"/>
      <c r="C4" s="2"/>
      <c r="D4" s="3"/>
      <c r="E4" s="4"/>
    </row>
    <row r="6" spans="1:15" ht="13.5" thickBot="1">
      <c r="A6" s="10"/>
      <c r="B6" s="11"/>
      <c r="C6" s="11"/>
      <c r="D6" s="12"/>
      <c r="E6" s="13" t="s">
        <v>8</v>
      </c>
      <c r="F6" s="11"/>
      <c r="G6" s="11"/>
      <c r="H6" s="11"/>
      <c r="I6" s="11"/>
      <c r="J6" s="11"/>
      <c r="K6" s="11"/>
      <c r="L6" s="11"/>
      <c r="M6" s="11"/>
      <c r="N6" s="11"/>
    </row>
    <row r="7" spans="1:15" s="19" customFormat="1" ht="38.25">
      <c r="B7" s="3461"/>
      <c r="C7" s="11"/>
      <c r="D7" s="11"/>
      <c r="E7" s="14" t="s">
        <v>9</v>
      </c>
      <c r="F7" s="14" t="s">
        <v>10</v>
      </c>
      <c r="G7" s="14" t="s">
        <v>11</v>
      </c>
      <c r="H7" s="15" t="s">
        <v>12</v>
      </c>
      <c r="I7" s="16" t="s">
        <v>13</v>
      </c>
      <c r="J7" s="14" t="s">
        <v>14</v>
      </c>
      <c r="K7" s="14" t="s">
        <v>15</v>
      </c>
      <c r="L7" s="14" t="s">
        <v>16</v>
      </c>
      <c r="M7" s="14" t="s">
        <v>17</v>
      </c>
      <c r="N7" s="17" t="s">
        <v>18</v>
      </c>
      <c r="O7" s="18" t="s">
        <v>19</v>
      </c>
    </row>
    <row r="8" spans="1:15" s="27" customFormat="1">
      <c r="A8" s="20"/>
      <c r="B8" s="21"/>
      <c r="C8" s="21"/>
      <c r="D8" s="22" t="s">
        <v>20</v>
      </c>
      <c r="E8" s="23"/>
      <c r="F8" s="23"/>
      <c r="G8" s="23"/>
      <c r="H8" s="23"/>
      <c r="I8" s="24"/>
      <c r="J8" s="23"/>
      <c r="K8" s="23"/>
      <c r="L8" s="23"/>
      <c r="M8" s="23"/>
      <c r="N8" s="25">
        <v>476000</v>
      </c>
      <c r="O8" s="26" t="s">
        <v>21</v>
      </c>
    </row>
    <row r="9" spans="1:15" s="27" customFormat="1">
      <c r="A9" s="20"/>
      <c r="B9" s="21"/>
      <c r="C9" s="21"/>
      <c r="D9" s="22" t="s">
        <v>22</v>
      </c>
      <c r="E9" s="28">
        <v>51975</v>
      </c>
      <c r="F9" s="28">
        <v>0</v>
      </c>
      <c r="G9" s="28">
        <v>32744.25</v>
      </c>
      <c r="H9" s="28">
        <v>0</v>
      </c>
      <c r="I9" s="28">
        <v>4700</v>
      </c>
      <c r="J9" s="28">
        <v>80000</v>
      </c>
      <c r="K9" s="28">
        <v>1000</v>
      </c>
      <c r="L9" s="28">
        <v>3000</v>
      </c>
      <c r="M9" s="28">
        <v>95000</v>
      </c>
      <c r="N9" s="87">
        <v>268419.25</v>
      </c>
      <c r="O9" s="30">
        <f>(N9-N8)/N8</f>
        <v>-0.43609401260504199</v>
      </c>
    </row>
    <row r="10" spans="1:15" s="93" customFormat="1">
      <c r="A10" s="20"/>
      <c r="B10" s="21"/>
      <c r="C10" s="21"/>
      <c r="D10" s="21">
        <v>2012</v>
      </c>
      <c r="E10" s="31">
        <f>SUM(B25:B27)</f>
        <v>183000</v>
      </c>
      <c r="F10" s="31">
        <f>SUM(B31:B34)</f>
        <v>0.05</v>
      </c>
      <c r="G10" s="31">
        <f>(E10+F10)*0.63</f>
        <v>115290.0315</v>
      </c>
      <c r="H10" s="31">
        <f>SUM(B46:B51)</f>
        <v>5000</v>
      </c>
      <c r="I10" s="32">
        <f>SUM(B62:B67)</f>
        <v>8200</v>
      </c>
      <c r="J10" s="31">
        <f>SUM(B69:B75)</f>
        <v>750000</v>
      </c>
      <c r="K10" s="31">
        <f>SUM(B77:B84)</f>
        <v>15000</v>
      </c>
      <c r="L10" s="31">
        <f>SUM(B86:B92)</f>
        <v>100000</v>
      </c>
      <c r="M10" s="33">
        <f>B94</f>
        <v>0</v>
      </c>
      <c r="N10" s="35">
        <f>SUM(E10:M10)</f>
        <v>1176490.0814999999</v>
      </c>
      <c r="O10" s="30">
        <f>(N10-N9)/N9</f>
        <v>3.3830316994775891</v>
      </c>
    </row>
    <row r="11" spans="1:15" s="5022" customFormat="1">
      <c r="A11" s="5018"/>
      <c r="B11" s="5019"/>
      <c r="C11" s="5019"/>
      <c r="D11" s="4278" t="s">
        <v>1168</v>
      </c>
      <c r="E11" s="4997">
        <v>187000</v>
      </c>
      <c r="F11" s="4997">
        <v>0.05</v>
      </c>
      <c r="G11" s="4997">
        <v>117810.0315</v>
      </c>
      <c r="H11" s="4997">
        <v>3000</v>
      </c>
      <c r="I11" s="4996">
        <v>6700</v>
      </c>
      <c r="J11" s="4997">
        <v>1000000</v>
      </c>
      <c r="K11" s="4997">
        <v>15000</v>
      </c>
      <c r="L11" s="4997">
        <v>250000</v>
      </c>
      <c r="M11" s="4994">
        <v>0</v>
      </c>
      <c r="N11" s="4992">
        <v>1579510.0814999999</v>
      </c>
      <c r="O11" s="1346">
        <v>0.34256132400721823</v>
      </c>
    </row>
    <row r="12" spans="1:15" s="93" customFormat="1">
      <c r="A12" s="20"/>
      <c r="B12" s="21"/>
      <c r="C12" s="21"/>
      <c r="D12" s="4279" t="s">
        <v>1169</v>
      </c>
      <c r="E12" s="4236">
        <f>SUM(C25:C27)</f>
        <v>107000</v>
      </c>
      <c r="F12" s="4236">
        <f>SUM(C31:C34)</f>
        <v>0.05</v>
      </c>
      <c r="G12" s="4236">
        <f>(E12+F12)*0.707</f>
        <v>75649.035349999991</v>
      </c>
      <c r="H12" s="4236">
        <f>SUM(C46:C51)</f>
        <v>0</v>
      </c>
      <c r="I12" s="4237">
        <f>SUM(C62:C67)</f>
        <v>11200</v>
      </c>
      <c r="J12" s="4236">
        <f>SUM(C69:C75)</f>
        <v>50000</v>
      </c>
      <c r="K12" s="4236">
        <f>SUM(C77:C84)</f>
        <v>0</v>
      </c>
      <c r="L12" s="4236">
        <f>SUM(C86:C92)</f>
        <v>0</v>
      </c>
      <c r="M12" s="4238">
        <f>C94</f>
        <v>0</v>
      </c>
      <c r="N12" s="4239">
        <f>SUM(E12:M12)</f>
        <v>243849.08535000001</v>
      </c>
      <c r="O12" s="4280">
        <f>(N12-N10)/N10</f>
        <v>-0.79273171173776691</v>
      </c>
    </row>
    <row r="13" spans="1:15">
      <c r="A13" s="10"/>
      <c r="B13" s="36"/>
      <c r="C13" s="36"/>
      <c r="D13" s="1311" t="s">
        <v>1172</v>
      </c>
      <c r="E13" s="37">
        <f>SUM(E10+E12)</f>
        <v>290000</v>
      </c>
      <c r="F13" s="37">
        <f t="shared" ref="F13:N13" si="0">SUM(F10+F12)</f>
        <v>0.1</v>
      </c>
      <c r="G13" s="37">
        <f t="shared" si="0"/>
        <v>190939.06685</v>
      </c>
      <c r="H13" s="37">
        <f t="shared" si="0"/>
        <v>5000</v>
      </c>
      <c r="I13" s="37">
        <f t="shared" si="0"/>
        <v>19400</v>
      </c>
      <c r="J13" s="37">
        <f t="shared" si="0"/>
        <v>800000</v>
      </c>
      <c r="K13" s="37">
        <f t="shared" si="0"/>
        <v>15000</v>
      </c>
      <c r="L13" s="37">
        <f t="shared" si="0"/>
        <v>100000</v>
      </c>
      <c r="M13" s="37">
        <f t="shared" si="0"/>
        <v>0</v>
      </c>
      <c r="N13" s="37">
        <f t="shared" si="0"/>
        <v>1420339.1668499999</v>
      </c>
    </row>
    <row r="14" spans="1:15">
      <c r="A14" s="10"/>
      <c r="B14" s="11"/>
      <c r="C14" s="11"/>
      <c r="D14" s="12"/>
      <c r="E14" s="28"/>
      <c r="F14" s="11"/>
      <c r="G14" s="11"/>
      <c r="H14" s="11"/>
      <c r="I14" s="11"/>
      <c r="J14" s="11"/>
      <c r="K14" s="11"/>
      <c r="L14" s="11"/>
      <c r="M14" s="10" t="s">
        <v>23</v>
      </c>
      <c r="N14" s="11"/>
    </row>
    <row r="15" spans="1:15">
      <c r="A15" s="10"/>
      <c r="B15" s="11"/>
      <c r="C15" s="11"/>
      <c r="D15" s="12"/>
      <c r="E15" s="28"/>
      <c r="F15" s="11"/>
      <c r="G15" s="11"/>
      <c r="H15" s="11"/>
      <c r="I15" s="11"/>
      <c r="J15" s="11"/>
      <c r="K15" s="11"/>
      <c r="L15" s="11"/>
      <c r="M15" s="10" t="s">
        <v>24</v>
      </c>
      <c r="N15" s="11"/>
    </row>
    <row r="16" spans="1:15" ht="15.75">
      <c r="A16" s="10"/>
      <c r="B16" s="5165" t="s">
        <v>25</v>
      </c>
      <c r="C16" s="5166"/>
      <c r="D16" s="5166"/>
      <c r="E16" s="5167"/>
      <c r="F16" s="1319"/>
      <c r="G16" s="1319"/>
      <c r="H16" s="11"/>
      <c r="I16" s="11"/>
      <c r="J16" s="11"/>
      <c r="K16" s="11"/>
      <c r="L16" s="11"/>
      <c r="M16" s="11"/>
      <c r="N16" s="11"/>
    </row>
    <row r="17" spans="1:14" ht="15.75">
      <c r="A17" s="39"/>
      <c r="B17" s="40"/>
      <c r="C17" s="41"/>
      <c r="D17" s="41"/>
      <c r="E17" s="41"/>
      <c r="F17" s="41"/>
      <c r="G17" s="41"/>
      <c r="H17" s="42"/>
      <c r="I17" s="42"/>
      <c r="J17" s="42"/>
      <c r="K17" s="42"/>
      <c r="L17" s="42"/>
      <c r="M17" s="42"/>
      <c r="N17" s="42"/>
    </row>
    <row r="18" spans="1:14" ht="15.75">
      <c r="A18" s="39"/>
      <c r="B18" s="41"/>
      <c r="C18" s="41"/>
      <c r="D18" s="41"/>
      <c r="E18" s="41"/>
      <c r="F18" s="41"/>
      <c r="G18" s="41"/>
      <c r="H18" s="42"/>
      <c r="I18" s="42"/>
      <c r="J18" s="42"/>
      <c r="K18" s="42"/>
      <c r="L18" s="42"/>
      <c r="M18" s="42"/>
      <c r="N18" s="42"/>
    </row>
    <row r="19" spans="1:14" ht="15.75">
      <c r="A19" s="10"/>
      <c r="B19" s="5162" t="s">
        <v>26</v>
      </c>
      <c r="C19" s="5162"/>
      <c r="D19" s="43" t="s">
        <v>27</v>
      </c>
      <c r="E19" s="44" t="s">
        <v>28</v>
      </c>
      <c r="F19" s="11"/>
      <c r="G19" s="11"/>
      <c r="H19" s="11"/>
      <c r="I19" s="11"/>
      <c r="J19" s="11"/>
      <c r="K19" s="11"/>
      <c r="L19" s="11"/>
      <c r="M19" s="11"/>
      <c r="N19" s="11"/>
    </row>
    <row r="20" spans="1:14" ht="15.75">
      <c r="A20" s="10"/>
      <c r="B20" s="5142" t="s">
        <v>29</v>
      </c>
      <c r="C20" s="5142"/>
      <c r="D20" s="43"/>
      <c r="E20" s="44"/>
      <c r="F20" s="11"/>
      <c r="G20" s="11"/>
    </row>
    <row r="21" spans="1:14" ht="45.75">
      <c r="A21" s="10"/>
      <c r="B21" s="45">
        <v>2012</v>
      </c>
      <c r="C21" s="45">
        <v>2013</v>
      </c>
      <c r="D21" s="46" t="s">
        <v>30</v>
      </c>
      <c r="E21" s="47" t="s">
        <v>31</v>
      </c>
      <c r="F21" s="11"/>
      <c r="G21" s="11"/>
    </row>
    <row r="22" spans="1:14">
      <c r="A22" s="10"/>
      <c r="B22" s="48" t="s">
        <v>9</v>
      </c>
      <c r="C22" s="48" t="s">
        <v>9</v>
      </c>
      <c r="D22" s="49"/>
      <c r="E22" s="50">
        <f>SUM(B25:B27)+SUM(C25:C27)</f>
        <v>290000</v>
      </c>
      <c r="F22" s="11"/>
      <c r="G22" s="11"/>
    </row>
    <row r="23" spans="1:14" s="53" customFormat="1">
      <c r="A23" s="10"/>
      <c r="B23" s="51"/>
      <c r="C23" s="51"/>
      <c r="D23" s="12"/>
      <c r="E23" s="52"/>
      <c r="F23" s="11"/>
      <c r="G23" s="11"/>
      <c r="H23"/>
      <c r="I23"/>
      <c r="J23"/>
      <c r="K23"/>
      <c r="L23"/>
      <c r="M23"/>
      <c r="N23"/>
    </row>
    <row r="24" spans="1:14">
      <c r="A24" s="10"/>
      <c r="B24" s="54" t="s">
        <v>32</v>
      </c>
      <c r="C24" s="54" t="s">
        <v>32</v>
      </c>
      <c r="D24" s="94" t="s">
        <v>67</v>
      </c>
      <c r="E24" s="52"/>
      <c r="F24" s="56" t="s">
        <v>7</v>
      </c>
      <c r="G24" s="11"/>
    </row>
    <row r="25" spans="1:14">
      <c r="A25" s="10"/>
      <c r="B25" s="60">
        <v>138000</v>
      </c>
      <c r="C25" s="4705">
        <v>92000</v>
      </c>
      <c r="D25" s="94" t="s">
        <v>1339</v>
      </c>
      <c r="E25" s="52"/>
      <c r="F25" s="59"/>
      <c r="G25" s="11"/>
    </row>
    <row r="26" spans="1:14">
      <c r="A26" s="10"/>
      <c r="B26" s="60">
        <v>45000</v>
      </c>
      <c r="C26" s="4705">
        <v>15000</v>
      </c>
      <c r="D26" s="94" t="s">
        <v>68</v>
      </c>
      <c r="E26" s="52"/>
      <c r="F26" s="11"/>
      <c r="G26" s="11"/>
    </row>
    <row r="27" spans="1:14">
      <c r="A27" s="10"/>
      <c r="B27" s="11"/>
      <c r="C27" s="11"/>
      <c r="D27" s="95" t="s">
        <v>69</v>
      </c>
      <c r="E27" s="52"/>
      <c r="F27" s="11"/>
      <c r="G27" s="11"/>
    </row>
    <row r="28" spans="1:14" s="53" customFormat="1">
      <c r="A28" s="39"/>
      <c r="B28" s="48" t="s">
        <v>10</v>
      </c>
      <c r="C28" s="48" t="s">
        <v>10</v>
      </c>
      <c r="D28" s="49"/>
      <c r="E28" s="62">
        <f>SUM(B31:B34)+SUM(C31:C34)</f>
        <v>0.1</v>
      </c>
      <c r="F28" s="42"/>
      <c r="G28" s="42"/>
    </row>
    <row r="29" spans="1:14">
      <c r="A29" s="10"/>
      <c r="B29" s="63"/>
      <c r="C29" s="63"/>
      <c r="D29" s="64"/>
      <c r="E29" s="52"/>
      <c r="F29" s="11"/>
      <c r="G29" s="11"/>
    </row>
    <row r="30" spans="1:14">
      <c r="A30" s="39"/>
      <c r="B30" s="54" t="s">
        <v>32</v>
      </c>
      <c r="C30" s="54" t="s">
        <v>32</v>
      </c>
      <c r="D30" s="64"/>
      <c r="E30" s="52"/>
      <c r="F30" s="42"/>
      <c r="G30" s="42"/>
    </row>
    <row r="31" spans="1:14">
      <c r="A31" s="10"/>
      <c r="B31" s="58">
        <v>0.05</v>
      </c>
      <c r="C31" s="67">
        <v>0.05</v>
      </c>
      <c r="D31" s="66"/>
      <c r="E31" s="52"/>
      <c r="F31" s="11"/>
      <c r="G31" s="11"/>
    </row>
    <row r="32" spans="1:14">
      <c r="A32" s="10"/>
      <c r="B32" s="67"/>
      <c r="C32" s="67"/>
      <c r="D32" s="66"/>
      <c r="E32" s="52"/>
      <c r="F32" s="11"/>
      <c r="G32" s="11"/>
    </row>
    <row r="33" spans="1:14">
      <c r="A33" s="10"/>
      <c r="B33" s="36"/>
      <c r="C33" s="36"/>
      <c r="D33" s="66"/>
      <c r="E33" s="52"/>
      <c r="F33" s="11"/>
      <c r="G33" s="11"/>
    </row>
    <row r="34" spans="1:14">
      <c r="A34" s="10"/>
      <c r="B34" s="36"/>
      <c r="C34" s="36"/>
      <c r="D34" s="66"/>
      <c r="E34" s="52"/>
      <c r="F34" s="11"/>
      <c r="G34" s="11"/>
    </row>
    <row r="35" spans="1:14">
      <c r="A35" s="10"/>
      <c r="B35" s="48" t="s">
        <v>11</v>
      </c>
      <c r="C35" s="48" t="s">
        <v>11</v>
      </c>
      <c r="D35" s="49"/>
      <c r="E35" s="1342">
        <f>(SUM(B25:B26)*0.63)+SUM(C25:C26)*0.707</f>
        <v>190939</v>
      </c>
      <c r="F35" s="11"/>
      <c r="G35" s="11"/>
    </row>
    <row r="36" spans="1:14">
      <c r="A36" s="10"/>
      <c r="B36" s="51"/>
      <c r="C36" s="51"/>
      <c r="D36" s="12"/>
      <c r="E36" s="68"/>
      <c r="F36" s="11"/>
      <c r="G36" s="11"/>
    </row>
    <row r="37" spans="1:14">
      <c r="A37" s="69"/>
      <c r="B37" s="70" t="s">
        <v>37</v>
      </c>
      <c r="C37" s="1307" t="s">
        <v>1204</v>
      </c>
      <c r="D37" s="55" t="s">
        <v>7</v>
      </c>
      <c r="E37" s="52"/>
      <c r="F37" s="71"/>
    </row>
    <row r="38" spans="1:14">
      <c r="A38" s="10"/>
      <c r="B38" s="36"/>
      <c r="C38" s="36"/>
      <c r="D38" s="66" t="s">
        <v>7</v>
      </c>
      <c r="E38" s="52"/>
      <c r="F38" s="11"/>
    </row>
    <row r="39" spans="1:14" s="53" customFormat="1">
      <c r="A39" s="39"/>
      <c r="B39" s="48" t="s">
        <v>38</v>
      </c>
      <c r="C39" s="48" t="s">
        <v>38</v>
      </c>
      <c r="D39" s="49"/>
      <c r="E39" s="62">
        <f>SUM(B41:B43)+SUM(C41:C43)</f>
        <v>0</v>
      </c>
      <c r="F39" s="42"/>
      <c r="G39"/>
      <c r="H39"/>
      <c r="I39"/>
      <c r="J39"/>
      <c r="K39"/>
      <c r="L39"/>
      <c r="M39"/>
      <c r="N39"/>
    </row>
    <row r="40" spans="1:14">
      <c r="A40" s="10"/>
      <c r="B40" s="63"/>
      <c r="C40" s="63"/>
      <c r="D40" s="64"/>
      <c r="E40" s="52"/>
      <c r="F40" s="11"/>
    </row>
    <row r="41" spans="1:14">
      <c r="A41" s="10"/>
      <c r="B41" s="11"/>
      <c r="C41" s="67"/>
      <c r="D41" s="66"/>
      <c r="E41" s="52"/>
      <c r="F41" s="11"/>
    </row>
    <row r="42" spans="1:14">
      <c r="A42" s="10"/>
      <c r="B42" s="36"/>
      <c r="C42" s="36"/>
      <c r="D42" s="66"/>
      <c r="E42" s="52"/>
      <c r="F42" s="11"/>
    </row>
    <row r="43" spans="1:14">
      <c r="A43" s="10"/>
      <c r="B43" s="36"/>
      <c r="C43" s="36"/>
      <c r="D43" s="66"/>
      <c r="E43" s="52"/>
      <c r="F43" s="11"/>
    </row>
    <row r="44" spans="1:14">
      <c r="A44" s="10"/>
      <c r="B44" s="48" t="s">
        <v>12</v>
      </c>
      <c r="C44" s="48" t="s">
        <v>12</v>
      </c>
      <c r="D44" s="49"/>
      <c r="E44" s="62">
        <f>SUM(B46:B51)+SUM(C46:C51)</f>
        <v>5000</v>
      </c>
      <c r="F44" s="11"/>
      <c r="G44" s="53"/>
      <c r="H44" s="53"/>
      <c r="I44" s="53"/>
      <c r="J44" s="53"/>
      <c r="K44" s="53"/>
      <c r="L44" s="53"/>
      <c r="M44" s="53"/>
      <c r="N44" s="53"/>
    </row>
    <row r="45" spans="1:14">
      <c r="A45" s="10"/>
      <c r="B45" s="72"/>
      <c r="C45" s="72"/>
      <c r="D45" s="66"/>
      <c r="E45" s="52"/>
      <c r="F45" s="11"/>
    </row>
    <row r="46" spans="1:14">
      <c r="A46" s="10"/>
      <c r="B46" s="57">
        <v>5000</v>
      </c>
      <c r="C46" s="4753">
        <v>0</v>
      </c>
      <c r="D46" s="66"/>
      <c r="E46" s="52"/>
      <c r="F46" s="11"/>
    </row>
    <row r="47" spans="1:14">
      <c r="A47" s="10"/>
      <c r="B47" s="57"/>
      <c r="C47" s="57"/>
      <c r="D47" s="66"/>
      <c r="E47" s="52"/>
      <c r="F47" s="11"/>
    </row>
    <row r="48" spans="1:14">
      <c r="A48" s="10"/>
      <c r="B48" s="57"/>
      <c r="C48" s="57"/>
      <c r="D48" s="66"/>
      <c r="E48" s="52"/>
      <c r="F48" s="11"/>
    </row>
    <row r="49" spans="1:14">
      <c r="A49" s="10"/>
      <c r="B49" s="57"/>
      <c r="C49" s="57"/>
      <c r="D49" s="66"/>
      <c r="E49" s="52"/>
      <c r="F49" s="11"/>
    </row>
    <row r="50" spans="1:14">
      <c r="A50" s="10"/>
      <c r="B50" s="57"/>
      <c r="C50" s="57"/>
      <c r="D50" s="66"/>
      <c r="E50" s="52"/>
      <c r="F50" s="11"/>
    </row>
    <row r="51" spans="1:14">
      <c r="A51" s="10"/>
      <c r="B51" s="57"/>
      <c r="C51" s="57"/>
      <c r="D51" s="66"/>
      <c r="E51" s="52"/>
      <c r="F51" s="11"/>
    </row>
    <row r="52" spans="1:14" ht="25.5">
      <c r="A52" s="10"/>
      <c r="B52" s="48" t="s">
        <v>39</v>
      </c>
      <c r="C52" s="48" t="s">
        <v>39</v>
      </c>
      <c r="D52" s="49"/>
      <c r="E52" s="62">
        <f>SUM(B54:B59)+SUM(C54:C59)</f>
        <v>0</v>
      </c>
      <c r="F52" s="11"/>
    </row>
    <row r="53" spans="1:14">
      <c r="A53" s="10"/>
      <c r="B53" s="63"/>
      <c r="C53" s="63"/>
      <c r="D53" s="11"/>
      <c r="E53" s="73"/>
      <c r="F53" s="11"/>
    </row>
    <row r="54" spans="1:14">
      <c r="A54" s="10"/>
      <c r="B54" s="74"/>
      <c r="C54" s="74"/>
      <c r="D54" s="11"/>
      <c r="E54" s="73"/>
      <c r="F54" s="11"/>
    </row>
    <row r="55" spans="1:14" s="53" customFormat="1">
      <c r="A55" s="10"/>
      <c r="B55" s="74"/>
      <c r="C55" s="74"/>
      <c r="D55" s="11"/>
      <c r="E55" s="73"/>
      <c r="F55"/>
      <c r="G55"/>
      <c r="H55"/>
      <c r="I55"/>
      <c r="J55"/>
      <c r="K55"/>
      <c r="L55"/>
      <c r="M55"/>
      <c r="N55"/>
    </row>
    <row r="56" spans="1:14">
      <c r="A56" s="10"/>
      <c r="B56" s="74"/>
      <c r="C56" s="74"/>
      <c r="D56" s="11"/>
      <c r="E56" s="73"/>
    </row>
    <row r="57" spans="1:14">
      <c r="A57" s="10"/>
      <c r="B57" s="74"/>
      <c r="C57" s="74"/>
      <c r="D57" s="11"/>
      <c r="E57" s="73"/>
    </row>
    <row r="58" spans="1:14">
      <c r="A58" s="10"/>
      <c r="B58" s="11"/>
      <c r="C58" s="11"/>
      <c r="D58" s="11"/>
      <c r="E58" s="73"/>
    </row>
    <row r="59" spans="1:14">
      <c r="A59" s="10"/>
      <c r="B59" s="11"/>
      <c r="C59" s="11"/>
      <c r="D59" s="12"/>
      <c r="E59" s="52"/>
    </row>
    <row r="60" spans="1:14">
      <c r="A60" s="10"/>
      <c r="B60" s="48" t="s">
        <v>13</v>
      </c>
      <c r="C60" s="48" t="s">
        <v>13</v>
      </c>
      <c r="D60" s="49"/>
      <c r="E60" s="62">
        <f>SUM(B62:B67)+SUM(C62:C67)</f>
        <v>19400</v>
      </c>
    </row>
    <row r="61" spans="1:14">
      <c r="A61" s="10"/>
      <c r="B61" s="51"/>
      <c r="C61" s="51"/>
      <c r="D61" s="12"/>
      <c r="E61" s="52"/>
    </row>
    <row r="62" spans="1:14">
      <c r="A62" s="10"/>
      <c r="B62" s="3062">
        <v>3000</v>
      </c>
      <c r="C62" s="4754">
        <v>4000</v>
      </c>
      <c r="D62" s="2833" t="s">
        <v>70</v>
      </c>
      <c r="E62" s="52"/>
    </row>
    <row r="63" spans="1:14">
      <c r="A63" s="10"/>
      <c r="B63" s="3062">
        <v>200</v>
      </c>
      <c r="C63" s="3062">
        <v>200</v>
      </c>
      <c r="D63" s="2833" t="s">
        <v>41</v>
      </c>
      <c r="E63" s="52"/>
    </row>
    <row r="64" spans="1:14">
      <c r="A64" s="10"/>
      <c r="B64" s="3062">
        <v>2000</v>
      </c>
      <c r="C64" s="4754">
        <v>2000</v>
      </c>
      <c r="D64" s="2833" t="s">
        <v>42</v>
      </c>
      <c r="E64" s="52"/>
    </row>
    <row r="65" spans="1:5">
      <c r="A65" s="10"/>
      <c r="B65" s="3062">
        <v>3000</v>
      </c>
      <c r="C65" s="4754">
        <v>5000</v>
      </c>
      <c r="D65" s="2833" t="s">
        <v>61</v>
      </c>
      <c r="E65" s="52"/>
    </row>
    <row r="66" spans="1:5">
      <c r="A66" s="10"/>
      <c r="B66" s="3063"/>
      <c r="C66" s="3063"/>
      <c r="D66" s="2833" t="s">
        <v>44</v>
      </c>
      <c r="E66" s="52"/>
    </row>
    <row r="67" spans="1:5">
      <c r="A67" s="10"/>
      <c r="B67" s="88"/>
      <c r="C67" s="88"/>
      <c r="D67" s="61"/>
      <c r="E67" s="52"/>
    </row>
    <row r="68" spans="1:5">
      <c r="A68" s="10"/>
      <c r="B68" s="48" t="s">
        <v>14</v>
      </c>
      <c r="C68" s="48" t="s">
        <v>14</v>
      </c>
      <c r="D68" s="49"/>
      <c r="E68" s="62">
        <f>SUM(B70:B75)+SUM(C70:C75)</f>
        <v>800000</v>
      </c>
    </row>
    <row r="69" spans="1:5">
      <c r="A69" s="76"/>
      <c r="B69" s="51"/>
      <c r="C69" s="51"/>
      <c r="D69" s="12"/>
      <c r="E69" s="52"/>
    </row>
    <row r="70" spans="1:5">
      <c r="A70" s="10"/>
      <c r="B70" s="60" t="s">
        <v>7</v>
      </c>
      <c r="C70" s="60"/>
      <c r="D70" s="12"/>
      <c r="E70" s="52"/>
    </row>
    <row r="71" spans="1:5">
      <c r="A71" s="10"/>
      <c r="B71" s="60">
        <v>750000</v>
      </c>
      <c r="C71" s="4705">
        <v>50000</v>
      </c>
      <c r="D71" s="4755" t="s">
        <v>1340</v>
      </c>
      <c r="E71" s="52"/>
    </row>
    <row r="72" spans="1:5">
      <c r="A72" s="10"/>
      <c r="B72" s="60"/>
      <c r="C72" s="60"/>
      <c r="D72" s="12"/>
      <c r="E72" s="52"/>
    </row>
    <row r="73" spans="1:5">
      <c r="A73" s="10"/>
      <c r="B73" s="60"/>
      <c r="C73" s="60"/>
      <c r="D73" s="12"/>
      <c r="E73" s="52"/>
    </row>
    <row r="74" spans="1:5">
      <c r="A74" s="10"/>
      <c r="B74" s="60"/>
      <c r="C74" s="60"/>
      <c r="D74" s="12"/>
      <c r="E74" s="52"/>
    </row>
    <row r="75" spans="1:5">
      <c r="A75" s="10"/>
      <c r="B75" s="60" t="s">
        <v>7</v>
      </c>
      <c r="C75" s="60"/>
      <c r="D75" s="12"/>
      <c r="E75" s="52"/>
    </row>
    <row r="76" spans="1:5">
      <c r="A76" s="10"/>
      <c r="B76" s="48" t="s">
        <v>15</v>
      </c>
      <c r="C76" s="48" t="s">
        <v>15</v>
      </c>
      <c r="D76" s="49"/>
      <c r="E76" s="62">
        <f>SUM(B78:B84)+SUM(C78:C84)</f>
        <v>15000</v>
      </c>
    </row>
    <row r="77" spans="1:5">
      <c r="A77" s="10"/>
      <c r="B77" s="63"/>
      <c r="C77" s="63"/>
      <c r="D77" s="12"/>
      <c r="E77" s="52"/>
    </row>
    <row r="78" spans="1:5">
      <c r="A78" s="39"/>
      <c r="B78" s="3049"/>
      <c r="C78" s="3049"/>
      <c r="D78" s="79"/>
      <c r="E78" s="52"/>
    </row>
    <row r="79" spans="1:5">
      <c r="A79" s="39"/>
      <c r="B79" s="3050">
        <v>15000</v>
      </c>
      <c r="C79" s="4709">
        <v>0</v>
      </c>
      <c r="D79" s="96" t="s">
        <v>71</v>
      </c>
      <c r="E79" s="52"/>
    </row>
    <row r="80" spans="1:5">
      <c r="A80" s="39"/>
      <c r="B80" s="3049"/>
      <c r="C80" s="3049"/>
      <c r="D80" s="96" t="s">
        <v>72</v>
      </c>
      <c r="E80" s="52"/>
    </row>
    <row r="81" spans="1:5">
      <c r="A81" s="39"/>
      <c r="B81" s="3049"/>
      <c r="C81" s="3049"/>
      <c r="D81" s="79"/>
      <c r="E81" s="52"/>
    </row>
    <row r="82" spans="1:5">
      <c r="A82" s="39"/>
      <c r="B82" s="3049"/>
      <c r="C82" s="3049"/>
      <c r="D82" s="79"/>
      <c r="E82" s="52"/>
    </row>
    <row r="83" spans="1:5">
      <c r="A83" s="10"/>
      <c r="B83" s="60"/>
      <c r="C83" s="60"/>
      <c r="D83" s="66"/>
      <c r="E83" s="52"/>
    </row>
    <row r="84" spans="1:5">
      <c r="A84" s="10"/>
      <c r="B84" s="60"/>
      <c r="C84" s="60"/>
      <c r="D84" s="66"/>
      <c r="E84" s="52"/>
    </row>
    <row r="85" spans="1:5">
      <c r="A85" s="10"/>
      <c r="B85" s="48" t="s">
        <v>16</v>
      </c>
      <c r="C85" s="48" t="s">
        <v>16</v>
      </c>
      <c r="D85" s="49"/>
      <c r="E85" s="62">
        <f>SUM(B87:B92)+SUM(C87:C92)</f>
        <v>100000</v>
      </c>
    </row>
    <row r="86" spans="1:5">
      <c r="A86" s="39"/>
      <c r="B86" s="63"/>
      <c r="C86" s="63"/>
      <c r="D86" s="79"/>
      <c r="E86" s="52"/>
    </row>
    <row r="87" spans="1:5">
      <c r="A87" s="39"/>
      <c r="B87" s="3049"/>
      <c r="C87" s="3049"/>
      <c r="D87" s="79"/>
      <c r="E87" s="52"/>
    </row>
    <row r="88" spans="1:5">
      <c r="A88" s="39"/>
      <c r="B88" s="3050">
        <v>100000</v>
      </c>
      <c r="C88" s="4709">
        <v>0</v>
      </c>
      <c r="D88" s="96" t="s">
        <v>73</v>
      </c>
      <c r="E88" s="52"/>
    </row>
    <row r="89" spans="1:5">
      <c r="A89" s="39"/>
      <c r="B89" s="3049"/>
      <c r="C89" s="3049"/>
      <c r="D89" s="79"/>
      <c r="E89" s="52"/>
    </row>
    <row r="90" spans="1:5">
      <c r="A90" s="39"/>
      <c r="B90" s="3049"/>
      <c r="C90" s="3049"/>
      <c r="D90" s="79"/>
      <c r="E90" s="52"/>
    </row>
    <row r="91" spans="1:5">
      <c r="A91" s="39"/>
      <c r="B91" s="3049"/>
      <c r="C91" s="3049"/>
      <c r="D91" s="79"/>
      <c r="E91" s="52"/>
    </row>
    <row r="92" spans="1:5">
      <c r="A92" s="10"/>
      <c r="B92" s="60"/>
      <c r="C92" s="60"/>
      <c r="D92" s="12"/>
      <c r="E92" s="52"/>
    </row>
    <row r="93" spans="1:5" ht="25.5">
      <c r="A93" s="10"/>
      <c r="B93" s="48" t="s">
        <v>17</v>
      </c>
      <c r="C93" s="48" t="s">
        <v>17</v>
      </c>
      <c r="D93" s="12"/>
      <c r="E93" s="52"/>
    </row>
    <row r="94" spans="1:5">
      <c r="A94" s="39"/>
      <c r="B94" s="63"/>
      <c r="C94" s="63"/>
      <c r="D94" s="79"/>
      <c r="E94" s="90"/>
    </row>
    <row r="95" spans="1:5">
      <c r="A95" s="39"/>
      <c r="B95" s="74"/>
      <c r="C95" s="74"/>
      <c r="D95" s="79"/>
      <c r="E95" s="28"/>
    </row>
    <row r="96" spans="1:5">
      <c r="A96" s="10"/>
      <c r="B96" s="58" t="s">
        <v>54</v>
      </c>
      <c r="C96" s="11"/>
      <c r="D96" s="12"/>
      <c r="E96" s="28"/>
    </row>
    <row r="97" spans="1:5">
      <c r="A97" s="10"/>
      <c r="B97" s="58" t="s">
        <v>55</v>
      </c>
      <c r="C97" s="11"/>
      <c r="D97" s="12"/>
      <c r="E97" s="28"/>
    </row>
    <row r="98" spans="1:5">
      <c r="A98" s="10"/>
      <c r="B98" s="58" t="s">
        <v>56</v>
      </c>
      <c r="C98" s="11"/>
      <c r="D98" s="12"/>
    </row>
  </sheetData>
  <sheetProtection password="9E1F" sheet="1" objects="1" scenarios="1"/>
  <customSheetViews>
    <customSheetView guid="{074EB09C-6289-46D7-9513-012B68BCA7BF}" scale="90" fitToPage="1">
      <pane xSplit="1" ySplit="1" topLeftCell="B2" activePane="bottomRight" state="frozen"/>
      <selection pane="bottomRight" activeCell="B4" sqref="B4"/>
      <pageMargins left="0.18" right="0.7" top="0.38" bottom="0.32" header="0.3" footer="0.3"/>
      <pageSetup paperSize="17" scale="54" orientation="landscape" r:id="rId1"/>
    </customSheetView>
    <customSheetView guid="{AF9F1D33-B8C2-423F-86A1-47612B8F532C}" fitToPage="1">
      <pane xSplit="1" ySplit="1" topLeftCell="B14" activePane="bottomRight" state="frozenSplit"/>
      <selection pane="bottomRight" activeCell="G13" sqref="G13"/>
      <pageMargins left="0.7" right="0.7" top="0.75" bottom="0.75" header="0.3" footer="0.3"/>
      <pageSetup paperSize="17" scale="54" orientation="landscape"/>
    </customSheetView>
  </customSheetViews>
  <mergeCells count="3">
    <mergeCell ref="B19:C19"/>
    <mergeCell ref="B20:C20"/>
    <mergeCell ref="B16:E16"/>
  </mergeCells>
  <pageMargins left="0.18" right="0.7" top="0.38" bottom="0.32" header="0.3" footer="0.3"/>
  <pageSetup paperSize="17" scale="54" orientation="landscape" r:id="rId2"/>
  <drawing r:id="rId3"/>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sheetPr enableFormatConditionsCalculation="0">
    <pageSetUpPr fitToPage="1"/>
  </sheetPr>
  <dimension ref="A1:O98"/>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8.85546875" defaultRowHeight="12.75"/>
  <cols>
    <col min="1" max="1" width="15.7109375" customWidth="1"/>
    <col min="2" max="3" width="21.140625" customWidth="1"/>
    <col min="4" max="4" width="34.85546875" customWidth="1"/>
    <col min="5" max="13" width="19.7109375" customWidth="1"/>
    <col min="14" max="14" width="16.42578125" customWidth="1"/>
    <col min="15" max="15" width="19.28515625" customWidth="1"/>
  </cols>
  <sheetData>
    <row r="1" spans="1:15" ht="41.25" customHeight="1"/>
    <row r="2" spans="1:15" ht="18.75" thickBot="1">
      <c r="B2" s="1" t="s">
        <v>74</v>
      </c>
      <c r="D2" s="3" t="s">
        <v>65</v>
      </c>
    </row>
    <row r="3" spans="1:15" ht="15.75" thickBot="1">
      <c r="B3" s="5" t="s">
        <v>5</v>
      </c>
      <c r="C3" s="6" t="s">
        <v>75</v>
      </c>
      <c r="D3" s="7">
        <v>18230439</v>
      </c>
    </row>
    <row r="6" spans="1:15" ht="13.5" thickBot="1">
      <c r="A6" s="10"/>
      <c r="B6" s="11"/>
      <c r="C6" s="11"/>
      <c r="D6" s="12"/>
      <c r="E6" s="1325" t="s">
        <v>1139</v>
      </c>
      <c r="F6" s="11"/>
      <c r="G6" s="11"/>
      <c r="H6" s="11"/>
      <c r="I6" s="11"/>
      <c r="J6" s="11"/>
      <c r="K6" s="11"/>
      <c r="L6" s="11"/>
      <c r="M6" s="11"/>
      <c r="N6" s="11"/>
    </row>
    <row r="7" spans="1:15" s="19" customFormat="1" ht="38.25">
      <c r="B7" s="3461"/>
      <c r="C7" s="11"/>
      <c r="D7" s="11"/>
      <c r="E7" s="14" t="s">
        <v>9</v>
      </c>
      <c r="F7" s="14" t="s">
        <v>10</v>
      </c>
      <c r="G7" s="14" t="s">
        <v>11</v>
      </c>
      <c r="H7" s="15" t="s">
        <v>12</v>
      </c>
      <c r="I7" s="16" t="s">
        <v>13</v>
      </c>
      <c r="J7" s="14" t="s">
        <v>14</v>
      </c>
      <c r="K7" s="14" t="s">
        <v>15</v>
      </c>
      <c r="L7" s="14" t="s">
        <v>16</v>
      </c>
      <c r="M7" s="14" t="s">
        <v>17</v>
      </c>
      <c r="N7" s="17" t="s">
        <v>18</v>
      </c>
      <c r="O7" s="18" t="s">
        <v>19</v>
      </c>
    </row>
    <row r="8" spans="1:15" s="27" customFormat="1">
      <c r="A8" s="20"/>
      <c r="B8" s="21"/>
      <c r="C8" s="21"/>
      <c r="D8" s="22" t="s">
        <v>20</v>
      </c>
      <c r="E8" s="23"/>
      <c r="F8" s="23"/>
      <c r="G8" s="23"/>
      <c r="H8" s="23"/>
      <c r="I8" s="24"/>
      <c r="J8" s="23"/>
      <c r="K8" s="23"/>
      <c r="L8" s="23"/>
      <c r="M8" s="23"/>
      <c r="N8" s="25">
        <v>351400</v>
      </c>
      <c r="O8" s="26" t="s">
        <v>21</v>
      </c>
    </row>
    <row r="9" spans="1:15" s="27" customFormat="1">
      <c r="A9" s="20"/>
      <c r="B9" s="21"/>
      <c r="C9" s="21"/>
      <c r="D9" s="22" t="s">
        <v>22</v>
      </c>
      <c r="E9" s="28">
        <v>40250</v>
      </c>
      <c r="F9" s="28">
        <v>0</v>
      </c>
      <c r="G9" s="28">
        <v>25357.5</v>
      </c>
      <c r="H9" s="28">
        <v>8000</v>
      </c>
      <c r="I9" s="28">
        <v>5600</v>
      </c>
      <c r="J9" s="28">
        <v>513000</v>
      </c>
      <c r="K9" s="28">
        <v>1500</v>
      </c>
      <c r="L9" s="28">
        <v>1800</v>
      </c>
      <c r="M9" s="28">
        <v>25500</v>
      </c>
      <c r="N9" s="87">
        <v>621007.5</v>
      </c>
      <c r="O9" s="30">
        <f>(N9-N8)/N8</f>
        <v>0.76723819009675587</v>
      </c>
    </row>
    <row r="10" spans="1:15" s="93" customFormat="1">
      <c r="A10" s="20"/>
      <c r="B10" s="21"/>
      <c r="C10" s="21"/>
      <c r="D10" s="21">
        <v>2012</v>
      </c>
      <c r="E10" s="31">
        <f>SUM(B25:B27)</f>
        <v>23000</v>
      </c>
      <c r="F10" s="31">
        <f>SUM(B31:B34)</f>
        <v>0</v>
      </c>
      <c r="G10" s="31">
        <f>(E10+F10)*0.63</f>
        <v>14490</v>
      </c>
      <c r="H10" s="31">
        <f>SUM(B46:B51)</f>
        <v>0</v>
      </c>
      <c r="I10" s="32">
        <f>SUM(B62:B67)</f>
        <v>0</v>
      </c>
      <c r="J10" s="31">
        <f>SUM(B69:B75)</f>
        <v>0</v>
      </c>
      <c r="K10" s="31">
        <f>SUM(B77:B84)</f>
        <v>0</v>
      </c>
      <c r="L10" s="31">
        <f>SUM(B86:B92)</f>
        <v>0</v>
      </c>
      <c r="M10" s="33">
        <f>B94</f>
        <v>0</v>
      </c>
      <c r="N10" s="35">
        <f>SUM(E10:M10)</f>
        <v>37490</v>
      </c>
      <c r="O10" s="30">
        <f>(N10-N9)/N9</f>
        <v>-0.9396303587315773</v>
      </c>
    </row>
    <row r="11" spans="1:15" s="5022" customFormat="1">
      <c r="A11" s="5018"/>
      <c r="B11" s="5019"/>
      <c r="C11" s="5019"/>
      <c r="D11" s="4278" t="s">
        <v>1168</v>
      </c>
      <c r="E11" s="4997">
        <v>24000</v>
      </c>
      <c r="F11" s="4997">
        <v>0</v>
      </c>
      <c r="G11" s="4997">
        <v>15120</v>
      </c>
      <c r="H11" s="4997">
        <v>0</v>
      </c>
      <c r="I11" s="4996">
        <v>0</v>
      </c>
      <c r="J11" s="4997">
        <v>0</v>
      </c>
      <c r="K11" s="4997">
        <v>0</v>
      </c>
      <c r="L11" s="4997">
        <v>0</v>
      </c>
      <c r="M11" s="4994">
        <v>0</v>
      </c>
      <c r="N11" s="4992">
        <v>39120</v>
      </c>
      <c r="O11" s="1346">
        <v>4.3478260869565216E-2</v>
      </c>
    </row>
    <row r="12" spans="1:15" s="93" customFormat="1">
      <c r="A12" s="20"/>
      <c r="B12" s="21"/>
      <c r="C12" s="21"/>
      <c r="D12" s="4279" t="s">
        <v>1169</v>
      </c>
      <c r="E12" s="4236">
        <f>SUM(C25:C27)</f>
        <v>5750</v>
      </c>
      <c r="F12" s="4236">
        <f>SUM(C31:C34)</f>
        <v>0</v>
      </c>
      <c r="G12" s="4236">
        <f>(E12+F12)*0.707</f>
        <v>4065.25</v>
      </c>
      <c r="H12" s="4236">
        <f>SUM(C46:C51)</f>
        <v>0</v>
      </c>
      <c r="I12" s="4237">
        <f>SUM(C62:C67)</f>
        <v>0</v>
      </c>
      <c r="J12" s="4236">
        <f>SUM(C69:C75)</f>
        <v>0</v>
      </c>
      <c r="K12" s="4236">
        <f>SUM(C77:C84)</f>
        <v>0</v>
      </c>
      <c r="L12" s="4236">
        <f>SUM(C86:C92)</f>
        <v>0</v>
      </c>
      <c r="M12" s="4238">
        <f>C94</f>
        <v>0</v>
      </c>
      <c r="N12" s="4239">
        <f>SUM(E12:M12)</f>
        <v>9815.25</v>
      </c>
      <c r="O12" s="4280">
        <f>(N12-N10)/N10</f>
        <v>-0.73819018404907977</v>
      </c>
    </row>
    <row r="13" spans="1:15">
      <c r="A13" s="10"/>
      <c r="B13" s="36"/>
      <c r="C13" s="36"/>
      <c r="D13" s="1311" t="s">
        <v>1172</v>
      </c>
      <c r="E13" s="37">
        <f>SUM(E10+E12)</f>
        <v>28750</v>
      </c>
      <c r="F13" s="37">
        <f t="shared" ref="F13:N13" si="0">SUM(F10+F12)</f>
        <v>0</v>
      </c>
      <c r="G13" s="37">
        <f t="shared" si="0"/>
        <v>18555.25</v>
      </c>
      <c r="H13" s="37">
        <f t="shared" si="0"/>
        <v>0</v>
      </c>
      <c r="I13" s="37">
        <f t="shared" si="0"/>
        <v>0</v>
      </c>
      <c r="J13" s="37">
        <f t="shared" si="0"/>
        <v>0</v>
      </c>
      <c r="K13" s="37">
        <f t="shared" si="0"/>
        <v>0</v>
      </c>
      <c r="L13" s="37">
        <f t="shared" si="0"/>
        <v>0</v>
      </c>
      <c r="M13" s="37">
        <f t="shared" si="0"/>
        <v>0</v>
      </c>
      <c r="N13" s="37">
        <f t="shared" si="0"/>
        <v>47305.25</v>
      </c>
    </row>
    <row r="14" spans="1:15" ht="25.5">
      <c r="A14" s="10"/>
      <c r="B14" s="11"/>
      <c r="C14" s="11"/>
      <c r="D14" s="12"/>
      <c r="E14" s="28"/>
      <c r="F14" s="11"/>
      <c r="G14" s="11"/>
      <c r="H14" s="11"/>
      <c r="I14" s="11"/>
      <c r="J14" s="11"/>
      <c r="K14" s="11"/>
      <c r="L14" s="11"/>
      <c r="M14" s="10" t="s">
        <v>23</v>
      </c>
      <c r="N14" s="11"/>
    </row>
    <row r="15" spans="1:15">
      <c r="A15" s="10"/>
      <c r="B15" s="11"/>
      <c r="C15" s="11"/>
      <c r="D15" s="12"/>
      <c r="E15" s="28"/>
      <c r="F15" s="11"/>
      <c r="G15" s="11"/>
      <c r="H15" s="11"/>
      <c r="I15" s="11"/>
      <c r="J15" s="11"/>
      <c r="K15" s="11"/>
      <c r="L15" s="11"/>
      <c r="M15" s="10" t="s">
        <v>24</v>
      </c>
      <c r="N15" s="11"/>
    </row>
    <row r="16" spans="1:15" ht="15.75">
      <c r="A16" s="10"/>
      <c r="B16" s="5165" t="s">
        <v>25</v>
      </c>
      <c r="C16" s="5166"/>
      <c r="D16" s="5166"/>
      <c r="E16" s="5167"/>
      <c r="F16" s="1319"/>
      <c r="G16" s="1319"/>
      <c r="H16" s="11"/>
      <c r="I16" s="11"/>
      <c r="J16" s="11"/>
      <c r="K16" s="11"/>
      <c r="L16" s="11"/>
      <c r="M16" s="11"/>
      <c r="N16" s="11"/>
    </row>
    <row r="17" spans="1:14" ht="15.75">
      <c r="A17" s="39"/>
      <c r="B17" s="40"/>
      <c r="C17" s="41"/>
      <c r="D17" s="41"/>
      <c r="E17" s="41"/>
      <c r="F17" s="41"/>
      <c r="G17" s="41"/>
      <c r="H17" s="42"/>
      <c r="I17" s="42"/>
      <c r="J17" s="42"/>
      <c r="K17" s="42"/>
      <c r="L17" s="42"/>
      <c r="M17" s="42"/>
      <c r="N17" s="42"/>
    </row>
    <row r="18" spans="1:14" ht="15.75">
      <c r="A18" s="39"/>
      <c r="B18" s="41"/>
      <c r="C18" s="41"/>
      <c r="D18" s="41"/>
      <c r="E18" s="41"/>
      <c r="F18" s="41"/>
      <c r="G18" s="41"/>
      <c r="H18" s="42"/>
      <c r="I18" s="42"/>
      <c r="J18" s="42"/>
      <c r="K18" s="42"/>
      <c r="L18" s="42"/>
      <c r="M18" s="42"/>
      <c r="N18" s="42"/>
    </row>
    <row r="19" spans="1:14" ht="15.75">
      <c r="A19" s="10"/>
      <c r="B19" s="5162" t="s">
        <v>26</v>
      </c>
      <c r="C19" s="5162"/>
      <c r="D19" s="43" t="s">
        <v>27</v>
      </c>
      <c r="E19" s="44" t="s">
        <v>28</v>
      </c>
      <c r="F19" s="11"/>
      <c r="G19" s="11"/>
      <c r="H19" s="11"/>
      <c r="I19" s="11"/>
      <c r="J19" s="11"/>
      <c r="K19" s="11"/>
      <c r="L19" s="11"/>
      <c r="M19" s="11"/>
      <c r="N19" s="11"/>
    </row>
    <row r="20" spans="1:14" ht="15.75">
      <c r="A20" s="10"/>
      <c r="B20" s="5142" t="s">
        <v>29</v>
      </c>
      <c r="C20" s="5142"/>
      <c r="D20" s="43"/>
      <c r="E20" s="44"/>
      <c r="F20" s="11"/>
      <c r="G20" s="11"/>
    </row>
    <row r="21" spans="1:14" ht="45.75">
      <c r="A21" s="10"/>
      <c r="B21" s="45">
        <v>2012</v>
      </c>
      <c r="C21" s="45">
        <v>2013</v>
      </c>
      <c r="D21" s="46" t="s">
        <v>30</v>
      </c>
      <c r="E21" s="47" t="s">
        <v>31</v>
      </c>
      <c r="F21" s="11"/>
      <c r="G21" s="11"/>
    </row>
    <row r="22" spans="1:14">
      <c r="A22" s="10"/>
      <c r="B22" s="48" t="s">
        <v>9</v>
      </c>
      <c r="C22" s="48" t="s">
        <v>9</v>
      </c>
      <c r="D22" s="49"/>
      <c r="E22" s="50">
        <f>SUM(B25:B27)+SUM(C25:C27)</f>
        <v>28750</v>
      </c>
      <c r="F22" s="11"/>
      <c r="G22" s="11"/>
    </row>
    <row r="23" spans="1:14" s="53" customFormat="1">
      <c r="A23" s="10"/>
      <c r="B23" s="51"/>
      <c r="C23" s="51"/>
      <c r="D23" s="12"/>
      <c r="E23" s="52"/>
      <c r="F23" s="11"/>
      <c r="G23" s="11"/>
      <c r="H23"/>
      <c r="I23"/>
      <c r="J23"/>
      <c r="K23"/>
      <c r="L23"/>
      <c r="M23"/>
      <c r="N23"/>
    </row>
    <row r="24" spans="1:14">
      <c r="A24" s="10"/>
      <c r="B24" s="54" t="s">
        <v>32</v>
      </c>
      <c r="C24" s="54" t="s">
        <v>32</v>
      </c>
      <c r="D24" s="94"/>
      <c r="E24" s="52"/>
      <c r="F24" s="56" t="s">
        <v>7</v>
      </c>
      <c r="G24" s="11"/>
    </row>
    <row r="25" spans="1:14">
      <c r="A25" s="10"/>
      <c r="B25" s="3494"/>
      <c r="C25" s="57"/>
      <c r="D25" s="94" t="s">
        <v>67</v>
      </c>
      <c r="E25" s="52"/>
      <c r="F25" s="59"/>
      <c r="G25" s="11"/>
    </row>
    <row r="26" spans="1:14">
      <c r="A26" s="10"/>
      <c r="B26" s="60">
        <v>23000</v>
      </c>
      <c r="C26" s="4705">
        <v>5750</v>
      </c>
      <c r="D26" s="94" t="s">
        <v>1341</v>
      </c>
      <c r="E26" s="52"/>
      <c r="F26" s="11"/>
      <c r="G26" s="11"/>
    </row>
    <row r="27" spans="1:14" ht="21" customHeight="1">
      <c r="A27" s="10"/>
      <c r="B27" s="60"/>
      <c r="C27" s="60"/>
      <c r="D27" s="12"/>
      <c r="E27" s="52"/>
      <c r="F27" s="11"/>
      <c r="G27" s="11"/>
    </row>
    <row r="28" spans="1:14" s="53" customFormat="1" ht="21" customHeight="1">
      <c r="A28" s="39"/>
      <c r="B28" s="48" t="s">
        <v>10</v>
      </c>
      <c r="C28" s="48" t="s">
        <v>10</v>
      </c>
      <c r="D28" s="49"/>
      <c r="E28" s="62">
        <f>SUM(B31:B34)+SUM(C31:C34)</f>
        <v>0</v>
      </c>
      <c r="F28" s="42"/>
      <c r="G28" s="42"/>
    </row>
    <row r="29" spans="1:14">
      <c r="A29" s="10"/>
      <c r="B29" s="63"/>
      <c r="C29" s="63"/>
      <c r="D29" s="64"/>
      <c r="E29" s="52"/>
      <c r="F29" s="11"/>
      <c r="G29" s="11"/>
    </row>
    <row r="30" spans="1:14">
      <c r="A30" s="39"/>
      <c r="B30" s="54" t="s">
        <v>32</v>
      </c>
      <c r="C30" s="54" t="s">
        <v>32</v>
      </c>
      <c r="D30" s="64"/>
      <c r="E30" s="52"/>
      <c r="F30" s="42"/>
      <c r="G30" s="42"/>
    </row>
    <row r="31" spans="1:14">
      <c r="A31" s="10"/>
      <c r="B31" s="58"/>
      <c r="C31" s="67"/>
      <c r="D31" s="66"/>
      <c r="E31" s="52"/>
      <c r="F31" s="11"/>
      <c r="G31" s="11"/>
    </row>
    <row r="32" spans="1:14">
      <c r="A32" s="10"/>
      <c r="B32" s="67"/>
      <c r="C32" s="67"/>
      <c r="D32" s="66"/>
      <c r="E32" s="52"/>
      <c r="F32" s="11"/>
      <c r="G32" s="11"/>
    </row>
    <row r="33" spans="1:14">
      <c r="A33" s="10"/>
      <c r="B33" s="36"/>
      <c r="C33" s="36"/>
      <c r="D33" s="66"/>
      <c r="E33" s="52"/>
      <c r="F33" s="11"/>
      <c r="G33" s="11"/>
    </row>
    <row r="34" spans="1:14">
      <c r="A34" s="10"/>
      <c r="B34" s="36"/>
      <c r="C34" s="36"/>
      <c r="D34" s="66"/>
      <c r="E34" s="52"/>
      <c r="F34" s="11"/>
      <c r="G34" s="11"/>
    </row>
    <row r="35" spans="1:14">
      <c r="A35" s="10"/>
      <c r="B35" s="48" t="s">
        <v>11</v>
      </c>
      <c r="C35" s="48" t="s">
        <v>11</v>
      </c>
      <c r="D35" s="49"/>
      <c r="E35" s="62">
        <f>(B26*0.63)+(C26*0.707)</f>
        <v>18555.25</v>
      </c>
      <c r="F35" s="11"/>
      <c r="G35" s="11"/>
    </row>
    <row r="36" spans="1:14">
      <c r="A36" s="10"/>
      <c r="B36" s="51"/>
      <c r="C36" s="51"/>
      <c r="D36" s="12"/>
      <c r="E36" s="68"/>
      <c r="F36" s="11"/>
      <c r="G36" s="11"/>
    </row>
    <row r="37" spans="1:14">
      <c r="A37" s="69"/>
      <c r="B37" s="70" t="s">
        <v>37</v>
      </c>
      <c r="C37" s="1307" t="s">
        <v>1204</v>
      </c>
      <c r="D37" s="55" t="s">
        <v>7</v>
      </c>
      <c r="E37" s="52"/>
      <c r="F37" s="71"/>
    </row>
    <row r="38" spans="1:14">
      <c r="A38" s="10"/>
      <c r="B38" s="36"/>
      <c r="C38" s="36"/>
      <c r="D38" s="66" t="s">
        <v>7</v>
      </c>
      <c r="E38" s="52"/>
      <c r="F38" s="11"/>
    </row>
    <row r="39" spans="1:14" s="53" customFormat="1">
      <c r="A39" s="39"/>
      <c r="B39" s="48" t="s">
        <v>38</v>
      </c>
      <c r="C39" s="48" t="s">
        <v>38</v>
      </c>
      <c r="D39" s="49"/>
      <c r="E39" s="62">
        <f>SUM(B41:B43)+SUM(C41:C43)</f>
        <v>0</v>
      </c>
      <c r="F39" s="42"/>
      <c r="G39"/>
      <c r="H39"/>
      <c r="I39"/>
      <c r="J39"/>
      <c r="K39"/>
      <c r="L39"/>
      <c r="M39"/>
      <c r="N39"/>
    </row>
    <row r="40" spans="1:14">
      <c r="A40" s="10"/>
      <c r="B40" s="63"/>
      <c r="C40" s="63"/>
      <c r="D40" s="64"/>
      <c r="E40" s="52"/>
      <c r="F40" s="11"/>
    </row>
    <row r="41" spans="1:14">
      <c r="A41" s="10"/>
      <c r="B41" s="11"/>
      <c r="C41" s="67"/>
      <c r="D41" s="66"/>
      <c r="E41" s="52"/>
      <c r="F41" s="11"/>
    </row>
    <row r="42" spans="1:14">
      <c r="A42" s="10"/>
      <c r="B42" s="36"/>
      <c r="C42" s="36"/>
      <c r="D42" s="66"/>
      <c r="E42" s="52"/>
      <c r="F42" s="11"/>
    </row>
    <row r="43" spans="1:14">
      <c r="A43" s="10"/>
      <c r="B43" s="36"/>
      <c r="C43" s="36"/>
      <c r="D43" s="66"/>
      <c r="E43" s="52"/>
      <c r="F43" s="11"/>
    </row>
    <row r="44" spans="1:14">
      <c r="A44" s="10"/>
      <c r="B44" s="48" t="s">
        <v>12</v>
      </c>
      <c r="C44" s="48" t="s">
        <v>12</v>
      </c>
      <c r="D44" s="49"/>
      <c r="E44" s="62">
        <f>SUM(B46:B51)+SUM(C46:C51)</f>
        <v>0</v>
      </c>
      <c r="F44" s="11"/>
      <c r="G44" s="53"/>
      <c r="H44" s="53"/>
      <c r="I44" s="53"/>
      <c r="J44" s="53"/>
      <c r="K44" s="53"/>
      <c r="L44" s="53"/>
      <c r="M44" s="53"/>
      <c r="N44" s="53"/>
    </row>
    <row r="45" spans="1:14">
      <c r="A45" s="10"/>
      <c r="B45" s="72"/>
      <c r="C45" s="72"/>
      <c r="D45" s="66"/>
      <c r="E45" s="52"/>
      <c r="F45" s="11"/>
    </row>
    <row r="46" spans="1:14">
      <c r="A46" s="10"/>
      <c r="B46" s="36"/>
      <c r="C46" s="36"/>
      <c r="D46" s="66"/>
      <c r="E46" s="52"/>
      <c r="F46" s="11"/>
    </row>
    <row r="47" spans="1:14">
      <c r="A47" s="10"/>
      <c r="B47" s="36"/>
      <c r="C47" s="36"/>
      <c r="D47" s="66"/>
      <c r="E47" s="52"/>
      <c r="F47" s="11"/>
    </row>
    <row r="48" spans="1:14">
      <c r="A48" s="10"/>
      <c r="B48" s="36"/>
      <c r="C48" s="36"/>
      <c r="D48" s="66"/>
      <c r="E48" s="52"/>
      <c r="F48" s="11"/>
    </row>
    <row r="49" spans="1:14">
      <c r="A49" s="10"/>
      <c r="B49" s="36"/>
      <c r="C49" s="36"/>
      <c r="D49" s="66"/>
      <c r="E49" s="52"/>
      <c r="F49" s="11"/>
    </row>
    <row r="50" spans="1:14">
      <c r="A50" s="10"/>
      <c r="B50" s="36"/>
      <c r="C50" s="36"/>
      <c r="D50" s="66"/>
      <c r="E50" s="52"/>
      <c r="F50" s="11"/>
    </row>
    <row r="51" spans="1:14">
      <c r="A51" s="10"/>
      <c r="B51" s="36"/>
      <c r="C51" s="36"/>
      <c r="D51" s="66"/>
      <c r="E51" s="52"/>
      <c r="F51" s="11"/>
    </row>
    <row r="52" spans="1:14" ht="25.5">
      <c r="A52" s="10"/>
      <c r="B52" s="48" t="s">
        <v>39</v>
      </c>
      <c r="C52" s="48" t="s">
        <v>39</v>
      </c>
      <c r="D52" s="49"/>
      <c r="E52" s="62">
        <f>SUM(B54:B59)+SUM(C54:C59)</f>
        <v>0</v>
      </c>
      <c r="F52" s="11"/>
    </row>
    <row r="53" spans="1:14">
      <c r="A53" s="10"/>
      <c r="B53" s="63"/>
      <c r="C53" s="63"/>
      <c r="D53" s="11"/>
      <c r="E53" s="73"/>
      <c r="F53" s="11"/>
    </row>
    <row r="54" spans="1:14">
      <c r="A54" s="10"/>
      <c r="B54" s="74"/>
      <c r="C54" s="74"/>
      <c r="D54" s="11"/>
      <c r="E54" s="73"/>
      <c r="F54" s="11"/>
    </row>
    <row r="55" spans="1:14" s="53" customFormat="1">
      <c r="A55" s="10"/>
      <c r="B55" s="74"/>
      <c r="C55" s="74"/>
      <c r="D55" s="11"/>
      <c r="E55" s="73"/>
      <c r="F55"/>
      <c r="G55"/>
      <c r="H55"/>
      <c r="I55"/>
      <c r="J55"/>
      <c r="K55"/>
      <c r="L55"/>
      <c r="M55"/>
      <c r="N55"/>
    </row>
    <row r="56" spans="1:14">
      <c r="A56" s="10"/>
      <c r="B56" s="74"/>
      <c r="C56" s="74"/>
      <c r="D56" s="11"/>
      <c r="E56" s="73"/>
    </row>
    <row r="57" spans="1:14">
      <c r="A57" s="10"/>
      <c r="B57" s="74"/>
      <c r="C57" s="74"/>
      <c r="D57" s="11"/>
      <c r="E57" s="73"/>
    </row>
    <row r="58" spans="1:14">
      <c r="A58" s="10"/>
      <c r="B58" s="11"/>
      <c r="C58" s="11"/>
      <c r="D58" s="11"/>
      <c r="E58" s="73"/>
    </row>
    <row r="59" spans="1:14">
      <c r="A59" s="10"/>
      <c r="B59" s="11"/>
      <c r="C59" s="11"/>
      <c r="D59" s="12"/>
      <c r="E59" s="52"/>
    </row>
    <row r="60" spans="1:14">
      <c r="A60" s="10"/>
      <c r="B60" s="48" t="s">
        <v>13</v>
      </c>
      <c r="C60" s="48" t="s">
        <v>13</v>
      </c>
      <c r="D60" s="49"/>
      <c r="E60" s="62">
        <f>SUM(B62:B67)+SUM(C62:C67)</f>
        <v>0</v>
      </c>
    </row>
    <row r="61" spans="1:14">
      <c r="A61" s="10"/>
      <c r="B61" s="51"/>
      <c r="C61" s="51"/>
      <c r="D61" s="12"/>
      <c r="E61" s="52"/>
    </row>
    <row r="62" spans="1:14">
      <c r="A62" s="10"/>
      <c r="B62" s="11"/>
      <c r="C62" s="11"/>
      <c r="D62" s="61" t="s">
        <v>70</v>
      </c>
      <c r="E62" s="52"/>
    </row>
    <row r="63" spans="1:14">
      <c r="A63" s="10"/>
      <c r="B63" s="11" t="s">
        <v>7</v>
      </c>
      <c r="C63" s="11"/>
      <c r="D63" s="61" t="s">
        <v>41</v>
      </c>
      <c r="E63" s="52"/>
    </row>
    <row r="64" spans="1:14">
      <c r="A64" s="10"/>
      <c r="B64" s="11"/>
      <c r="C64" s="11"/>
      <c r="D64" s="61" t="s">
        <v>42</v>
      </c>
      <c r="E64" s="52"/>
    </row>
    <row r="65" spans="1:5">
      <c r="A65" s="10"/>
      <c r="B65" s="11"/>
      <c r="C65" s="11"/>
      <c r="D65" s="61" t="s">
        <v>61</v>
      </c>
      <c r="E65" s="52"/>
    </row>
    <row r="66" spans="1:5">
      <c r="A66" s="10"/>
      <c r="B66" s="88"/>
      <c r="C66" s="88"/>
      <c r="D66" s="61" t="s">
        <v>44</v>
      </c>
      <c r="E66" s="52"/>
    </row>
    <row r="67" spans="1:5">
      <c r="A67" s="10"/>
      <c r="B67" s="88"/>
      <c r="C67" s="88"/>
      <c r="D67" s="61"/>
      <c r="E67" s="52"/>
    </row>
    <row r="68" spans="1:5">
      <c r="A68" s="10"/>
      <c r="B68" s="48" t="s">
        <v>14</v>
      </c>
      <c r="C68" s="48" t="s">
        <v>14</v>
      </c>
      <c r="D68" s="49"/>
      <c r="E68" s="62">
        <f>SUM(B70:B75)+SUM(C70:C75)</f>
        <v>0</v>
      </c>
    </row>
    <row r="69" spans="1:5">
      <c r="A69" s="76"/>
      <c r="B69" s="51"/>
      <c r="C69" s="51"/>
      <c r="D69" s="12"/>
      <c r="E69" s="52"/>
    </row>
    <row r="70" spans="1:5">
      <c r="A70" s="10"/>
      <c r="B70" s="11" t="s">
        <v>7</v>
      </c>
      <c r="C70" s="11"/>
      <c r="D70" s="12"/>
      <c r="E70" s="52"/>
    </row>
    <row r="71" spans="1:5">
      <c r="A71" s="10"/>
      <c r="B71" s="11"/>
      <c r="C71" s="11"/>
      <c r="D71" s="12"/>
      <c r="E71" s="52"/>
    </row>
    <row r="72" spans="1:5">
      <c r="A72" s="10"/>
      <c r="B72" s="11"/>
      <c r="C72" s="11"/>
      <c r="D72" s="12"/>
      <c r="E72" s="52"/>
    </row>
    <row r="73" spans="1:5">
      <c r="A73" s="10"/>
      <c r="B73" s="11"/>
      <c r="C73" s="11"/>
      <c r="D73" s="12"/>
      <c r="E73" s="52"/>
    </row>
    <row r="74" spans="1:5">
      <c r="A74" s="10"/>
      <c r="B74" s="11"/>
      <c r="C74" s="11"/>
      <c r="D74" s="12"/>
      <c r="E74" s="52"/>
    </row>
    <row r="75" spans="1:5">
      <c r="A75" s="10"/>
      <c r="B75" s="11" t="s">
        <v>7</v>
      </c>
      <c r="C75" s="11"/>
      <c r="D75" s="12"/>
      <c r="E75" s="52"/>
    </row>
    <row r="76" spans="1:5">
      <c r="A76" s="10"/>
      <c r="B76" s="48" t="s">
        <v>15</v>
      </c>
      <c r="C76" s="48" t="s">
        <v>15</v>
      </c>
      <c r="D76" s="49"/>
      <c r="E76" s="62">
        <f>SUM(B78:B84)+SUM(C78:C84)</f>
        <v>0</v>
      </c>
    </row>
    <row r="77" spans="1:5">
      <c r="A77" s="10"/>
      <c r="B77" s="63"/>
      <c r="C77" s="63"/>
      <c r="D77" s="12"/>
      <c r="E77" s="52"/>
    </row>
    <row r="78" spans="1:5">
      <c r="A78" s="39"/>
      <c r="B78" s="74"/>
      <c r="C78" s="74"/>
      <c r="D78" s="79"/>
      <c r="E78" s="52"/>
    </row>
    <row r="79" spans="1:5">
      <c r="A79" s="39"/>
      <c r="B79" s="74"/>
      <c r="C79" s="74"/>
      <c r="D79" s="79"/>
      <c r="E79" s="52"/>
    </row>
    <row r="80" spans="1:5">
      <c r="A80" s="39"/>
      <c r="B80" s="74"/>
      <c r="C80" s="74"/>
      <c r="D80" s="79"/>
      <c r="E80" s="52"/>
    </row>
    <row r="81" spans="1:5">
      <c r="A81" s="39"/>
      <c r="B81" s="74"/>
      <c r="C81" s="74"/>
      <c r="D81" s="79"/>
      <c r="E81" s="52"/>
    </row>
    <row r="82" spans="1:5">
      <c r="A82" s="39"/>
      <c r="B82" s="74"/>
      <c r="C82" s="74"/>
      <c r="D82" s="79"/>
      <c r="E82" s="52"/>
    </row>
    <row r="83" spans="1:5">
      <c r="A83" s="10"/>
      <c r="B83" s="11"/>
      <c r="C83" s="11"/>
      <c r="D83" s="66"/>
      <c r="E83" s="52"/>
    </row>
    <row r="84" spans="1:5">
      <c r="A84" s="10"/>
      <c r="B84" s="11"/>
      <c r="C84" s="11"/>
      <c r="D84" s="66"/>
      <c r="E84" s="52"/>
    </row>
    <row r="85" spans="1:5">
      <c r="A85" s="10"/>
      <c r="B85" s="48" t="s">
        <v>16</v>
      </c>
      <c r="C85" s="48" t="s">
        <v>16</v>
      </c>
      <c r="D85" s="49"/>
      <c r="E85" s="62">
        <f>SUM(B87:B92)+SUM(C87:C92)</f>
        <v>0</v>
      </c>
    </row>
    <row r="86" spans="1:5">
      <c r="A86" s="39"/>
      <c r="B86" s="63"/>
      <c r="C86" s="63"/>
      <c r="D86" s="79"/>
      <c r="E86" s="52"/>
    </row>
    <row r="87" spans="1:5">
      <c r="A87" s="39"/>
      <c r="B87" s="74"/>
      <c r="C87" s="74"/>
      <c r="D87" s="79"/>
      <c r="E87" s="52"/>
    </row>
    <row r="88" spans="1:5">
      <c r="A88" s="39"/>
      <c r="B88" s="74"/>
      <c r="C88" s="74"/>
      <c r="D88" s="79"/>
      <c r="E88" s="52"/>
    </row>
    <row r="89" spans="1:5">
      <c r="A89" s="39"/>
      <c r="B89" s="74"/>
      <c r="C89" s="74"/>
      <c r="D89" s="79"/>
      <c r="E89" s="52"/>
    </row>
    <row r="90" spans="1:5">
      <c r="A90" s="39"/>
      <c r="B90" s="74"/>
      <c r="C90" s="74"/>
      <c r="D90" s="79"/>
      <c r="E90" s="52"/>
    </row>
    <row r="91" spans="1:5">
      <c r="A91" s="39"/>
      <c r="B91" s="74"/>
      <c r="C91" s="74"/>
      <c r="D91" s="79"/>
      <c r="E91" s="52"/>
    </row>
    <row r="92" spans="1:5">
      <c r="A92" s="10"/>
      <c r="B92" s="11"/>
      <c r="C92" s="11"/>
      <c r="D92" s="12"/>
      <c r="E92" s="52"/>
    </row>
    <row r="93" spans="1:5" ht="25.5">
      <c r="A93" s="10"/>
      <c r="B93" s="48" t="s">
        <v>17</v>
      </c>
      <c r="C93" s="48" t="s">
        <v>17</v>
      </c>
      <c r="D93" s="12"/>
      <c r="E93" s="52"/>
    </row>
    <row r="94" spans="1:5">
      <c r="A94" s="39"/>
      <c r="B94" s="63"/>
      <c r="C94" s="63"/>
      <c r="D94" s="79"/>
      <c r="E94" s="90"/>
    </row>
    <row r="95" spans="1:5">
      <c r="A95" s="39"/>
      <c r="B95" s="74"/>
      <c r="C95" s="74"/>
      <c r="D95" s="79"/>
      <c r="E95" s="28"/>
    </row>
    <row r="96" spans="1:5">
      <c r="A96" s="10"/>
      <c r="B96" s="58" t="s">
        <v>54</v>
      </c>
      <c r="C96" s="11"/>
      <c r="D96" s="12"/>
      <c r="E96" s="28"/>
    </row>
    <row r="97" spans="1:5">
      <c r="A97" s="10"/>
      <c r="B97" s="58" t="s">
        <v>55</v>
      </c>
      <c r="C97" s="11"/>
      <c r="D97" s="12"/>
      <c r="E97" s="28"/>
    </row>
    <row r="98" spans="1:5">
      <c r="A98" s="10"/>
      <c r="B98" s="58" t="s">
        <v>56</v>
      </c>
      <c r="C98" s="11"/>
      <c r="D98" s="12"/>
    </row>
  </sheetData>
  <sheetProtection password="9E1F" sheet="1" objects="1" scenarios="1"/>
  <customSheetViews>
    <customSheetView guid="{074EB09C-6289-46D7-9513-012B68BCA7BF}" fitToPage="1">
      <pane xSplit="1" ySplit="1" topLeftCell="B2" activePane="bottomRight" state="frozen"/>
      <selection pane="bottomRight" activeCell="B1" sqref="B1"/>
      <pageMargins left="0.17" right="0.7" top="0.38" bottom="0.3" header="0.3" footer="0.3"/>
      <pageSetup paperSize="17" scale="53" orientation="landscape" r:id="rId1"/>
    </customSheetView>
    <customSheetView guid="{AF9F1D33-B8C2-423F-86A1-47612B8F532C}" fitToPage="1">
      <pane xSplit="1" ySplit="1" topLeftCell="B2" activePane="bottomRight" state="frozenSplit"/>
      <selection pane="bottomRight" activeCell="G13" sqref="G13"/>
      <pageMargins left="0.7" right="0.7" top="0.75" bottom="0.75" header="0.3" footer="0.3"/>
      <pageSetup paperSize="17" scale="53" orientation="landscape"/>
    </customSheetView>
  </customSheetViews>
  <mergeCells count="3">
    <mergeCell ref="B19:C19"/>
    <mergeCell ref="B20:C20"/>
    <mergeCell ref="B16:E16"/>
  </mergeCells>
  <pageMargins left="0.17" right="0.7" top="0.38" bottom="0.3" header="0.3" footer="0.3"/>
  <pageSetup paperSize="17" scale="54" orientation="landscape" r:id="rId2"/>
  <drawing r:id="rId3"/>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sheetPr enableFormatConditionsCalculation="0">
    <tabColor rgb="FF91D242"/>
    <pageSetUpPr fitToPage="1"/>
  </sheetPr>
  <dimension ref="A1:T57"/>
  <sheetViews>
    <sheetView zoomScaleNormal="100" workbookViewId="0">
      <pane xSplit="1" ySplit="1" topLeftCell="O2" activePane="bottomRight" state="frozen"/>
      <selection pane="topRight" activeCell="B1" sqref="B1"/>
      <selection pane="bottomLeft" activeCell="A2" sqref="A2"/>
      <selection pane="bottomRight"/>
    </sheetView>
  </sheetViews>
  <sheetFormatPr defaultColWidth="8.85546875" defaultRowHeight="12.75"/>
  <cols>
    <col min="1" max="1" width="28.42578125" style="3064" customWidth="1"/>
    <col min="2" max="2" width="15.85546875" customWidth="1"/>
    <col min="3" max="3" width="35.85546875" bestFit="1" customWidth="1"/>
    <col min="4" max="4" width="12.28515625" bestFit="1" customWidth="1"/>
    <col min="5" max="5" width="11.28515625" bestFit="1" customWidth="1"/>
    <col min="6" max="6" width="21.7109375" customWidth="1"/>
    <col min="7" max="7" width="16.42578125" customWidth="1"/>
    <col min="8" max="8" width="15.140625" bestFit="1" customWidth="1"/>
    <col min="9" max="9" width="13.7109375" bestFit="1" customWidth="1"/>
    <col min="10" max="10" width="14" customWidth="1"/>
    <col min="11" max="11" width="11.42578125" customWidth="1"/>
    <col min="12" max="13" width="53.28515625" customWidth="1"/>
    <col min="14" max="14" width="3" style="3534" customWidth="1"/>
    <col min="15" max="15" width="15.5703125" bestFit="1" customWidth="1"/>
    <col min="16" max="16" width="12.85546875" bestFit="1" customWidth="1"/>
    <col min="17" max="17" width="18.85546875" bestFit="1" customWidth="1"/>
    <col min="18" max="18" width="17.5703125" bestFit="1" customWidth="1"/>
    <col min="19" max="20" width="55.140625" customWidth="1"/>
  </cols>
  <sheetData>
    <row r="1" spans="2:20" ht="33.75" customHeight="1">
      <c r="B1" s="3348" t="s">
        <v>1010</v>
      </c>
      <c r="C1" s="3348"/>
      <c r="D1" s="3347"/>
      <c r="E1" s="3347"/>
      <c r="F1" s="3347"/>
      <c r="G1" s="3347"/>
      <c r="H1" s="3347"/>
      <c r="I1" s="3347"/>
      <c r="J1" s="3347"/>
      <c r="K1" s="3347"/>
      <c r="L1" s="3347"/>
      <c r="M1" s="3347"/>
      <c r="N1" s="4949"/>
      <c r="O1" s="5028"/>
      <c r="P1" s="5027"/>
      <c r="Q1" s="5027"/>
      <c r="R1" s="5027"/>
      <c r="S1" s="5027"/>
      <c r="T1" s="5027"/>
    </row>
    <row r="2" spans="2:20" ht="13.5" thickBot="1">
      <c r="N2" s="4949"/>
      <c r="O2" s="5029"/>
      <c r="P2" s="5027"/>
      <c r="Q2" s="5027"/>
      <c r="R2" s="5027"/>
      <c r="S2" s="5027"/>
      <c r="T2" s="5027"/>
    </row>
    <row r="3" spans="2:20" ht="18.75" customHeight="1" thickBot="1">
      <c r="B3" s="3347"/>
      <c r="C3" s="3459"/>
      <c r="D3" s="3347"/>
      <c r="E3" s="3347"/>
      <c r="F3" s="3352"/>
      <c r="G3" s="3347"/>
      <c r="H3" s="3347"/>
      <c r="I3" s="3347"/>
      <c r="J3" s="3347"/>
      <c r="K3" s="3347"/>
      <c r="L3" s="3347"/>
      <c r="M3" s="3347"/>
      <c r="N3" s="4949"/>
      <c r="O3" s="5176" t="s">
        <v>1354</v>
      </c>
      <c r="P3" s="5177"/>
      <c r="Q3" s="5177"/>
      <c r="R3" s="5178"/>
      <c r="S3" s="5171" t="s">
        <v>1401</v>
      </c>
      <c r="T3" s="5172"/>
    </row>
    <row r="4" spans="2:20" ht="13.5" thickBot="1">
      <c r="B4" s="3347"/>
      <c r="C4" s="3347"/>
      <c r="D4" s="3347"/>
      <c r="E4" s="3347"/>
      <c r="F4" s="3347"/>
      <c r="G4" s="3347"/>
      <c r="H4" s="3347"/>
      <c r="I4" s="3347"/>
      <c r="J4" s="3347"/>
      <c r="K4" s="3347"/>
      <c r="L4" s="3347"/>
      <c r="M4" s="3347"/>
      <c r="N4" s="4949"/>
      <c r="O4" s="5031"/>
      <c r="P4" s="5031"/>
      <c r="Q4" s="5032"/>
      <c r="R4" s="5032"/>
      <c r="S4" s="5027"/>
      <c r="T4" s="5027"/>
    </row>
    <row r="5" spans="2:20" ht="13.5" thickBot="1">
      <c r="B5" s="3799"/>
      <c r="C5" s="3799"/>
      <c r="D5" s="5183" t="s">
        <v>1011</v>
      </c>
      <c r="E5" s="5184"/>
      <c r="F5" s="5183" t="s">
        <v>1012</v>
      </c>
      <c r="G5" s="5184"/>
      <c r="H5" s="5183" t="s">
        <v>1013</v>
      </c>
      <c r="I5" s="5184"/>
      <c r="J5" s="5183" t="s">
        <v>1014</v>
      </c>
      <c r="K5" s="5184"/>
      <c r="L5" s="5183" t="s">
        <v>1015</v>
      </c>
      <c r="M5" s="5184"/>
      <c r="N5" s="4950"/>
      <c r="O5" s="5179" t="s">
        <v>1356</v>
      </c>
      <c r="P5" s="5180"/>
      <c r="Q5" s="5181" t="s">
        <v>1357</v>
      </c>
      <c r="R5" s="5182"/>
      <c r="S5" s="5173" t="s">
        <v>1015</v>
      </c>
      <c r="T5" s="5174"/>
    </row>
    <row r="6" spans="2:20" ht="13.5" thickBot="1">
      <c r="B6" s="3802"/>
      <c r="C6" s="3803" t="s">
        <v>1016</v>
      </c>
      <c r="D6" s="3804" t="s">
        <v>5</v>
      </c>
      <c r="E6" s="3805" t="s">
        <v>99</v>
      </c>
      <c r="F6" s="3804" t="s">
        <v>1017</v>
      </c>
      <c r="G6" s="3805" t="s">
        <v>1018</v>
      </c>
      <c r="H6" s="3804" t="s">
        <v>1019</v>
      </c>
      <c r="I6" s="3805" t="s">
        <v>1020</v>
      </c>
      <c r="J6" s="3804" t="s">
        <v>5</v>
      </c>
      <c r="K6" s="3805" t="s">
        <v>99</v>
      </c>
      <c r="L6" s="3855" t="s">
        <v>1021</v>
      </c>
      <c r="M6" s="3856" t="s">
        <v>1022</v>
      </c>
      <c r="N6" s="4951"/>
      <c r="O6" s="5033" t="s">
        <v>1017</v>
      </c>
      <c r="P6" s="5034" t="s">
        <v>1018</v>
      </c>
      <c r="Q6" s="5035" t="s">
        <v>1017</v>
      </c>
      <c r="R6" s="5036" t="s">
        <v>1018</v>
      </c>
      <c r="S6" s="5058" t="s">
        <v>1021</v>
      </c>
      <c r="T6" s="5057" t="s">
        <v>1022</v>
      </c>
    </row>
    <row r="7" spans="2:20" ht="13.5" thickBot="1">
      <c r="B7" s="3922"/>
      <c r="C7" s="3824" t="s">
        <v>1023</v>
      </c>
      <c r="D7" s="3839">
        <v>24400000</v>
      </c>
      <c r="E7" s="3840">
        <v>4059500</v>
      </c>
      <c r="F7" s="3841">
        <v>100000000</v>
      </c>
      <c r="G7" s="3842">
        <v>902000</v>
      </c>
      <c r="H7" s="3825">
        <v>0.24399999999999999</v>
      </c>
      <c r="I7" s="3826">
        <v>4.5005543237250558</v>
      </c>
      <c r="J7" s="3827">
        <v>0.54400000000000004</v>
      </c>
      <c r="K7" s="3828">
        <v>0.49334811529933481</v>
      </c>
      <c r="L7" s="3857"/>
      <c r="M7" s="3821"/>
      <c r="N7" s="4952"/>
      <c r="O7" s="5037">
        <v>100090000</v>
      </c>
      <c r="P7" s="5037">
        <v>1143100</v>
      </c>
      <c r="Q7" s="5038">
        <v>10602000</v>
      </c>
      <c r="R7" s="5038">
        <v>1530110</v>
      </c>
      <c r="S7" s="5027"/>
      <c r="T7" s="5027"/>
    </row>
    <row r="8" spans="2:20" ht="51">
      <c r="B8" s="3880" t="s">
        <v>880</v>
      </c>
      <c r="C8" s="3915" t="s">
        <v>413</v>
      </c>
      <c r="D8" s="3881">
        <v>12190000</v>
      </c>
      <c r="E8" s="3882"/>
      <c r="F8" s="3883">
        <v>53000000</v>
      </c>
      <c r="G8" s="3884"/>
      <c r="H8" s="3885">
        <v>0.23</v>
      </c>
      <c r="I8" s="3886" t="s">
        <v>1024</v>
      </c>
      <c r="J8" s="3887">
        <v>0.6</v>
      </c>
      <c r="K8" s="3888"/>
      <c r="L8" s="3925" t="s">
        <v>1084</v>
      </c>
      <c r="M8" s="3926" t="s">
        <v>1416</v>
      </c>
      <c r="N8" s="4953"/>
      <c r="O8" s="5039">
        <v>26000000</v>
      </c>
      <c r="P8" s="5039"/>
      <c r="Q8" s="5040">
        <v>5980000</v>
      </c>
      <c r="R8" s="5040"/>
      <c r="S8" s="5026" t="s">
        <v>1383</v>
      </c>
      <c r="T8" s="5026" t="s">
        <v>1384</v>
      </c>
    </row>
    <row r="9" spans="2:20" ht="38.25">
      <c r="B9" s="3880" t="s">
        <v>1025</v>
      </c>
      <c r="C9" s="3915" t="s">
        <v>676</v>
      </c>
      <c r="D9" s="3881">
        <v>3000000</v>
      </c>
      <c r="E9" s="3882">
        <v>332500</v>
      </c>
      <c r="F9" s="3883">
        <v>10000000</v>
      </c>
      <c r="G9" s="3884">
        <v>70000</v>
      </c>
      <c r="H9" s="3885">
        <v>0.3</v>
      </c>
      <c r="I9" s="3886">
        <v>4.75</v>
      </c>
      <c r="J9" s="3887">
        <v>0.5</v>
      </c>
      <c r="K9" s="3888">
        <v>0.5</v>
      </c>
      <c r="L9" s="3925" t="s">
        <v>1085</v>
      </c>
      <c r="M9" s="3926" t="s">
        <v>1086</v>
      </c>
      <c r="N9" s="4953"/>
      <c r="O9" s="5039">
        <v>4000000</v>
      </c>
      <c r="P9" s="5039">
        <v>20000</v>
      </c>
      <c r="Q9" s="5040">
        <v>920000</v>
      </c>
      <c r="R9" s="5040">
        <v>95000</v>
      </c>
      <c r="S9" s="5026" t="s">
        <v>1385</v>
      </c>
      <c r="T9" s="5026" t="s">
        <v>1358</v>
      </c>
    </row>
    <row r="10" spans="2:20" ht="89.25">
      <c r="B10" s="3880" t="s">
        <v>1025</v>
      </c>
      <c r="C10" s="3915" t="s">
        <v>677</v>
      </c>
      <c r="D10" s="3881">
        <v>810000</v>
      </c>
      <c r="E10" s="3882">
        <v>60000</v>
      </c>
      <c r="F10" s="3883">
        <v>9000000</v>
      </c>
      <c r="G10" s="3884">
        <v>60000</v>
      </c>
      <c r="H10" s="3885">
        <v>0.09</v>
      </c>
      <c r="I10" s="3886">
        <v>1</v>
      </c>
      <c r="J10" s="3887">
        <v>0.4</v>
      </c>
      <c r="K10" s="3888">
        <v>0.4</v>
      </c>
      <c r="L10" s="3925" t="s">
        <v>1087</v>
      </c>
      <c r="M10" s="3926" t="s">
        <v>1088</v>
      </c>
      <c r="N10" s="4953"/>
      <c r="O10" s="5039">
        <v>5400000</v>
      </c>
      <c r="P10" s="5039">
        <v>20000</v>
      </c>
      <c r="Q10" s="5040">
        <v>486000</v>
      </c>
      <c r="R10" s="5040">
        <v>12000</v>
      </c>
      <c r="S10" s="5026" t="s">
        <v>1386</v>
      </c>
      <c r="T10" s="5026" t="s">
        <v>1358</v>
      </c>
    </row>
    <row r="11" spans="2:20" ht="63.75">
      <c r="B11" s="3880" t="s">
        <v>880</v>
      </c>
      <c r="C11" s="3915" t="s">
        <v>678</v>
      </c>
      <c r="D11" s="3881">
        <v>8400000</v>
      </c>
      <c r="E11" s="3882">
        <v>3667000</v>
      </c>
      <c r="F11" s="3883">
        <v>28000000</v>
      </c>
      <c r="G11" s="3884">
        <v>772000</v>
      </c>
      <c r="H11" s="3885">
        <v>0.3</v>
      </c>
      <c r="I11" s="3886">
        <v>4.75</v>
      </c>
      <c r="J11" s="3887">
        <v>0.5</v>
      </c>
      <c r="K11" s="3888">
        <v>0.5</v>
      </c>
      <c r="L11" s="3925" t="s">
        <v>1089</v>
      </c>
      <c r="M11" s="3926" t="s">
        <v>1090</v>
      </c>
      <c r="N11" s="4953"/>
      <c r="O11" s="5039">
        <v>13400000</v>
      </c>
      <c r="P11" s="5039">
        <v>347100</v>
      </c>
      <c r="Q11" s="5040">
        <v>3216000</v>
      </c>
      <c r="R11" s="5040">
        <v>1423110</v>
      </c>
      <c r="S11" s="5026" t="s">
        <v>1387</v>
      </c>
      <c r="T11" s="5026" t="s">
        <v>1358</v>
      </c>
    </row>
    <row r="12" spans="2:20" ht="76.5">
      <c r="B12" s="3880" t="s">
        <v>1026</v>
      </c>
      <c r="C12" s="3913" t="s">
        <v>1027</v>
      </c>
      <c r="D12" s="3881">
        <v>3500000</v>
      </c>
      <c r="E12" s="3882">
        <v>640000</v>
      </c>
      <c r="F12" s="3883">
        <v>7000000</v>
      </c>
      <c r="G12" s="3884">
        <v>200000</v>
      </c>
      <c r="H12" s="3885">
        <v>0.5</v>
      </c>
      <c r="I12" s="3886">
        <v>3.2</v>
      </c>
      <c r="J12" s="3887">
        <v>0.5</v>
      </c>
      <c r="K12" s="3888">
        <v>0.5</v>
      </c>
      <c r="L12" s="3925" t="s">
        <v>1091</v>
      </c>
      <c r="M12" s="3926" t="s">
        <v>1092</v>
      </c>
      <c r="N12" s="4953"/>
      <c r="O12" s="5039">
        <v>3500000</v>
      </c>
      <c r="P12" s="5039">
        <v>156000</v>
      </c>
      <c r="Q12" s="5040">
        <v>1000000</v>
      </c>
      <c r="R12" s="5040">
        <v>325000</v>
      </c>
      <c r="S12" s="5026" t="s">
        <v>1388</v>
      </c>
      <c r="T12" s="5026" t="s">
        <v>1389</v>
      </c>
    </row>
    <row r="13" spans="2:20" ht="76.5">
      <c r="B13" s="3880" t="s">
        <v>1028</v>
      </c>
      <c r="C13" s="3913" t="s">
        <v>1029</v>
      </c>
      <c r="D13" s="3881">
        <v>1695300</v>
      </c>
      <c r="E13" s="3882">
        <v>945000</v>
      </c>
      <c r="F13" s="3883">
        <v>38750000</v>
      </c>
      <c r="G13" s="3884">
        <v>1800000</v>
      </c>
      <c r="H13" s="3885">
        <v>4.3750000000000004E-2</v>
      </c>
      <c r="I13" s="3886">
        <v>0.52500000000000002</v>
      </c>
      <c r="J13" s="3887">
        <v>0.5161290322580645</v>
      </c>
      <c r="K13" s="3888">
        <v>0.55555555555555558</v>
      </c>
      <c r="L13" s="3925" t="s">
        <v>1093</v>
      </c>
      <c r="M13" s="3926" t="s">
        <v>1030</v>
      </c>
      <c r="N13" s="4953"/>
      <c r="O13" s="5039">
        <v>18750000</v>
      </c>
      <c r="P13" s="5039">
        <v>600000</v>
      </c>
      <c r="Q13" s="5040">
        <v>400000</v>
      </c>
      <c r="R13" s="5040">
        <v>200000</v>
      </c>
      <c r="S13" s="5026" t="s">
        <v>1390</v>
      </c>
      <c r="T13" s="5025" t="s">
        <v>1417</v>
      </c>
    </row>
    <row r="14" spans="2:20" ht="102">
      <c r="B14" s="3880" t="s">
        <v>747</v>
      </c>
      <c r="C14" s="3913" t="s">
        <v>1031</v>
      </c>
      <c r="D14" s="3881">
        <v>11027500</v>
      </c>
      <c r="E14" s="3882"/>
      <c r="F14" s="3883">
        <v>40100000</v>
      </c>
      <c r="G14" s="3884"/>
      <c r="H14" s="3885">
        <v>0.27500000000000002</v>
      </c>
      <c r="I14" s="3886" t="s">
        <v>1024</v>
      </c>
      <c r="J14" s="3887">
        <v>0.6</v>
      </c>
      <c r="K14" s="3888"/>
      <c r="L14" s="3925" t="s">
        <v>1094</v>
      </c>
      <c r="M14" s="3926" t="s">
        <v>1095</v>
      </c>
      <c r="N14" s="4953"/>
      <c r="O14" s="5039">
        <v>16040000</v>
      </c>
      <c r="P14" s="5039"/>
      <c r="Q14" s="5040">
        <v>4411000</v>
      </c>
      <c r="R14" s="5040"/>
      <c r="S14" s="5026" t="s">
        <v>1391</v>
      </c>
      <c r="T14" s="5026" t="s">
        <v>1384</v>
      </c>
    </row>
    <row r="15" spans="2:20" ht="64.5" thickBot="1">
      <c r="B15" s="3869" t="s">
        <v>749</v>
      </c>
      <c r="C15" s="3870" t="s">
        <v>1032</v>
      </c>
      <c r="D15" s="3831">
        <v>9240000</v>
      </c>
      <c r="E15" s="3832"/>
      <c r="F15" s="3833">
        <v>33000000</v>
      </c>
      <c r="G15" s="3834"/>
      <c r="H15" s="3835">
        <v>0.28000000000000003</v>
      </c>
      <c r="I15" s="3836" t="s">
        <v>1024</v>
      </c>
      <c r="J15" s="3829">
        <v>0.5</v>
      </c>
      <c r="K15" s="3830"/>
      <c r="L15" s="3927" t="s">
        <v>1096</v>
      </c>
      <c r="M15" s="3928" t="s">
        <v>1418</v>
      </c>
      <c r="N15" s="4954"/>
      <c r="O15" s="5039">
        <v>13000000</v>
      </c>
      <c r="P15" s="5039"/>
      <c r="Q15" s="5040">
        <v>3640000.0000000005</v>
      </c>
      <c r="R15" s="5039"/>
      <c r="S15" s="5026" t="s">
        <v>1392</v>
      </c>
      <c r="T15" s="5026" t="s">
        <v>1358</v>
      </c>
    </row>
    <row r="16" spans="2:20" ht="16.5" thickBot="1">
      <c r="B16" s="3837"/>
      <c r="C16" s="3838" t="s">
        <v>1033</v>
      </c>
      <c r="D16" s="3839">
        <v>2963100</v>
      </c>
      <c r="E16" s="3840">
        <v>793100</v>
      </c>
      <c r="F16" s="3841">
        <v>26050000</v>
      </c>
      <c r="G16" s="3842">
        <v>276000</v>
      </c>
      <c r="H16" s="3843">
        <v>0.11374664107485605</v>
      </c>
      <c r="I16" s="3844">
        <v>2.8735507246376812</v>
      </c>
      <c r="J16" s="3827">
        <v>0.51734740882917463</v>
      </c>
      <c r="K16" s="3828">
        <v>0.48007246376811596</v>
      </c>
      <c r="L16" s="3929"/>
      <c r="M16" s="3930"/>
      <c r="N16" s="4955"/>
      <c r="O16" s="5041">
        <v>21178140</v>
      </c>
      <c r="P16" s="5041">
        <v>123800</v>
      </c>
      <c r="Q16" s="5042">
        <v>3529656.8383588977</v>
      </c>
      <c r="R16" s="5042">
        <v>347729.65714285709</v>
      </c>
      <c r="S16" s="5024"/>
      <c r="T16" s="5024"/>
    </row>
    <row r="17" spans="2:20" ht="33.75">
      <c r="B17" s="3871" t="s">
        <v>751</v>
      </c>
      <c r="C17" s="3914" t="s">
        <v>719</v>
      </c>
      <c r="D17" s="3872">
        <v>182000</v>
      </c>
      <c r="E17" s="3873"/>
      <c r="F17" s="3874">
        <v>2600000</v>
      </c>
      <c r="G17" s="3875"/>
      <c r="H17" s="3876">
        <v>7.0000000000000007E-2</v>
      </c>
      <c r="I17" s="3877" t="s">
        <v>1024</v>
      </c>
      <c r="J17" s="3878">
        <v>0.65842307692307689</v>
      </c>
      <c r="K17" s="3879"/>
      <c r="L17" s="3931" t="s">
        <v>1097</v>
      </c>
      <c r="M17" s="3932" t="s">
        <v>1098</v>
      </c>
      <c r="N17" s="4956"/>
      <c r="O17" s="5039">
        <v>884000</v>
      </c>
      <c r="P17" s="5039"/>
      <c r="Q17" s="5040">
        <v>61880.000000000007</v>
      </c>
      <c r="R17" s="5040"/>
      <c r="S17" s="5026" t="s">
        <v>1393</v>
      </c>
      <c r="T17" s="5026" t="s">
        <v>1358</v>
      </c>
    </row>
    <row r="18" spans="2:20" ht="45">
      <c r="B18" s="3880" t="s">
        <v>751</v>
      </c>
      <c r="C18" s="3915" t="s">
        <v>720</v>
      </c>
      <c r="D18" s="3881">
        <v>260800</v>
      </c>
      <c r="E18" s="3882"/>
      <c r="F18" s="3883">
        <v>800000</v>
      </c>
      <c r="G18" s="3884"/>
      <c r="H18" s="3885">
        <v>0.32600000000000001</v>
      </c>
      <c r="I18" s="3886" t="s">
        <v>1024</v>
      </c>
      <c r="J18" s="3887">
        <v>0.5</v>
      </c>
      <c r="K18" s="3888"/>
      <c r="L18" s="3925" t="s">
        <v>1099</v>
      </c>
      <c r="M18" s="3926" t="s">
        <v>1098</v>
      </c>
      <c r="N18" s="4957"/>
      <c r="O18" s="5039">
        <v>500000</v>
      </c>
      <c r="P18" s="5039">
        <v>1800</v>
      </c>
      <c r="Q18" s="5040">
        <v>162413.19999999998</v>
      </c>
      <c r="R18" s="5040">
        <v>586.79999999999995</v>
      </c>
      <c r="S18" s="5026" t="s">
        <v>1393</v>
      </c>
      <c r="T18" s="5026" t="s">
        <v>1358</v>
      </c>
    </row>
    <row r="19" spans="2:20" ht="33.75">
      <c r="B19" s="3880" t="s">
        <v>751</v>
      </c>
      <c r="C19" s="3915" t="s">
        <v>721</v>
      </c>
      <c r="D19" s="3881">
        <v>7000</v>
      </c>
      <c r="E19" s="3882"/>
      <c r="F19" s="3883">
        <v>100000</v>
      </c>
      <c r="G19" s="3884"/>
      <c r="H19" s="3885">
        <v>7.0000000000000007E-2</v>
      </c>
      <c r="I19" s="3886" t="s">
        <v>1024</v>
      </c>
      <c r="J19" s="3887">
        <v>0.5</v>
      </c>
      <c r="K19" s="3888"/>
      <c r="L19" s="3925" t="s">
        <v>1100</v>
      </c>
      <c r="M19" s="3926" t="s">
        <v>1101</v>
      </c>
      <c r="N19" s="4957"/>
      <c r="O19" s="5039">
        <v>50000</v>
      </c>
      <c r="P19" s="5039"/>
      <c r="Q19" s="5040">
        <v>3500.0000000000005</v>
      </c>
      <c r="R19" s="5040"/>
      <c r="S19" s="5026"/>
      <c r="T19" s="5026" t="s">
        <v>1358</v>
      </c>
    </row>
    <row r="20" spans="2:20" ht="33.75">
      <c r="B20" s="3880" t="s">
        <v>751</v>
      </c>
      <c r="C20" s="3915" t="s">
        <v>722</v>
      </c>
      <c r="D20" s="3881">
        <v>20000</v>
      </c>
      <c r="E20" s="3882"/>
      <c r="F20" s="3883">
        <v>100000</v>
      </c>
      <c r="G20" s="3884"/>
      <c r="H20" s="3885">
        <v>0.2</v>
      </c>
      <c r="I20" s="3886" t="s">
        <v>1024</v>
      </c>
      <c r="J20" s="3887">
        <v>0.5</v>
      </c>
      <c r="K20" s="3888"/>
      <c r="L20" s="3925" t="s">
        <v>1102</v>
      </c>
      <c r="M20" s="3926" t="s">
        <v>1103</v>
      </c>
      <c r="N20" s="4957"/>
      <c r="O20" s="5039">
        <v>50000</v>
      </c>
      <c r="P20" s="5039"/>
      <c r="Q20" s="5040">
        <v>10000</v>
      </c>
      <c r="R20" s="5040"/>
      <c r="S20" s="5026"/>
      <c r="T20" s="5026" t="s">
        <v>1358</v>
      </c>
    </row>
    <row r="21" spans="2:20" ht="102">
      <c r="B21" s="3880" t="s">
        <v>751</v>
      </c>
      <c r="C21" s="3915" t="s">
        <v>723</v>
      </c>
      <c r="D21" s="3881">
        <v>720000</v>
      </c>
      <c r="E21" s="3882"/>
      <c r="F21" s="3883">
        <v>6000000</v>
      </c>
      <c r="G21" s="3884"/>
      <c r="H21" s="3885">
        <v>0.12</v>
      </c>
      <c r="I21" s="3886" t="s">
        <v>1024</v>
      </c>
      <c r="J21" s="3887">
        <v>0.5</v>
      </c>
      <c r="K21" s="3888"/>
      <c r="L21" s="3925" t="s">
        <v>1104</v>
      </c>
      <c r="M21" s="3926" t="s">
        <v>1105</v>
      </c>
      <c r="N21" s="4957"/>
      <c r="O21" s="5039">
        <v>1500000</v>
      </c>
      <c r="P21" s="5039"/>
      <c r="Q21" s="5040">
        <v>180000</v>
      </c>
      <c r="R21" s="5040"/>
      <c r="S21" s="5026" t="s">
        <v>1394</v>
      </c>
      <c r="T21" s="5026" t="s">
        <v>1358</v>
      </c>
    </row>
    <row r="22" spans="2:20" ht="63.75">
      <c r="B22" s="3880" t="s">
        <v>751</v>
      </c>
      <c r="C22" s="3915" t="s">
        <v>971</v>
      </c>
      <c r="D22" s="3881">
        <v>278700</v>
      </c>
      <c r="E22" s="3882"/>
      <c r="F22" s="3883">
        <v>9290000</v>
      </c>
      <c r="G22" s="3884"/>
      <c r="H22" s="3885">
        <v>3.0002153779883696E-2</v>
      </c>
      <c r="I22" s="3886" t="s">
        <v>1024</v>
      </c>
      <c r="J22" s="3887">
        <v>0.5</v>
      </c>
      <c r="K22" s="3888"/>
      <c r="L22" s="3925" t="s">
        <v>1106</v>
      </c>
      <c r="M22" s="3926" t="s">
        <v>1095</v>
      </c>
      <c r="N22" s="4957"/>
      <c r="O22" s="5039">
        <v>8377140</v>
      </c>
      <c r="P22" s="5039"/>
      <c r="Q22" s="5040">
        <v>837714</v>
      </c>
      <c r="R22" s="5040"/>
      <c r="S22" s="5026" t="s">
        <v>1395</v>
      </c>
      <c r="T22" s="5026" t="s">
        <v>1396</v>
      </c>
    </row>
    <row r="23" spans="2:20" ht="63.75">
      <c r="B23" s="3880" t="s">
        <v>751</v>
      </c>
      <c r="C23" s="3915" t="s">
        <v>724</v>
      </c>
      <c r="D23" s="3881">
        <v>838600</v>
      </c>
      <c r="E23" s="3882"/>
      <c r="F23" s="3883">
        <v>3646000</v>
      </c>
      <c r="G23" s="3884"/>
      <c r="H23" s="3885">
        <v>0.23001371742112484</v>
      </c>
      <c r="I23" s="3886" t="s">
        <v>1024</v>
      </c>
      <c r="J23" s="3887">
        <v>0.5</v>
      </c>
      <c r="K23" s="3888"/>
      <c r="L23" s="3925" t="s">
        <v>1107</v>
      </c>
      <c r="M23" s="3926" t="s">
        <v>1095</v>
      </c>
      <c r="N23" s="4957"/>
      <c r="O23" s="5039">
        <v>8000000</v>
      </c>
      <c r="P23" s="5039"/>
      <c r="Q23" s="5040">
        <v>1840109.7393689987</v>
      </c>
      <c r="R23" s="5040"/>
      <c r="S23" s="5026" t="s">
        <v>1397</v>
      </c>
      <c r="T23" s="5026" t="s">
        <v>1414</v>
      </c>
    </row>
    <row r="24" spans="2:20" ht="63.75">
      <c r="B24" s="3880" t="s">
        <v>751</v>
      </c>
      <c r="C24" s="3915" t="s">
        <v>725</v>
      </c>
      <c r="D24" s="3881">
        <v>279000</v>
      </c>
      <c r="E24" s="3882"/>
      <c r="F24" s="3883">
        <v>900000</v>
      </c>
      <c r="G24" s="3884"/>
      <c r="H24" s="3885">
        <v>0.31</v>
      </c>
      <c r="I24" s="3886" t="s">
        <v>1024</v>
      </c>
      <c r="J24" s="3887">
        <v>0.44444444444444442</v>
      </c>
      <c r="K24" s="3888"/>
      <c r="L24" s="3925" t="s">
        <v>1108</v>
      </c>
      <c r="M24" s="3926" t="s">
        <v>1109</v>
      </c>
      <c r="N24" s="4957"/>
      <c r="O24" s="5039">
        <v>1000000</v>
      </c>
      <c r="P24" s="5039"/>
      <c r="Q24" s="5040">
        <v>310000</v>
      </c>
      <c r="R24" s="5040"/>
      <c r="S24" s="5026" t="s">
        <v>1398</v>
      </c>
      <c r="T24" s="5026" t="s">
        <v>1358</v>
      </c>
    </row>
    <row r="25" spans="2:20" ht="45">
      <c r="B25" s="3880" t="s">
        <v>751</v>
      </c>
      <c r="C25" s="3915" t="s">
        <v>726</v>
      </c>
      <c r="D25" s="3881">
        <v>20400</v>
      </c>
      <c r="E25" s="3882"/>
      <c r="F25" s="3883">
        <v>510000</v>
      </c>
      <c r="G25" s="3884"/>
      <c r="H25" s="3885">
        <v>0.04</v>
      </c>
      <c r="I25" s="3886"/>
      <c r="J25" s="3887">
        <v>0.78431372549019607</v>
      </c>
      <c r="K25" s="3888"/>
      <c r="L25" s="3925" t="s">
        <v>1110</v>
      </c>
      <c r="M25" s="3926" t="s">
        <v>1111</v>
      </c>
      <c r="N25" s="4957"/>
      <c r="O25" s="5039">
        <v>110000</v>
      </c>
      <c r="P25" s="5039"/>
      <c r="Q25" s="5040">
        <v>4400</v>
      </c>
      <c r="R25" s="5040"/>
      <c r="S25" s="5026" t="s">
        <v>1399</v>
      </c>
      <c r="T25" s="5026" t="s">
        <v>1359</v>
      </c>
    </row>
    <row r="26" spans="2:20" ht="63.75">
      <c r="B26" s="3880" t="s">
        <v>1034</v>
      </c>
      <c r="C26" s="3915" t="s">
        <v>1112</v>
      </c>
      <c r="D26" s="3881">
        <v>355300</v>
      </c>
      <c r="E26" s="3882">
        <v>724900</v>
      </c>
      <c r="F26" s="3883">
        <v>2090000</v>
      </c>
      <c r="G26" s="3884">
        <v>231000</v>
      </c>
      <c r="H26" s="3885">
        <v>0.16998556998556999</v>
      </c>
      <c r="I26" s="3886">
        <v>3.138095238095238</v>
      </c>
      <c r="J26" s="3887">
        <v>0.47368421052631576</v>
      </c>
      <c r="K26" s="3888">
        <v>0.47619047619047616</v>
      </c>
      <c r="L26" s="3925" t="s">
        <v>1113</v>
      </c>
      <c r="M26" s="3926" t="s">
        <v>1114</v>
      </c>
      <c r="N26" s="4957"/>
      <c r="O26" s="5039">
        <v>700000</v>
      </c>
      <c r="P26" s="5039">
        <v>100000</v>
      </c>
      <c r="Q26" s="5040">
        <v>118989.898989899</v>
      </c>
      <c r="R26" s="5040">
        <v>313809.52380952379</v>
      </c>
      <c r="S26" s="5026" t="s">
        <v>1400</v>
      </c>
      <c r="T26" s="5026" t="s">
        <v>1358</v>
      </c>
    </row>
    <row r="27" spans="2:20" ht="22.5">
      <c r="B27" s="3880" t="s">
        <v>1034</v>
      </c>
      <c r="C27" s="3915" t="s">
        <v>1115</v>
      </c>
      <c r="D27" s="3881">
        <v>1300</v>
      </c>
      <c r="E27" s="3882">
        <v>32200</v>
      </c>
      <c r="F27" s="3883">
        <v>14000</v>
      </c>
      <c r="G27" s="3884">
        <v>21000</v>
      </c>
      <c r="H27" s="3885">
        <v>9.285714285714286E-2</v>
      </c>
      <c r="I27" s="3886">
        <v>1.5333333333333334</v>
      </c>
      <c r="J27" s="3887">
        <v>0.5</v>
      </c>
      <c r="K27" s="3888">
        <v>0.5</v>
      </c>
      <c r="L27" s="3925" t="s">
        <v>1415</v>
      </c>
      <c r="M27" s="3926" t="s">
        <v>1116</v>
      </c>
      <c r="N27" s="4957"/>
      <c r="O27" s="5039">
        <v>7000</v>
      </c>
      <c r="P27" s="5039">
        <v>10000</v>
      </c>
      <c r="Q27" s="5040">
        <v>650</v>
      </c>
      <c r="R27" s="5040">
        <v>15333.333333333334</v>
      </c>
      <c r="S27" s="5026" t="s">
        <v>1358</v>
      </c>
      <c r="T27" s="5026" t="s">
        <v>1358</v>
      </c>
    </row>
    <row r="28" spans="2:20" ht="15.75" thickBot="1">
      <c r="B28" s="3845" t="s">
        <v>751</v>
      </c>
      <c r="C28" s="3916" t="s">
        <v>743</v>
      </c>
      <c r="D28" s="3831"/>
      <c r="E28" s="3832">
        <v>36000</v>
      </c>
      <c r="F28" s="3833">
        <v>0</v>
      </c>
      <c r="G28" s="3834">
        <v>24000</v>
      </c>
      <c r="H28" s="3835" t="s">
        <v>1024</v>
      </c>
      <c r="I28" s="3836">
        <v>1.5</v>
      </c>
      <c r="J28" s="3846" t="s">
        <v>1024</v>
      </c>
      <c r="K28" s="3847">
        <v>0.5</v>
      </c>
      <c r="L28" s="3933" t="s">
        <v>1117</v>
      </c>
      <c r="M28" s="3934" t="s">
        <v>1116</v>
      </c>
      <c r="N28" s="4958"/>
      <c r="O28" s="5039"/>
      <c r="P28" s="5039">
        <v>12000</v>
      </c>
      <c r="Q28" s="5040"/>
      <c r="R28" s="5040">
        <v>18000</v>
      </c>
      <c r="S28" s="5026" t="s">
        <v>1358</v>
      </c>
      <c r="T28" s="5026" t="s">
        <v>1358</v>
      </c>
    </row>
    <row r="29" spans="2:20" ht="16.5" thickBot="1">
      <c r="B29" s="3806"/>
      <c r="C29" s="3807" t="s">
        <v>729</v>
      </c>
      <c r="D29" s="3839">
        <v>52825900</v>
      </c>
      <c r="E29" s="3840">
        <v>6437600</v>
      </c>
      <c r="F29" s="3841">
        <v>244900000</v>
      </c>
      <c r="G29" s="3842">
        <v>3178000</v>
      </c>
      <c r="H29" s="3808"/>
      <c r="I29" s="3809"/>
      <c r="J29" s="3799"/>
      <c r="K29" s="3799"/>
      <c r="L29" s="3799"/>
      <c r="M29" s="3799"/>
      <c r="N29" s="4949"/>
      <c r="O29" s="5043">
        <v>121268140</v>
      </c>
      <c r="P29" s="5043">
        <v>1266900</v>
      </c>
      <c r="Q29" s="5044">
        <v>14131656.838358898</v>
      </c>
      <c r="R29" s="5044">
        <v>1877839.6571428571</v>
      </c>
      <c r="S29" s="5024"/>
      <c r="T29" s="5024"/>
    </row>
    <row r="30" spans="2:20" ht="15">
      <c r="B30" s="3806"/>
      <c r="C30" s="3807"/>
      <c r="D30" s="3810"/>
      <c r="E30" s="3810"/>
      <c r="F30" s="3811"/>
      <c r="G30" s="3811"/>
      <c r="H30" s="3801"/>
      <c r="I30" s="3799"/>
      <c r="J30" s="3799"/>
      <c r="K30" s="3799"/>
      <c r="L30" s="3799"/>
      <c r="M30" s="3799"/>
      <c r="N30" s="4949"/>
      <c r="O30" s="5045"/>
      <c r="P30" s="5045"/>
      <c r="Q30" s="5046"/>
      <c r="R30" s="5046"/>
      <c r="S30" s="5024"/>
      <c r="T30" s="5024"/>
    </row>
    <row r="31" spans="2:20" ht="15.75" thickBot="1">
      <c r="B31" s="3806"/>
      <c r="C31" s="3812"/>
      <c r="D31" s="3813"/>
      <c r="E31" s="3813"/>
      <c r="F31" s="3814"/>
      <c r="G31" s="3815"/>
      <c r="H31" s="3801"/>
      <c r="I31" s="3799"/>
      <c r="J31" s="3799"/>
      <c r="K31" s="3799"/>
      <c r="L31" s="3799"/>
      <c r="M31" s="3799"/>
      <c r="N31" s="4949"/>
      <c r="O31" s="5045"/>
      <c r="P31" s="5045"/>
      <c r="Q31" s="5046"/>
      <c r="R31" s="5046"/>
      <c r="S31" s="5024"/>
      <c r="T31" s="5024"/>
    </row>
    <row r="32" spans="2:20" ht="16.5" thickBot="1">
      <c r="B32" s="3806"/>
      <c r="C32" s="3812"/>
      <c r="D32" s="5183" t="s">
        <v>1011</v>
      </c>
      <c r="E32" s="5184"/>
      <c r="F32" s="5183" t="s">
        <v>1012</v>
      </c>
      <c r="G32" s="5184"/>
      <c r="H32" s="3801"/>
      <c r="I32" s="3818"/>
      <c r="J32" s="5183" t="s">
        <v>1014</v>
      </c>
      <c r="K32" s="5185"/>
      <c r="L32" s="5183" t="s">
        <v>1015</v>
      </c>
      <c r="M32" s="5184"/>
      <c r="N32" s="4959"/>
      <c r="O32" s="5175"/>
      <c r="P32" s="5175"/>
      <c r="Q32" s="5047"/>
      <c r="R32" s="5047"/>
      <c r="S32" s="5024"/>
      <c r="T32" s="5024"/>
    </row>
    <row r="33" spans="2:20" ht="16.5" thickBot="1">
      <c r="B33" s="3806"/>
      <c r="C33" s="3816" t="s">
        <v>1035</v>
      </c>
      <c r="D33" s="3804" t="s">
        <v>5</v>
      </c>
      <c r="E33" s="3805" t="s">
        <v>99</v>
      </c>
      <c r="F33" s="3804" t="s">
        <v>1017</v>
      </c>
      <c r="G33" s="3805" t="s">
        <v>1018</v>
      </c>
      <c r="H33" s="3801"/>
      <c r="I33" s="3819"/>
      <c r="J33" s="3804" t="s">
        <v>5</v>
      </c>
      <c r="K33" s="3820"/>
      <c r="L33" s="3855" t="s">
        <v>1021</v>
      </c>
      <c r="M33" s="3856" t="s">
        <v>1022</v>
      </c>
      <c r="N33" s="4951"/>
      <c r="O33" s="5048"/>
      <c r="P33" s="5048"/>
      <c r="Q33" s="5049"/>
      <c r="R33" s="5049"/>
      <c r="S33" s="5024"/>
      <c r="T33" s="5024"/>
    </row>
    <row r="34" spans="2:20" ht="16.5" thickBot="1">
      <c r="B34" s="3800"/>
      <c r="C34" s="3893" t="s">
        <v>953</v>
      </c>
      <c r="D34" s="3860"/>
      <c r="E34" s="3861"/>
      <c r="F34" s="3863"/>
      <c r="G34" s="3862"/>
      <c r="H34" s="3823"/>
      <c r="I34" s="3894" t="s">
        <v>953</v>
      </c>
      <c r="J34" s="3827">
        <v>0.60540540540540544</v>
      </c>
      <c r="K34" s="3850"/>
      <c r="L34" s="3857"/>
      <c r="M34" s="3821"/>
      <c r="N34" s="4952"/>
      <c r="O34" s="5050"/>
      <c r="P34" s="5050"/>
      <c r="Q34" s="5051"/>
      <c r="R34" s="5051"/>
      <c r="S34" s="5024"/>
      <c r="T34" s="5024"/>
    </row>
    <row r="35" spans="2:20" ht="38.25">
      <c r="B35" s="3800"/>
      <c r="C35" s="3917" t="s">
        <v>954</v>
      </c>
      <c r="D35" s="3872">
        <v>0</v>
      </c>
      <c r="E35" s="3873">
        <v>0</v>
      </c>
      <c r="F35" s="3911">
        <v>56000</v>
      </c>
      <c r="G35" s="3875">
        <v>0</v>
      </c>
      <c r="H35" s="3823"/>
      <c r="I35" s="3858"/>
      <c r="J35" s="3878">
        <v>1</v>
      </c>
      <c r="K35" s="3909"/>
      <c r="L35" s="3889" t="s">
        <v>1036</v>
      </c>
      <c r="M35" s="3890" t="s">
        <v>870</v>
      </c>
      <c r="N35" s="4960"/>
      <c r="O35" s="5052"/>
      <c r="P35" s="5052"/>
      <c r="Q35" s="5053"/>
      <c r="R35" s="5053"/>
      <c r="S35" s="5024"/>
      <c r="T35" s="5024"/>
    </row>
    <row r="36" spans="2:20" ht="38.25">
      <c r="B36" s="3800"/>
      <c r="C36" s="3918" t="s">
        <v>955</v>
      </c>
      <c r="D36" s="3881">
        <v>0</v>
      </c>
      <c r="E36" s="3882">
        <v>0</v>
      </c>
      <c r="F36" s="3912">
        <v>3000</v>
      </c>
      <c r="G36" s="3884">
        <v>0</v>
      </c>
      <c r="H36" s="3859"/>
      <c r="I36" s="3858"/>
      <c r="J36" s="3887">
        <v>1</v>
      </c>
      <c r="K36" s="3910"/>
      <c r="L36" s="3891" t="s">
        <v>1036</v>
      </c>
      <c r="M36" s="3892" t="s">
        <v>870</v>
      </c>
      <c r="N36" s="4961"/>
      <c r="O36" s="5052"/>
      <c r="P36" s="5052"/>
      <c r="Q36" s="5053"/>
      <c r="R36" s="5053"/>
      <c r="S36" s="5024"/>
      <c r="T36" s="5024"/>
    </row>
    <row r="37" spans="2:20" ht="38.25">
      <c r="B37" s="3800"/>
      <c r="C37" s="3918" t="s">
        <v>956</v>
      </c>
      <c r="D37" s="3881">
        <v>0</v>
      </c>
      <c r="E37" s="3882">
        <v>0</v>
      </c>
      <c r="F37" s="3912">
        <v>28000</v>
      </c>
      <c r="G37" s="3884">
        <v>0</v>
      </c>
      <c r="H37" s="3859"/>
      <c r="I37" s="3858"/>
      <c r="J37" s="3887">
        <v>1</v>
      </c>
      <c r="K37" s="3910"/>
      <c r="L37" s="3891" t="s">
        <v>1036</v>
      </c>
      <c r="M37" s="3892" t="s">
        <v>870</v>
      </c>
      <c r="N37" s="4961"/>
      <c r="O37" s="5052"/>
      <c r="P37" s="5052"/>
      <c r="Q37" s="5053"/>
      <c r="R37" s="5053"/>
      <c r="S37" s="5024"/>
      <c r="T37" s="5024"/>
    </row>
    <row r="38" spans="2:20" ht="38.25">
      <c r="B38" s="3800"/>
      <c r="C38" s="3918" t="s">
        <v>957</v>
      </c>
      <c r="D38" s="3881">
        <v>0</v>
      </c>
      <c r="E38" s="3882">
        <v>0</v>
      </c>
      <c r="F38" s="3912">
        <v>24000</v>
      </c>
      <c r="G38" s="3884">
        <v>0</v>
      </c>
      <c r="H38" s="3859"/>
      <c r="I38" s="3858"/>
      <c r="J38" s="3887">
        <v>1</v>
      </c>
      <c r="K38" s="3910"/>
      <c r="L38" s="3891" t="s">
        <v>1037</v>
      </c>
      <c r="M38" s="3892" t="s">
        <v>870</v>
      </c>
      <c r="N38" s="4961"/>
      <c r="O38" s="5052"/>
      <c r="P38" s="5052"/>
      <c r="Q38" s="5053"/>
      <c r="R38" s="5053"/>
      <c r="S38" s="5024"/>
      <c r="T38" s="5024"/>
    </row>
    <row r="39" spans="2:20" ht="25.5">
      <c r="B39" s="3800"/>
      <c r="C39" s="3918" t="s">
        <v>958</v>
      </c>
      <c r="D39" s="3881">
        <v>0</v>
      </c>
      <c r="E39" s="3882">
        <v>0</v>
      </c>
      <c r="F39" s="3912">
        <v>1000</v>
      </c>
      <c r="G39" s="3884">
        <v>0</v>
      </c>
      <c r="H39" s="3859"/>
      <c r="I39" s="3858"/>
      <c r="J39" s="3887">
        <v>1</v>
      </c>
      <c r="K39" s="3910"/>
      <c r="L39" s="3891" t="s">
        <v>1038</v>
      </c>
      <c r="M39" s="3892" t="s">
        <v>870</v>
      </c>
      <c r="N39" s="4961"/>
      <c r="O39" s="5052"/>
      <c r="P39" s="5052"/>
      <c r="Q39" s="5053"/>
      <c r="R39" s="5053"/>
      <c r="S39" s="5024"/>
      <c r="T39" s="5024"/>
    </row>
    <row r="40" spans="2:20" ht="25.5">
      <c r="B40" s="3800"/>
      <c r="C40" s="3918" t="s">
        <v>959</v>
      </c>
      <c r="D40" s="3881">
        <v>0</v>
      </c>
      <c r="E40" s="3882">
        <v>0</v>
      </c>
      <c r="F40" s="3912">
        <v>0</v>
      </c>
      <c r="G40" s="3884">
        <v>0</v>
      </c>
      <c r="H40" s="3859"/>
      <c r="I40" s="3858"/>
      <c r="J40" s="3887">
        <v>0</v>
      </c>
      <c r="K40" s="3910"/>
      <c r="L40" s="3891" t="s">
        <v>1118</v>
      </c>
      <c r="M40" s="3892" t="s">
        <v>870</v>
      </c>
      <c r="N40" s="4961"/>
      <c r="O40" s="5052"/>
      <c r="P40" s="5052"/>
      <c r="Q40" s="5053"/>
      <c r="R40" s="5053"/>
      <c r="S40" s="5024"/>
      <c r="T40" s="5024"/>
    </row>
    <row r="41" spans="2:20" ht="38.25">
      <c r="B41" s="3800"/>
      <c r="C41" s="3918" t="s">
        <v>960</v>
      </c>
      <c r="D41" s="3881">
        <v>0</v>
      </c>
      <c r="E41" s="3882">
        <v>0</v>
      </c>
      <c r="F41" s="3912">
        <v>35000</v>
      </c>
      <c r="G41" s="3884">
        <v>0</v>
      </c>
      <c r="H41" s="3859"/>
      <c r="I41" s="3858"/>
      <c r="J41" s="3887">
        <v>0</v>
      </c>
      <c r="K41" s="3910"/>
      <c r="L41" s="3891" t="s">
        <v>1039</v>
      </c>
      <c r="M41" s="3892" t="s">
        <v>870</v>
      </c>
      <c r="N41" s="4961"/>
      <c r="O41" s="5054">
        <v>35000</v>
      </c>
      <c r="P41" s="5052"/>
      <c r="Q41" s="5053"/>
      <c r="R41" s="5053"/>
      <c r="S41" s="5026" t="s">
        <v>1358</v>
      </c>
      <c r="T41" s="5026" t="s">
        <v>1358</v>
      </c>
    </row>
    <row r="42" spans="2:20" ht="39" thickBot="1">
      <c r="B42" s="3800"/>
      <c r="C42" s="3919" t="s">
        <v>961</v>
      </c>
      <c r="D42" s="3831">
        <v>0</v>
      </c>
      <c r="E42" s="3832">
        <v>0</v>
      </c>
      <c r="F42" s="3900">
        <v>38000</v>
      </c>
      <c r="G42" s="3834">
        <v>0</v>
      </c>
      <c r="H42" s="3905"/>
      <c r="I42" s="3858"/>
      <c r="J42" s="3829">
        <v>0</v>
      </c>
      <c r="K42" s="3849"/>
      <c r="L42" s="3851" t="s">
        <v>1036</v>
      </c>
      <c r="M42" s="3852" t="s">
        <v>870</v>
      </c>
      <c r="N42" s="4962"/>
      <c r="O42" s="5054">
        <v>38000</v>
      </c>
      <c r="P42" s="5052"/>
      <c r="Q42" s="5053"/>
      <c r="R42" s="5053"/>
      <c r="S42" s="5026" t="s">
        <v>1358</v>
      </c>
      <c r="T42" s="5026" t="s">
        <v>1358</v>
      </c>
    </row>
    <row r="43" spans="2:20" ht="15.75" thickBot="1">
      <c r="B43" s="3800"/>
      <c r="C43" s="3893" t="s">
        <v>1040</v>
      </c>
      <c r="D43" s="3901"/>
      <c r="E43" s="3902"/>
      <c r="F43" s="3903"/>
      <c r="G43" s="3904"/>
      <c r="H43" s="3859"/>
      <c r="I43" s="3906" t="s">
        <v>962</v>
      </c>
      <c r="J43" s="3907">
        <v>0.5</v>
      </c>
      <c r="K43" s="3908"/>
      <c r="L43" s="3857"/>
      <c r="M43" s="3822"/>
      <c r="N43" s="4963"/>
      <c r="O43" s="5054"/>
      <c r="P43" s="5052"/>
      <c r="Q43" s="5053"/>
      <c r="R43" s="5053"/>
      <c r="S43" s="5026"/>
      <c r="T43" s="5026"/>
    </row>
    <row r="44" spans="2:20" ht="25.5">
      <c r="B44" s="3800"/>
      <c r="C44" s="3920" t="s">
        <v>963</v>
      </c>
      <c r="D44" s="3895">
        <v>0</v>
      </c>
      <c r="E44" s="3896">
        <v>0</v>
      </c>
      <c r="F44" s="3897">
        <v>1700000</v>
      </c>
      <c r="G44" s="3898">
        <v>0</v>
      </c>
      <c r="H44" s="3859"/>
      <c r="I44" s="3858"/>
      <c r="J44" s="3878">
        <v>0.5</v>
      </c>
      <c r="K44" s="3909"/>
      <c r="L44" s="3889" t="s">
        <v>1041</v>
      </c>
      <c r="M44" s="3890" t="s">
        <v>870</v>
      </c>
      <c r="N44" s="4960"/>
      <c r="O44" s="5054">
        <v>425000</v>
      </c>
      <c r="P44" s="5052"/>
      <c r="Q44" s="5053">
        <v>0</v>
      </c>
      <c r="R44" s="5053"/>
      <c r="S44" s="5026" t="s">
        <v>1360</v>
      </c>
      <c r="T44" s="5026"/>
    </row>
    <row r="45" spans="2:20" ht="51.75" thickBot="1">
      <c r="B45" s="3800"/>
      <c r="C45" s="3921" t="s">
        <v>964</v>
      </c>
      <c r="D45" s="3860">
        <v>0</v>
      </c>
      <c r="E45" s="3861">
        <v>0</v>
      </c>
      <c r="F45" s="3899">
        <v>14272000</v>
      </c>
      <c r="G45" s="3862">
        <v>0</v>
      </c>
      <c r="H45" s="3859"/>
      <c r="I45" s="3863"/>
      <c r="J45" s="3923">
        <v>0.5</v>
      </c>
      <c r="K45" s="3924"/>
      <c r="L45" s="3853" t="s">
        <v>1042</v>
      </c>
      <c r="M45" s="3854" t="s">
        <v>870</v>
      </c>
      <c r="N45" s="4962"/>
      <c r="O45" s="5054">
        <v>1650000</v>
      </c>
      <c r="P45" s="5050"/>
      <c r="Q45" s="5051">
        <v>0</v>
      </c>
      <c r="R45" s="5051"/>
      <c r="S45" s="5026" t="s">
        <v>1361</v>
      </c>
      <c r="T45" s="5026"/>
    </row>
    <row r="46" spans="2:20" ht="15.75" thickBot="1">
      <c r="B46" s="3801"/>
      <c r="C46" s="3864" t="s">
        <v>729</v>
      </c>
      <c r="D46" s="3865">
        <v>0</v>
      </c>
      <c r="E46" s="3866">
        <v>0</v>
      </c>
      <c r="F46" s="3867">
        <v>16157000</v>
      </c>
      <c r="G46" s="3868">
        <v>0</v>
      </c>
      <c r="H46" s="3859"/>
      <c r="I46" s="3859"/>
      <c r="J46" s="3849"/>
      <c r="K46" s="3849"/>
      <c r="L46" s="3848"/>
      <c r="M46" s="3848"/>
      <c r="N46" s="4948"/>
      <c r="O46" s="5055">
        <v>2148000</v>
      </c>
      <c r="P46" s="5055">
        <v>0</v>
      </c>
      <c r="Q46" s="5055">
        <v>0</v>
      </c>
      <c r="R46" s="5055">
        <v>0</v>
      </c>
      <c r="S46" s="5027"/>
      <c r="T46" s="5027"/>
    </row>
    <row r="47" spans="2:20">
      <c r="B47" s="3801"/>
      <c r="C47" s="3799"/>
      <c r="D47" s="3799"/>
      <c r="E47" s="3799"/>
      <c r="F47" s="3817"/>
      <c r="G47" s="3799"/>
      <c r="H47" s="3799"/>
      <c r="I47" s="3799"/>
      <c r="J47" s="3849"/>
      <c r="K47" s="3849"/>
      <c r="L47" s="3848"/>
      <c r="M47" s="3848"/>
      <c r="N47" s="4948"/>
      <c r="O47" s="5030"/>
      <c r="P47" s="5030"/>
      <c r="Q47" s="5056"/>
      <c r="R47" s="5056"/>
      <c r="S47" s="5027"/>
      <c r="T47" s="5027"/>
    </row>
    <row r="48" spans="2:20">
      <c r="B48" s="3347"/>
      <c r="C48" s="3347"/>
      <c r="D48" s="3347"/>
      <c r="E48" s="3347"/>
      <c r="F48" s="3349"/>
      <c r="G48" s="3347"/>
      <c r="H48" s="3347"/>
      <c r="I48" s="3347"/>
      <c r="J48" s="3351"/>
      <c r="K48" s="3351"/>
      <c r="L48" s="3350"/>
      <c r="M48" s="3350"/>
      <c r="N48" s="4948"/>
      <c r="O48" s="5030"/>
      <c r="P48" s="5030"/>
      <c r="Q48" s="5056"/>
      <c r="R48" s="5056"/>
      <c r="S48" s="5027"/>
      <c r="T48" s="5027"/>
    </row>
    <row r="49" spans="6:20">
      <c r="F49" s="3347"/>
      <c r="G49" s="3347"/>
      <c r="H49" s="3347"/>
      <c r="I49" s="3347"/>
      <c r="J49" s="3351"/>
      <c r="K49" s="3351"/>
      <c r="L49" s="3350"/>
      <c r="M49" s="3350"/>
      <c r="N49" s="4948"/>
      <c r="O49" s="5030"/>
      <c r="P49" s="5030"/>
      <c r="Q49" s="5056"/>
      <c r="R49" s="5056"/>
      <c r="S49" s="4739"/>
      <c r="T49" s="4739"/>
    </row>
    <row r="50" spans="6:20">
      <c r="F50" s="3349"/>
      <c r="G50" s="3347"/>
      <c r="H50" s="3347"/>
      <c r="I50" s="3347"/>
      <c r="J50" s="3351"/>
      <c r="K50" s="3351"/>
      <c r="L50" s="3350"/>
      <c r="M50" s="3350"/>
      <c r="N50" s="4948"/>
      <c r="O50" s="5030"/>
      <c r="P50" s="5030"/>
      <c r="Q50" s="5056"/>
      <c r="R50" s="5056"/>
      <c r="S50" s="4739"/>
      <c r="T50" s="4739"/>
    </row>
    <row r="51" spans="6:20">
      <c r="F51" s="3349"/>
      <c r="G51" s="3347"/>
      <c r="H51" s="3347"/>
      <c r="I51" s="3347"/>
      <c r="J51" s="3351"/>
      <c r="K51" s="3351"/>
      <c r="L51" s="3350"/>
      <c r="M51" s="3350"/>
      <c r="N51" s="4948"/>
      <c r="O51" s="5030"/>
      <c r="P51" s="5030"/>
      <c r="Q51" s="5056"/>
      <c r="R51" s="5056"/>
      <c r="S51" s="4739"/>
      <c r="T51" s="4739"/>
    </row>
    <row r="52" spans="6:20">
      <c r="F52" s="3347"/>
      <c r="G52" s="3347"/>
      <c r="H52" s="3347"/>
      <c r="I52" s="3347"/>
      <c r="J52" s="3351"/>
      <c r="K52" s="3351"/>
      <c r="L52" s="3350"/>
      <c r="M52" s="3350"/>
      <c r="N52" s="4948"/>
      <c r="O52" s="5030"/>
      <c r="P52" s="5030"/>
      <c r="Q52" s="5056"/>
      <c r="R52" s="5056"/>
      <c r="S52" s="4739"/>
      <c r="T52" s="4739"/>
    </row>
    <row r="53" spans="6:20">
      <c r="F53" s="3347"/>
      <c r="G53" s="3347"/>
      <c r="H53" s="3347"/>
      <c r="I53" s="3347"/>
      <c r="J53" s="3351"/>
      <c r="K53" s="3351"/>
      <c r="L53" s="3350"/>
      <c r="M53" s="3350"/>
      <c r="N53" s="4948"/>
      <c r="O53" s="5030"/>
      <c r="P53" s="5030"/>
      <c r="Q53" s="5056"/>
      <c r="R53" s="5056"/>
      <c r="S53" s="4739"/>
      <c r="T53" s="4739"/>
    </row>
    <row r="54" spans="6:20">
      <c r="F54" s="3347"/>
      <c r="G54" s="3347"/>
      <c r="H54" s="3347"/>
      <c r="I54" s="3347"/>
      <c r="J54" s="3351"/>
      <c r="K54" s="3351"/>
      <c r="L54" s="3350"/>
      <c r="M54" s="3350"/>
      <c r="N54" s="4948"/>
      <c r="O54" s="5030"/>
      <c r="P54" s="5030"/>
      <c r="Q54" s="5056"/>
      <c r="R54" s="5056"/>
      <c r="S54" s="4739"/>
      <c r="T54" s="4739"/>
    </row>
    <row r="55" spans="6:20">
      <c r="F55" s="3347"/>
      <c r="G55" s="3347"/>
      <c r="H55" s="3347"/>
      <c r="I55" s="3347"/>
      <c r="J55" s="3351"/>
      <c r="K55" s="3351"/>
      <c r="L55" s="3350"/>
      <c r="M55" s="3350"/>
      <c r="N55" s="4948"/>
      <c r="O55" s="5030"/>
      <c r="P55" s="5030"/>
      <c r="Q55" s="5056"/>
      <c r="R55" s="5056"/>
      <c r="S55" s="4739"/>
      <c r="T55" s="4739"/>
    </row>
    <row r="56" spans="6:20">
      <c r="F56" s="3347"/>
      <c r="G56" s="3347"/>
      <c r="H56" s="3347"/>
      <c r="I56" s="3347"/>
      <c r="J56" s="3351"/>
      <c r="K56" s="3351"/>
      <c r="L56" s="3350"/>
      <c r="M56" s="3350"/>
      <c r="N56" s="4948"/>
      <c r="O56" s="5030"/>
      <c r="P56" s="5030"/>
      <c r="Q56" s="5056"/>
      <c r="R56" s="5056"/>
      <c r="S56" s="4739"/>
      <c r="T56" s="4739"/>
    </row>
    <row r="57" spans="6:20">
      <c r="F57" s="3347"/>
      <c r="G57" s="3347"/>
      <c r="H57" s="3347"/>
      <c r="I57" s="3347"/>
      <c r="J57" s="3351"/>
      <c r="K57" s="3351"/>
      <c r="L57" s="3350"/>
      <c r="M57" s="3350"/>
      <c r="N57" s="4948"/>
      <c r="O57" s="5030"/>
      <c r="P57" s="5030"/>
      <c r="Q57" s="5056"/>
      <c r="R57" s="5056"/>
      <c r="S57" s="4739"/>
      <c r="T57" s="4739"/>
    </row>
  </sheetData>
  <sheetProtection password="9E1F" sheet="1" objects="1" scenarios="1"/>
  <customSheetViews>
    <customSheetView guid="{074EB09C-6289-46D7-9513-012B68BCA7BF}" fitToPage="1">
      <pane xSplit="1" ySplit="1" topLeftCell="O2" activePane="bottomRight" state="frozen"/>
      <selection pane="bottomRight"/>
      <pageMargins left="0.7" right="0.7" top="0.75" bottom="0.75" header="0.3" footer="0.3"/>
      <pageSetup paperSize="17" scale="39" orientation="landscape" r:id="rId1"/>
    </customSheetView>
    <customSheetView guid="{AF9F1D33-B8C2-423F-86A1-47612B8F532C}" fitToPage="1">
      <pane xSplit="1" ySplit="1" topLeftCell="J2" activePane="bottomRight" state="frozenSplit"/>
      <selection pane="bottomRight"/>
      <pageMargins left="0.7" right="0.7" top="0.75" bottom="0.75" header="0.3" footer="0.3"/>
      <pageSetup paperSize="17" scale="51" orientation="landscape"/>
    </customSheetView>
  </customSheetViews>
  <mergeCells count="15">
    <mergeCell ref="D32:E32"/>
    <mergeCell ref="F32:G32"/>
    <mergeCell ref="L5:M5"/>
    <mergeCell ref="J32:K32"/>
    <mergeCell ref="L32:M32"/>
    <mergeCell ref="H5:I5"/>
    <mergeCell ref="J5:K5"/>
    <mergeCell ref="D5:E5"/>
    <mergeCell ref="F5:G5"/>
    <mergeCell ref="S3:T3"/>
    <mergeCell ref="S5:T5"/>
    <mergeCell ref="O32:P32"/>
    <mergeCell ref="O3:R3"/>
    <mergeCell ref="O5:P5"/>
    <mergeCell ref="Q5:R5"/>
  </mergeCells>
  <pageMargins left="0.7" right="0.26" top="0.34" bottom="0.47" header="0.3" footer="0.3"/>
  <pageSetup paperSize="17" scale="42" orientation="landscape" r:id="rId2"/>
  <drawing r:id="rId3"/>
</worksheet>
</file>

<file path=xl/worksheets/sheet93.xml><?xml version="1.0" encoding="utf-8"?>
<worksheet xmlns="http://schemas.openxmlformats.org/spreadsheetml/2006/main" xmlns:r="http://schemas.openxmlformats.org/officeDocument/2006/relationships">
  <sheetPr enableFormatConditionsCalculation="0">
    <tabColor rgb="FF91D242"/>
    <pageSetUpPr fitToPage="1"/>
  </sheetPr>
  <dimension ref="A1:Y29"/>
  <sheetViews>
    <sheetView zoomScaleNormal="100" workbookViewId="0">
      <pane xSplit="1" ySplit="1" topLeftCell="T2" activePane="bottomRight" state="frozen"/>
      <selection pane="topRight" activeCell="B1" sqref="B1"/>
      <selection pane="bottomLeft" activeCell="A2" sqref="A2"/>
      <selection pane="bottomRight" activeCell="T9" sqref="T9"/>
    </sheetView>
  </sheetViews>
  <sheetFormatPr defaultColWidth="8.85546875" defaultRowHeight="12.75"/>
  <cols>
    <col min="1" max="1" width="28" style="3064" customWidth="1"/>
    <col min="4" max="9" width="18.28515625" customWidth="1"/>
    <col min="14" max="15" width="42" customWidth="1"/>
    <col min="17" max="17" width="12.28515625" customWidth="1"/>
    <col min="20" max="20" width="14" bestFit="1" customWidth="1"/>
    <col min="21" max="21" width="12.85546875" bestFit="1" customWidth="1"/>
    <col min="22" max="22" width="17.140625" bestFit="1" customWidth="1"/>
    <col min="23" max="23" width="15.28515625" bestFit="1" customWidth="1"/>
    <col min="24" max="24" width="58.5703125" customWidth="1"/>
    <col min="25" max="25" width="40.5703125" customWidth="1"/>
  </cols>
  <sheetData>
    <row r="1" spans="2:25" ht="30.75" customHeight="1">
      <c r="B1" s="3359" t="s">
        <v>1043</v>
      </c>
      <c r="C1" s="3359"/>
      <c r="D1" s="3358"/>
      <c r="E1" s="3358"/>
      <c r="F1" s="3358"/>
      <c r="G1" s="3358"/>
      <c r="H1" s="3358"/>
      <c r="I1" s="3358"/>
      <c r="J1" s="3358"/>
      <c r="K1" s="3358"/>
      <c r="L1" s="3358"/>
      <c r="M1" s="3358"/>
      <c r="N1" s="3358"/>
      <c r="O1" s="3358"/>
      <c r="P1" s="3358"/>
      <c r="Q1" s="3358"/>
      <c r="R1" s="3358"/>
      <c r="S1" s="4964"/>
      <c r="T1" s="5060"/>
      <c r="U1" s="5059"/>
      <c r="V1" s="5059"/>
      <c r="W1" s="5059"/>
      <c r="X1" s="5059"/>
      <c r="Y1" s="5059"/>
    </row>
    <row r="2" spans="2:25" ht="13.5" thickBot="1">
      <c r="S2" s="4964"/>
      <c r="T2" s="5061"/>
      <c r="U2" s="5059"/>
      <c r="V2" s="5059"/>
      <c r="W2" s="5059"/>
      <c r="X2" s="5059"/>
      <c r="Y2" s="5059"/>
    </row>
    <row r="3" spans="2:25" ht="16.5" customHeight="1">
      <c r="B3" s="3358"/>
      <c r="C3" s="3358"/>
      <c r="D3" s="3461"/>
      <c r="E3" s="3358"/>
      <c r="F3" s="3358"/>
      <c r="G3" s="3363"/>
      <c r="H3" s="3358"/>
      <c r="I3" s="3358"/>
      <c r="J3" s="3358"/>
      <c r="K3" s="3358"/>
      <c r="L3" s="3358"/>
      <c r="M3" s="3358"/>
      <c r="N3" s="3358"/>
      <c r="O3" s="3358"/>
      <c r="P3" s="3358"/>
      <c r="Q3" s="3358"/>
      <c r="R3" s="3358"/>
      <c r="S3" s="4964"/>
      <c r="T3" s="5193" t="s">
        <v>1362</v>
      </c>
      <c r="U3" s="5194"/>
      <c r="V3" s="5194"/>
      <c r="W3" s="5195"/>
      <c r="X3" s="5186" t="s">
        <v>1355</v>
      </c>
      <c r="Y3" s="5187"/>
    </row>
    <row r="4" spans="2:25" ht="13.5" customHeight="1" thickBot="1">
      <c r="B4" s="3358"/>
      <c r="C4" s="3358"/>
      <c r="D4" s="3358"/>
      <c r="E4" s="3358"/>
      <c r="F4" s="3358"/>
      <c r="G4" s="3358"/>
      <c r="H4" s="3358"/>
      <c r="I4" s="3358"/>
      <c r="J4" s="3358"/>
      <c r="K4" s="3358"/>
      <c r="L4" s="3358"/>
      <c r="M4" s="3358"/>
      <c r="N4" s="3358"/>
      <c r="O4" s="3358"/>
      <c r="P4" s="3358"/>
      <c r="Q4" s="3358"/>
      <c r="R4" s="3358"/>
      <c r="S4" s="4964"/>
      <c r="T4" s="5196"/>
      <c r="U4" s="5197"/>
      <c r="V4" s="5197"/>
      <c r="W4" s="5198"/>
      <c r="X4" s="5188"/>
      <c r="Y4" s="5189"/>
    </row>
    <row r="5" spans="2:25" ht="13.5" thickBot="1">
      <c r="B5" s="3935"/>
      <c r="C5" s="3935"/>
      <c r="D5" s="5183" t="s">
        <v>1011</v>
      </c>
      <c r="E5" s="5184"/>
      <c r="F5" s="5183" t="s">
        <v>1044</v>
      </c>
      <c r="G5" s="5184"/>
      <c r="H5" s="5183" t="s">
        <v>1012</v>
      </c>
      <c r="I5" s="5184"/>
      <c r="J5" s="5183" t="s">
        <v>1013</v>
      </c>
      <c r="K5" s="5185"/>
      <c r="L5" s="5183" t="s">
        <v>1014</v>
      </c>
      <c r="M5" s="5184"/>
      <c r="N5" s="5183" t="s">
        <v>1015</v>
      </c>
      <c r="O5" s="5184"/>
      <c r="P5" s="3935"/>
      <c r="Q5" s="4025">
        <v>2012</v>
      </c>
      <c r="R5" s="4026">
        <v>2012</v>
      </c>
      <c r="S5" s="4964"/>
      <c r="T5" s="5179" t="s">
        <v>1356</v>
      </c>
      <c r="U5" s="5180"/>
      <c r="V5" s="5181" t="s">
        <v>1357</v>
      </c>
      <c r="W5" s="5192"/>
      <c r="X5" s="5190" t="s">
        <v>1015</v>
      </c>
      <c r="Y5" s="5191"/>
    </row>
    <row r="6" spans="2:25" ht="13.5" thickBot="1">
      <c r="B6" s="3936"/>
      <c r="C6" s="3949" t="s">
        <v>1016</v>
      </c>
      <c r="D6" s="3947" t="s">
        <v>5</v>
      </c>
      <c r="E6" s="3948" t="s">
        <v>99</v>
      </c>
      <c r="F6" s="3947" t="s">
        <v>5</v>
      </c>
      <c r="G6" s="3948" t="s">
        <v>99</v>
      </c>
      <c r="H6" s="3947" t="s">
        <v>1017</v>
      </c>
      <c r="I6" s="3948" t="s">
        <v>1018</v>
      </c>
      <c r="J6" s="3947" t="s">
        <v>1019</v>
      </c>
      <c r="K6" s="3950" t="s">
        <v>1020</v>
      </c>
      <c r="L6" s="3947" t="s">
        <v>5</v>
      </c>
      <c r="M6" s="3948" t="s">
        <v>99</v>
      </c>
      <c r="N6" s="3943" t="s">
        <v>1021</v>
      </c>
      <c r="O6" s="3953" t="s">
        <v>1119</v>
      </c>
      <c r="P6" s="3935"/>
      <c r="Q6" s="4035" t="s">
        <v>1045</v>
      </c>
      <c r="R6" s="4036" t="s">
        <v>1046</v>
      </c>
      <c r="S6" s="4964"/>
      <c r="T6" s="5063" t="s">
        <v>1017</v>
      </c>
      <c r="U6" s="5064" t="s">
        <v>1018</v>
      </c>
      <c r="V6" s="5063" t="s">
        <v>1017</v>
      </c>
      <c r="W6" s="5064" t="s">
        <v>1018</v>
      </c>
      <c r="X6" s="5078" t="s">
        <v>1021</v>
      </c>
      <c r="Y6" s="5076" t="s">
        <v>1022</v>
      </c>
    </row>
    <row r="7" spans="2:25" ht="13.5" thickBot="1">
      <c r="B7" s="4018"/>
      <c r="C7" s="3955" t="s">
        <v>1023</v>
      </c>
      <c r="D7" s="3956">
        <v>5019200</v>
      </c>
      <c r="E7" s="3957">
        <v>0</v>
      </c>
      <c r="F7" s="3956">
        <v>4007700</v>
      </c>
      <c r="G7" s="3957">
        <v>0</v>
      </c>
      <c r="H7" s="3958">
        <v>38350000</v>
      </c>
      <c r="I7" s="3959">
        <v>50000</v>
      </c>
      <c r="J7" s="3960">
        <v>0.1308787483702738</v>
      </c>
      <c r="K7" s="3961">
        <v>0</v>
      </c>
      <c r="L7" s="3962">
        <v>0.40156453715775747</v>
      </c>
      <c r="M7" s="3963">
        <v>0.66666666666666652</v>
      </c>
      <c r="N7" s="3944"/>
      <c r="O7" s="3951"/>
      <c r="P7" s="3935"/>
      <c r="Q7" s="4037"/>
      <c r="R7" s="4038"/>
      <c r="S7" s="4964"/>
      <c r="T7" s="5065">
        <v>22575000</v>
      </c>
      <c r="U7" s="5065">
        <v>100000</v>
      </c>
      <c r="V7" s="5070">
        <v>3101515</v>
      </c>
      <c r="W7" s="5070">
        <v>225000</v>
      </c>
      <c r="X7" s="5059"/>
      <c r="Y7" s="5059"/>
    </row>
    <row r="8" spans="2:25" ht="69" customHeight="1">
      <c r="B8" s="4019" t="s">
        <v>1025</v>
      </c>
      <c r="C8" s="3964" t="s">
        <v>671</v>
      </c>
      <c r="D8" s="3965">
        <v>2160000</v>
      </c>
      <c r="E8" s="3966">
        <v>0</v>
      </c>
      <c r="F8" s="3965">
        <v>2160000</v>
      </c>
      <c r="G8" s="3966">
        <v>0</v>
      </c>
      <c r="H8" s="3967">
        <v>18000000</v>
      </c>
      <c r="I8" s="3968">
        <v>50000</v>
      </c>
      <c r="J8" s="3969">
        <v>0.12</v>
      </c>
      <c r="K8" s="3970">
        <v>0</v>
      </c>
      <c r="L8" s="3971">
        <v>0.6</v>
      </c>
      <c r="M8" s="3972">
        <v>0.66666666666666663</v>
      </c>
      <c r="N8" s="4043" t="s">
        <v>1062</v>
      </c>
      <c r="O8" s="4044" t="s">
        <v>1120</v>
      </c>
      <c r="P8" s="3935"/>
      <c r="Q8" s="4033"/>
      <c r="R8" s="4034"/>
      <c r="S8" s="4964"/>
      <c r="T8" s="5066">
        <v>10200000</v>
      </c>
      <c r="U8" s="5066">
        <v>100000</v>
      </c>
      <c r="V8" s="5066">
        <v>2040000</v>
      </c>
      <c r="W8" s="5066">
        <v>225000</v>
      </c>
      <c r="X8" s="5074" t="s">
        <v>1402</v>
      </c>
      <c r="Y8" s="5075" t="s">
        <v>1363</v>
      </c>
    </row>
    <row r="9" spans="2:25" ht="86.25" customHeight="1">
      <c r="B9" s="4019" t="s">
        <v>1025</v>
      </c>
      <c r="C9" s="3998" t="s">
        <v>1121</v>
      </c>
      <c r="D9" s="3999">
        <v>423400</v>
      </c>
      <c r="E9" s="4000">
        <v>0</v>
      </c>
      <c r="F9" s="3999">
        <v>172800</v>
      </c>
      <c r="G9" s="4000">
        <v>0</v>
      </c>
      <c r="H9" s="4002">
        <v>3350000</v>
      </c>
      <c r="I9" s="4003">
        <v>0</v>
      </c>
      <c r="J9" s="4004">
        <v>0.12640000000000001</v>
      </c>
      <c r="K9" s="4005">
        <v>0</v>
      </c>
      <c r="L9" s="4006">
        <v>0</v>
      </c>
      <c r="M9" s="4007">
        <v>0</v>
      </c>
      <c r="N9" s="4045" t="s">
        <v>1122</v>
      </c>
      <c r="O9" s="4046" t="s">
        <v>1123</v>
      </c>
      <c r="P9" s="3935"/>
      <c r="Q9" s="4029">
        <v>145800</v>
      </c>
      <c r="R9" s="4030">
        <v>66200</v>
      </c>
      <c r="S9" s="4964"/>
      <c r="T9" s="5066">
        <v>1675000</v>
      </c>
      <c r="U9" s="5066"/>
      <c r="V9" s="5067">
        <v>67000</v>
      </c>
      <c r="W9" s="5066"/>
      <c r="X9" s="5074" t="s">
        <v>1403</v>
      </c>
      <c r="Y9" s="5075"/>
    </row>
    <row r="10" spans="2:25" ht="72">
      <c r="B10" s="4020" t="s">
        <v>880</v>
      </c>
      <c r="C10" s="3973" t="s">
        <v>1124</v>
      </c>
      <c r="D10" s="3974">
        <v>603800</v>
      </c>
      <c r="E10" s="3975">
        <v>0</v>
      </c>
      <c r="F10" s="3974">
        <v>910800</v>
      </c>
      <c r="G10" s="3975">
        <v>0</v>
      </c>
      <c r="H10" s="3976">
        <v>9000000</v>
      </c>
      <c r="I10" s="3977">
        <v>0</v>
      </c>
      <c r="J10" s="3978">
        <v>6.7088888888888892E-2</v>
      </c>
      <c r="K10" s="3979" t="s">
        <v>1024</v>
      </c>
      <c r="L10" s="3980">
        <v>0.2</v>
      </c>
      <c r="M10" s="3981">
        <v>0</v>
      </c>
      <c r="N10" s="4047" t="s">
        <v>1125</v>
      </c>
      <c r="O10" s="4048" t="s">
        <v>1126</v>
      </c>
      <c r="P10" s="3935"/>
      <c r="Q10" s="4027"/>
      <c r="R10" s="4028"/>
      <c r="S10" s="4964"/>
      <c r="T10" s="5066">
        <v>7200000</v>
      </c>
      <c r="U10" s="5066"/>
      <c r="V10" s="5067">
        <v>360000</v>
      </c>
      <c r="W10" s="5066"/>
      <c r="X10" s="5075" t="s">
        <v>1404</v>
      </c>
      <c r="Y10" s="5075" t="s">
        <v>1363</v>
      </c>
    </row>
    <row r="11" spans="2:25" ht="72.75" thickBot="1">
      <c r="B11" s="4020" t="s">
        <v>880</v>
      </c>
      <c r="C11" s="3983" t="s">
        <v>1063</v>
      </c>
      <c r="D11" s="3984">
        <v>1832000</v>
      </c>
      <c r="E11" s="3985">
        <v>0</v>
      </c>
      <c r="F11" s="3984">
        <v>764100</v>
      </c>
      <c r="G11" s="3985">
        <v>0</v>
      </c>
      <c r="H11" s="3986">
        <v>8000000</v>
      </c>
      <c r="I11" s="3987">
        <v>0</v>
      </c>
      <c r="J11" s="3988">
        <v>0.22900000000000001</v>
      </c>
      <c r="K11" s="3989" t="s">
        <v>1024</v>
      </c>
      <c r="L11" s="3990">
        <v>0.35</v>
      </c>
      <c r="M11" s="3991">
        <v>0</v>
      </c>
      <c r="N11" s="4049" t="s">
        <v>1127</v>
      </c>
      <c r="O11" s="4050" t="s">
        <v>1128</v>
      </c>
      <c r="P11" s="3935"/>
      <c r="Q11" s="4031"/>
      <c r="R11" s="4032"/>
      <c r="S11" s="4964"/>
      <c r="T11" s="5066">
        <v>3500000</v>
      </c>
      <c r="U11" s="5066"/>
      <c r="V11" s="5067">
        <v>634515</v>
      </c>
      <c r="W11" s="5066"/>
      <c r="X11" s="5074" t="s">
        <v>1364</v>
      </c>
      <c r="Y11" s="5075" t="s">
        <v>1363</v>
      </c>
    </row>
    <row r="12" spans="2:25" ht="16.5" thickBot="1">
      <c r="B12" s="4021"/>
      <c r="C12" s="3992" t="s">
        <v>1033</v>
      </c>
      <c r="D12" s="3993">
        <v>3922900</v>
      </c>
      <c r="E12" s="3994">
        <v>261700</v>
      </c>
      <c r="F12" s="3956">
        <v>913300</v>
      </c>
      <c r="G12" s="3994">
        <v>3600</v>
      </c>
      <c r="H12" s="3958">
        <v>28810000</v>
      </c>
      <c r="I12" s="3995">
        <v>2530000</v>
      </c>
      <c r="J12" s="3996">
        <v>0.13616452620617842</v>
      </c>
      <c r="K12" s="3997">
        <v>0.10343873517786562</v>
      </c>
      <c r="L12" s="3962">
        <v>0.4747309961818813</v>
      </c>
      <c r="M12" s="3963">
        <v>0.50335968379446638</v>
      </c>
      <c r="N12" s="3944"/>
      <c r="O12" s="3951"/>
      <c r="P12" s="3935"/>
      <c r="Q12" s="4037"/>
      <c r="R12" s="4038"/>
      <c r="S12" s="4964"/>
      <c r="T12" s="5068">
        <v>13133360</v>
      </c>
      <c r="U12" s="5068">
        <v>1276363</v>
      </c>
      <c r="V12" s="5069">
        <v>1596882.5503199999</v>
      </c>
      <c r="W12" s="5069">
        <v>266611.05300000001</v>
      </c>
      <c r="X12" s="5079"/>
      <c r="Y12" s="5075"/>
    </row>
    <row r="13" spans="2:25" ht="76.5">
      <c r="B13" s="4022" t="s">
        <v>1034</v>
      </c>
      <c r="C13" s="3998" t="s">
        <v>714</v>
      </c>
      <c r="D13" s="3999">
        <v>1500000</v>
      </c>
      <c r="E13" s="4000">
        <v>52100</v>
      </c>
      <c r="F13" s="3999">
        <v>250000</v>
      </c>
      <c r="G13" s="4001">
        <v>0</v>
      </c>
      <c r="H13" s="4002">
        <v>6000000</v>
      </c>
      <c r="I13" s="4003">
        <v>22000</v>
      </c>
      <c r="J13" s="4004">
        <v>0.25</v>
      </c>
      <c r="K13" s="4005">
        <v>2.3690000000000002</v>
      </c>
      <c r="L13" s="4006">
        <v>0.5</v>
      </c>
      <c r="M13" s="4007">
        <v>0.56818181818181823</v>
      </c>
      <c r="N13" s="3945" t="s">
        <v>1129</v>
      </c>
      <c r="O13" s="3952" t="s">
        <v>1130</v>
      </c>
      <c r="P13" s="3935"/>
      <c r="Q13" s="4033"/>
      <c r="R13" s="4034"/>
      <c r="S13" s="4964"/>
      <c r="T13" s="5066">
        <v>3000000</v>
      </c>
      <c r="U13" s="5066">
        <v>9000</v>
      </c>
      <c r="V13" s="5067">
        <v>750000</v>
      </c>
      <c r="W13" s="5071">
        <v>21321</v>
      </c>
      <c r="X13" s="5081" t="s">
        <v>1363</v>
      </c>
      <c r="Y13" s="5075" t="s">
        <v>1363</v>
      </c>
    </row>
    <row r="14" spans="2:25" ht="76.5">
      <c r="B14" s="4023" t="s">
        <v>1034</v>
      </c>
      <c r="C14" s="4039" t="s">
        <v>1064</v>
      </c>
      <c r="D14" s="3974">
        <v>25600</v>
      </c>
      <c r="E14" s="3975">
        <v>195400</v>
      </c>
      <c r="F14" s="4041">
        <v>0</v>
      </c>
      <c r="G14" s="4042">
        <v>0</v>
      </c>
      <c r="H14" s="3976">
        <v>12406000</v>
      </c>
      <c r="I14" s="3982">
        <v>2486000</v>
      </c>
      <c r="J14" s="3978">
        <v>2.0600000000000002E-3</v>
      </c>
      <c r="K14" s="3979">
        <v>7.8600000000000003E-2</v>
      </c>
      <c r="L14" s="3980">
        <v>0.44131871674995971</v>
      </c>
      <c r="M14" s="3981">
        <v>0.50281576830249397</v>
      </c>
      <c r="N14" s="3946" t="s">
        <v>1131</v>
      </c>
      <c r="O14" s="3954" t="s">
        <v>1132</v>
      </c>
      <c r="P14" s="3935"/>
      <c r="Q14" s="4027"/>
      <c r="R14" s="4028"/>
      <c r="S14" s="4964"/>
      <c r="T14" s="5066">
        <v>6947360</v>
      </c>
      <c r="U14" s="5066">
        <v>1243000</v>
      </c>
      <c r="V14" s="5067">
        <v>23617.550320000002</v>
      </c>
      <c r="W14" s="5071">
        <v>237004.05300000001</v>
      </c>
      <c r="X14" s="5074" t="s">
        <v>1365</v>
      </c>
      <c r="Y14" s="5075"/>
    </row>
    <row r="15" spans="2:25" ht="76.5">
      <c r="B15" s="4023" t="s">
        <v>751</v>
      </c>
      <c r="C15" s="4008" t="s">
        <v>716</v>
      </c>
      <c r="D15" s="3974">
        <v>9900</v>
      </c>
      <c r="E15" s="3975"/>
      <c r="F15" s="3974">
        <v>2400</v>
      </c>
      <c r="G15" s="3975">
        <v>0</v>
      </c>
      <c r="H15" s="3976">
        <v>68000</v>
      </c>
      <c r="I15" s="3982">
        <v>0</v>
      </c>
      <c r="J15" s="3978">
        <v>0.14499999999999999</v>
      </c>
      <c r="K15" s="3979" t="s">
        <v>1024</v>
      </c>
      <c r="L15" s="3980">
        <v>0.5</v>
      </c>
      <c r="M15" s="3981">
        <v>0</v>
      </c>
      <c r="N15" s="3946" t="s">
        <v>1133</v>
      </c>
      <c r="O15" s="3954" t="s">
        <v>1134</v>
      </c>
      <c r="P15" s="3935"/>
      <c r="Q15" s="4027"/>
      <c r="R15" s="4028"/>
      <c r="S15" s="4964"/>
      <c r="T15" s="5066">
        <v>18000</v>
      </c>
      <c r="U15" s="5066"/>
      <c r="V15" s="5067">
        <v>2955</v>
      </c>
      <c r="W15" s="5071"/>
      <c r="X15" s="5074" t="s">
        <v>1405</v>
      </c>
      <c r="Y15" s="5075"/>
    </row>
    <row r="16" spans="2:25" ht="76.5">
      <c r="B16" s="4023" t="s">
        <v>1034</v>
      </c>
      <c r="C16" s="4040" t="s">
        <v>1065</v>
      </c>
      <c r="D16" s="3974">
        <v>1875400</v>
      </c>
      <c r="E16" s="3975">
        <v>14200</v>
      </c>
      <c r="F16" s="3974">
        <v>468900</v>
      </c>
      <c r="G16" s="3975">
        <v>3600</v>
      </c>
      <c r="H16" s="3976">
        <v>6336000</v>
      </c>
      <c r="I16" s="3982">
        <v>22000</v>
      </c>
      <c r="J16" s="3978">
        <v>0.29598999999999998</v>
      </c>
      <c r="K16" s="3979">
        <v>0.64700000000000002</v>
      </c>
      <c r="L16" s="3980">
        <v>0.5</v>
      </c>
      <c r="M16" s="3981">
        <v>0.5</v>
      </c>
      <c r="N16" s="5082" t="s">
        <v>1412</v>
      </c>
      <c r="O16" s="3954" t="s">
        <v>1135</v>
      </c>
      <c r="P16" s="3935"/>
      <c r="Q16" s="4027"/>
      <c r="R16" s="4028"/>
      <c r="S16" s="4964"/>
      <c r="T16" s="5066">
        <v>3168000</v>
      </c>
      <c r="U16" s="5066">
        <v>24363</v>
      </c>
      <c r="V16" s="5067">
        <v>820310</v>
      </c>
      <c r="W16" s="5071">
        <v>8286</v>
      </c>
      <c r="X16" s="5074" t="s">
        <v>1413</v>
      </c>
      <c r="Y16" s="5075"/>
    </row>
    <row r="17" spans="2:25" ht="77.25" thickBot="1">
      <c r="B17" s="4024" t="s">
        <v>751</v>
      </c>
      <c r="C17" s="4009" t="s">
        <v>718</v>
      </c>
      <c r="D17" s="4010">
        <v>512000</v>
      </c>
      <c r="E17" s="4011"/>
      <c r="F17" s="4010">
        <v>192000</v>
      </c>
      <c r="G17" s="4011">
        <v>0</v>
      </c>
      <c r="H17" s="4012">
        <v>4000000</v>
      </c>
      <c r="I17" s="4013">
        <v>0</v>
      </c>
      <c r="J17" s="4014">
        <v>0.128</v>
      </c>
      <c r="K17" s="4015" t="s">
        <v>1024</v>
      </c>
      <c r="L17" s="4016">
        <v>0.5</v>
      </c>
      <c r="M17" s="4017">
        <v>0</v>
      </c>
      <c r="N17" s="4051" t="s">
        <v>1136</v>
      </c>
      <c r="O17" s="4052" t="s">
        <v>1137</v>
      </c>
      <c r="P17" s="3935"/>
      <c r="Q17" s="4031"/>
      <c r="R17" s="4032"/>
      <c r="S17" s="4964"/>
      <c r="T17" s="5066">
        <v>0</v>
      </c>
      <c r="U17" s="5066"/>
      <c r="V17" s="5066">
        <v>0</v>
      </c>
      <c r="W17" s="5066"/>
      <c r="X17" s="5074" t="s">
        <v>1406</v>
      </c>
      <c r="Y17" s="5075"/>
    </row>
    <row r="18" spans="2:25" ht="16.5" thickBot="1">
      <c r="B18" s="3942"/>
      <c r="C18" s="3937" t="s">
        <v>729</v>
      </c>
      <c r="D18" s="3938">
        <v>8942100</v>
      </c>
      <c r="E18" s="3939">
        <v>261700</v>
      </c>
      <c r="F18" s="3938">
        <v>4921000</v>
      </c>
      <c r="G18" s="3939">
        <v>3600</v>
      </c>
      <c r="H18" s="3940">
        <v>67160000</v>
      </c>
      <c r="I18" s="3941">
        <v>2580000</v>
      </c>
      <c r="J18" s="3935"/>
      <c r="K18" s="3935"/>
      <c r="L18" s="3935"/>
      <c r="M18" s="3935"/>
      <c r="N18" s="3935"/>
      <c r="O18" s="3935"/>
      <c r="P18" s="3935"/>
      <c r="Q18" s="3935"/>
      <c r="R18" s="3935"/>
      <c r="S18" s="4964"/>
      <c r="T18" s="5072">
        <v>35708360</v>
      </c>
      <c r="U18" s="5072">
        <v>1376363</v>
      </c>
      <c r="V18" s="5073">
        <v>4698397.5503199995</v>
      </c>
      <c r="W18" s="5073">
        <v>491611.05300000001</v>
      </c>
      <c r="X18" s="5080"/>
      <c r="Y18" s="5077"/>
    </row>
    <row r="19" spans="2:25">
      <c r="B19" s="3361"/>
      <c r="C19" s="3358"/>
      <c r="D19" s="3360"/>
      <c r="E19" s="3360"/>
      <c r="F19" s="3358"/>
      <c r="G19" s="3358"/>
      <c r="H19" s="3358"/>
      <c r="I19" s="3358"/>
      <c r="J19" s="3358"/>
      <c r="K19" s="3358"/>
      <c r="L19" s="3358"/>
      <c r="M19" s="3358"/>
      <c r="N19" s="3358"/>
      <c r="O19" s="3358"/>
      <c r="S19" s="4964"/>
      <c r="T19" s="5062"/>
      <c r="U19" s="5062"/>
      <c r="V19" s="5062"/>
      <c r="W19" s="5062"/>
      <c r="X19" s="5059"/>
      <c r="Y19" s="5059"/>
    </row>
    <row r="20" spans="2:25">
      <c r="B20" s="3361"/>
      <c r="C20" s="3358"/>
      <c r="D20" s="3360"/>
      <c r="E20" s="3360"/>
      <c r="F20" s="3358"/>
      <c r="G20" s="3358"/>
      <c r="H20" s="3358"/>
      <c r="I20" s="3358"/>
      <c r="J20" s="3358"/>
      <c r="K20" s="3358"/>
      <c r="L20" s="3358"/>
      <c r="M20" s="3358"/>
      <c r="N20" s="3358"/>
      <c r="O20" s="3358"/>
      <c r="S20" s="4964"/>
      <c r="T20" s="5062"/>
      <c r="U20" s="5062"/>
      <c r="V20" s="5062"/>
      <c r="W20" s="5062"/>
      <c r="X20" s="5059"/>
      <c r="Y20" s="5059"/>
    </row>
    <row r="21" spans="2:25">
      <c r="B21" s="3361"/>
      <c r="C21" s="3358"/>
      <c r="D21" s="3358"/>
      <c r="E21" s="3358"/>
      <c r="F21" s="3358"/>
      <c r="G21" s="3358"/>
      <c r="H21" s="3358"/>
      <c r="I21" s="3358"/>
      <c r="J21" s="3358"/>
      <c r="K21" s="3358"/>
      <c r="L21" s="3358"/>
      <c r="M21" s="3358"/>
      <c r="N21" s="3358"/>
      <c r="O21" s="3358"/>
      <c r="S21" s="4964"/>
      <c r="T21" s="5062"/>
      <c r="U21" s="5062"/>
      <c r="V21" s="5062"/>
      <c r="W21" s="5062"/>
      <c r="X21" s="5059"/>
      <c r="Y21" s="5059"/>
    </row>
    <row r="22" spans="2:25">
      <c r="B22" s="3361"/>
      <c r="C22" s="3358"/>
      <c r="D22" s="3358"/>
      <c r="E22" s="3358"/>
      <c r="F22" s="3358"/>
      <c r="G22" s="3358"/>
      <c r="H22" s="3358"/>
      <c r="I22" s="3358"/>
      <c r="J22" s="3358"/>
      <c r="K22" s="3358"/>
      <c r="L22" s="3358"/>
      <c r="M22" s="3358"/>
      <c r="N22" s="3358"/>
      <c r="O22" s="3358"/>
      <c r="S22" s="4964"/>
      <c r="T22" s="5062"/>
      <c r="U22" s="5062"/>
      <c r="V22" s="5062"/>
      <c r="W22" s="5062"/>
      <c r="X22" s="5059"/>
      <c r="Y22" s="5059"/>
    </row>
    <row r="23" spans="2:25">
      <c r="B23" s="3361"/>
      <c r="C23" s="3358"/>
      <c r="D23" s="3358"/>
      <c r="E23" s="3362"/>
      <c r="F23" s="3358"/>
      <c r="G23" s="3358"/>
      <c r="H23" s="3358"/>
      <c r="I23" s="3358"/>
      <c r="J23" s="3358"/>
      <c r="K23" s="3358"/>
      <c r="L23" s="3358"/>
      <c r="M23" s="3358"/>
      <c r="N23" s="3358"/>
      <c r="O23" s="3358"/>
      <c r="S23" s="4964"/>
      <c r="T23" s="5062"/>
      <c r="U23" s="5062"/>
      <c r="V23" s="5062"/>
      <c r="W23" s="5062"/>
      <c r="X23" s="5059"/>
      <c r="Y23" s="5059"/>
    </row>
    <row r="24" spans="2:25">
      <c r="B24" s="3361"/>
      <c r="C24" s="3358"/>
      <c r="D24" s="3358"/>
      <c r="E24" s="3358"/>
      <c r="F24" s="3358"/>
      <c r="G24" s="3358"/>
      <c r="H24" s="3358"/>
      <c r="I24" s="3358"/>
      <c r="J24" s="3358"/>
      <c r="K24" s="3358"/>
      <c r="L24" s="3358"/>
      <c r="M24" s="3358"/>
      <c r="N24" s="3358"/>
      <c r="O24" s="3358"/>
      <c r="S24" s="4964"/>
      <c r="T24" s="5062"/>
      <c r="U24" s="5062"/>
      <c r="V24" s="5062"/>
      <c r="W24" s="5062"/>
      <c r="X24" s="5059"/>
      <c r="Y24" s="5059"/>
    </row>
    <row r="25" spans="2:25">
      <c r="S25" s="4964"/>
      <c r="T25" s="5062"/>
      <c r="U25" s="5062"/>
      <c r="V25" s="5062"/>
      <c r="W25" s="5062"/>
      <c r="X25" s="5059"/>
      <c r="Y25" s="5059"/>
    </row>
    <row r="26" spans="2:25">
      <c r="S26" s="4964"/>
      <c r="T26" s="5062"/>
      <c r="U26" s="5062"/>
      <c r="V26" s="5062"/>
      <c r="W26" s="5062"/>
      <c r="X26" s="5059"/>
      <c r="Y26" s="5059"/>
    </row>
    <row r="27" spans="2:25">
      <c r="S27" s="4964"/>
      <c r="T27" s="5062"/>
      <c r="U27" s="5062"/>
      <c r="V27" s="5062"/>
      <c r="W27" s="5062"/>
      <c r="X27" s="5059"/>
      <c r="Y27" s="5059"/>
    </row>
    <row r="28" spans="2:25">
      <c r="S28" s="4964"/>
      <c r="T28" s="5062"/>
      <c r="U28" s="5062"/>
      <c r="V28" s="5062"/>
      <c r="W28" s="5062"/>
      <c r="X28" s="5059"/>
      <c r="Y28" s="5059"/>
    </row>
    <row r="29" spans="2:25">
      <c r="S29" s="4964"/>
      <c r="T29" s="5062"/>
      <c r="U29" s="5062"/>
      <c r="V29" s="5062"/>
      <c r="W29" s="5062"/>
      <c r="X29" s="5059"/>
      <c r="Y29" s="5059"/>
    </row>
  </sheetData>
  <sheetProtection password="9E1F" sheet="1" objects="1" scenarios="1"/>
  <customSheetViews>
    <customSheetView guid="{074EB09C-6289-46D7-9513-012B68BCA7BF}" fitToPage="1">
      <pane xSplit="1" ySplit="1" topLeftCell="T2" activePane="bottomRight" state="frozen"/>
      <selection pane="bottomRight" activeCell="X16" sqref="X16"/>
      <pageMargins left="0.7" right="0.7" top="0.75" bottom="0.75" header="0.3" footer="0.3"/>
      <pageSetup paperSize="17" scale="43" orientation="landscape" r:id="rId1"/>
    </customSheetView>
    <customSheetView guid="{AF9F1D33-B8C2-423F-86A1-47612B8F532C}" fitToPage="1">
      <pane xSplit="1" ySplit="1" topLeftCell="H2" activePane="bottomRight" state="frozenSplit"/>
      <selection pane="bottomRight" activeCell="B5" sqref="B5:R18"/>
      <pageMargins left="0.7" right="0.7" top="0.75" bottom="0.75" header="0.3" footer="0.3"/>
      <pageSetup paperSize="17" scale="66" orientation="landscape"/>
    </customSheetView>
  </customSheetViews>
  <mergeCells count="11">
    <mergeCell ref="L5:M5"/>
    <mergeCell ref="N5:O5"/>
    <mergeCell ref="D5:E5"/>
    <mergeCell ref="F5:G5"/>
    <mergeCell ref="H5:I5"/>
    <mergeCell ref="J5:K5"/>
    <mergeCell ref="X3:Y4"/>
    <mergeCell ref="X5:Y5"/>
    <mergeCell ref="T5:U5"/>
    <mergeCell ref="V5:W5"/>
    <mergeCell ref="T3:W4"/>
  </mergeCells>
  <pageMargins left="0.7" right="0.28999999999999998" top="0.43" bottom="0.75" header="0.3" footer="0.3"/>
  <pageSetup paperSize="17" scale="43"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1D9F21E3CFC5B438D9AB2D89105AC9A" ma:contentTypeVersion="143" ma:contentTypeDescription="" ma:contentTypeScope="" ma:versionID="a25e33c894f75fa3ed5312c1eb087ca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2011-10-28T07:00:00+00:00</OpenedDate>
    <Date1 xmlns="dc463f71-b30c-4ab2-9473-d307f9d35888">2012-11-29T08:00:00+00:00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111881</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D8787419-74DC-410E-84F6-2326636D0D35}"/>
</file>

<file path=customXml/itemProps2.xml><?xml version="1.0" encoding="utf-8"?>
<ds:datastoreItem xmlns:ds="http://schemas.openxmlformats.org/officeDocument/2006/customXml" ds:itemID="{C73AD878-4CDB-491D-8BFB-016A1C836E4D}"/>
</file>

<file path=customXml/itemProps3.xml><?xml version="1.0" encoding="utf-8"?>
<ds:datastoreItem xmlns:ds="http://schemas.openxmlformats.org/officeDocument/2006/customXml" ds:itemID="{F8B65C04-74DD-4DF3-B50F-C1268D92E4AC}"/>
</file>

<file path=customXml/itemProps4.xml><?xml version="1.0" encoding="utf-8"?>
<ds:datastoreItem xmlns:ds="http://schemas.openxmlformats.org/officeDocument/2006/customXml" ds:itemID="{4CF52381-4773-4E69-B1E1-BF4385BF50B6}"/>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93</vt:i4>
      </vt:variant>
    </vt:vector>
  </HeadingPairs>
  <TitlesOfParts>
    <vt:vector size="93" baseType="lpstr">
      <vt:lpstr>CE Segment Definitions</vt:lpstr>
      <vt:lpstr>Portfl--formatted for outline </vt:lpstr>
      <vt:lpstr>1) Portfolio View</vt:lpstr>
      <vt:lpstr>2) Sector View Electric</vt:lpstr>
      <vt:lpstr>3) Sector View Gas</vt:lpstr>
      <vt:lpstr>4) Detail_REM Sch 201 Elec </vt:lpstr>
      <vt:lpstr>5) Detail_REM Sch 214 Elec</vt:lpstr>
      <vt:lpstr>5a) Detail_214HomePrint Elec</vt:lpstr>
      <vt:lpstr>5b) Detail_214WaterHeat Elec</vt:lpstr>
      <vt:lpstr>5c) Detail_214Wx Elec</vt:lpstr>
      <vt:lpstr>5d) Detail_214SpcHeat Elec</vt:lpstr>
      <vt:lpstr>5e) Detail_214RefRepl Elec</vt:lpstr>
      <vt:lpstr>5f) Detail_214HmAppplc Elec</vt:lpstr>
      <vt:lpstr>5g) Detail_214ShwrHead  Elec</vt:lpstr>
      <vt:lpstr>5h) Detail_214Lighting Elec</vt:lpstr>
      <vt:lpstr>5i) Detail_214MHDS Elec</vt:lpstr>
      <vt:lpstr>5j) Detail_214ARRAWx Elec</vt:lpstr>
      <vt:lpstr>5k) Detail_REM Sch214 HER Elec</vt:lpstr>
      <vt:lpstr>6) Detail_REM Sch 215 Elec</vt:lpstr>
      <vt:lpstr>6a) Detail_215NCMfgHome Elec</vt:lpstr>
      <vt:lpstr>7) Detail_REM Sch 216 Elec</vt:lpstr>
      <vt:lpstr>8) Detail_REM Sch 217 Elec</vt:lpstr>
      <vt:lpstr>9) Detail_REM Sch 218 Elec</vt:lpstr>
      <vt:lpstr>10) Detail_REM Sch 249 Elec</vt:lpstr>
      <vt:lpstr>11) Detail_REM Sch 201 Gas</vt:lpstr>
      <vt:lpstr>12) Detail_REM Sch 214 Gas</vt:lpstr>
      <vt:lpstr>12a) Detail_214HmPrint Gas</vt:lpstr>
      <vt:lpstr>12b) Detail_214WtrHeat Gas</vt:lpstr>
      <vt:lpstr>12c) Detail_214Wx Gas</vt:lpstr>
      <vt:lpstr>12d) Detail_214SpHeat Gas</vt:lpstr>
      <vt:lpstr>12e) Detail_214ShwrHead Gas</vt:lpstr>
      <vt:lpstr>12f) Detail_214HmApplSvgs Gas</vt:lpstr>
      <vt:lpstr>12g) Detail_214MHDS Gas</vt:lpstr>
      <vt:lpstr>12h) Detail_214WebTstat Gas</vt:lpstr>
      <vt:lpstr>12i) Detail_REM 214_HER Gas</vt:lpstr>
      <vt:lpstr>13) Detail_REM Sch 215 Gas</vt:lpstr>
      <vt:lpstr>13a) Detail_215MfgHomes Gas</vt:lpstr>
      <vt:lpstr>14) Detail_REM Sch 217 Gas</vt:lpstr>
      <vt:lpstr>15) Detail_REM Sch 218 Gas</vt:lpstr>
      <vt:lpstr>16) Detail_REM Sch 249 Gas</vt:lpstr>
      <vt:lpstr>17) Detail_BEM Sch 250 Elec</vt:lpstr>
      <vt:lpstr>18) Detail_BEM Sch 251 Elec</vt:lpstr>
      <vt:lpstr>19) Detail_BEM Sch 253 Elec</vt:lpstr>
      <vt:lpstr>20) Detail_BEM Sch 255 Elec</vt:lpstr>
      <vt:lpstr>21) Detail_BEM Sch 257 Elec</vt:lpstr>
      <vt:lpstr>22) Detail_BEM Sch 258 Elec</vt:lpstr>
      <vt:lpstr>23) Detail_BEM Sch 261 Elec</vt:lpstr>
      <vt:lpstr>24) Detail_BEM Sch 262 Elec</vt:lpstr>
      <vt:lpstr>25) Detail_BEM Sch 250 Gas</vt:lpstr>
      <vt:lpstr>26) Detail_BEM Sch 253 Gas</vt:lpstr>
      <vt:lpstr>27) Detail_BEM Sch 251 Gas</vt:lpstr>
      <vt:lpstr>28) Detail_BEM Sch 261 Gas</vt:lpstr>
      <vt:lpstr>29) Detail_BEM Sch 262 Gas</vt:lpstr>
      <vt:lpstr>30) Detail_NEEA elec</vt:lpstr>
      <vt:lpstr>31) Detail_T&amp;D elec</vt:lpstr>
      <vt:lpstr>32) Detail_PS_Cust Engage Elec</vt:lpstr>
      <vt:lpstr>32a) Detail_PSCE_EAs Elec</vt:lpstr>
      <vt:lpstr>32b) Detail_PSCE_Events Elec</vt:lpstr>
      <vt:lpstr>32c) Detail_PSCE_Broch Elec</vt:lpstr>
      <vt:lpstr>32d) Detail_PSCE_Edu Elec</vt:lpstr>
      <vt:lpstr>33) Detail_PS_Web Exp Elec</vt:lpstr>
      <vt:lpstr>33a) Detail_PSWE_On Exp Elec</vt:lpstr>
      <vt:lpstr>33b) Detail_PSWE_Mkt Int Elec</vt:lpstr>
      <vt:lpstr>34) Detail_PS_EE Comm Elec</vt:lpstr>
      <vt:lpstr>35) Detail_PS_ Trade Ally Elec</vt:lpstr>
      <vt:lpstr>36) Detail_PS_Mktg Resch Elec</vt:lpstr>
      <vt:lpstr>37) Detail_PS Cust Engage Gas</vt:lpstr>
      <vt:lpstr>37a) Detail_PSCE_EAs Gas</vt:lpstr>
      <vt:lpstr>37b) Detail_PSCE_Events Gas</vt:lpstr>
      <vt:lpstr>37c) Detail_PSCE_Broch Gas</vt:lpstr>
      <vt:lpstr>37d) Detail_PSCE_Edu Gas</vt:lpstr>
      <vt:lpstr>38) Detail_PS_Web Exp Gas</vt:lpstr>
      <vt:lpstr>38a) Detail_PSWE_On_Exp Gas</vt:lpstr>
      <vt:lpstr>38b) Detail_PSWE_Mkt Int Gas</vt:lpstr>
      <vt:lpstr>39) Detail_PS_EE Comm Gas</vt:lpstr>
      <vt:lpstr>40) Detail_PS_Trade Ally gas</vt:lpstr>
      <vt:lpstr>41) Detail_PS_Mktg Rsch gas</vt:lpstr>
      <vt:lpstr>42) Detail_R&amp;C_Supp Crv Elec</vt:lpstr>
      <vt:lpstr>43) Detail_R&amp;C_Strat Pln Elec</vt:lpstr>
      <vt:lpstr>44) Detail_R&amp;C_Eval Elec</vt:lpstr>
      <vt:lpstr>44a) Detail_R&amp;C_V-Team_Elec</vt:lpstr>
      <vt:lpstr>45) Detail_R&amp;C_Support Elec</vt:lpstr>
      <vt:lpstr>46) Detail_R&amp;C_Supp Crv gas</vt:lpstr>
      <vt:lpstr>47) Detail_R&amp;C_Strat Pln Gas</vt:lpstr>
      <vt:lpstr>48) Detail_R&amp;C_Eval Gas</vt:lpstr>
      <vt:lpstr>48a) Detail_R&amp;C_V-Team_Gas</vt:lpstr>
      <vt:lpstr>49) Detail_R&amp;C_Support Gas</vt:lpstr>
      <vt:lpstr>50) Details_Oth Elec_Net Mtr</vt:lpstr>
      <vt:lpstr>51) Details_Oth Elec_Renew Ed</vt:lpstr>
      <vt:lpstr>52) Details_Oth Elec_CI Load Cr</vt:lpstr>
      <vt:lpstr>53) Details_Oth Elec_Res DR</vt:lpstr>
      <vt:lpstr>54) BEM In-house savings</vt:lpstr>
      <vt:lpstr>55) BEM Contracted savings</vt:lpstr>
    </vt:vector>
  </TitlesOfParts>
  <Company>Puget Sound Energy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Hemstreet</dc:creator>
  <cp:lastModifiedBy>Andy Hemstreet</cp:lastModifiedBy>
  <cp:lastPrinted>2012-11-07T18:18:06Z</cp:lastPrinted>
  <dcterms:created xsi:type="dcterms:W3CDTF">2011-07-20T22:26:18Z</dcterms:created>
  <dcterms:modified xsi:type="dcterms:W3CDTF">2012-11-28T15:40:42Z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0x0101006E56B4D1795A2E4DB2F0B01679ED314A0081D9F21E3CFC5B438D9AB2D89105AC9A</vt:lpwstr>
  </property>
  <property fmtid="{D5CDD505-2E9C-101B-9397-08002B2CF9AE}" pid="3" name="_docset_NoMedatataSyncRequired">
    <vt:lpwstr>False</vt:lpwstr>
  </property>
</Properties>
</file>